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oscoso\Desktop\LINKOTEL S.A\CONCILICACION\Pacifico\"/>
    </mc:Choice>
  </mc:AlternateContent>
  <xr:revisionPtr revIDLastSave="0" documentId="13_ncr:1_{9B295CA7-F174-4EC1-AC0C-2E5D3A26817D}" xr6:coauthVersionLast="45" xr6:coauthVersionMax="45" xr10:uidLastSave="{00000000-0000-0000-0000-000000000000}"/>
  <bookViews>
    <workbookView xWindow="-120" yWindow="-120" windowWidth="20730" windowHeight="11160" firstSheet="39" activeTab="40" xr2:uid="{239B4D3E-8CCF-4D1A-9346-E3149E34EAA7}"/>
  </bookViews>
  <sheets>
    <sheet name="BP CON DIC-19" sheetId="2" r:id="rId1"/>
    <sheet name="BP-ENE-20" sheetId="4" r:id="rId2"/>
    <sheet name="DEP ENE-20" sheetId="5" r:id="rId3"/>
    <sheet name="WU ENE-20" sheetId="6" r:id="rId4"/>
    <sheet name="BP CON ENE-20" sheetId="3" r:id="rId5"/>
    <sheet name="BP FEB-20" sheetId="26" r:id="rId6"/>
    <sheet name="DP FEB-20" sheetId="7" r:id="rId7"/>
    <sheet name="WU FEB-20" sheetId="16" r:id="rId8"/>
    <sheet name="BP CON FEB-20" sheetId="25" r:id="rId9"/>
    <sheet name="BP MAR-20" sheetId="27" r:id="rId10"/>
    <sheet name="DP MAR-20" sheetId="8" r:id="rId11"/>
    <sheet name="WU MAR-20" sheetId="17" r:id="rId12"/>
    <sheet name="BP CON MAR-20" sheetId="28" r:id="rId13"/>
    <sheet name="BP ABR-20" sheetId="29" r:id="rId14"/>
    <sheet name="DP ABR-20" sheetId="9" r:id="rId15"/>
    <sheet name="WU ABR-20" sheetId="18" r:id="rId16"/>
    <sheet name="BP CON ABR-20" sheetId="30" r:id="rId17"/>
    <sheet name="BP MAY-20" sheetId="32" r:id="rId18"/>
    <sheet name="DP MAY-20" sheetId="10" r:id="rId19"/>
    <sheet name="WU MAY-20" sheetId="19" r:id="rId20"/>
    <sheet name="BP CON MAY-20" sheetId="31" r:id="rId21"/>
    <sheet name="BP JUN-20" sheetId="33" r:id="rId22"/>
    <sheet name="DP JUN-20" sheetId="11" r:id="rId23"/>
    <sheet name="WU JUN-20" sheetId="20" r:id="rId24"/>
    <sheet name="BP CON JUN-20" sheetId="34" r:id="rId25"/>
    <sheet name="BP JUL-20" sheetId="35" r:id="rId26"/>
    <sheet name="DP JUL-20" sheetId="12" r:id="rId27"/>
    <sheet name="WU JUL-20" sheetId="21" r:id="rId28"/>
    <sheet name="BP CON JUL-20" sheetId="36" r:id="rId29"/>
    <sheet name="BP AGO-20" sheetId="39" r:id="rId30"/>
    <sheet name="DP AGO-20" sheetId="13" r:id="rId31"/>
    <sheet name="WU AGO-20" sheetId="22" r:id="rId32"/>
    <sheet name="BP CON AGO-20" sheetId="37" r:id="rId33"/>
    <sheet name="BP SEP-20" sheetId="41" r:id="rId34"/>
    <sheet name="DP SEP-20" sheetId="14" r:id="rId35"/>
    <sheet name="WU SEP-20" sheetId="23" r:id="rId36"/>
    <sheet name="BP CON SEP-20" sheetId="40" r:id="rId37"/>
    <sheet name="BP OCT-20" sheetId="42" r:id="rId38"/>
    <sheet name="DP OCT-20" sheetId="15" r:id="rId39"/>
    <sheet name="WU OCT-20" sheetId="24" r:id="rId40"/>
    <sheet name="BP CON OCT-20" sheetId="44" r:id="rId41"/>
    <sheet name="BP NOV-20" sheetId="50" r:id="rId42"/>
    <sheet name="DP NOV-20" sheetId="45" r:id="rId43"/>
    <sheet name="WU NOV-20" sheetId="46" r:id="rId44"/>
    <sheet name="BP CON NOV-20" sheetId="49" r:id="rId45"/>
  </sheets>
  <externalReferences>
    <externalReference r:id="rId46"/>
  </externalReferences>
  <definedNames>
    <definedName name="_xlnm._FilterDatabase" localSheetId="13" hidden="1">'BP ABR-20'!$A$17:$K$365</definedName>
    <definedName name="_xlnm._FilterDatabase" localSheetId="29" hidden="1">'BP AGO-20'!$A$17:$K$637</definedName>
    <definedName name="_xlnm._FilterDatabase" localSheetId="5" hidden="1">'BP FEB-20'!$A$17:$K$962</definedName>
    <definedName name="_xlnm._FilterDatabase" localSheetId="25" hidden="1">'BP JUL-20'!$A$17:$J$689</definedName>
    <definedName name="_xlnm._FilterDatabase" localSheetId="21" hidden="1">'BP JUN-20'!$A$17:$K$687</definedName>
    <definedName name="_xlnm._FilterDatabase" localSheetId="9" hidden="1">'BP MAR-20'!$A$17:$K$871</definedName>
    <definedName name="_xlnm._FilterDatabase" localSheetId="17" hidden="1">'BP MAY-20'!$A$17:$K$666</definedName>
    <definedName name="_xlnm._FilterDatabase" localSheetId="41" hidden="1">'BP NOV-20'!$A$13:$K$670</definedName>
    <definedName name="_xlnm._FilterDatabase" localSheetId="37" hidden="1">'BP OCT-20'!$A$17:$I$645</definedName>
    <definedName name="_xlnm._FilterDatabase" localSheetId="33" hidden="1">'BP SEP-20'!$A$17:$K$608</definedName>
    <definedName name="_xlnm._FilterDatabase" localSheetId="1" hidden="1">'BP-ENE-20'!$A$17:$K$1234</definedName>
    <definedName name="_xlnm._FilterDatabase" localSheetId="38" hidden="1">'DP OCT-20'!$A$8:$G$8</definedName>
    <definedName name="_xlnm.Print_Area" localSheetId="16">'BP CON ABR-20'!$A$1:$J$93</definedName>
    <definedName name="_xlnm.Print_Area" localSheetId="32">'BP CON AGO-20'!$A$1:$J$102</definedName>
    <definedName name="_xlnm.Print_Area" localSheetId="0">'BP CON DIC-19'!$A$1:$J$200</definedName>
    <definedName name="_xlnm.Print_Area" localSheetId="4">'BP CON ENE-20'!$A$1:$J$71</definedName>
    <definedName name="_xlnm.Print_Area" localSheetId="8">'BP CON FEB-20'!$A$1:$J$106</definedName>
    <definedName name="_xlnm.Print_Area" localSheetId="28">'BP CON JUL-20'!$A$1:$J$60</definedName>
    <definedName name="_xlnm.Print_Area" localSheetId="24">'BP CON JUN-20'!$A$1:$J$113</definedName>
    <definedName name="_xlnm.Print_Area" localSheetId="12">'BP CON MAR-20'!$A$1:$J$59</definedName>
    <definedName name="_xlnm.Print_Area" localSheetId="20">'BP CON MAY-20'!$A$1:$J$96</definedName>
    <definedName name="_xlnm.Print_Area" localSheetId="44">'BP CON NOV-20'!$A$1:$J$110</definedName>
    <definedName name="_xlnm.Print_Area" localSheetId="40">'BP CON OCT-20'!$A$1:$H$86</definedName>
    <definedName name="_xlnm.Print_Area" localSheetId="36">'BP CON SEP-20'!$A$1:$J$124</definedName>
    <definedName name="_xlnm.Print_Area" localSheetId="2">'DEP ENE-20'!$A$1:$F$302</definedName>
    <definedName name="_xlnm.Print_Area" localSheetId="14">'DP ABR-20'!$A$1:$F$156</definedName>
    <definedName name="_xlnm.Print_Area" localSheetId="30">'DP AGO-20'!$A$1:$F$205</definedName>
    <definedName name="_xlnm.Print_Area" localSheetId="6">'DP FEB-20'!$A$1:$F$230</definedName>
    <definedName name="_xlnm.Print_Area" localSheetId="26">'DP JUL-20'!$A$1:$F$220</definedName>
    <definedName name="_xlnm.Print_Area" localSheetId="22">'DP JUN-20'!$A$1:$F$224</definedName>
    <definedName name="_xlnm.Print_Area" localSheetId="10">'DP MAR-20'!$A$1:$F$234</definedName>
    <definedName name="_xlnm.Print_Area" localSheetId="18">'DP MAY-20'!$A$1:$F$207</definedName>
    <definedName name="_xlnm.Print_Area" localSheetId="42">'DP NOV-20'!$A$1:$F$221</definedName>
    <definedName name="_xlnm.Print_Area" localSheetId="38">'DP OCT-20'!$A$1:$G$204</definedName>
    <definedName name="_xlnm.Print_Area" localSheetId="34">'DP SEP-20'!$A$1:$F$212</definedName>
    <definedName name="_xlnm.Print_Area" localSheetId="15">'WU ABR-20'!$A$106:$H$153</definedName>
    <definedName name="_xlnm.Print_Area" localSheetId="31">'WU AGO-20'!$A$299:$H$354</definedName>
    <definedName name="_xlnm.Print_Area" localSheetId="3">'WU ENE-20'!$A$684:$H$708</definedName>
    <definedName name="_xlnm.Print_Area" localSheetId="7">'WU FEB-20'!$A$514:$H$572</definedName>
    <definedName name="_xlnm.Print_Area" localSheetId="27">'WU JUL-20'!$A$402:$H$413</definedName>
    <definedName name="_xlnm.Print_Area" localSheetId="23">'WU JUN-20'!$A$338:$H$403</definedName>
    <definedName name="_xlnm.Print_Area" localSheetId="11">'WU MAR-20'!$A$474:$H$486</definedName>
    <definedName name="_xlnm.Print_Area" localSheetId="19">'WU MAY-20'!$A$366:$H$411</definedName>
    <definedName name="_xlnm.Print_Area" localSheetId="43">'WU NOV-20'!$A$327:$H$387</definedName>
    <definedName name="_xlnm.Print_Area" localSheetId="39">'WU OCT-20'!$A$1:$H$123</definedName>
    <definedName name="_xlnm.Print_Area" localSheetId="35">'WU SEP-20'!$A$270:$H$346</definedName>
    <definedName name="_xlnm.Print_Titles" localSheetId="16">'BP CON ABR-20'!$1:$8</definedName>
    <definedName name="_xlnm.Print_Titles" localSheetId="32">'BP CON AGO-20'!$1:$8</definedName>
    <definedName name="_xlnm.Print_Titles" localSheetId="0">'BP CON DIC-19'!$1:$8</definedName>
    <definedName name="_xlnm.Print_Titles" localSheetId="4">'BP CON ENE-20'!$1:$8</definedName>
    <definedName name="_xlnm.Print_Titles" localSheetId="8">'BP CON FEB-20'!$1:$8</definedName>
    <definedName name="_xlnm.Print_Titles" localSheetId="28">'BP CON JUL-20'!$1:$8</definedName>
    <definedName name="_xlnm.Print_Titles" localSheetId="24">'BP CON JUN-20'!$1:$8</definedName>
    <definedName name="_xlnm.Print_Titles" localSheetId="12">'BP CON MAR-20'!$1:$8</definedName>
    <definedName name="_xlnm.Print_Titles" localSheetId="20">'BP CON MAY-20'!$1:$8</definedName>
    <definedName name="_xlnm.Print_Titles" localSheetId="44">'BP CON NOV-20'!$1:$8</definedName>
    <definedName name="_xlnm.Print_Titles" localSheetId="40">'BP CON OCT-20'!$1:$8</definedName>
    <definedName name="_xlnm.Print_Titles" localSheetId="36">'BP CON SEP-20'!$1:$8</definedName>
    <definedName name="_xlnm.Print_Titles" localSheetId="2">'DEP ENE-20'!$1:$2</definedName>
    <definedName name="_xlnm.Print_Titles" localSheetId="14">'DP ABR-20'!$1:$2</definedName>
    <definedName name="_xlnm.Print_Titles" localSheetId="6">'DP FEB-20'!$1:$2</definedName>
    <definedName name="_xlnm.Print_Titles" localSheetId="26">'DP JUL-20'!$1:$2</definedName>
    <definedName name="_xlnm.Print_Titles" localSheetId="10">'DP MAR-20'!$1:$2</definedName>
    <definedName name="_xlnm.Print_Titles" localSheetId="18">'DP MAY-20'!$1:$2</definedName>
    <definedName name="_xlnm.Print_Titles" localSheetId="42">'DP NOV-20'!$1:$2</definedName>
    <definedName name="_xlnm.Print_Titles" localSheetId="38">'DP OCT-20'!$1:$2</definedName>
    <definedName name="_xlnm.Print_Titles" localSheetId="34">'DP SEP-20'!$1:$2</definedName>
    <definedName name="_xlnm.Print_Titles" localSheetId="15">'WU ABR-20'!$1:$2</definedName>
    <definedName name="_xlnm.Print_Titles" localSheetId="31">'WU AGO-20'!$1:$2</definedName>
    <definedName name="_xlnm.Print_Titles" localSheetId="3">'WU ENE-20'!$1:$2</definedName>
    <definedName name="_xlnm.Print_Titles" localSheetId="7">'WU FEB-20'!$1:$2</definedName>
    <definedName name="_xlnm.Print_Titles" localSheetId="27">'WU JUL-20'!$1:$2</definedName>
    <definedName name="_xlnm.Print_Titles" localSheetId="23">'WU JUN-20'!$1:$2</definedName>
    <definedName name="_xlnm.Print_Titles" localSheetId="11">'WU MAR-20'!$1:$2</definedName>
    <definedName name="_xlnm.Print_Titles" localSheetId="19">'WU MAY-20'!$1:$2</definedName>
    <definedName name="_xlnm.Print_Titles" localSheetId="43">'WU NOV-20'!$1:$2</definedName>
    <definedName name="_xlnm.Print_Titles" localSheetId="39">'WU OCT-20'!$1:$2</definedName>
    <definedName name="_xlnm.Print_Titles" localSheetId="35">'WU SEP-20'!$1:$2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1" i="49" l="1"/>
  <c r="H26" i="49"/>
  <c r="H102" i="49"/>
  <c r="E269" i="46"/>
  <c r="J105" i="49"/>
  <c r="H16" i="49"/>
  <c r="H104" i="49" l="1"/>
  <c r="J108" i="49" s="1"/>
  <c r="J110" i="49" s="1"/>
  <c r="H21" i="44" l="1"/>
  <c r="E387" i="46" l="1"/>
  <c r="E325" i="46"/>
  <c r="E267" i="46"/>
  <c r="E148" i="46"/>
  <c r="E67" i="46"/>
  <c r="C219" i="45"/>
  <c r="C207" i="45"/>
  <c r="C198" i="45"/>
  <c r="C189" i="45"/>
  <c r="C175" i="45"/>
  <c r="C166" i="45"/>
  <c r="C162" i="45"/>
  <c r="C156" i="45"/>
  <c r="C138" i="45"/>
  <c r="C119" i="45"/>
  <c r="C112" i="45"/>
  <c r="C102" i="45"/>
  <c r="C96" i="45"/>
  <c r="C90" i="45"/>
  <c r="C76" i="45"/>
  <c r="C67" i="45"/>
  <c r="C54" i="45"/>
  <c r="A217" i="45"/>
  <c r="A216" i="45"/>
  <c r="A215" i="45"/>
  <c r="A214" i="45"/>
  <c r="A213" i="45"/>
  <c r="A212" i="45"/>
  <c r="A211" i="45"/>
  <c r="A210" i="45"/>
  <c r="A209" i="45"/>
  <c r="A206" i="45"/>
  <c r="A205" i="45"/>
  <c r="A204" i="45"/>
  <c r="A203" i="45"/>
  <c r="A202" i="45"/>
  <c r="A201" i="45"/>
  <c r="A200" i="45"/>
  <c r="A197" i="45"/>
  <c r="A196" i="45"/>
  <c r="A195" i="45"/>
  <c r="A194" i="45"/>
  <c r="A193" i="45"/>
  <c r="A192" i="45"/>
  <c r="A191" i="45"/>
  <c r="A188" i="45"/>
  <c r="A187" i="45"/>
  <c r="A186" i="45"/>
  <c r="A185" i="45"/>
  <c r="A184" i="45"/>
  <c r="A183" i="45"/>
  <c r="A182" i="45"/>
  <c r="A181" i="45"/>
  <c r="A180" i="45"/>
  <c r="A179" i="45"/>
  <c r="A178" i="45"/>
  <c r="A177" i="45"/>
  <c r="A174" i="45"/>
  <c r="A173" i="45"/>
  <c r="A172" i="45"/>
  <c r="A171" i="45"/>
  <c r="A170" i="45"/>
  <c r="A169" i="45"/>
  <c r="A168" i="45"/>
  <c r="A165" i="45"/>
  <c r="A164" i="45"/>
  <c r="A161" i="45"/>
  <c r="A160" i="45"/>
  <c r="A159" i="45"/>
  <c r="A158" i="45"/>
  <c r="A155" i="45"/>
  <c r="A154" i="45"/>
  <c r="A153" i="45"/>
  <c r="A152" i="45"/>
  <c r="A151" i="45"/>
  <c r="A150" i="45"/>
  <c r="A149" i="45"/>
  <c r="A148" i="45"/>
  <c r="A147" i="45"/>
  <c r="A146" i="45"/>
  <c r="A145" i="45"/>
  <c r="A144" i="45"/>
  <c r="A143" i="45"/>
  <c r="A142" i="45"/>
  <c r="A141" i="45"/>
  <c r="A140" i="45"/>
  <c r="A137" i="45"/>
  <c r="A136" i="45"/>
  <c r="A135" i="45"/>
  <c r="A134" i="45"/>
  <c r="A133" i="45"/>
  <c r="A132" i="45"/>
  <c r="A131" i="45"/>
  <c r="A130" i="45"/>
  <c r="A129" i="45"/>
  <c r="A128" i="45"/>
  <c r="A127" i="45"/>
  <c r="A126" i="45"/>
  <c r="A125" i="45"/>
  <c r="A124" i="45"/>
  <c r="A123" i="45"/>
  <c r="A122" i="45"/>
  <c r="A121" i="45"/>
  <c r="A118" i="45"/>
  <c r="A117" i="45"/>
  <c r="A116" i="45"/>
  <c r="A115" i="45"/>
  <c r="A114" i="45"/>
  <c r="A111" i="45"/>
  <c r="A110" i="45"/>
  <c r="A109" i="45"/>
  <c r="A108" i="45"/>
  <c r="A107" i="45"/>
  <c r="A106" i="45"/>
  <c r="A105" i="45"/>
  <c r="A104" i="45"/>
  <c r="A101" i="45"/>
  <c r="A100" i="45"/>
  <c r="A99" i="45"/>
  <c r="A98" i="45"/>
  <c r="A89" i="45"/>
  <c r="A88" i="45"/>
  <c r="A87" i="45"/>
  <c r="A86" i="45"/>
  <c r="A85" i="45"/>
  <c r="A84" i="45"/>
  <c r="A83" i="45"/>
  <c r="A82" i="45"/>
  <c r="A81" i="45"/>
  <c r="A80" i="45"/>
  <c r="A79" i="45"/>
  <c r="A78" i="45"/>
  <c r="A75" i="45"/>
  <c r="A74" i="45"/>
  <c r="A73" i="45"/>
  <c r="A72" i="45"/>
  <c r="A71" i="45"/>
  <c r="A70" i="45"/>
  <c r="A69" i="45"/>
  <c r="A66" i="45"/>
  <c r="A65" i="45"/>
  <c r="A64" i="45"/>
  <c r="A63" i="45"/>
  <c r="A62" i="45"/>
  <c r="A61" i="45"/>
  <c r="A60" i="45"/>
  <c r="A59" i="45"/>
  <c r="A58" i="45"/>
  <c r="A57" i="45"/>
  <c r="A56" i="45"/>
  <c r="A53" i="45"/>
  <c r="A52" i="45"/>
  <c r="A51" i="45"/>
  <c r="A50" i="45"/>
  <c r="A49" i="45"/>
  <c r="A48" i="45"/>
  <c r="A47" i="45"/>
  <c r="A46" i="45"/>
  <c r="A45" i="45"/>
  <c r="A44" i="45"/>
  <c r="A43" i="45"/>
  <c r="A42" i="45"/>
  <c r="A41" i="45"/>
  <c r="A40" i="45"/>
  <c r="A39" i="45"/>
  <c r="A38" i="45"/>
  <c r="A37" i="45"/>
  <c r="A36" i="45"/>
  <c r="A35" i="45"/>
  <c r="A34" i="45"/>
  <c r="A33" i="45"/>
  <c r="A32" i="45"/>
  <c r="A31" i="45"/>
  <c r="A30" i="45"/>
  <c r="A29" i="45"/>
  <c r="A28" i="45"/>
  <c r="A27" i="45"/>
  <c r="A26" i="45"/>
  <c r="A25" i="45"/>
  <c r="A24" i="45"/>
  <c r="A23" i="45"/>
  <c r="A22" i="45"/>
  <c r="A21" i="45"/>
  <c r="A20" i="45"/>
  <c r="A19" i="45"/>
  <c r="A18" i="45"/>
  <c r="A17" i="45"/>
  <c r="A16" i="45"/>
  <c r="A15" i="45"/>
  <c r="A14" i="45"/>
  <c r="A13" i="45"/>
  <c r="A12" i="45"/>
  <c r="A11" i="45"/>
  <c r="A10" i="45"/>
  <c r="A9" i="45"/>
  <c r="A8" i="45"/>
  <c r="A7" i="45"/>
  <c r="A6" i="45"/>
  <c r="A5" i="45"/>
  <c r="A4" i="45"/>
  <c r="A3" i="45"/>
  <c r="H647" i="42"/>
  <c r="G647" i="42"/>
  <c r="I633" i="27"/>
  <c r="I634" i="27" s="1"/>
  <c r="I635" i="27" s="1"/>
  <c r="I636" i="27" s="1"/>
  <c r="I637" i="27" s="1"/>
  <c r="I638" i="27" s="1"/>
  <c r="I639" i="27" s="1"/>
  <c r="I640" i="27" s="1"/>
  <c r="I641" i="27" s="1"/>
  <c r="I642" i="27" s="1"/>
  <c r="I643" i="27" s="1"/>
  <c r="I644" i="27" s="1"/>
  <c r="I645" i="27" s="1"/>
  <c r="I646" i="27" s="1"/>
  <c r="I647" i="27" s="1"/>
  <c r="I648" i="27" s="1"/>
  <c r="I649" i="27" s="1"/>
  <c r="I650" i="27" s="1"/>
  <c r="I651" i="27" s="1"/>
  <c r="I652" i="27" s="1"/>
  <c r="I653" i="27" s="1"/>
  <c r="I654" i="27" s="1"/>
  <c r="I655" i="27" s="1"/>
  <c r="I656" i="27" s="1"/>
  <c r="I657" i="27" s="1"/>
  <c r="I658" i="27" s="1"/>
  <c r="I659" i="27" s="1"/>
  <c r="I660" i="27" s="1"/>
  <c r="I661" i="27" s="1"/>
  <c r="I662" i="27" s="1"/>
  <c r="I663" i="27" s="1"/>
  <c r="I664" i="27" s="1"/>
  <c r="I665" i="27" s="1"/>
  <c r="I666" i="27" s="1"/>
  <c r="I667" i="27" s="1"/>
  <c r="I668" i="27" s="1"/>
  <c r="I669" i="27" s="1"/>
  <c r="I670" i="27" s="1"/>
  <c r="I671" i="27" s="1"/>
  <c r="I672" i="27" s="1"/>
  <c r="I673" i="27" s="1"/>
  <c r="I674" i="27" s="1"/>
  <c r="I675" i="27" s="1"/>
  <c r="I676" i="27" s="1"/>
  <c r="I677" i="27" s="1"/>
  <c r="I678" i="27" s="1"/>
  <c r="I679" i="27" s="1"/>
  <c r="I680" i="27" s="1"/>
  <c r="I681" i="27" s="1"/>
  <c r="I682" i="27" s="1"/>
  <c r="I683" i="27" s="1"/>
  <c r="I684" i="27" s="1"/>
  <c r="I685" i="27" s="1"/>
  <c r="I686" i="27" s="1"/>
  <c r="I687" i="27" s="1"/>
  <c r="I688" i="27" s="1"/>
  <c r="I689" i="27" s="1"/>
  <c r="I690" i="27" s="1"/>
  <c r="I691" i="27" s="1"/>
  <c r="I692" i="27" s="1"/>
  <c r="I693" i="27" s="1"/>
  <c r="I694" i="27" s="1"/>
  <c r="I695" i="27" s="1"/>
  <c r="I696" i="27" s="1"/>
  <c r="I697" i="27" s="1"/>
  <c r="I698" i="27" s="1"/>
  <c r="I699" i="27" s="1"/>
  <c r="I700" i="27" s="1"/>
  <c r="I701" i="27" s="1"/>
  <c r="I702" i="27" s="1"/>
  <c r="I703" i="27" s="1"/>
  <c r="I704" i="27" s="1"/>
  <c r="I705" i="27" s="1"/>
  <c r="I706" i="27" s="1"/>
  <c r="I707" i="27" s="1"/>
  <c r="I708" i="27" s="1"/>
  <c r="I709" i="27" s="1"/>
  <c r="I710" i="27" s="1"/>
  <c r="I711" i="27" s="1"/>
  <c r="I712" i="27" s="1"/>
  <c r="I713" i="27" s="1"/>
  <c r="I714" i="27" s="1"/>
  <c r="I715" i="27" s="1"/>
  <c r="I716" i="27" s="1"/>
  <c r="I717" i="27" s="1"/>
  <c r="I718" i="27" s="1"/>
  <c r="I719" i="27" s="1"/>
  <c r="I720" i="27" s="1"/>
  <c r="I721" i="27" s="1"/>
  <c r="I722" i="27" s="1"/>
  <c r="I723" i="27" s="1"/>
  <c r="I724" i="27" s="1"/>
  <c r="I725" i="27" s="1"/>
  <c r="I726" i="27" s="1"/>
  <c r="I727" i="27" s="1"/>
  <c r="I728" i="27" s="1"/>
  <c r="I729" i="27" s="1"/>
  <c r="I730" i="27" s="1"/>
  <c r="I731" i="27" s="1"/>
  <c r="I732" i="27" s="1"/>
  <c r="I733" i="27" s="1"/>
  <c r="I734" i="27" s="1"/>
  <c r="I735" i="27" s="1"/>
  <c r="I736" i="27" s="1"/>
  <c r="I737" i="27" s="1"/>
  <c r="I738" i="27" s="1"/>
  <c r="I739" i="27" s="1"/>
  <c r="I740" i="27" s="1"/>
  <c r="I741" i="27" s="1"/>
  <c r="I742" i="27" s="1"/>
  <c r="I743" i="27" s="1"/>
  <c r="I744" i="27" s="1"/>
  <c r="I745" i="27" s="1"/>
  <c r="I746" i="27" s="1"/>
  <c r="I747" i="27" s="1"/>
  <c r="I748" i="27" s="1"/>
  <c r="I749" i="27" s="1"/>
  <c r="I750" i="27" s="1"/>
  <c r="I751" i="27" s="1"/>
  <c r="I752" i="27" s="1"/>
  <c r="I753" i="27" s="1"/>
  <c r="I754" i="27" s="1"/>
  <c r="I755" i="27" s="1"/>
  <c r="I756" i="27" s="1"/>
  <c r="I757" i="27" s="1"/>
  <c r="I758" i="27" s="1"/>
  <c r="I759" i="27" s="1"/>
  <c r="I760" i="27" s="1"/>
  <c r="I761" i="27" s="1"/>
  <c r="I762" i="27" s="1"/>
  <c r="I763" i="27" s="1"/>
  <c r="I764" i="27" s="1"/>
  <c r="I765" i="27" s="1"/>
  <c r="I766" i="27" s="1"/>
  <c r="I767" i="27" s="1"/>
  <c r="I768" i="27" s="1"/>
  <c r="I769" i="27" s="1"/>
  <c r="I770" i="27" s="1"/>
  <c r="I771" i="27" s="1"/>
  <c r="I772" i="27" s="1"/>
  <c r="I773" i="27" s="1"/>
  <c r="I774" i="27" s="1"/>
  <c r="I775" i="27" s="1"/>
  <c r="I776" i="27" s="1"/>
  <c r="I777" i="27" s="1"/>
  <c r="I778" i="27" s="1"/>
  <c r="I779" i="27" s="1"/>
  <c r="I780" i="27" s="1"/>
  <c r="I781" i="27" s="1"/>
  <c r="I782" i="27" s="1"/>
  <c r="I783" i="27" s="1"/>
  <c r="I784" i="27" s="1"/>
  <c r="I785" i="27" s="1"/>
  <c r="I786" i="27" s="1"/>
  <c r="I787" i="27" s="1"/>
  <c r="I788" i="27" s="1"/>
  <c r="I789" i="27" s="1"/>
  <c r="I790" i="27" s="1"/>
  <c r="I791" i="27" s="1"/>
  <c r="I792" i="27" s="1"/>
  <c r="I793" i="27" s="1"/>
  <c r="I794" i="27" s="1"/>
  <c r="I795" i="27" s="1"/>
  <c r="I796" i="27" s="1"/>
  <c r="I797" i="27" s="1"/>
  <c r="I798" i="27" s="1"/>
  <c r="I799" i="27" s="1"/>
  <c r="I800" i="27" s="1"/>
  <c r="I801" i="27" s="1"/>
  <c r="I802" i="27" s="1"/>
  <c r="I803" i="27" s="1"/>
  <c r="I804" i="27" s="1"/>
  <c r="I805" i="27" s="1"/>
  <c r="I806" i="27" s="1"/>
  <c r="I807" i="27" s="1"/>
  <c r="I808" i="27" s="1"/>
  <c r="I809" i="27" s="1"/>
  <c r="I810" i="27" s="1"/>
  <c r="I811" i="27" s="1"/>
  <c r="I812" i="27" s="1"/>
  <c r="I813" i="27" s="1"/>
  <c r="I814" i="27" s="1"/>
  <c r="I815" i="27" s="1"/>
  <c r="I816" i="27" s="1"/>
  <c r="I817" i="27" s="1"/>
  <c r="I818" i="27" s="1"/>
  <c r="I819" i="27" s="1"/>
  <c r="I820" i="27" s="1"/>
  <c r="I821" i="27" s="1"/>
  <c r="I822" i="27" s="1"/>
  <c r="I823" i="27" s="1"/>
  <c r="I824" i="27" s="1"/>
  <c r="I825" i="27" s="1"/>
  <c r="I826" i="27" s="1"/>
  <c r="I827" i="27" s="1"/>
  <c r="I828" i="27" s="1"/>
  <c r="I829" i="27" s="1"/>
  <c r="I830" i="27" s="1"/>
  <c r="I831" i="27" s="1"/>
  <c r="I832" i="27" s="1"/>
  <c r="I833" i="27" s="1"/>
  <c r="I834" i="27" s="1"/>
  <c r="I835" i="27" s="1"/>
  <c r="I836" i="27" s="1"/>
  <c r="I837" i="27" s="1"/>
  <c r="I838" i="27" s="1"/>
  <c r="I839" i="27" s="1"/>
  <c r="I840" i="27" s="1"/>
  <c r="I841" i="27" s="1"/>
  <c r="I842" i="27" s="1"/>
  <c r="I843" i="27" s="1"/>
  <c r="I844" i="27" s="1"/>
  <c r="I845" i="27" s="1"/>
  <c r="I846" i="27" s="1"/>
  <c r="I847" i="27" s="1"/>
  <c r="I848" i="27" s="1"/>
  <c r="I849" i="27" s="1"/>
  <c r="I850" i="27" s="1"/>
  <c r="I851" i="27" s="1"/>
  <c r="I852" i="27" s="1"/>
  <c r="I853" i="27" s="1"/>
  <c r="I854" i="27" s="1"/>
  <c r="I855" i="27" s="1"/>
  <c r="I856" i="27" s="1"/>
  <c r="I857" i="27" s="1"/>
  <c r="I858" i="27" s="1"/>
  <c r="I859" i="27" s="1"/>
  <c r="I860" i="27" s="1"/>
  <c r="I861" i="27" s="1"/>
  <c r="I862" i="27" s="1"/>
  <c r="I863" i="27" s="1"/>
  <c r="I864" i="27" s="1"/>
  <c r="I865" i="27" s="1"/>
  <c r="I866" i="27" s="1"/>
  <c r="I867" i="27" s="1"/>
  <c r="I868" i="27" s="1"/>
  <c r="I869" i="27" s="1"/>
  <c r="I870" i="27" s="1"/>
  <c r="I632" i="27"/>
  <c r="H78" i="44"/>
  <c r="H26" i="44"/>
  <c r="H16" i="44"/>
  <c r="I18" i="41"/>
  <c r="I19" i="41" s="1"/>
  <c r="I20" i="41" s="1"/>
  <c r="I21" i="41" s="1"/>
  <c r="I22" i="41" s="1"/>
  <c r="I23" i="41" s="1"/>
  <c r="I24" i="41" s="1"/>
  <c r="I25" i="41" s="1"/>
  <c r="I26" i="41" s="1"/>
  <c r="I27" i="41" s="1"/>
  <c r="I28" i="41" s="1"/>
  <c r="I29" i="41" s="1"/>
  <c r="I30" i="41" s="1"/>
  <c r="I31" i="41" s="1"/>
  <c r="I32" i="41" s="1"/>
  <c r="I33" i="41" s="1"/>
  <c r="I34" i="41" s="1"/>
  <c r="I35" i="41" s="1"/>
  <c r="I36" i="41" s="1"/>
  <c r="I37" i="41" s="1"/>
  <c r="I38" i="41" s="1"/>
  <c r="I39" i="41" s="1"/>
  <c r="I40" i="41" s="1"/>
  <c r="I41" i="41" s="1"/>
  <c r="I42" i="41" s="1"/>
  <c r="I43" i="41" s="1"/>
  <c r="I44" i="41" s="1"/>
  <c r="I45" i="41" s="1"/>
  <c r="I46" i="41" s="1"/>
  <c r="I47" i="41" s="1"/>
  <c r="I48" i="41" s="1"/>
  <c r="I49" i="41" s="1"/>
  <c r="I50" i="41" s="1"/>
  <c r="I51" i="41" s="1"/>
  <c r="I52" i="41" s="1"/>
  <c r="I53" i="41" s="1"/>
  <c r="I54" i="41" s="1"/>
  <c r="I55" i="41" s="1"/>
  <c r="I56" i="41" s="1"/>
  <c r="I57" i="41" s="1"/>
  <c r="I58" i="41" s="1"/>
  <c r="I59" i="41" s="1"/>
  <c r="I60" i="41" s="1"/>
  <c r="I61" i="41" s="1"/>
  <c r="I62" i="41" s="1"/>
  <c r="I63" i="41" s="1"/>
  <c r="I64" i="41" s="1"/>
  <c r="I65" i="41" s="1"/>
  <c r="I66" i="41" s="1"/>
  <c r="I67" i="41" s="1"/>
  <c r="I68" i="41" s="1"/>
  <c r="I69" i="41" s="1"/>
  <c r="I70" i="41" s="1"/>
  <c r="I71" i="41" s="1"/>
  <c r="I72" i="41" s="1"/>
  <c r="I73" i="41" s="1"/>
  <c r="I74" i="41" s="1"/>
  <c r="I75" i="41" s="1"/>
  <c r="I76" i="41" s="1"/>
  <c r="I77" i="41" s="1"/>
  <c r="I78" i="41" s="1"/>
  <c r="I79" i="41" s="1"/>
  <c r="I80" i="41" s="1"/>
  <c r="I81" i="41" s="1"/>
  <c r="I82" i="41" s="1"/>
  <c r="I83" i="41" s="1"/>
  <c r="I84" i="41" s="1"/>
  <c r="I85" i="41" s="1"/>
  <c r="I86" i="41" s="1"/>
  <c r="I87" i="41" s="1"/>
  <c r="I88" i="41" s="1"/>
  <c r="I89" i="41" s="1"/>
  <c r="I90" i="41" s="1"/>
  <c r="I91" i="41" s="1"/>
  <c r="I92" i="41" s="1"/>
  <c r="I93" i="41" s="1"/>
  <c r="I94" i="41" s="1"/>
  <c r="I95" i="41" s="1"/>
  <c r="I96" i="41" s="1"/>
  <c r="I97" i="41" s="1"/>
  <c r="I98" i="41" s="1"/>
  <c r="I99" i="41" s="1"/>
  <c r="I100" i="41" s="1"/>
  <c r="I101" i="41" s="1"/>
  <c r="I102" i="41" s="1"/>
  <c r="I103" i="41" s="1"/>
  <c r="I104" i="41" s="1"/>
  <c r="I105" i="41" s="1"/>
  <c r="I106" i="41" s="1"/>
  <c r="I107" i="41" s="1"/>
  <c r="I108" i="41" s="1"/>
  <c r="I109" i="41" s="1"/>
  <c r="I110" i="41" s="1"/>
  <c r="I111" i="41" s="1"/>
  <c r="I112" i="41" s="1"/>
  <c r="I113" i="41" s="1"/>
  <c r="I114" i="41" s="1"/>
  <c r="I115" i="41" s="1"/>
  <c r="I116" i="41" s="1"/>
  <c r="I117" i="41" s="1"/>
  <c r="I118" i="41" s="1"/>
  <c r="I119" i="41" s="1"/>
  <c r="I120" i="41" s="1"/>
  <c r="I121" i="41" s="1"/>
  <c r="I122" i="41" s="1"/>
  <c r="I123" i="41" s="1"/>
  <c r="I124" i="41" s="1"/>
  <c r="I125" i="41" s="1"/>
  <c r="I126" i="41" s="1"/>
  <c r="I127" i="41" s="1"/>
  <c r="I128" i="41" s="1"/>
  <c r="I129" i="41" s="1"/>
  <c r="I130" i="41" s="1"/>
  <c r="I131" i="41" s="1"/>
  <c r="I132" i="41" s="1"/>
  <c r="I133" i="41" s="1"/>
  <c r="I134" i="41" s="1"/>
  <c r="I135" i="41" s="1"/>
  <c r="I136" i="41" s="1"/>
  <c r="I137" i="41" s="1"/>
  <c r="I138" i="41" s="1"/>
  <c r="I139" i="41" s="1"/>
  <c r="I140" i="41" s="1"/>
  <c r="I141" i="41" s="1"/>
  <c r="I142" i="41" s="1"/>
  <c r="I143" i="41" s="1"/>
  <c r="I144" i="41" s="1"/>
  <c r="I145" i="41" s="1"/>
  <c r="I146" i="41" s="1"/>
  <c r="I147" i="41" s="1"/>
  <c r="I148" i="41" s="1"/>
  <c r="I149" i="41" s="1"/>
  <c r="I150" i="41" s="1"/>
  <c r="I151" i="41" s="1"/>
  <c r="I152" i="41" s="1"/>
  <c r="I153" i="41" s="1"/>
  <c r="I154" i="41" s="1"/>
  <c r="I155" i="41" s="1"/>
  <c r="I156" i="41" s="1"/>
  <c r="I157" i="41" s="1"/>
  <c r="I158" i="41" s="1"/>
  <c r="I159" i="41" s="1"/>
  <c r="I160" i="41" s="1"/>
  <c r="I161" i="41" s="1"/>
  <c r="I162" i="41" s="1"/>
  <c r="I163" i="41" s="1"/>
  <c r="I164" i="41" s="1"/>
  <c r="I165" i="41" s="1"/>
  <c r="I166" i="41" s="1"/>
  <c r="I167" i="41" s="1"/>
  <c r="I168" i="41" s="1"/>
  <c r="I169" i="41" s="1"/>
  <c r="I170" i="41" s="1"/>
  <c r="I171" i="41" s="1"/>
  <c r="I172" i="41" s="1"/>
  <c r="I173" i="41" s="1"/>
  <c r="I174" i="41" s="1"/>
  <c r="I175" i="41" s="1"/>
  <c r="I176" i="41" s="1"/>
  <c r="I177" i="41" s="1"/>
  <c r="I178" i="41" s="1"/>
  <c r="I179" i="41" s="1"/>
  <c r="I180" i="41" s="1"/>
  <c r="I181" i="41" s="1"/>
  <c r="I182" i="41" s="1"/>
  <c r="I183" i="41" s="1"/>
  <c r="I184" i="41" s="1"/>
  <c r="I185" i="41" s="1"/>
  <c r="I186" i="41" s="1"/>
  <c r="I187" i="41" s="1"/>
  <c r="I188" i="41" s="1"/>
  <c r="I189" i="41" s="1"/>
  <c r="I190" i="41" s="1"/>
  <c r="I191" i="41" s="1"/>
  <c r="I192" i="41" s="1"/>
  <c r="I193" i="41" s="1"/>
  <c r="I194" i="41" s="1"/>
  <c r="I195" i="41" s="1"/>
  <c r="I196" i="41" s="1"/>
  <c r="I197" i="41" s="1"/>
  <c r="I198" i="41" s="1"/>
  <c r="I199" i="41" s="1"/>
  <c r="I200" i="41" s="1"/>
  <c r="I201" i="41" s="1"/>
  <c r="I202" i="41" s="1"/>
  <c r="I203" i="41" s="1"/>
  <c r="I204" i="41" s="1"/>
  <c r="I205" i="41" s="1"/>
  <c r="I206" i="41" s="1"/>
  <c r="I207" i="41" s="1"/>
  <c r="I208" i="41" s="1"/>
  <c r="I209" i="41" s="1"/>
  <c r="I210" i="41" s="1"/>
  <c r="I211" i="41" s="1"/>
  <c r="I212" i="41" s="1"/>
  <c r="I213" i="41" s="1"/>
  <c r="I214" i="41" s="1"/>
  <c r="I215" i="41" s="1"/>
  <c r="I216" i="41" s="1"/>
  <c r="I217" i="41" s="1"/>
  <c r="I218" i="41" s="1"/>
  <c r="I219" i="41" s="1"/>
  <c r="I220" i="41" s="1"/>
  <c r="I221" i="41" s="1"/>
  <c r="I222" i="41" s="1"/>
  <c r="I223" i="41" s="1"/>
  <c r="I224" i="41" s="1"/>
  <c r="I225" i="41" s="1"/>
  <c r="I226" i="41" s="1"/>
  <c r="I227" i="41" s="1"/>
  <c r="I228" i="41" s="1"/>
  <c r="I229" i="41" s="1"/>
  <c r="I230" i="41" s="1"/>
  <c r="I231" i="41" s="1"/>
  <c r="I232" i="41" s="1"/>
  <c r="I233" i="41" s="1"/>
  <c r="I234" i="41" s="1"/>
  <c r="I235" i="41" s="1"/>
  <c r="I236" i="41" s="1"/>
  <c r="I237" i="41" s="1"/>
  <c r="I238" i="41" s="1"/>
  <c r="I239" i="41" s="1"/>
  <c r="I240" i="41" s="1"/>
  <c r="I241" i="41" s="1"/>
  <c r="I242" i="41" s="1"/>
  <c r="I243" i="41" s="1"/>
  <c r="I244" i="41" s="1"/>
  <c r="I245" i="41" s="1"/>
  <c r="I246" i="41" s="1"/>
  <c r="I247" i="41" s="1"/>
  <c r="I248" i="41" s="1"/>
  <c r="I249" i="41" s="1"/>
  <c r="I250" i="41" s="1"/>
  <c r="I251" i="41" s="1"/>
  <c r="I252" i="41" s="1"/>
  <c r="I253" i="41" s="1"/>
  <c r="I254" i="41" s="1"/>
  <c r="I255" i="41" s="1"/>
  <c r="I256" i="41" s="1"/>
  <c r="I257" i="41" s="1"/>
  <c r="I258" i="41" s="1"/>
  <c r="I259" i="41" s="1"/>
  <c r="I260" i="41" s="1"/>
  <c r="I261" i="41" s="1"/>
  <c r="I262" i="41" s="1"/>
  <c r="I263" i="41" s="1"/>
  <c r="I264" i="41" s="1"/>
  <c r="I265" i="41" s="1"/>
  <c r="I266" i="41" s="1"/>
  <c r="I267" i="41" s="1"/>
  <c r="I268" i="41" s="1"/>
  <c r="I269" i="41" s="1"/>
  <c r="I270" i="41" s="1"/>
  <c r="I271" i="41" s="1"/>
  <c r="I272" i="41" s="1"/>
  <c r="I273" i="41" s="1"/>
  <c r="I274" i="41" s="1"/>
  <c r="I275" i="41" s="1"/>
  <c r="I276" i="41" s="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I296" i="41" s="1"/>
  <c r="I297" i="41" s="1"/>
  <c r="I298" i="41" s="1"/>
  <c r="I299" i="41" s="1"/>
  <c r="I300" i="41" s="1"/>
  <c r="I301" i="41" s="1"/>
  <c r="I302" i="41" s="1"/>
  <c r="I303" i="41" s="1"/>
  <c r="I304" i="41" s="1"/>
  <c r="I305" i="41" s="1"/>
  <c r="I306" i="41" s="1"/>
  <c r="I307" i="41" s="1"/>
  <c r="I308" i="41" s="1"/>
  <c r="I309" i="41" s="1"/>
  <c r="I310" i="41" s="1"/>
  <c r="I311" i="41" s="1"/>
  <c r="I312" i="41" s="1"/>
  <c r="I313" i="41" s="1"/>
  <c r="I314" i="41" s="1"/>
  <c r="I315" i="41" s="1"/>
  <c r="I316" i="41" s="1"/>
  <c r="I317" i="41" s="1"/>
  <c r="I318" i="41" s="1"/>
  <c r="I319" i="41" s="1"/>
  <c r="I320" i="41" s="1"/>
  <c r="I321" i="41" s="1"/>
  <c r="I322" i="41" s="1"/>
  <c r="I323" i="41" s="1"/>
  <c r="I324" i="41" s="1"/>
  <c r="I325" i="41" s="1"/>
  <c r="I326" i="41" s="1"/>
  <c r="I327" i="41" s="1"/>
  <c r="I328" i="41" s="1"/>
  <c r="I329" i="41" s="1"/>
  <c r="I330" i="41" s="1"/>
  <c r="I331" i="41" s="1"/>
  <c r="I332" i="41" s="1"/>
  <c r="I333" i="41" s="1"/>
  <c r="I334" i="41" s="1"/>
  <c r="I335" i="41" s="1"/>
  <c r="I336" i="41" s="1"/>
  <c r="I337" i="41" s="1"/>
  <c r="I338" i="41" s="1"/>
  <c r="I339" i="41" s="1"/>
  <c r="I340" i="41" s="1"/>
  <c r="I341" i="41" s="1"/>
  <c r="I342" i="41" s="1"/>
  <c r="I343" i="41" s="1"/>
  <c r="I344" i="41" s="1"/>
  <c r="I345" i="41" s="1"/>
  <c r="I346" i="41" s="1"/>
  <c r="I347" i="41" s="1"/>
  <c r="I348" i="41" s="1"/>
  <c r="I349" i="41" s="1"/>
  <c r="I350" i="41" s="1"/>
  <c r="I351" i="41" s="1"/>
  <c r="I352" i="41" s="1"/>
  <c r="I353" i="41" s="1"/>
  <c r="I354" i="41" s="1"/>
  <c r="I355" i="41" s="1"/>
  <c r="I356" i="41" s="1"/>
  <c r="I357" i="41" s="1"/>
  <c r="I358" i="41" s="1"/>
  <c r="I359" i="41" s="1"/>
  <c r="I360" i="41" s="1"/>
  <c r="I361" i="41" s="1"/>
  <c r="I362" i="41" s="1"/>
  <c r="I363" i="41" s="1"/>
  <c r="I364" i="41" s="1"/>
  <c r="I365" i="41" s="1"/>
  <c r="I366" i="41" s="1"/>
  <c r="I367" i="41" s="1"/>
  <c r="I368" i="41" s="1"/>
  <c r="I369" i="41" s="1"/>
  <c r="I370" i="41" s="1"/>
  <c r="I371" i="41" s="1"/>
  <c r="I372" i="41" s="1"/>
  <c r="I373" i="41" s="1"/>
  <c r="I374" i="41" s="1"/>
  <c r="I375" i="41" s="1"/>
  <c r="I376" i="41" s="1"/>
  <c r="I377" i="41" s="1"/>
  <c r="I378" i="41" s="1"/>
  <c r="I379" i="41" s="1"/>
  <c r="I380" i="41" s="1"/>
  <c r="I381" i="41" s="1"/>
  <c r="I382" i="41" s="1"/>
  <c r="I383" i="41" s="1"/>
  <c r="I384" i="41" s="1"/>
  <c r="I385" i="41" s="1"/>
  <c r="I386" i="41" s="1"/>
  <c r="I387" i="41" s="1"/>
  <c r="I388" i="41" s="1"/>
  <c r="I389" i="41" s="1"/>
  <c r="I390" i="41" s="1"/>
  <c r="I391" i="41" s="1"/>
  <c r="I392" i="41" s="1"/>
  <c r="I393" i="41" s="1"/>
  <c r="I394" i="41" s="1"/>
  <c r="I395" i="41" s="1"/>
  <c r="I396" i="41" s="1"/>
  <c r="I397" i="41" s="1"/>
  <c r="I398" i="41" s="1"/>
  <c r="I399" i="41" s="1"/>
  <c r="I400" i="41" s="1"/>
  <c r="I401" i="41" s="1"/>
  <c r="I402" i="41" s="1"/>
  <c r="I403" i="41" s="1"/>
  <c r="I404" i="41" s="1"/>
  <c r="I405" i="41" s="1"/>
  <c r="I406" i="41" s="1"/>
  <c r="I407" i="41" s="1"/>
  <c r="I408" i="41" s="1"/>
  <c r="I409" i="41" s="1"/>
  <c r="I410" i="41" s="1"/>
  <c r="I411" i="41" s="1"/>
  <c r="I412" i="41" s="1"/>
  <c r="I413" i="41" s="1"/>
  <c r="I414" i="41" s="1"/>
  <c r="I415" i="41" s="1"/>
  <c r="I416" i="41" s="1"/>
  <c r="I417" i="41" s="1"/>
  <c r="I418" i="41" s="1"/>
  <c r="I419" i="41" s="1"/>
  <c r="I420" i="41" s="1"/>
  <c r="I421" i="41" s="1"/>
  <c r="I422" i="41" s="1"/>
  <c r="I423" i="41" s="1"/>
  <c r="I424" i="41" s="1"/>
  <c r="I425" i="41" s="1"/>
  <c r="I426" i="41" s="1"/>
  <c r="I427" i="41" s="1"/>
  <c r="I428" i="41" s="1"/>
  <c r="I429" i="41" s="1"/>
  <c r="I430" i="41" s="1"/>
  <c r="I431" i="41" s="1"/>
  <c r="I432" i="41" s="1"/>
  <c r="I433" i="41" s="1"/>
  <c r="I434" i="41" s="1"/>
  <c r="I435" i="41" s="1"/>
  <c r="I436" i="41" s="1"/>
  <c r="I437" i="41" s="1"/>
  <c r="I438" i="41" s="1"/>
  <c r="I439" i="41" s="1"/>
  <c r="I440" i="41" s="1"/>
  <c r="I441" i="41" s="1"/>
  <c r="I442" i="41" s="1"/>
  <c r="I443" i="41" s="1"/>
  <c r="I444" i="41" s="1"/>
  <c r="I445" i="41" s="1"/>
  <c r="I446" i="41" s="1"/>
  <c r="I447" i="41" s="1"/>
  <c r="I448" i="41" s="1"/>
  <c r="I449" i="41" s="1"/>
  <c r="I450" i="41" s="1"/>
  <c r="I451" i="41" s="1"/>
  <c r="I452" i="41" s="1"/>
  <c r="I453" i="41" s="1"/>
  <c r="I454" i="41" s="1"/>
  <c r="I455" i="41" s="1"/>
  <c r="I456" i="41" s="1"/>
  <c r="I457" i="41" s="1"/>
  <c r="I458" i="41" s="1"/>
  <c r="I459" i="41" s="1"/>
  <c r="I460" i="41" s="1"/>
  <c r="I461" i="41" s="1"/>
  <c r="I462" i="41" s="1"/>
  <c r="I463" i="41" s="1"/>
  <c r="I464" i="41" s="1"/>
  <c r="I465" i="41" s="1"/>
  <c r="I466" i="41" s="1"/>
  <c r="I467" i="41" s="1"/>
  <c r="I468" i="41" s="1"/>
  <c r="I469" i="41" s="1"/>
  <c r="I470" i="41" s="1"/>
  <c r="I471" i="41" s="1"/>
  <c r="I472" i="41" s="1"/>
  <c r="I473" i="41" s="1"/>
  <c r="I474" i="41" s="1"/>
  <c r="I475" i="41" s="1"/>
  <c r="I476" i="41" s="1"/>
  <c r="I477" i="41" s="1"/>
  <c r="I478" i="41" s="1"/>
  <c r="I479" i="41" s="1"/>
  <c r="I480" i="41" s="1"/>
  <c r="I481" i="41" s="1"/>
  <c r="I482" i="41" s="1"/>
  <c r="I483" i="41" s="1"/>
  <c r="I484" i="41" s="1"/>
  <c r="I485" i="41" s="1"/>
  <c r="I486" i="41" s="1"/>
  <c r="I487" i="41" s="1"/>
  <c r="I488" i="41" s="1"/>
  <c r="I489" i="41" s="1"/>
  <c r="I490" i="41" s="1"/>
  <c r="I491" i="41" s="1"/>
  <c r="I492" i="41" s="1"/>
  <c r="I493" i="41" s="1"/>
  <c r="I494" i="41" s="1"/>
  <c r="I495" i="41" s="1"/>
  <c r="I496" i="41" s="1"/>
  <c r="I497" i="41" s="1"/>
  <c r="I498" i="41" s="1"/>
  <c r="I499" i="41" s="1"/>
  <c r="I500" i="41" s="1"/>
  <c r="I501" i="41" s="1"/>
  <c r="I502" i="41" s="1"/>
  <c r="I503" i="41" s="1"/>
  <c r="I504" i="41" s="1"/>
  <c r="I505" i="41" s="1"/>
  <c r="I506" i="41" s="1"/>
  <c r="I507" i="41" s="1"/>
  <c r="I508" i="41" s="1"/>
  <c r="I509" i="41" s="1"/>
  <c r="I510" i="41" s="1"/>
  <c r="I511" i="41" s="1"/>
  <c r="I512" i="41" s="1"/>
  <c r="I513" i="41" s="1"/>
  <c r="I514" i="41" s="1"/>
  <c r="I515" i="41" s="1"/>
  <c r="I516" i="41" s="1"/>
  <c r="I517" i="41" s="1"/>
  <c r="I518" i="41" s="1"/>
  <c r="I519" i="41" s="1"/>
  <c r="I520" i="41" s="1"/>
  <c r="I521" i="41" s="1"/>
  <c r="I522" i="41" s="1"/>
  <c r="I523" i="41" s="1"/>
  <c r="I524" i="41" s="1"/>
  <c r="I525" i="41" s="1"/>
  <c r="I526" i="41" s="1"/>
  <c r="I527" i="41" s="1"/>
  <c r="I528" i="41" s="1"/>
  <c r="I529" i="41" s="1"/>
  <c r="I530" i="41" s="1"/>
  <c r="I531" i="41" s="1"/>
  <c r="I532" i="41" s="1"/>
  <c r="I533" i="41" s="1"/>
  <c r="I534" i="41" s="1"/>
  <c r="I535" i="41" s="1"/>
  <c r="I536" i="41" s="1"/>
  <c r="I537" i="41" s="1"/>
  <c r="I538" i="41" s="1"/>
  <c r="I539" i="41" s="1"/>
  <c r="I540" i="41" s="1"/>
  <c r="I541" i="41" s="1"/>
  <c r="I542" i="41" s="1"/>
  <c r="I543" i="41" s="1"/>
  <c r="I544" i="41" s="1"/>
  <c r="I545" i="41" s="1"/>
  <c r="I546" i="41" s="1"/>
  <c r="I547" i="41" s="1"/>
  <c r="I548" i="41" s="1"/>
  <c r="I549" i="41" s="1"/>
  <c r="I550" i="41" s="1"/>
  <c r="I551" i="41" s="1"/>
  <c r="I552" i="41" s="1"/>
  <c r="I553" i="41" s="1"/>
  <c r="I554" i="41" s="1"/>
  <c r="I555" i="41" s="1"/>
  <c r="I556" i="41" s="1"/>
  <c r="I557" i="41" s="1"/>
  <c r="I558" i="41" s="1"/>
  <c r="I559" i="41" s="1"/>
  <c r="I560" i="41" s="1"/>
  <c r="I561" i="41" s="1"/>
  <c r="I562" i="41" s="1"/>
  <c r="I563" i="41" s="1"/>
  <c r="I564" i="41" s="1"/>
  <c r="I565" i="41" s="1"/>
  <c r="I566" i="41" s="1"/>
  <c r="I567" i="41" s="1"/>
  <c r="I568" i="41" s="1"/>
  <c r="I569" i="41" s="1"/>
  <c r="I570" i="41" s="1"/>
  <c r="I571" i="41" s="1"/>
  <c r="I572" i="41" s="1"/>
  <c r="I573" i="41" s="1"/>
  <c r="I574" i="41" s="1"/>
  <c r="I575" i="41" s="1"/>
  <c r="I576" i="41" s="1"/>
  <c r="I577" i="41" s="1"/>
  <c r="I578" i="41" s="1"/>
  <c r="I579" i="41" s="1"/>
  <c r="I580" i="41" s="1"/>
  <c r="I581" i="41" s="1"/>
  <c r="I582" i="41" s="1"/>
  <c r="I583" i="41" s="1"/>
  <c r="I584" i="41" s="1"/>
  <c r="I585" i="41" s="1"/>
  <c r="I586" i="41" s="1"/>
  <c r="I587" i="41" s="1"/>
  <c r="I588" i="41" s="1"/>
  <c r="I589" i="41" s="1"/>
  <c r="I590" i="41" s="1"/>
  <c r="I591" i="41" s="1"/>
  <c r="I592" i="41" s="1"/>
  <c r="I593" i="41" s="1"/>
  <c r="I594" i="41" s="1"/>
  <c r="I595" i="41" s="1"/>
  <c r="I596" i="41" s="1"/>
  <c r="I597" i="41" s="1"/>
  <c r="I598" i="41" s="1"/>
  <c r="I599" i="41" s="1"/>
  <c r="I600" i="41" s="1"/>
  <c r="I601" i="41" s="1"/>
  <c r="I602" i="41" s="1"/>
  <c r="I603" i="41" s="1"/>
  <c r="I604" i="41" s="1"/>
  <c r="I605" i="41" s="1"/>
  <c r="I606" i="41" s="1"/>
  <c r="I607" i="41" s="1"/>
  <c r="H116" i="40"/>
  <c r="H26" i="40"/>
  <c r="H21" i="40"/>
  <c r="H16" i="40"/>
  <c r="I18" i="39"/>
  <c r="I19" i="39" s="1"/>
  <c r="I20" i="39" s="1"/>
  <c r="I21" i="39" s="1"/>
  <c r="I22" i="39" s="1"/>
  <c r="I23" i="39" s="1"/>
  <c r="I24" i="39" s="1"/>
  <c r="I25" i="39" s="1"/>
  <c r="I26" i="39" s="1"/>
  <c r="I27" i="39" s="1"/>
  <c r="I28" i="39" s="1"/>
  <c r="I29" i="39" s="1"/>
  <c r="I30" i="39" s="1"/>
  <c r="I31" i="39" s="1"/>
  <c r="I32" i="39" s="1"/>
  <c r="I33" i="39" s="1"/>
  <c r="I34" i="39" s="1"/>
  <c r="I35" i="39" s="1"/>
  <c r="I36" i="39" s="1"/>
  <c r="I37" i="39" s="1"/>
  <c r="I38" i="39" s="1"/>
  <c r="I39" i="39" s="1"/>
  <c r="I40" i="39" s="1"/>
  <c r="I41" i="39" s="1"/>
  <c r="I42" i="39" s="1"/>
  <c r="I43" i="39" s="1"/>
  <c r="I44" i="39" s="1"/>
  <c r="I45" i="39" s="1"/>
  <c r="I46" i="39" s="1"/>
  <c r="I47" i="39" s="1"/>
  <c r="I48" i="39" s="1"/>
  <c r="I49" i="39" s="1"/>
  <c r="I50" i="39" s="1"/>
  <c r="I51" i="39" s="1"/>
  <c r="I52" i="39" s="1"/>
  <c r="I53" i="39" s="1"/>
  <c r="I54" i="39" s="1"/>
  <c r="I55" i="39" s="1"/>
  <c r="I56" i="39" s="1"/>
  <c r="I57" i="39" s="1"/>
  <c r="I58" i="39" s="1"/>
  <c r="I59" i="39" s="1"/>
  <c r="I60" i="39" s="1"/>
  <c r="I61" i="39" s="1"/>
  <c r="I62" i="39" s="1"/>
  <c r="I63" i="39" s="1"/>
  <c r="I64" i="39" s="1"/>
  <c r="I65" i="39" s="1"/>
  <c r="I66" i="39" s="1"/>
  <c r="I67" i="39" s="1"/>
  <c r="I68" i="39" s="1"/>
  <c r="I69" i="39" s="1"/>
  <c r="I70" i="39" s="1"/>
  <c r="I71" i="39" s="1"/>
  <c r="I72" i="39" s="1"/>
  <c r="I73" i="39" s="1"/>
  <c r="I74" i="39" s="1"/>
  <c r="I75" i="39" s="1"/>
  <c r="I76" i="39" s="1"/>
  <c r="I77" i="39" s="1"/>
  <c r="I78" i="39" s="1"/>
  <c r="I79" i="39" s="1"/>
  <c r="I80" i="39" s="1"/>
  <c r="I81" i="39" s="1"/>
  <c r="I82" i="39" s="1"/>
  <c r="I83" i="39" s="1"/>
  <c r="I84" i="39" s="1"/>
  <c r="I85" i="39" s="1"/>
  <c r="I86" i="39" s="1"/>
  <c r="I87" i="39" s="1"/>
  <c r="I88" i="39" s="1"/>
  <c r="I89" i="39" s="1"/>
  <c r="I90" i="39" s="1"/>
  <c r="I91" i="39" s="1"/>
  <c r="I92" i="39" s="1"/>
  <c r="I93" i="39" s="1"/>
  <c r="I94" i="39" s="1"/>
  <c r="I95" i="39" s="1"/>
  <c r="I96" i="39" s="1"/>
  <c r="I97" i="39" s="1"/>
  <c r="I98" i="39" s="1"/>
  <c r="I99" i="39" s="1"/>
  <c r="I100" i="39" s="1"/>
  <c r="I101" i="39" s="1"/>
  <c r="I102" i="39" s="1"/>
  <c r="I103" i="39" s="1"/>
  <c r="I104" i="39" s="1"/>
  <c r="I105" i="39" s="1"/>
  <c r="I106" i="39" s="1"/>
  <c r="I107" i="39" s="1"/>
  <c r="I108" i="39" s="1"/>
  <c r="I109" i="39" s="1"/>
  <c r="I110" i="39" s="1"/>
  <c r="I111" i="39" s="1"/>
  <c r="I112" i="39" s="1"/>
  <c r="I113" i="39" s="1"/>
  <c r="I114" i="39" s="1"/>
  <c r="I115" i="39" s="1"/>
  <c r="I116" i="39" s="1"/>
  <c r="I117" i="39" s="1"/>
  <c r="I118" i="39" s="1"/>
  <c r="I119" i="39" s="1"/>
  <c r="I120" i="39" s="1"/>
  <c r="I121" i="39" s="1"/>
  <c r="I122" i="39" s="1"/>
  <c r="I123" i="39" s="1"/>
  <c r="I124" i="39" s="1"/>
  <c r="I125" i="39" s="1"/>
  <c r="I126" i="39" s="1"/>
  <c r="I127" i="39" s="1"/>
  <c r="I128" i="39" s="1"/>
  <c r="I129" i="39" s="1"/>
  <c r="I130" i="39" s="1"/>
  <c r="I131" i="39" s="1"/>
  <c r="I132" i="39" s="1"/>
  <c r="I133" i="39" s="1"/>
  <c r="I134" i="39" s="1"/>
  <c r="I135" i="39" s="1"/>
  <c r="I136" i="39" s="1"/>
  <c r="I137" i="39" s="1"/>
  <c r="I138" i="39" s="1"/>
  <c r="I139" i="39" s="1"/>
  <c r="I140" i="39" s="1"/>
  <c r="I141" i="39" s="1"/>
  <c r="I142" i="39" s="1"/>
  <c r="I143" i="39" s="1"/>
  <c r="I144" i="39" s="1"/>
  <c r="I145" i="39" s="1"/>
  <c r="I146" i="39" s="1"/>
  <c r="I147" i="39" s="1"/>
  <c r="I148" i="39" s="1"/>
  <c r="I149" i="39" s="1"/>
  <c r="I150" i="39" s="1"/>
  <c r="I151" i="39" s="1"/>
  <c r="I152" i="39" s="1"/>
  <c r="I153" i="39" s="1"/>
  <c r="I154" i="39" s="1"/>
  <c r="I155" i="39" s="1"/>
  <c r="I156" i="39" s="1"/>
  <c r="I157" i="39" s="1"/>
  <c r="I158" i="39" s="1"/>
  <c r="I159" i="39" s="1"/>
  <c r="I160" i="39" s="1"/>
  <c r="I161" i="39" s="1"/>
  <c r="I162" i="39" s="1"/>
  <c r="I163" i="39" s="1"/>
  <c r="I164" i="39" s="1"/>
  <c r="I165" i="39" s="1"/>
  <c r="I166" i="39" s="1"/>
  <c r="I167" i="39" s="1"/>
  <c r="I168" i="39" s="1"/>
  <c r="I169" i="39" s="1"/>
  <c r="I170" i="39" s="1"/>
  <c r="I171" i="39" s="1"/>
  <c r="I172" i="39" s="1"/>
  <c r="I173" i="39" s="1"/>
  <c r="I174" i="39" s="1"/>
  <c r="I175" i="39" s="1"/>
  <c r="I176" i="39" s="1"/>
  <c r="I177" i="39" s="1"/>
  <c r="I178" i="39" s="1"/>
  <c r="I179" i="39" s="1"/>
  <c r="I180" i="39" s="1"/>
  <c r="I181" i="39" s="1"/>
  <c r="I182" i="39" s="1"/>
  <c r="I183" i="39" s="1"/>
  <c r="I184" i="39" s="1"/>
  <c r="I185" i="39" s="1"/>
  <c r="I186" i="39" s="1"/>
  <c r="I187" i="39" s="1"/>
  <c r="I188" i="39" s="1"/>
  <c r="I189" i="39" s="1"/>
  <c r="I190" i="39" s="1"/>
  <c r="I191" i="39" s="1"/>
  <c r="I192" i="39" s="1"/>
  <c r="I193" i="39" s="1"/>
  <c r="I194" i="39" s="1"/>
  <c r="I195" i="39" s="1"/>
  <c r="I196" i="39" s="1"/>
  <c r="I197" i="39" s="1"/>
  <c r="I198" i="39" s="1"/>
  <c r="I199" i="39" s="1"/>
  <c r="I200" i="39" s="1"/>
  <c r="I201" i="39" s="1"/>
  <c r="I202" i="39" s="1"/>
  <c r="I203" i="39" s="1"/>
  <c r="I204" i="39" s="1"/>
  <c r="I205" i="39" s="1"/>
  <c r="I206" i="39" s="1"/>
  <c r="I207" i="39" s="1"/>
  <c r="I208" i="39" s="1"/>
  <c r="I209" i="39" s="1"/>
  <c r="I210" i="39" s="1"/>
  <c r="I211" i="39" s="1"/>
  <c r="I212" i="39" s="1"/>
  <c r="I213" i="39" s="1"/>
  <c r="I214" i="39" s="1"/>
  <c r="I215" i="39" s="1"/>
  <c r="I216" i="39" s="1"/>
  <c r="I217" i="39" s="1"/>
  <c r="I218" i="39" s="1"/>
  <c r="I219" i="39" s="1"/>
  <c r="I220" i="39" s="1"/>
  <c r="I221" i="39" s="1"/>
  <c r="I222" i="39" s="1"/>
  <c r="I223" i="39" s="1"/>
  <c r="I224" i="39" s="1"/>
  <c r="I225" i="39" s="1"/>
  <c r="I226" i="39" s="1"/>
  <c r="I227" i="39" s="1"/>
  <c r="I228" i="39" s="1"/>
  <c r="I229" i="39" s="1"/>
  <c r="I230" i="39" s="1"/>
  <c r="I231" i="39" s="1"/>
  <c r="I232" i="39" s="1"/>
  <c r="I233" i="39" s="1"/>
  <c r="I234" i="39" s="1"/>
  <c r="I235" i="39" s="1"/>
  <c r="I236" i="39" s="1"/>
  <c r="I237" i="39" s="1"/>
  <c r="I238" i="39" s="1"/>
  <c r="I239" i="39" s="1"/>
  <c r="I240" i="39" s="1"/>
  <c r="I241" i="39" s="1"/>
  <c r="I242" i="39" s="1"/>
  <c r="I243" i="39" s="1"/>
  <c r="I244" i="39" s="1"/>
  <c r="I245" i="39" s="1"/>
  <c r="I246" i="39" s="1"/>
  <c r="I247" i="39" s="1"/>
  <c r="I248" i="39" s="1"/>
  <c r="I249" i="39" s="1"/>
  <c r="I250" i="39" s="1"/>
  <c r="I251" i="39" s="1"/>
  <c r="I252" i="39" s="1"/>
  <c r="I253" i="39" s="1"/>
  <c r="I254" i="39" s="1"/>
  <c r="I255" i="39" s="1"/>
  <c r="I256" i="39" s="1"/>
  <c r="I257" i="39" s="1"/>
  <c r="I258" i="39" s="1"/>
  <c r="I259" i="39" s="1"/>
  <c r="I260" i="39" s="1"/>
  <c r="I261" i="39" s="1"/>
  <c r="I262" i="39" s="1"/>
  <c r="I263" i="39" s="1"/>
  <c r="I264" i="39" s="1"/>
  <c r="I265" i="39" s="1"/>
  <c r="I266" i="39" s="1"/>
  <c r="I267" i="39" s="1"/>
  <c r="I268" i="39" s="1"/>
  <c r="I269" i="39" s="1"/>
  <c r="I270" i="39" s="1"/>
  <c r="I271" i="39" s="1"/>
  <c r="I272" i="39" s="1"/>
  <c r="I273" i="39" s="1"/>
  <c r="I274" i="39" s="1"/>
  <c r="I275" i="39" s="1"/>
  <c r="I276" i="39" s="1"/>
  <c r="I277" i="39" s="1"/>
  <c r="I278" i="39" s="1"/>
  <c r="I279" i="39" s="1"/>
  <c r="I280" i="39" s="1"/>
  <c r="I281" i="39" s="1"/>
  <c r="I282" i="39" s="1"/>
  <c r="I283" i="39" s="1"/>
  <c r="I284" i="39" s="1"/>
  <c r="I285" i="39" s="1"/>
  <c r="I286" i="39" s="1"/>
  <c r="I287" i="39" s="1"/>
  <c r="I288" i="39" s="1"/>
  <c r="I289" i="39" s="1"/>
  <c r="I290" i="39" s="1"/>
  <c r="I291" i="39" s="1"/>
  <c r="I292" i="39" s="1"/>
  <c r="I293" i="39" s="1"/>
  <c r="I294" i="39" s="1"/>
  <c r="I295" i="39" s="1"/>
  <c r="I296" i="39" s="1"/>
  <c r="I297" i="39" s="1"/>
  <c r="I298" i="39" s="1"/>
  <c r="I299" i="39" s="1"/>
  <c r="I300" i="39" s="1"/>
  <c r="I301" i="39" s="1"/>
  <c r="I302" i="39" s="1"/>
  <c r="I303" i="39" s="1"/>
  <c r="I304" i="39" s="1"/>
  <c r="I305" i="39" s="1"/>
  <c r="I306" i="39" s="1"/>
  <c r="I307" i="39" s="1"/>
  <c r="I308" i="39" s="1"/>
  <c r="I309" i="39" s="1"/>
  <c r="I310" i="39" s="1"/>
  <c r="I311" i="39" s="1"/>
  <c r="I312" i="39" s="1"/>
  <c r="I313" i="39" s="1"/>
  <c r="I314" i="39" s="1"/>
  <c r="I315" i="39" s="1"/>
  <c r="I316" i="39" s="1"/>
  <c r="I317" i="39" s="1"/>
  <c r="I318" i="39" s="1"/>
  <c r="I319" i="39" s="1"/>
  <c r="I320" i="39" s="1"/>
  <c r="I321" i="39" s="1"/>
  <c r="I322" i="39" s="1"/>
  <c r="I323" i="39" s="1"/>
  <c r="I324" i="39" s="1"/>
  <c r="I325" i="39" s="1"/>
  <c r="I326" i="39" s="1"/>
  <c r="I327" i="39" s="1"/>
  <c r="I328" i="39" s="1"/>
  <c r="I329" i="39" s="1"/>
  <c r="I330" i="39" s="1"/>
  <c r="I331" i="39" s="1"/>
  <c r="I332" i="39" s="1"/>
  <c r="I333" i="39" s="1"/>
  <c r="I334" i="39" s="1"/>
  <c r="I335" i="39" s="1"/>
  <c r="I336" i="39" s="1"/>
  <c r="I337" i="39" s="1"/>
  <c r="I338" i="39" s="1"/>
  <c r="I339" i="39" s="1"/>
  <c r="I340" i="39" s="1"/>
  <c r="I341" i="39" s="1"/>
  <c r="I342" i="39" s="1"/>
  <c r="I343" i="39" s="1"/>
  <c r="I344" i="39" s="1"/>
  <c r="I345" i="39" s="1"/>
  <c r="I346" i="39" s="1"/>
  <c r="I347" i="39" s="1"/>
  <c r="I348" i="39" s="1"/>
  <c r="I349" i="39" s="1"/>
  <c r="I350" i="39" s="1"/>
  <c r="I351" i="39" s="1"/>
  <c r="I352" i="39" s="1"/>
  <c r="I353" i="39" s="1"/>
  <c r="I354" i="39" s="1"/>
  <c r="I355" i="39" s="1"/>
  <c r="I356" i="39" s="1"/>
  <c r="I357" i="39" s="1"/>
  <c r="I358" i="39" s="1"/>
  <c r="I359" i="39" s="1"/>
  <c r="I360" i="39" s="1"/>
  <c r="I361" i="39" s="1"/>
  <c r="I362" i="39" s="1"/>
  <c r="I363" i="39" s="1"/>
  <c r="I364" i="39" s="1"/>
  <c r="I365" i="39" s="1"/>
  <c r="I366" i="39" s="1"/>
  <c r="I367" i="39" s="1"/>
  <c r="I368" i="39" s="1"/>
  <c r="I369" i="39" s="1"/>
  <c r="I370" i="39" s="1"/>
  <c r="I371" i="39" s="1"/>
  <c r="I372" i="39" s="1"/>
  <c r="I373" i="39" s="1"/>
  <c r="I374" i="39" s="1"/>
  <c r="I375" i="39" s="1"/>
  <c r="I376" i="39" s="1"/>
  <c r="I377" i="39" s="1"/>
  <c r="I378" i="39" s="1"/>
  <c r="I379" i="39" s="1"/>
  <c r="I380" i="39" s="1"/>
  <c r="I381" i="39" s="1"/>
  <c r="I382" i="39" s="1"/>
  <c r="I383" i="39" s="1"/>
  <c r="I384" i="39" s="1"/>
  <c r="I385" i="39" s="1"/>
  <c r="I386" i="39" s="1"/>
  <c r="I387" i="39" s="1"/>
  <c r="I388" i="39" s="1"/>
  <c r="I389" i="39" s="1"/>
  <c r="I390" i="39" s="1"/>
  <c r="I391" i="39" s="1"/>
  <c r="I392" i="39" s="1"/>
  <c r="I393" i="39" s="1"/>
  <c r="I394" i="39" s="1"/>
  <c r="I395" i="39" s="1"/>
  <c r="I396" i="39" s="1"/>
  <c r="I397" i="39" s="1"/>
  <c r="I398" i="39" s="1"/>
  <c r="I399" i="39" s="1"/>
  <c r="I400" i="39" s="1"/>
  <c r="I401" i="39" s="1"/>
  <c r="I402" i="39" s="1"/>
  <c r="I403" i="39" s="1"/>
  <c r="I404" i="39" s="1"/>
  <c r="I405" i="39" s="1"/>
  <c r="I406" i="39" s="1"/>
  <c r="I407" i="39" s="1"/>
  <c r="I408" i="39" s="1"/>
  <c r="I409" i="39" s="1"/>
  <c r="I410" i="39" s="1"/>
  <c r="I411" i="39" s="1"/>
  <c r="I412" i="39" s="1"/>
  <c r="I413" i="39" s="1"/>
  <c r="I414" i="39" s="1"/>
  <c r="I415" i="39" s="1"/>
  <c r="I416" i="39" s="1"/>
  <c r="I417" i="39" s="1"/>
  <c r="I418" i="39" s="1"/>
  <c r="I419" i="39" s="1"/>
  <c r="I420" i="39" s="1"/>
  <c r="I421" i="39" s="1"/>
  <c r="I422" i="39" s="1"/>
  <c r="I423" i="39" s="1"/>
  <c r="I424" i="39" s="1"/>
  <c r="I425" i="39" s="1"/>
  <c r="I426" i="39" s="1"/>
  <c r="I427" i="39" s="1"/>
  <c r="I428" i="39" s="1"/>
  <c r="I429" i="39" s="1"/>
  <c r="I430" i="39" s="1"/>
  <c r="I431" i="39" s="1"/>
  <c r="I432" i="39" s="1"/>
  <c r="I433" i="39" s="1"/>
  <c r="I434" i="39" s="1"/>
  <c r="I435" i="39" s="1"/>
  <c r="I436" i="39" s="1"/>
  <c r="I437" i="39" s="1"/>
  <c r="I438" i="39" s="1"/>
  <c r="I439" i="39" s="1"/>
  <c r="I440" i="39" s="1"/>
  <c r="I441" i="39" s="1"/>
  <c r="I442" i="39" s="1"/>
  <c r="I443" i="39" s="1"/>
  <c r="I444" i="39" s="1"/>
  <c r="I445" i="39" s="1"/>
  <c r="I446" i="39" s="1"/>
  <c r="I447" i="39" s="1"/>
  <c r="I448" i="39" s="1"/>
  <c r="I449" i="39" s="1"/>
  <c r="I450" i="39" s="1"/>
  <c r="I451" i="39" s="1"/>
  <c r="I452" i="39" s="1"/>
  <c r="I453" i="39" s="1"/>
  <c r="I454" i="39" s="1"/>
  <c r="I455" i="39" s="1"/>
  <c r="I456" i="39" s="1"/>
  <c r="I457" i="39" s="1"/>
  <c r="I458" i="39" s="1"/>
  <c r="I459" i="39" s="1"/>
  <c r="I460" i="39" s="1"/>
  <c r="I461" i="39" s="1"/>
  <c r="I462" i="39" s="1"/>
  <c r="I463" i="39" s="1"/>
  <c r="I464" i="39" s="1"/>
  <c r="I465" i="39" s="1"/>
  <c r="I466" i="39" s="1"/>
  <c r="I467" i="39" s="1"/>
  <c r="I468" i="39" s="1"/>
  <c r="I469" i="39" s="1"/>
  <c r="I470" i="39" s="1"/>
  <c r="I471" i="39" s="1"/>
  <c r="I472" i="39" s="1"/>
  <c r="I473" i="39" s="1"/>
  <c r="I474" i="39" s="1"/>
  <c r="I475" i="39" s="1"/>
  <c r="I476" i="39" s="1"/>
  <c r="I477" i="39" s="1"/>
  <c r="I478" i="39" s="1"/>
  <c r="I479" i="39" s="1"/>
  <c r="I480" i="39" s="1"/>
  <c r="I481" i="39" s="1"/>
  <c r="I482" i="39" s="1"/>
  <c r="I483" i="39" s="1"/>
  <c r="I484" i="39" s="1"/>
  <c r="I485" i="39" s="1"/>
  <c r="I486" i="39" s="1"/>
  <c r="I487" i="39" s="1"/>
  <c r="I488" i="39" s="1"/>
  <c r="I489" i="39" s="1"/>
  <c r="I490" i="39" s="1"/>
  <c r="I491" i="39" s="1"/>
  <c r="I492" i="39" s="1"/>
  <c r="I493" i="39" s="1"/>
  <c r="I494" i="39" s="1"/>
  <c r="I495" i="39" s="1"/>
  <c r="I496" i="39" s="1"/>
  <c r="I497" i="39" s="1"/>
  <c r="I498" i="39" s="1"/>
  <c r="I499" i="39" s="1"/>
  <c r="I500" i="39" s="1"/>
  <c r="I501" i="39" s="1"/>
  <c r="I502" i="39" s="1"/>
  <c r="I503" i="39" s="1"/>
  <c r="I504" i="39" s="1"/>
  <c r="I505" i="39" s="1"/>
  <c r="I506" i="39" s="1"/>
  <c r="I507" i="39" s="1"/>
  <c r="I508" i="39" s="1"/>
  <c r="I509" i="39" s="1"/>
  <c r="I510" i="39" s="1"/>
  <c r="I511" i="39" s="1"/>
  <c r="I512" i="39" s="1"/>
  <c r="I513" i="39" s="1"/>
  <c r="I514" i="39" s="1"/>
  <c r="I515" i="39" s="1"/>
  <c r="I516" i="39" s="1"/>
  <c r="I517" i="39" s="1"/>
  <c r="I518" i="39" s="1"/>
  <c r="I519" i="39" s="1"/>
  <c r="I520" i="39" s="1"/>
  <c r="I521" i="39" s="1"/>
  <c r="I522" i="39" s="1"/>
  <c r="I523" i="39" s="1"/>
  <c r="I524" i="39" s="1"/>
  <c r="I525" i="39" s="1"/>
  <c r="I526" i="39" s="1"/>
  <c r="I527" i="39" s="1"/>
  <c r="I528" i="39" s="1"/>
  <c r="I529" i="39" s="1"/>
  <c r="I530" i="39" s="1"/>
  <c r="I531" i="39" s="1"/>
  <c r="I532" i="39" s="1"/>
  <c r="I533" i="39" s="1"/>
  <c r="I534" i="39" s="1"/>
  <c r="I535" i="39" s="1"/>
  <c r="I536" i="39" s="1"/>
  <c r="I537" i="39" s="1"/>
  <c r="I538" i="39" s="1"/>
  <c r="I539" i="39" s="1"/>
  <c r="I540" i="39" s="1"/>
  <c r="I541" i="39" s="1"/>
  <c r="I542" i="39" s="1"/>
  <c r="I543" i="39" s="1"/>
  <c r="I544" i="39" s="1"/>
  <c r="I545" i="39" s="1"/>
  <c r="I546" i="39" s="1"/>
  <c r="I547" i="39" s="1"/>
  <c r="I548" i="39" s="1"/>
  <c r="I549" i="39" s="1"/>
  <c r="I550" i="39" s="1"/>
  <c r="I551" i="39" s="1"/>
  <c r="I552" i="39" s="1"/>
  <c r="I553" i="39" s="1"/>
  <c r="I554" i="39" s="1"/>
  <c r="I555" i="39" s="1"/>
  <c r="I556" i="39" s="1"/>
  <c r="I557" i="39" s="1"/>
  <c r="I558" i="39" s="1"/>
  <c r="I559" i="39" s="1"/>
  <c r="I560" i="39" s="1"/>
  <c r="I561" i="39" s="1"/>
  <c r="I562" i="39" s="1"/>
  <c r="I563" i="39" s="1"/>
  <c r="I564" i="39" s="1"/>
  <c r="I565" i="39" s="1"/>
  <c r="I566" i="39" s="1"/>
  <c r="I567" i="39" s="1"/>
  <c r="I568" i="39" s="1"/>
  <c r="I569" i="39" s="1"/>
  <c r="I570" i="39" s="1"/>
  <c r="I571" i="39" s="1"/>
  <c r="I572" i="39" s="1"/>
  <c r="I573" i="39" s="1"/>
  <c r="I574" i="39" s="1"/>
  <c r="I575" i="39" s="1"/>
  <c r="I576" i="39" s="1"/>
  <c r="I577" i="39" s="1"/>
  <c r="I578" i="39" s="1"/>
  <c r="I579" i="39" s="1"/>
  <c r="I580" i="39" s="1"/>
  <c r="I581" i="39" s="1"/>
  <c r="I582" i="39" s="1"/>
  <c r="I583" i="39" s="1"/>
  <c r="I584" i="39" s="1"/>
  <c r="I585" i="39" s="1"/>
  <c r="I586" i="39" s="1"/>
  <c r="I587" i="39" s="1"/>
  <c r="I588" i="39" s="1"/>
  <c r="I589" i="39" s="1"/>
  <c r="I590" i="39" s="1"/>
  <c r="I591" i="39" s="1"/>
  <c r="I592" i="39" s="1"/>
  <c r="I593" i="39" s="1"/>
  <c r="I594" i="39" s="1"/>
  <c r="I595" i="39" s="1"/>
  <c r="I596" i="39" s="1"/>
  <c r="I597" i="39" s="1"/>
  <c r="I598" i="39" s="1"/>
  <c r="I599" i="39" s="1"/>
  <c r="I600" i="39" s="1"/>
  <c r="I601" i="39" s="1"/>
  <c r="I602" i="39" s="1"/>
  <c r="I603" i="39" s="1"/>
  <c r="I604" i="39" s="1"/>
  <c r="I605" i="39" s="1"/>
  <c r="I606" i="39" s="1"/>
  <c r="I607" i="39" s="1"/>
  <c r="I608" i="39" s="1"/>
  <c r="I609" i="39" s="1"/>
  <c r="I610" i="39" s="1"/>
  <c r="I611" i="39" s="1"/>
  <c r="I612" i="39" s="1"/>
  <c r="I613" i="39" s="1"/>
  <c r="I614" i="39" s="1"/>
  <c r="I615" i="39" s="1"/>
  <c r="I616" i="39" s="1"/>
  <c r="I617" i="39" s="1"/>
  <c r="I618" i="39" s="1"/>
  <c r="I619" i="39" s="1"/>
  <c r="I620" i="39" s="1"/>
  <c r="I621" i="39" s="1"/>
  <c r="I622" i="39" s="1"/>
  <c r="I623" i="39" s="1"/>
  <c r="I624" i="39" s="1"/>
  <c r="I625" i="39" s="1"/>
  <c r="I626" i="39" s="1"/>
  <c r="I627" i="39" s="1"/>
  <c r="I628" i="39" s="1"/>
  <c r="I629" i="39" s="1"/>
  <c r="I630" i="39" s="1"/>
  <c r="I631" i="39" s="1"/>
  <c r="I632" i="39" s="1"/>
  <c r="I633" i="39" s="1"/>
  <c r="I634" i="39" s="1"/>
  <c r="I635" i="39" s="1"/>
  <c r="I636" i="39" s="1"/>
  <c r="I637" i="39" s="1"/>
  <c r="J97" i="37" s="1"/>
  <c r="H94" i="37"/>
  <c r="H25" i="37"/>
  <c r="H21" i="37"/>
  <c r="H16" i="37"/>
  <c r="H28" i="36"/>
  <c r="H52" i="36"/>
  <c r="H23" i="36"/>
  <c r="H16" i="36"/>
  <c r="I18" i="35"/>
  <c r="I19" i="35" s="1"/>
  <c r="I20" i="35" s="1"/>
  <c r="I21" i="35" s="1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I84" i="35" s="1"/>
  <c r="I85" i="35" s="1"/>
  <c r="I86" i="35" s="1"/>
  <c r="I87" i="35" s="1"/>
  <c r="I88" i="35" s="1"/>
  <c r="I89" i="35" s="1"/>
  <c r="I90" i="35" s="1"/>
  <c r="I91" i="35" s="1"/>
  <c r="I92" i="35" s="1"/>
  <c r="I93" i="35" s="1"/>
  <c r="I94" i="35" s="1"/>
  <c r="I95" i="35" s="1"/>
  <c r="I96" i="35" s="1"/>
  <c r="I97" i="35" s="1"/>
  <c r="I98" i="35" s="1"/>
  <c r="I99" i="35" s="1"/>
  <c r="I100" i="35" s="1"/>
  <c r="I101" i="35" s="1"/>
  <c r="I102" i="35" s="1"/>
  <c r="I103" i="35" s="1"/>
  <c r="I104" i="35" s="1"/>
  <c r="I105" i="35" s="1"/>
  <c r="I106" i="35" s="1"/>
  <c r="I107" i="35" s="1"/>
  <c r="I108" i="35" s="1"/>
  <c r="I109" i="35" s="1"/>
  <c r="I110" i="35" s="1"/>
  <c r="I111" i="35" s="1"/>
  <c r="I112" i="35" s="1"/>
  <c r="I113" i="35" s="1"/>
  <c r="I114" i="35" s="1"/>
  <c r="I115" i="35" s="1"/>
  <c r="I116" i="35" s="1"/>
  <c r="I117" i="35" s="1"/>
  <c r="I118" i="35" s="1"/>
  <c r="I119" i="35" s="1"/>
  <c r="I120" i="35" s="1"/>
  <c r="I121" i="35" s="1"/>
  <c r="I122" i="35" s="1"/>
  <c r="I123" i="35" s="1"/>
  <c r="I124" i="35" s="1"/>
  <c r="I125" i="35" s="1"/>
  <c r="I126" i="35" s="1"/>
  <c r="I127" i="35" s="1"/>
  <c r="I128" i="35" s="1"/>
  <c r="I129" i="35" s="1"/>
  <c r="I130" i="35" s="1"/>
  <c r="I131" i="35" s="1"/>
  <c r="I132" i="35" s="1"/>
  <c r="I133" i="35" s="1"/>
  <c r="I134" i="35" s="1"/>
  <c r="I135" i="35" s="1"/>
  <c r="I136" i="35" s="1"/>
  <c r="I137" i="35" s="1"/>
  <c r="I138" i="35" s="1"/>
  <c r="I139" i="35" s="1"/>
  <c r="I140" i="35" s="1"/>
  <c r="I141" i="35" s="1"/>
  <c r="I142" i="35" s="1"/>
  <c r="I143" i="35" s="1"/>
  <c r="I144" i="35" s="1"/>
  <c r="I145" i="35" s="1"/>
  <c r="I146" i="35" s="1"/>
  <c r="I147" i="35" s="1"/>
  <c r="I148" i="35" s="1"/>
  <c r="I149" i="35" s="1"/>
  <c r="I150" i="35" s="1"/>
  <c r="I151" i="35" s="1"/>
  <c r="I152" i="35" s="1"/>
  <c r="I153" i="35" s="1"/>
  <c r="I154" i="35" s="1"/>
  <c r="I155" i="35" s="1"/>
  <c r="I156" i="35" s="1"/>
  <c r="I157" i="35" s="1"/>
  <c r="I158" i="35" s="1"/>
  <c r="I159" i="35" s="1"/>
  <c r="I160" i="35" s="1"/>
  <c r="I161" i="35" s="1"/>
  <c r="I162" i="35" s="1"/>
  <c r="I163" i="35" s="1"/>
  <c r="I164" i="35" s="1"/>
  <c r="I165" i="35" s="1"/>
  <c r="I166" i="35" s="1"/>
  <c r="I167" i="35" s="1"/>
  <c r="I168" i="35" s="1"/>
  <c r="I169" i="35" s="1"/>
  <c r="I170" i="35" s="1"/>
  <c r="I171" i="35" s="1"/>
  <c r="I172" i="35" s="1"/>
  <c r="I173" i="35" s="1"/>
  <c r="I174" i="35" s="1"/>
  <c r="I175" i="35" s="1"/>
  <c r="I176" i="35" s="1"/>
  <c r="I177" i="35" s="1"/>
  <c r="I178" i="35" s="1"/>
  <c r="I179" i="35" s="1"/>
  <c r="I180" i="35" s="1"/>
  <c r="I181" i="35" s="1"/>
  <c r="I182" i="35" s="1"/>
  <c r="I183" i="35" s="1"/>
  <c r="I184" i="35" s="1"/>
  <c r="I185" i="35" s="1"/>
  <c r="I186" i="35" s="1"/>
  <c r="I187" i="35" s="1"/>
  <c r="I188" i="35" s="1"/>
  <c r="I189" i="35" s="1"/>
  <c r="I190" i="35" s="1"/>
  <c r="I191" i="35" s="1"/>
  <c r="I192" i="35" s="1"/>
  <c r="I193" i="35" s="1"/>
  <c r="I194" i="35" s="1"/>
  <c r="I195" i="35" s="1"/>
  <c r="I196" i="35" s="1"/>
  <c r="I197" i="35" s="1"/>
  <c r="I198" i="35" s="1"/>
  <c r="I199" i="35" s="1"/>
  <c r="I200" i="35" s="1"/>
  <c r="I201" i="35" s="1"/>
  <c r="I202" i="35" s="1"/>
  <c r="I203" i="35" s="1"/>
  <c r="I204" i="35" s="1"/>
  <c r="I205" i="35" s="1"/>
  <c r="I206" i="35" s="1"/>
  <c r="I207" i="35" s="1"/>
  <c r="I208" i="35" s="1"/>
  <c r="I209" i="35" s="1"/>
  <c r="I210" i="35" s="1"/>
  <c r="I211" i="35" s="1"/>
  <c r="I212" i="35" s="1"/>
  <c r="I213" i="35" s="1"/>
  <c r="I214" i="35" s="1"/>
  <c r="I215" i="35" s="1"/>
  <c r="I216" i="35" s="1"/>
  <c r="I217" i="35" s="1"/>
  <c r="I218" i="35" s="1"/>
  <c r="I219" i="35" s="1"/>
  <c r="I220" i="35" s="1"/>
  <c r="I221" i="35" s="1"/>
  <c r="I222" i="35" s="1"/>
  <c r="I223" i="35" s="1"/>
  <c r="I224" i="35" s="1"/>
  <c r="I225" i="35" s="1"/>
  <c r="I226" i="35" s="1"/>
  <c r="I227" i="35" s="1"/>
  <c r="I228" i="35" s="1"/>
  <c r="I229" i="35" s="1"/>
  <c r="I230" i="35" s="1"/>
  <c r="I231" i="35" s="1"/>
  <c r="I232" i="35" s="1"/>
  <c r="I233" i="35" s="1"/>
  <c r="I234" i="35" s="1"/>
  <c r="I235" i="35" s="1"/>
  <c r="I236" i="35" s="1"/>
  <c r="I237" i="35" s="1"/>
  <c r="I238" i="35" s="1"/>
  <c r="I239" i="35" s="1"/>
  <c r="I240" i="35" s="1"/>
  <c r="I241" i="35" s="1"/>
  <c r="I242" i="35" s="1"/>
  <c r="I243" i="35" s="1"/>
  <c r="I244" i="35" s="1"/>
  <c r="I245" i="35" s="1"/>
  <c r="I246" i="35" s="1"/>
  <c r="I247" i="35" s="1"/>
  <c r="I248" i="35" s="1"/>
  <c r="I249" i="35" s="1"/>
  <c r="I250" i="35" s="1"/>
  <c r="I251" i="35" s="1"/>
  <c r="I252" i="35" s="1"/>
  <c r="I253" i="35" s="1"/>
  <c r="I254" i="35" s="1"/>
  <c r="I255" i="35" s="1"/>
  <c r="I256" i="35" s="1"/>
  <c r="I257" i="35" s="1"/>
  <c r="I258" i="35" s="1"/>
  <c r="I259" i="35" s="1"/>
  <c r="I260" i="35" s="1"/>
  <c r="I261" i="35" s="1"/>
  <c r="I262" i="35" s="1"/>
  <c r="I263" i="35" s="1"/>
  <c r="I264" i="35" s="1"/>
  <c r="I265" i="35" s="1"/>
  <c r="I266" i="35" s="1"/>
  <c r="I267" i="35" s="1"/>
  <c r="I268" i="35" s="1"/>
  <c r="I269" i="35" s="1"/>
  <c r="I270" i="35" s="1"/>
  <c r="I271" i="35" s="1"/>
  <c r="I272" i="35" s="1"/>
  <c r="I273" i="35" s="1"/>
  <c r="I274" i="35" s="1"/>
  <c r="I275" i="35" s="1"/>
  <c r="I276" i="35" s="1"/>
  <c r="I277" i="35" s="1"/>
  <c r="I278" i="35" s="1"/>
  <c r="I279" i="35" s="1"/>
  <c r="I280" i="35" s="1"/>
  <c r="I281" i="35" s="1"/>
  <c r="I282" i="35" s="1"/>
  <c r="I283" i="35" s="1"/>
  <c r="I284" i="35" s="1"/>
  <c r="I285" i="35" s="1"/>
  <c r="I286" i="35" s="1"/>
  <c r="I287" i="35" s="1"/>
  <c r="I288" i="35" s="1"/>
  <c r="I289" i="35" s="1"/>
  <c r="I290" i="35" s="1"/>
  <c r="I291" i="35" s="1"/>
  <c r="I292" i="35" s="1"/>
  <c r="I293" i="35" s="1"/>
  <c r="I294" i="35" s="1"/>
  <c r="I295" i="35" s="1"/>
  <c r="I296" i="35" s="1"/>
  <c r="I297" i="35" s="1"/>
  <c r="I298" i="35" s="1"/>
  <c r="I299" i="35" s="1"/>
  <c r="I300" i="35" s="1"/>
  <c r="I301" i="35" s="1"/>
  <c r="I302" i="35" s="1"/>
  <c r="I303" i="35" s="1"/>
  <c r="I304" i="35" s="1"/>
  <c r="I305" i="35" s="1"/>
  <c r="I306" i="35" s="1"/>
  <c r="I307" i="35" s="1"/>
  <c r="I308" i="35" s="1"/>
  <c r="I309" i="35" s="1"/>
  <c r="I310" i="35" s="1"/>
  <c r="I311" i="35" s="1"/>
  <c r="I312" i="35" s="1"/>
  <c r="I313" i="35" s="1"/>
  <c r="I314" i="35" s="1"/>
  <c r="I315" i="35" s="1"/>
  <c r="I316" i="35" s="1"/>
  <c r="I317" i="35" s="1"/>
  <c r="I318" i="35" s="1"/>
  <c r="I319" i="35" s="1"/>
  <c r="I320" i="35" s="1"/>
  <c r="I321" i="35" s="1"/>
  <c r="I322" i="35" s="1"/>
  <c r="I323" i="35" s="1"/>
  <c r="I324" i="35" s="1"/>
  <c r="I325" i="35" s="1"/>
  <c r="I326" i="35" s="1"/>
  <c r="I327" i="35" s="1"/>
  <c r="I328" i="35" s="1"/>
  <c r="I329" i="35" s="1"/>
  <c r="I330" i="35" s="1"/>
  <c r="I331" i="35" s="1"/>
  <c r="I332" i="35" s="1"/>
  <c r="I333" i="35" s="1"/>
  <c r="I334" i="35" s="1"/>
  <c r="I335" i="35" s="1"/>
  <c r="I336" i="35" s="1"/>
  <c r="I337" i="35" s="1"/>
  <c r="I338" i="35" s="1"/>
  <c r="I339" i="35" s="1"/>
  <c r="I340" i="35" s="1"/>
  <c r="I341" i="35" s="1"/>
  <c r="I342" i="35" s="1"/>
  <c r="I343" i="35" s="1"/>
  <c r="I344" i="35" s="1"/>
  <c r="I345" i="35" s="1"/>
  <c r="I346" i="35" s="1"/>
  <c r="I347" i="35" s="1"/>
  <c r="I348" i="35" s="1"/>
  <c r="I349" i="35" s="1"/>
  <c r="I350" i="35" s="1"/>
  <c r="I351" i="35" s="1"/>
  <c r="I352" i="35" s="1"/>
  <c r="I353" i="35" s="1"/>
  <c r="I354" i="35" s="1"/>
  <c r="I355" i="35" s="1"/>
  <c r="I356" i="35" s="1"/>
  <c r="I357" i="35" s="1"/>
  <c r="I358" i="35" s="1"/>
  <c r="I359" i="35" s="1"/>
  <c r="I360" i="35" s="1"/>
  <c r="I361" i="35" s="1"/>
  <c r="I362" i="35" s="1"/>
  <c r="I363" i="35" s="1"/>
  <c r="I364" i="35" s="1"/>
  <c r="I365" i="35" s="1"/>
  <c r="I366" i="35" s="1"/>
  <c r="I367" i="35" s="1"/>
  <c r="I368" i="35" s="1"/>
  <c r="I369" i="35" s="1"/>
  <c r="I370" i="35" s="1"/>
  <c r="I371" i="35" s="1"/>
  <c r="I372" i="35" s="1"/>
  <c r="I373" i="35" s="1"/>
  <c r="I374" i="35" s="1"/>
  <c r="I375" i="35" s="1"/>
  <c r="I376" i="35" s="1"/>
  <c r="I377" i="35" s="1"/>
  <c r="I378" i="35" s="1"/>
  <c r="I379" i="35" s="1"/>
  <c r="I380" i="35" s="1"/>
  <c r="I381" i="35" s="1"/>
  <c r="I382" i="35" s="1"/>
  <c r="I383" i="35" s="1"/>
  <c r="I384" i="35" s="1"/>
  <c r="I385" i="35" s="1"/>
  <c r="I386" i="35" s="1"/>
  <c r="I387" i="35" s="1"/>
  <c r="I388" i="35" s="1"/>
  <c r="I389" i="35" s="1"/>
  <c r="I390" i="35" s="1"/>
  <c r="I391" i="35" s="1"/>
  <c r="I392" i="35" s="1"/>
  <c r="I393" i="35" s="1"/>
  <c r="I394" i="35" s="1"/>
  <c r="I395" i="35" s="1"/>
  <c r="I396" i="35" s="1"/>
  <c r="I397" i="35" s="1"/>
  <c r="I398" i="35" s="1"/>
  <c r="I399" i="35" s="1"/>
  <c r="I400" i="35" s="1"/>
  <c r="I401" i="35" s="1"/>
  <c r="I402" i="35" s="1"/>
  <c r="I403" i="35" s="1"/>
  <c r="I404" i="35" s="1"/>
  <c r="I405" i="35" s="1"/>
  <c r="I406" i="35" s="1"/>
  <c r="I407" i="35" s="1"/>
  <c r="I408" i="35" s="1"/>
  <c r="I409" i="35" s="1"/>
  <c r="I410" i="35" s="1"/>
  <c r="I411" i="35" s="1"/>
  <c r="I412" i="35" s="1"/>
  <c r="I413" i="35" s="1"/>
  <c r="I414" i="35" s="1"/>
  <c r="I415" i="35" s="1"/>
  <c r="I416" i="35" s="1"/>
  <c r="I417" i="35" s="1"/>
  <c r="I418" i="35" s="1"/>
  <c r="I419" i="35" s="1"/>
  <c r="I420" i="35" s="1"/>
  <c r="I421" i="35" s="1"/>
  <c r="I422" i="35" s="1"/>
  <c r="I423" i="35" s="1"/>
  <c r="I424" i="35" s="1"/>
  <c r="I425" i="35" s="1"/>
  <c r="I426" i="35" s="1"/>
  <c r="I427" i="35" s="1"/>
  <c r="I428" i="35" s="1"/>
  <c r="I429" i="35" s="1"/>
  <c r="I430" i="35" s="1"/>
  <c r="I431" i="35" s="1"/>
  <c r="I432" i="35" s="1"/>
  <c r="I433" i="35" s="1"/>
  <c r="I434" i="35" s="1"/>
  <c r="I435" i="35" s="1"/>
  <c r="I436" i="35" s="1"/>
  <c r="I437" i="35" s="1"/>
  <c r="I438" i="35" s="1"/>
  <c r="I439" i="35" s="1"/>
  <c r="I440" i="35" s="1"/>
  <c r="I441" i="35" s="1"/>
  <c r="I442" i="35" s="1"/>
  <c r="I443" i="35" s="1"/>
  <c r="I444" i="35" s="1"/>
  <c r="I445" i="35" s="1"/>
  <c r="I446" i="35" s="1"/>
  <c r="I447" i="35" s="1"/>
  <c r="I448" i="35" s="1"/>
  <c r="I449" i="35" s="1"/>
  <c r="I450" i="35" s="1"/>
  <c r="I451" i="35" s="1"/>
  <c r="I452" i="35" s="1"/>
  <c r="I453" i="35" s="1"/>
  <c r="I454" i="35" s="1"/>
  <c r="I455" i="35" s="1"/>
  <c r="I456" i="35" s="1"/>
  <c r="I457" i="35" s="1"/>
  <c r="I458" i="35" s="1"/>
  <c r="I459" i="35" s="1"/>
  <c r="I460" i="35" s="1"/>
  <c r="I461" i="35" s="1"/>
  <c r="I462" i="35" s="1"/>
  <c r="I463" i="35" s="1"/>
  <c r="I464" i="35" s="1"/>
  <c r="I465" i="35" s="1"/>
  <c r="I466" i="35" s="1"/>
  <c r="I467" i="35" s="1"/>
  <c r="I468" i="35" s="1"/>
  <c r="I469" i="35" s="1"/>
  <c r="I470" i="35" s="1"/>
  <c r="I471" i="35" s="1"/>
  <c r="I472" i="35" s="1"/>
  <c r="I473" i="35" s="1"/>
  <c r="I474" i="35" s="1"/>
  <c r="I475" i="35" s="1"/>
  <c r="I476" i="35" s="1"/>
  <c r="I477" i="35" s="1"/>
  <c r="I478" i="35" s="1"/>
  <c r="I479" i="35" s="1"/>
  <c r="I480" i="35" s="1"/>
  <c r="I481" i="35" s="1"/>
  <c r="I482" i="35" s="1"/>
  <c r="I483" i="35" s="1"/>
  <c r="I484" i="35" s="1"/>
  <c r="I485" i="35" s="1"/>
  <c r="I486" i="35" s="1"/>
  <c r="I487" i="35" s="1"/>
  <c r="I488" i="35" s="1"/>
  <c r="I489" i="35" s="1"/>
  <c r="I490" i="35" s="1"/>
  <c r="I491" i="35" s="1"/>
  <c r="I492" i="35" s="1"/>
  <c r="I493" i="35" s="1"/>
  <c r="I494" i="35" s="1"/>
  <c r="I495" i="35" s="1"/>
  <c r="I496" i="35" s="1"/>
  <c r="I497" i="35" s="1"/>
  <c r="I498" i="35" s="1"/>
  <c r="I499" i="35" s="1"/>
  <c r="I500" i="35" s="1"/>
  <c r="I501" i="35" s="1"/>
  <c r="I502" i="35" s="1"/>
  <c r="I503" i="35" s="1"/>
  <c r="I504" i="35" s="1"/>
  <c r="I505" i="35" s="1"/>
  <c r="I506" i="35" s="1"/>
  <c r="I507" i="35" s="1"/>
  <c r="I508" i="35" s="1"/>
  <c r="I509" i="35" s="1"/>
  <c r="I510" i="35" s="1"/>
  <c r="I511" i="35" s="1"/>
  <c r="I512" i="35" s="1"/>
  <c r="I513" i="35" s="1"/>
  <c r="I514" i="35" s="1"/>
  <c r="I515" i="35" s="1"/>
  <c r="I516" i="35" s="1"/>
  <c r="I517" i="35" s="1"/>
  <c r="I518" i="35" s="1"/>
  <c r="I519" i="35" s="1"/>
  <c r="I520" i="35" s="1"/>
  <c r="I521" i="35" s="1"/>
  <c r="I522" i="35" s="1"/>
  <c r="I523" i="35" s="1"/>
  <c r="I524" i="35" s="1"/>
  <c r="I525" i="35" s="1"/>
  <c r="I526" i="35" s="1"/>
  <c r="I527" i="35" s="1"/>
  <c r="I528" i="35" s="1"/>
  <c r="I529" i="35" s="1"/>
  <c r="I530" i="35" s="1"/>
  <c r="I531" i="35" s="1"/>
  <c r="I532" i="35" s="1"/>
  <c r="I533" i="35" s="1"/>
  <c r="I534" i="35" s="1"/>
  <c r="I535" i="35" s="1"/>
  <c r="I536" i="35" s="1"/>
  <c r="I537" i="35" s="1"/>
  <c r="I538" i="35" s="1"/>
  <c r="I539" i="35" s="1"/>
  <c r="I540" i="35" s="1"/>
  <c r="I541" i="35" s="1"/>
  <c r="I542" i="35" s="1"/>
  <c r="I543" i="35" s="1"/>
  <c r="I544" i="35" s="1"/>
  <c r="I545" i="35" s="1"/>
  <c r="I546" i="35" s="1"/>
  <c r="I547" i="35" s="1"/>
  <c r="I548" i="35" s="1"/>
  <c r="I549" i="35" s="1"/>
  <c r="I550" i="35" s="1"/>
  <c r="I551" i="35" s="1"/>
  <c r="I552" i="35" s="1"/>
  <c r="I553" i="35" s="1"/>
  <c r="I554" i="35" s="1"/>
  <c r="I555" i="35" s="1"/>
  <c r="I556" i="35" s="1"/>
  <c r="I557" i="35" s="1"/>
  <c r="I558" i="35" s="1"/>
  <c r="I559" i="35" s="1"/>
  <c r="I560" i="35" s="1"/>
  <c r="I561" i="35" s="1"/>
  <c r="I562" i="35" s="1"/>
  <c r="I563" i="35" s="1"/>
  <c r="I564" i="35" s="1"/>
  <c r="I565" i="35" s="1"/>
  <c r="I566" i="35" s="1"/>
  <c r="I567" i="35" s="1"/>
  <c r="I568" i="35" s="1"/>
  <c r="I569" i="35" s="1"/>
  <c r="I570" i="35" s="1"/>
  <c r="I571" i="35" s="1"/>
  <c r="I572" i="35" s="1"/>
  <c r="I573" i="35" s="1"/>
  <c r="I574" i="35" s="1"/>
  <c r="I575" i="35" s="1"/>
  <c r="I576" i="35" s="1"/>
  <c r="I577" i="35" s="1"/>
  <c r="I578" i="35" s="1"/>
  <c r="I579" i="35" s="1"/>
  <c r="I580" i="35" s="1"/>
  <c r="I581" i="35" s="1"/>
  <c r="I582" i="35" s="1"/>
  <c r="I583" i="35" s="1"/>
  <c r="I584" i="35" s="1"/>
  <c r="I585" i="35" s="1"/>
  <c r="I586" i="35" s="1"/>
  <c r="I587" i="35" s="1"/>
  <c r="I588" i="35" s="1"/>
  <c r="I589" i="35" s="1"/>
  <c r="I590" i="35" s="1"/>
  <c r="I591" i="35" s="1"/>
  <c r="I592" i="35" s="1"/>
  <c r="I593" i="35" s="1"/>
  <c r="I594" i="35" s="1"/>
  <c r="I595" i="35" s="1"/>
  <c r="I596" i="35" s="1"/>
  <c r="I597" i="35" s="1"/>
  <c r="I598" i="35" s="1"/>
  <c r="I599" i="35" s="1"/>
  <c r="I600" i="35" s="1"/>
  <c r="I601" i="35" s="1"/>
  <c r="I602" i="35" s="1"/>
  <c r="I603" i="35" s="1"/>
  <c r="I604" i="35" s="1"/>
  <c r="I605" i="35" s="1"/>
  <c r="I606" i="35" s="1"/>
  <c r="I607" i="35" s="1"/>
  <c r="I608" i="35" s="1"/>
  <c r="I609" i="35" s="1"/>
  <c r="I610" i="35" s="1"/>
  <c r="I611" i="35" s="1"/>
  <c r="I612" i="35" s="1"/>
  <c r="I613" i="35" s="1"/>
  <c r="I614" i="35" s="1"/>
  <c r="I615" i="35" s="1"/>
  <c r="I616" i="35" s="1"/>
  <c r="I617" i="35" s="1"/>
  <c r="I618" i="35" s="1"/>
  <c r="I619" i="35" s="1"/>
  <c r="I620" i="35" s="1"/>
  <c r="I621" i="35" s="1"/>
  <c r="I622" i="35" s="1"/>
  <c r="I623" i="35" s="1"/>
  <c r="I624" i="35" s="1"/>
  <c r="I625" i="35" s="1"/>
  <c r="I626" i="35" s="1"/>
  <c r="I627" i="35" s="1"/>
  <c r="I628" i="35" s="1"/>
  <c r="I629" i="35" s="1"/>
  <c r="I630" i="35" s="1"/>
  <c r="I631" i="35" s="1"/>
  <c r="I632" i="35" s="1"/>
  <c r="I633" i="35" s="1"/>
  <c r="I634" i="35" s="1"/>
  <c r="I635" i="35" s="1"/>
  <c r="I636" i="35" s="1"/>
  <c r="I637" i="35" s="1"/>
  <c r="I638" i="35" s="1"/>
  <c r="I639" i="35" s="1"/>
  <c r="I640" i="35" s="1"/>
  <c r="I641" i="35" s="1"/>
  <c r="I642" i="35" s="1"/>
  <c r="I643" i="35" s="1"/>
  <c r="I644" i="35" s="1"/>
  <c r="I645" i="35" s="1"/>
  <c r="I646" i="35" s="1"/>
  <c r="I647" i="35" s="1"/>
  <c r="I648" i="35" s="1"/>
  <c r="I649" i="35" s="1"/>
  <c r="I650" i="35" s="1"/>
  <c r="I651" i="35" s="1"/>
  <c r="I652" i="35" s="1"/>
  <c r="I653" i="35" s="1"/>
  <c r="I654" i="35" s="1"/>
  <c r="I655" i="35" s="1"/>
  <c r="I656" i="35" s="1"/>
  <c r="I657" i="35" s="1"/>
  <c r="I658" i="35" s="1"/>
  <c r="I659" i="35" s="1"/>
  <c r="I660" i="35" s="1"/>
  <c r="I661" i="35" s="1"/>
  <c r="I662" i="35" s="1"/>
  <c r="I663" i="35" s="1"/>
  <c r="I664" i="35" s="1"/>
  <c r="I665" i="35" s="1"/>
  <c r="I666" i="35" s="1"/>
  <c r="I667" i="35" s="1"/>
  <c r="I668" i="35" s="1"/>
  <c r="I669" i="35" s="1"/>
  <c r="I670" i="35" s="1"/>
  <c r="I671" i="35" s="1"/>
  <c r="I672" i="35" s="1"/>
  <c r="I673" i="35" s="1"/>
  <c r="I674" i="35" s="1"/>
  <c r="I675" i="35" s="1"/>
  <c r="I676" i="35" s="1"/>
  <c r="I677" i="35" s="1"/>
  <c r="I678" i="35" s="1"/>
  <c r="I679" i="35" s="1"/>
  <c r="I680" i="35" s="1"/>
  <c r="I681" i="35" s="1"/>
  <c r="I682" i="35" s="1"/>
  <c r="I683" i="35" s="1"/>
  <c r="I684" i="35" s="1"/>
  <c r="I685" i="35" s="1"/>
  <c r="I686" i="35" s="1"/>
  <c r="I687" i="35" s="1"/>
  <c r="I688" i="35" s="1"/>
  <c r="I18" i="33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I154" i="33" s="1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I243" i="33" s="1"/>
  <c r="I244" i="33" s="1"/>
  <c r="I245" i="33" s="1"/>
  <c r="I246" i="33" s="1"/>
  <c r="I247" i="33" s="1"/>
  <c r="I248" i="33" s="1"/>
  <c r="I249" i="33" s="1"/>
  <c r="I250" i="33" s="1"/>
  <c r="I251" i="33" s="1"/>
  <c r="I252" i="33" s="1"/>
  <c r="I253" i="33" s="1"/>
  <c r="I254" i="33" s="1"/>
  <c r="I255" i="33" s="1"/>
  <c r="I256" i="33" s="1"/>
  <c r="I257" i="33" s="1"/>
  <c r="I258" i="33" s="1"/>
  <c r="I259" i="33" s="1"/>
  <c r="I260" i="33" s="1"/>
  <c r="I261" i="33" s="1"/>
  <c r="I262" i="33" s="1"/>
  <c r="I263" i="33" s="1"/>
  <c r="I264" i="33" s="1"/>
  <c r="I265" i="33" s="1"/>
  <c r="I266" i="33" s="1"/>
  <c r="I267" i="33" s="1"/>
  <c r="I268" i="33" s="1"/>
  <c r="I269" i="33" s="1"/>
  <c r="I270" i="33" s="1"/>
  <c r="I271" i="33" s="1"/>
  <c r="I272" i="33" s="1"/>
  <c r="I273" i="33" s="1"/>
  <c r="I274" i="33" s="1"/>
  <c r="I275" i="33" s="1"/>
  <c r="I276" i="33" s="1"/>
  <c r="I277" i="33" s="1"/>
  <c r="I278" i="33" s="1"/>
  <c r="I279" i="33" s="1"/>
  <c r="I280" i="33" s="1"/>
  <c r="I281" i="33" s="1"/>
  <c r="I282" i="33" s="1"/>
  <c r="I283" i="33" s="1"/>
  <c r="I284" i="33" s="1"/>
  <c r="I285" i="33" s="1"/>
  <c r="I286" i="33" s="1"/>
  <c r="I287" i="33" s="1"/>
  <c r="I288" i="33" s="1"/>
  <c r="I289" i="33" s="1"/>
  <c r="I290" i="33" s="1"/>
  <c r="I291" i="33" s="1"/>
  <c r="I292" i="33" s="1"/>
  <c r="I293" i="33" s="1"/>
  <c r="I294" i="33" s="1"/>
  <c r="I295" i="33" s="1"/>
  <c r="I296" i="33" s="1"/>
  <c r="I297" i="33" s="1"/>
  <c r="I298" i="33" s="1"/>
  <c r="I299" i="33" s="1"/>
  <c r="I300" i="33" s="1"/>
  <c r="I301" i="33" s="1"/>
  <c r="I302" i="33" s="1"/>
  <c r="I303" i="33" s="1"/>
  <c r="I304" i="33" s="1"/>
  <c r="I305" i="33" s="1"/>
  <c r="I306" i="33" s="1"/>
  <c r="I307" i="33" s="1"/>
  <c r="I308" i="33" s="1"/>
  <c r="I309" i="33" s="1"/>
  <c r="I310" i="33" s="1"/>
  <c r="I311" i="33" s="1"/>
  <c r="I312" i="33" s="1"/>
  <c r="I313" i="33" s="1"/>
  <c r="I314" i="33" s="1"/>
  <c r="I315" i="33" s="1"/>
  <c r="I316" i="33" s="1"/>
  <c r="I317" i="33" s="1"/>
  <c r="I318" i="33" s="1"/>
  <c r="I319" i="33" s="1"/>
  <c r="I320" i="33" s="1"/>
  <c r="I321" i="33" s="1"/>
  <c r="I322" i="33" s="1"/>
  <c r="I323" i="33" s="1"/>
  <c r="I324" i="33" s="1"/>
  <c r="I325" i="33" s="1"/>
  <c r="I326" i="33" s="1"/>
  <c r="I327" i="33" s="1"/>
  <c r="I328" i="33" s="1"/>
  <c r="I329" i="33" s="1"/>
  <c r="I330" i="33" s="1"/>
  <c r="I331" i="33" s="1"/>
  <c r="I332" i="33" s="1"/>
  <c r="I333" i="33" s="1"/>
  <c r="I334" i="33" s="1"/>
  <c r="I335" i="33" s="1"/>
  <c r="I336" i="33" s="1"/>
  <c r="I337" i="33" s="1"/>
  <c r="I338" i="33" s="1"/>
  <c r="I339" i="33" s="1"/>
  <c r="I340" i="33" s="1"/>
  <c r="I341" i="33" s="1"/>
  <c r="I342" i="33" s="1"/>
  <c r="I343" i="33" s="1"/>
  <c r="I344" i="33" s="1"/>
  <c r="I345" i="33" s="1"/>
  <c r="I346" i="33" s="1"/>
  <c r="I347" i="33" s="1"/>
  <c r="I348" i="33" s="1"/>
  <c r="I349" i="33" s="1"/>
  <c r="I350" i="33" s="1"/>
  <c r="I351" i="33" s="1"/>
  <c r="I352" i="33" s="1"/>
  <c r="I353" i="33" s="1"/>
  <c r="I354" i="33" s="1"/>
  <c r="I355" i="33" s="1"/>
  <c r="I356" i="33" s="1"/>
  <c r="I357" i="33" s="1"/>
  <c r="I358" i="33" s="1"/>
  <c r="I359" i="33" s="1"/>
  <c r="I360" i="33" s="1"/>
  <c r="I361" i="33" s="1"/>
  <c r="I362" i="33" s="1"/>
  <c r="I363" i="33" s="1"/>
  <c r="I364" i="33" s="1"/>
  <c r="I365" i="33" s="1"/>
  <c r="I366" i="33" s="1"/>
  <c r="I367" i="33" s="1"/>
  <c r="I368" i="33" s="1"/>
  <c r="I369" i="33" s="1"/>
  <c r="I370" i="33" s="1"/>
  <c r="I371" i="33" s="1"/>
  <c r="I372" i="33" s="1"/>
  <c r="I373" i="33" s="1"/>
  <c r="I374" i="33" s="1"/>
  <c r="I375" i="33" s="1"/>
  <c r="I376" i="33" s="1"/>
  <c r="I377" i="33" s="1"/>
  <c r="I378" i="33" s="1"/>
  <c r="I379" i="33" s="1"/>
  <c r="I380" i="33" s="1"/>
  <c r="I381" i="33" s="1"/>
  <c r="I382" i="33" s="1"/>
  <c r="I383" i="33" s="1"/>
  <c r="I384" i="33" s="1"/>
  <c r="I385" i="33" s="1"/>
  <c r="I386" i="33" s="1"/>
  <c r="I387" i="33" s="1"/>
  <c r="I388" i="33" s="1"/>
  <c r="I389" i="33" s="1"/>
  <c r="I390" i="33" s="1"/>
  <c r="I391" i="33" s="1"/>
  <c r="I392" i="33" s="1"/>
  <c r="I393" i="33" s="1"/>
  <c r="I394" i="33" s="1"/>
  <c r="I395" i="33" s="1"/>
  <c r="I396" i="33" s="1"/>
  <c r="I397" i="33" s="1"/>
  <c r="I398" i="33" s="1"/>
  <c r="I399" i="33" s="1"/>
  <c r="I400" i="33" s="1"/>
  <c r="I401" i="33" s="1"/>
  <c r="I402" i="33" s="1"/>
  <c r="I403" i="33" s="1"/>
  <c r="I404" i="33" s="1"/>
  <c r="I405" i="33" s="1"/>
  <c r="I406" i="33" s="1"/>
  <c r="I407" i="33" s="1"/>
  <c r="I408" i="33" s="1"/>
  <c r="I409" i="33" s="1"/>
  <c r="I410" i="33" s="1"/>
  <c r="I411" i="33" s="1"/>
  <c r="I412" i="33" s="1"/>
  <c r="I413" i="33" s="1"/>
  <c r="I414" i="33" s="1"/>
  <c r="I415" i="33" s="1"/>
  <c r="I416" i="33" s="1"/>
  <c r="I417" i="33" s="1"/>
  <c r="I418" i="33" s="1"/>
  <c r="I419" i="33" s="1"/>
  <c r="I420" i="33" s="1"/>
  <c r="I421" i="33" s="1"/>
  <c r="I422" i="33" s="1"/>
  <c r="I423" i="33" s="1"/>
  <c r="I424" i="33" s="1"/>
  <c r="I425" i="33" s="1"/>
  <c r="I426" i="33" s="1"/>
  <c r="I427" i="33" s="1"/>
  <c r="I428" i="33" s="1"/>
  <c r="I429" i="33" s="1"/>
  <c r="I430" i="33" s="1"/>
  <c r="I431" i="33" s="1"/>
  <c r="I432" i="33" s="1"/>
  <c r="I433" i="33" s="1"/>
  <c r="I434" i="33" s="1"/>
  <c r="I435" i="33" s="1"/>
  <c r="I436" i="33" s="1"/>
  <c r="I437" i="33" s="1"/>
  <c r="I438" i="33" s="1"/>
  <c r="I439" i="33" s="1"/>
  <c r="I440" i="33" s="1"/>
  <c r="I441" i="33" s="1"/>
  <c r="I442" i="33" s="1"/>
  <c r="I443" i="33" s="1"/>
  <c r="I444" i="33" s="1"/>
  <c r="I445" i="33" s="1"/>
  <c r="I446" i="33" s="1"/>
  <c r="I447" i="33" s="1"/>
  <c r="I448" i="33" s="1"/>
  <c r="I449" i="33" s="1"/>
  <c r="I450" i="33" s="1"/>
  <c r="I451" i="33" s="1"/>
  <c r="I452" i="33" s="1"/>
  <c r="I453" i="33" s="1"/>
  <c r="I454" i="33" s="1"/>
  <c r="I455" i="33" s="1"/>
  <c r="I456" i="33" s="1"/>
  <c r="I457" i="33" s="1"/>
  <c r="I458" i="33" s="1"/>
  <c r="I459" i="33" s="1"/>
  <c r="I460" i="33" s="1"/>
  <c r="I461" i="33" s="1"/>
  <c r="I462" i="33" s="1"/>
  <c r="I463" i="33" s="1"/>
  <c r="I464" i="33" s="1"/>
  <c r="I465" i="33" s="1"/>
  <c r="I466" i="33" s="1"/>
  <c r="I467" i="33" s="1"/>
  <c r="I468" i="33" s="1"/>
  <c r="I469" i="33" s="1"/>
  <c r="I470" i="33" s="1"/>
  <c r="I471" i="33" s="1"/>
  <c r="I472" i="33" s="1"/>
  <c r="I473" i="33" s="1"/>
  <c r="I474" i="33" s="1"/>
  <c r="I475" i="33" s="1"/>
  <c r="I476" i="33" s="1"/>
  <c r="I477" i="33" s="1"/>
  <c r="I478" i="33" s="1"/>
  <c r="I479" i="33" s="1"/>
  <c r="I480" i="33" s="1"/>
  <c r="I481" i="33" s="1"/>
  <c r="I482" i="33" s="1"/>
  <c r="I483" i="33" s="1"/>
  <c r="I484" i="33" s="1"/>
  <c r="I485" i="33" s="1"/>
  <c r="I486" i="33" s="1"/>
  <c r="I487" i="33" s="1"/>
  <c r="I488" i="33" s="1"/>
  <c r="I489" i="33" s="1"/>
  <c r="I490" i="33" s="1"/>
  <c r="I491" i="33" s="1"/>
  <c r="I492" i="33" s="1"/>
  <c r="I493" i="33" s="1"/>
  <c r="I494" i="33" s="1"/>
  <c r="I495" i="33" s="1"/>
  <c r="I496" i="33" s="1"/>
  <c r="I497" i="33" s="1"/>
  <c r="I498" i="33" s="1"/>
  <c r="I499" i="33" s="1"/>
  <c r="I500" i="33" s="1"/>
  <c r="I501" i="33" s="1"/>
  <c r="I502" i="33" s="1"/>
  <c r="I503" i="33" s="1"/>
  <c r="I504" i="33" s="1"/>
  <c r="I505" i="33" s="1"/>
  <c r="I506" i="33" s="1"/>
  <c r="I507" i="33" s="1"/>
  <c r="I508" i="33" s="1"/>
  <c r="I509" i="33" s="1"/>
  <c r="I510" i="33" s="1"/>
  <c r="I511" i="33" s="1"/>
  <c r="I512" i="33" s="1"/>
  <c r="I513" i="33" s="1"/>
  <c r="I514" i="33" s="1"/>
  <c r="I515" i="33" s="1"/>
  <c r="I516" i="33" s="1"/>
  <c r="I517" i="33" s="1"/>
  <c r="I518" i="33" s="1"/>
  <c r="I519" i="33" s="1"/>
  <c r="I520" i="33" s="1"/>
  <c r="I521" i="33" s="1"/>
  <c r="I522" i="33" s="1"/>
  <c r="I523" i="33" s="1"/>
  <c r="I524" i="33" s="1"/>
  <c r="I525" i="33" s="1"/>
  <c r="I526" i="33" s="1"/>
  <c r="I527" i="33" s="1"/>
  <c r="I528" i="33" s="1"/>
  <c r="I529" i="33" s="1"/>
  <c r="I530" i="33" s="1"/>
  <c r="I531" i="33" s="1"/>
  <c r="I532" i="33" s="1"/>
  <c r="I533" i="33" s="1"/>
  <c r="I534" i="33" s="1"/>
  <c r="I535" i="33" s="1"/>
  <c r="I536" i="33" s="1"/>
  <c r="I537" i="33" s="1"/>
  <c r="I538" i="33" s="1"/>
  <c r="I539" i="33" s="1"/>
  <c r="I540" i="33" s="1"/>
  <c r="I541" i="33" s="1"/>
  <c r="I542" i="33" s="1"/>
  <c r="I543" i="33" s="1"/>
  <c r="I544" i="33" s="1"/>
  <c r="I545" i="33" s="1"/>
  <c r="I546" i="33" s="1"/>
  <c r="I547" i="33" s="1"/>
  <c r="I548" i="33" s="1"/>
  <c r="I549" i="33" s="1"/>
  <c r="I550" i="33" s="1"/>
  <c r="I551" i="33" s="1"/>
  <c r="I552" i="33" s="1"/>
  <c r="I553" i="33" s="1"/>
  <c r="I554" i="33" s="1"/>
  <c r="I555" i="33" s="1"/>
  <c r="I556" i="33" s="1"/>
  <c r="I557" i="33" s="1"/>
  <c r="I558" i="33" s="1"/>
  <c r="I559" i="33" s="1"/>
  <c r="I560" i="33" s="1"/>
  <c r="I561" i="33" s="1"/>
  <c r="I562" i="33" s="1"/>
  <c r="I563" i="33" s="1"/>
  <c r="I564" i="33" s="1"/>
  <c r="I565" i="33" s="1"/>
  <c r="I566" i="33" s="1"/>
  <c r="I567" i="33" s="1"/>
  <c r="I568" i="33" s="1"/>
  <c r="I569" i="33" s="1"/>
  <c r="I570" i="33" s="1"/>
  <c r="I571" i="33" s="1"/>
  <c r="I572" i="33" s="1"/>
  <c r="I573" i="33" s="1"/>
  <c r="I574" i="33" s="1"/>
  <c r="I575" i="33" s="1"/>
  <c r="I576" i="33" s="1"/>
  <c r="I577" i="33" s="1"/>
  <c r="I578" i="33" s="1"/>
  <c r="I579" i="33" s="1"/>
  <c r="I580" i="33" s="1"/>
  <c r="I581" i="33" s="1"/>
  <c r="I582" i="33" s="1"/>
  <c r="I583" i="33" s="1"/>
  <c r="I584" i="33" s="1"/>
  <c r="I585" i="33" s="1"/>
  <c r="I586" i="33" s="1"/>
  <c r="I587" i="33" s="1"/>
  <c r="I588" i="33" s="1"/>
  <c r="I589" i="33" s="1"/>
  <c r="I590" i="33" s="1"/>
  <c r="I591" i="33" s="1"/>
  <c r="I592" i="33" s="1"/>
  <c r="I593" i="33" s="1"/>
  <c r="I594" i="33" s="1"/>
  <c r="I595" i="33" s="1"/>
  <c r="I596" i="33" s="1"/>
  <c r="I597" i="33" s="1"/>
  <c r="I598" i="33" s="1"/>
  <c r="I599" i="33" s="1"/>
  <c r="I600" i="33" s="1"/>
  <c r="I601" i="33" s="1"/>
  <c r="I602" i="33" s="1"/>
  <c r="I603" i="33" s="1"/>
  <c r="I604" i="33" s="1"/>
  <c r="I605" i="33" s="1"/>
  <c r="I606" i="33" s="1"/>
  <c r="I607" i="33" s="1"/>
  <c r="I608" i="33" s="1"/>
  <c r="I609" i="33" s="1"/>
  <c r="I610" i="33" s="1"/>
  <c r="I611" i="33" s="1"/>
  <c r="I612" i="33" s="1"/>
  <c r="I613" i="33" s="1"/>
  <c r="I614" i="33" s="1"/>
  <c r="I615" i="33" s="1"/>
  <c r="I616" i="33" s="1"/>
  <c r="I617" i="33" s="1"/>
  <c r="I618" i="33" s="1"/>
  <c r="I619" i="33" s="1"/>
  <c r="I620" i="33" s="1"/>
  <c r="I621" i="33" s="1"/>
  <c r="I622" i="33" s="1"/>
  <c r="I623" i="33" s="1"/>
  <c r="I624" i="33" s="1"/>
  <c r="I625" i="33" s="1"/>
  <c r="I626" i="33" s="1"/>
  <c r="I627" i="33" s="1"/>
  <c r="I628" i="33" s="1"/>
  <c r="I629" i="33" s="1"/>
  <c r="I630" i="33" s="1"/>
  <c r="I631" i="33" s="1"/>
  <c r="I632" i="33" s="1"/>
  <c r="I633" i="33" s="1"/>
  <c r="I634" i="33" s="1"/>
  <c r="I635" i="33" s="1"/>
  <c r="I636" i="33" s="1"/>
  <c r="I637" i="33" s="1"/>
  <c r="I638" i="33" s="1"/>
  <c r="I639" i="33" s="1"/>
  <c r="I640" i="33" s="1"/>
  <c r="I641" i="33" s="1"/>
  <c r="I642" i="33" s="1"/>
  <c r="I643" i="33" s="1"/>
  <c r="I644" i="33" s="1"/>
  <c r="I645" i="33" s="1"/>
  <c r="I646" i="33" s="1"/>
  <c r="I647" i="33" s="1"/>
  <c r="I648" i="33" s="1"/>
  <c r="I649" i="33" s="1"/>
  <c r="I650" i="33" s="1"/>
  <c r="I651" i="33" s="1"/>
  <c r="I652" i="33" s="1"/>
  <c r="I653" i="33" s="1"/>
  <c r="I654" i="33" s="1"/>
  <c r="I655" i="33" s="1"/>
  <c r="I656" i="33" s="1"/>
  <c r="I657" i="33" s="1"/>
  <c r="I658" i="33" s="1"/>
  <c r="I659" i="33" s="1"/>
  <c r="I660" i="33" s="1"/>
  <c r="I661" i="33" s="1"/>
  <c r="I662" i="33" s="1"/>
  <c r="I663" i="33" s="1"/>
  <c r="I664" i="33" s="1"/>
  <c r="I665" i="33" s="1"/>
  <c r="I666" i="33" s="1"/>
  <c r="I667" i="33" s="1"/>
  <c r="I668" i="33" s="1"/>
  <c r="I669" i="33" s="1"/>
  <c r="I670" i="33" s="1"/>
  <c r="I671" i="33" s="1"/>
  <c r="I672" i="33" s="1"/>
  <c r="I673" i="33" s="1"/>
  <c r="I674" i="33" s="1"/>
  <c r="I675" i="33" s="1"/>
  <c r="I676" i="33" s="1"/>
  <c r="I677" i="33" s="1"/>
  <c r="I678" i="33" s="1"/>
  <c r="I679" i="33" s="1"/>
  <c r="I680" i="33" s="1"/>
  <c r="I681" i="33" s="1"/>
  <c r="I682" i="33" s="1"/>
  <c r="I683" i="33" s="1"/>
  <c r="I684" i="33" s="1"/>
  <c r="I685" i="33" s="1"/>
  <c r="I686" i="33" s="1"/>
  <c r="I687" i="33" s="1"/>
  <c r="J108" i="34" s="1"/>
  <c r="H105" i="34"/>
  <c r="H26" i="34"/>
  <c r="H21" i="34"/>
  <c r="H16" i="34"/>
  <c r="I18" i="32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I84" i="32" s="1"/>
  <c r="I85" i="32" s="1"/>
  <c r="I86" i="32" s="1"/>
  <c r="I87" i="32" s="1"/>
  <c r="I88" i="32" s="1"/>
  <c r="I89" i="32" s="1"/>
  <c r="I90" i="32" s="1"/>
  <c r="I91" i="32" s="1"/>
  <c r="I92" i="32" s="1"/>
  <c r="I93" i="32" s="1"/>
  <c r="I94" i="32" s="1"/>
  <c r="I95" i="32" s="1"/>
  <c r="I96" i="32" s="1"/>
  <c r="I97" i="32" s="1"/>
  <c r="I98" i="32" s="1"/>
  <c r="I99" i="32" s="1"/>
  <c r="I100" i="32" s="1"/>
  <c r="I101" i="32" s="1"/>
  <c r="I102" i="32" s="1"/>
  <c r="I103" i="32" s="1"/>
  <c r="I104" i="32" s="1"/>
  <c r="I105" i="32" s="1"/>
  <c r="I106" i="32" s="1"/>
  <c r="I107" i="32" s="1"/>
  <c r="I108" i="32" s="1"/>
  <c r="I109" i="32" s="1"/>
  <c r="I110" i="32" s="1"/>
  <c r="I111" i="32" s="1"/>
  <c r="I112" i="32" s="1"/>
  <c r="I113" i="32" s="1"/>
  <c r="I114" i="32" s="1"/>
  <c r="I115" i="32" s="1"/>
  <c r="I116" i="32" s="1"/>
  <c r="I117" i="32" s="1"/>
  <c r="I118" i="32" s="1"/>
  <c r="I119" i="32" s="1"/>
  <c r="I120" i="32" s="1"/>
  <c r="I121" i="32" s="1"/>
  <c r="I122" i="32" s="1"/>
  <c r="I123" i="32" s="1"/>
  <c r="I124" i="32" s="1"/>
  <c r="I125" i="32" s="1"/>
  <c r="I126" i="32" s="1"/>
  <c r="I127" i="32" s="1"/>
  <c r="I128" i="32" s="1"/>
  <c r="I129" i="32" s="1"/>
  <c r="I130" i="32" s="1"/>
  <c r="I131" i="32" s="1"/>
  <c r="I132" i="32" s="1"/>
  <c r="I133" i="32" s="1"/>
  <c r="I134" i="32" s="1"/>
  <c r="I135" i="32" s="1"/>
  <c r="I136" i="32" s="1"/>
  <c r="I137" i="32" s="1"/>
  <c r="I138" i="32" s="1"/>
  <c r="I139" i="32" s="1"/>
  <c r="I140" i="32" s="1"/>
  <c r="I141" i="32" s="1"/>
  <c r="I142" i="32" s="1"/>
  <c r="I143" i="32" s="1"/>
  <c r="I144" i="32" s="1"/>
  <c r="I145" i="32" s="1"/>
  <c r="I146" i="32" s="1"/>
  <c r="I147" i="32" s="1"/>
  <c r="I148" i="32" s="1"/>
  <c r="I149" i="32" s="1"/>
  <c r="I150" i="32" s="1"/>
  <c r="I151" i="32" s="1"/>
  <c r="I152" i="32" s="1"/>
  <c r="I153" i="32" s="1"/>
  <c r="I154" i="32" s="1"/>
  <c r="I155" i="32" s="1"/>
  <c r="I156" i="32" s="1"/>
  <c r="I157" i="32" s="1"/>
  <c r="I158" i="32" s="1"/>
  <c r="I159" i="32" s="1"/>
  <c r="I160" i="32" s="1"/>
  <c r="I161" i="32" s="1"/>
  <c r="I162" i="32" s="1"/>
  <c r="I163" i="32" s="1"/>
  <c r="I164" i="32" s="1"/>
  <c r="I165" i="32" s="1"/>
  <c r="I166" i="32" s="1"/>
  <c r="I167" i="32" s="1"/>
  <c r="I168" i="32" s="1"/>
  <c r="I169" i="32" s="1"/>
  <c r="I170" i="32" s="1"/>
  <c r="I171" i="32" s="1"/>
  <c r="I172" i="32" s="1"/>
  <c r="I173" i="32" s="1"/>
  <c r="I174" i="32" s="1"/>
  <c r="I175" i="32" s="1"/>
  <c r="I176" i="32" s="1"/>
  <c r="I177" i="32" s="1"/>
  <c r="I178" i="32" s="1"/>
  <c r="I179" i="32" s="1"/>
  <c r="I180" i="32" s="1"/>
  <c r="I181" i="32" s="1"/>
  <c r="I182" i="32" s="1"/>
  <c r="I183" i="32" s="1"/>
  <c r="I184" i="32" s="1"/>
  <c r="I185" i="32" s="1"/>
  <c r="I186" i="32" s="1"/>
  <c r="I187" i="32" s="1"/>
  <c r="I188" i="32" s="1"/>
  <c r="I189" i="32" s="1"/>
  <c r="I190" i="32" s="1"/>
  <c r="I191" i="32" s="1"/>
  <c r="I192" i="32" s="1"/>
  <c r="I193" i="32" s="1"/>
  <c r="I194" i="32" s="1"/>
  <c r="I195" i="32" s="1"/>
  <c r="I196" i="32" s="1"/>
  <c r="I197" i="32" s="1"/>
  <c r="I198" i="32" s="1"/>
  <c r="I199" i="32" s="1"/>
  <c r="I200" i="32" s="1"/>
  <c r="I201" i="32" s="1"/>
  <c r="I202" i="32" s="1"/>
  <c r="I203" i="32" s="1"/>
  <c r="I204" i="32" s="1"/>
  <c r="I205" i="32" s="1"/>
  <c r="I206" i="32" s="1"/>
  <c r="I207" i="32" s="1"/>
  <c r="I208" i="32" s="1"/>
  <c r="I209" i="32" s="1"/>
  <c r="I210" i="32" s="1"/>
  <c r="I211" i="32" s="1"/>
  <c r="I212" i="32" s="1"/>
  <c r="I213" i="32" s="1"/>
  <c r="I214" i="32" s="1"/>
  <c r="I215" i="32" s="1"/>
  <c r="I216" i="32" s="1"/>
  <c r="I217" i="32" s="1"/>
  <c r="I218" i="32" s="1"/>
  <c r="I219" i="32" s="1"/>
  <c r="I220" i="32" s="1"/>
  <c r="I221" i="32" s="1"/>
  <c r="I222" i="32" s="1"/>
  <c r="I223" i="32" s="1"/>
  <c r="I224" i="32" s="1"/>
  <c r="I225" i="32" s="1"/>
  <c r="I226" i="32" s="1"/>
  <c r="I227" i="32" s="1"/>
  <c r="I228" i="32" s="1"/>
  <c r="I229" i="32" s="1"/>
  <c r="I230" i="32" s="1"/>
  <c r="I231" i="32" s="1"/>
  <c r="I232" i="32" s="1"/>
  <c r="I233" i="32" s="1"/>
  <c r="I234" i="32" s="1"/>
  <c r="I235" i="32" s="1"/>
  <c r="I236" i="32" s="1"/>
  <c r="I237" i="32" s="1"/>
  <c r="I238" i="32" s="1"/>
  <c r="I239" i="32" s="1"/>
  <c r="I240" i="32" s="1"/>
  <c r="I241" i="32" s="1"/>
  <c r="I242" i="32" s="1"/>
  <c r="I243" i="32" s="1"/>
  <c r="I244" i="32" s="1"/>
  <c r="I245" i="32" s="1"/>
  <c r="I246" i="32" s="1"/>
  <c r="I247" i="32" s="1"/>
  <c r="I248" i="32" s="1"/>
  <c r="I249" i="32" s="1"/>
  <c r="I250" i="32" s="1"/>
  <c r="I251" i="32" s="1"/>
  <c r="I252" i="32" s="1"/>
  <c r="I253" i="32" s="1"/>
  <c r="I254" i="32" s="1"/>
  <c r="I255" i="32" s="1"/>
  <c r="I256" i="32" s="1"/>
  <c r="I257" i="32" s="1"/>
  <c r="I258" i="32" s="1"/>
  <c r="I259" i="32" s="1"/>
  <c r="I260" i="32" s="1"/>
  <c r="I261" i="32" s="1"/>
  <c r="I262" i="32" s="1"/>
  <c r="I263" i="32" s="1"/>
  <c r="I264" i="32" s="1"/>
  <c r="I265" i="32" s="1"/>
  <c r="I266" i="32" s="1"/>
  <c r="I267" i="32" s="1"/>
  <c r="I268" i="32" s="1"/>
  <c r="I269" i="32" s="1"/>
  <c r="I270" i="32" s="1"/>
  <c r="I271" i="32" s="1"/>
  <c r="I272" i="32" s="1"/>
  <c r="I273" i="32" s="1"/>
  <c r="I274" i="32" s="1"/>
  <c r="I275" i="32" s="1"/>
  <c r="I276" i="32" s="1"/>
  <c r="I277" i="32" s="1"/>
  <c r="I278" i="32" s="1"/>
  <c r="I279" i="32" s="1"/>
  <c r="I280" i="32" s="1"/>
  <c r="I281" i="32" s="1"/>
  <c r="I282" i="32" s="1"/>
  <c r="I283" i="32" s="1"/>
  <c r="I284" i="32" s="1"/>
  <c r="I285" i="32" s="1"/>
  <c r="I286" i="32" s="1"/>
  <c r="I287" i="32" s="1"/>
  <c r="I288" i="32" s="1"/>
  <c r="I289" i="32" s="1"/>
  <c r="I290" i="32" s="1"/>
  <c r="I291" i="32" s="1"/>
  <c r="I292" i="32" s="1"/>
  <c r="I293" i="32" s="1"/>
  <c r="I294" i="32" s="1"/>
  <c r="I295" i="32" s="1"/>
  <c r="I296" i="32" s="1"/>
  <c r="I297" i="32" s="1"/>
  <c r="I298" i="32" s="1"/>
  <c r="I299" i="32" s="1"/>
  <c r="I300" i="32" s="1"/>
  <c r="I301" i="32" s="1"/>
  <c r="I302" i="32" s="1"/>
  <c r="I303" i="32" s="1"/>
  <c r="I304" i="32" s="1"/>
  <c r="I305" i="32" s="1"/>
  <c r="I306" i="32" s="1"/>
  <c r="I307" i="32" s="1"/>
  <c r="I308" i="32" s="1"/>
  <c r="I309" i="32" s="1"/>
  <c r="I310" i="32" s="1"/>
  <c r="I311" i="32" s="1"/>
  <c r="I312" i="32" s="1"/>
  <c r="I313" i="32" s="1"/>
  <c r="I314" i="32" s="1"/>
  <c r="I315" i="32" s="1"/>
  <c r="I316" i="32" s="1"/>
  <c r="I317" i="32" s="1"/>
  <c r="I318" i="32" s="1"/>
  <c r="I319" i="32" s="1"/>
  <c r="I320" i="32" s="1"/>
  <c r="I321" i="32" s="1"/>
  <c r="I322" i="32" s="1"/>
  <c r="I323" i="32" s="1"/>
  <c r="I324" i="32" s="1"/>
  <c r="I325" i="32" s="1"/>
  <c r="I326" i="32" s="1"/>
  <c r="I327" i="32" s="1"/>
  <c r="I328" i="32" s="1"/>
  <c r="I329" i="32" s="1"/>
  <c r="I330" i="32" s="1"/>
  <c r="I331" i="32" s="1"/>
  <c r="I332" i="32" s="1"/>
  <c r="I333" i="32" s="1"/>
  <c r="I334" i="32" s="1"/>
  <c r="I335" i="32" s="1"/>
  <c r="I336" i="32" s="1"/>
  <c r="I337" i="32" s="1"/>
  <c r="I338" i="32" s="1"/>
  <c r="I339" i="32" s="1"/>
  <c r="I340" i="32" s="1"/>
  <c r="I341" i="32" s="1"/>
  <c r="I342" i="32" s="1"/>
  <c r="I343" i="32" s="1"/>
  <c r="I344" i="32" s="1"/>
  <c r="I345" i="32" s="1"/>
  <c r="I346" i="32" s="1"/>
  <c r="I347" i="32" s="1"/>
  <c r="I348" i="32" s="1"/>
  <c r="I349" i="32" s="1"/>
  <c r="I350" i="32" s="1"/>
  <c r="I351" i="32" s="1"/>
  <c r="I352" i="32" s="1"/>
  <c r="I353" i="32" s="1"/>
  <c r="I354" i="32" s="1"/>
  <c r="I355" i="32" s="1"/>
  <c r="I356" i="32" s="1"/>
  <c r="I357" i="32" s="1"/>
  <c r="I358" i="32" s="1"/>
  <c r="I359" i="32" s="1"/>
  <c r="I360" i="32" s="1"/>
  <c r="I361" i="32" s="1"/>
  <c r="I362" i="32" s="1"/>
  <c r="I363" i="32" s="1"/>
  <c r="I364" i="32" s="1"/>
  <c r="I365" i="32" s="1"/>
  <c r="I366" i="32" s="1"/>
  <c r="I367" i="32" s="1"/>
  <c r="I368" i="32" s="1"/>
  <c r="I369" i="32" s="1"/>
  <c r="I370" i="32" s="1"/>
  <c r="I371" i="32" s="1"/>
  <c r="I372" i="32" s="1"/>
  <c r="I373" i="32" s="1"/>
  <c r="I374" i="32" s="1"/>
  <c r="I375" i="32" s="1"/>
  <c r="I376" i="32" s="1"/>
  <c r="I377" i="32" s="1"/>
  <c r="I378" i="32" s="1"/>
  <c r="I379" i="32" s="1"/>
  <c r="I380" i="32" s="1"/>
  <c r="I381" i="32" s="1"/>
  <c r="I382" i="32" s="1"/>
  <c r="I383" i="32" s="1"/>
  <c r="I384" i="32" s="1"/>
  <c r="I385" i="32" s="1"/>
  <c r="I386" i="32" s="1"/>
  <c r="I387" i="32" s="1"/>
  <c r="I388" i="32" s="1"/>
  <c r="I389" i="32" s="1"/>
  <c r="I390" i="32" s="1"/>
  <c r="I391" i="32" s="1"/>
  <c r="I392" i="32" s="1"/>
  <c r="I393" i="32" s="1"/>
  <c r="I394" i="32" s="1"/>
  <c r="I395" i="32" s="1"/>
  <c r="I396" i="32" s="1"/>
  <c r="I397" i="32" s="1"/>
  <c r="I398" i="32" s="1"/>
  <c r="I399" i="32" s="1"/>
  <c r="I400" i="32" s="1"/>
  <c r="I401" i="32" s="1"/>
  <c r="I402" i="32" s="1"/>
  <c r="I403" i="32" s="1"/>
  <c r="I404" i="32" s="1"/>
  <c r="I405" i="32" s="1"/>
  <c r="I406" i="32" s="1"/>
  <c r="I407" i="32" s="1"/>
  <c r="I408" i="32" s="1"/>
  <c r="I409" i="32" s="1"/>
  <c r="I410" i="32" s="1"/>
  <c r="I411" i="32" s="1"/>
  <c r="I412" i="32" s="1"/>
  <c r="I413" i="32" s="1"/>
  <c r="I414" i="32" s="1"/>
  <c r="I415" i="32" s="1"/>
  <c r="I416" i="32" s="1"/>
  <c r="I417" i="32" s="1"/>
  <c r="I418" i="32" s="1"/>
  <c r="I419" i="32" s="1"/>
  <c r="I420" i="32" s="1"/>
  <c r="I421" i="32" s="1"/>
  <c r="I422" i="32" s="1"/>
  <c r="I423" i="32" s="1"/>
  <c r="I424" i="32" s="1"/>
  <c r="I425" i="32" s="1"/>
  <c r="I426" i="32" s="1"/>
  <c r="I427" i="32" s="1"/>
  <c r="I428" i="32" s="1"/>
  <c r="I429" i="32" s="1"/>
  <c r="I430" i="32" s="1"/>
  <c r="I431" i="32" s="1"/>
  <c r="I432" i="32" s="1"/>
  <c r="I433" i="32" s="1"/>
  <c r="I434" i="32" s="1"/>
  <c r="I435" i="32" s="1"/>
  <c r="I436" i="32" s="1"/>
  <c r="I437" i="32" s="1"/>
  <c r="I438" i="32" s="1"/>
  <c r="I439" i="32" s="1"/>
  <c r="I440" i="32" s="1"/>
  <c r="I441" i="32" s="1"/>
  <c r="I442" i="32" s="1"/>
  <c r="I443" i="32" s="1"/>
  <c r="I444" i="32" s="1"/>
  <c r="I445" i="32" s="1"/>
  <c r="I446" i="32" s="1"/>
  <c r="I447" i="32" s="1"/>
  <c r="I448" i="32" s="1"/>
  <c r="I449" i="32" s="1"/>
  <c r="I450" i="32" s="1"/>
  <c r="I451" i="32" s="1"/>
  <c r="I452" i="32" s="1"/>
  <c r="I453" i="32" s="1"/>
  <c r="I454" i="32" s="1"/>
  <c r="I455" i="32" s="1"/>
  <c r="I456" i="32" s="1"/>
  <c r="I457" i="32" s="1"/>
  <c r="I458" i="32" s="1"/>
  <c r="I459" i="32" s="1"/>
  <c r="I460" i="32" s="1"/>
  <c r="I461" i="32" s="1"/>
  <c r="I462" i="32" s="1"/>
  <c r="I463" i="32" s="1"/>
  <c r="I464" i="32" s="1"/>
  <c r="I465" i="32" s="1"/>
  <c r="I466" i="32" s="1"/>
  <c r="I467" i="32" s="1"/>
  <c r="I468" i="32" s="1"/>
  <c r="I469" i="32" s="1"/>
  <c r="I470" i="32" s="1"/>
  <c r="I471" i="32" s="1"/>
  <c r="I472" i="32" s="1"/>
  <c r="I473" i="32" s="1"/>
  <c r="I474" i="32" s="1"/>
  <c r="I475" i="32" s="1"/>
  <c r="I476" i="32" s="1"/>
  <c r="I477" i="32" s="1"/>
  <c r="I478" i="32" s="1"/>
  <c r="I479" i="32" s="1"/>
  <c r="I480" i="32" s="1"/>
  <c r="I481" i="32" s="1"/>
  <c r="I482" i="32" s="1"/>
  <c r="I483" i="32" s="1"/>
  <c r="I484" i="32" s="1"/>
  <c r="I485" i="32" s="1"/>
  <c r="I486" i="32" s="1"/>
  <c r="I487" i="32" s="1"/>
  <c r="I488" i="32" s="1"/>
  <c r="I489" i="32" s="1"/>
  <c r="I490" i="32" s="1"/>
  <c r="I491" i="32" s="1"/>
  <c r="I492" i="32" s="1"/>
  <c r="I493" i="32" s="1"/>
  <c r="I494" i="32" s="1"/>
  <c r="I495" i="32" s="1"/>
  <c r="I496" i="32" s="1"/>
  <c r="I497" i="32" s="1"/>
  <c r="I498" i="32" s="1"/>
  <c r="I499" i="32" s="1"/>
  <c r="I500" i="32" s="1"/>
  <c r="I501" i="32" s="1"/>
  <c r="I502" i="32" s="1"/>
  <c r="I503" i="32" s="1"/>
  <c r="I504" i="32" s="1"/>
  <c r="I505" i="32" s="1"/>
  <c r="I506" i="32" s="1"/>
  <c r="I507" i="32" s="1"/>
  <c r="I508" i="32" s="1"/>
  <c r="I509" i="32" s="1"/>
  <c r="I510" i="32" s="1"/>
  <c r="I511" i="32" s="1"/>
  <c r="I512" i="32" s="1"/>
  <c r="I513" i="32" s="1"/>
  <c r="I514" i="32" s="1"/>
  <c r="I515" i="32" s="1"/>
  <c r="I516" i="32" s="1"/>
  <c r="I517" i="32" s="1"/>
  <c r="I518" i="32" s="1"/>
  <c r="I519" i="32" s="1"/>
  <c r="I520" i="32" s="1"/>
  <c r="I521" i="32" s="1"/>
  <c r="I522" i="32" s="1"/>
  <c r="I523" i="32" s="1"/>
  <c r="I524" i="32" s="1"/>
  <c r="I525" i="32" s="1"/>
  <c r="I526" i="32" s="1"/>
  <c r="I527" i="32" s="1"/>
  <c r="I528" i="32" s="1"/>
  <c r="I529" i="32" s="1"/>
  <c r="I530" i="32" s="1"/>
  <c r="I531" i="32" s="1"/>
  <c r="I532" i="32" s="1"/>
  <c r="I533" i="32" s="1"/>
  <c r="I534" i="32" s="1"/>
  <c r="I535" i="32" s="1"/>
  <c r="I536" i="32" s="1"/>
  <c r="I537" i="32" s="1"/>
  <c r="I538" i="32" s="1"/>
  <c r="I539" i="32" s="1"/>
  <c r="I540" i="32" s="1"/>
  <c r="I541" i="32" s="1"/>
  <c r="I542" i="32" s="1"/>
  <c r="I543" i="32" s="1"/>
  <c r="I544" i="32" s="1"/>
  <c r="I545" i="32" s="1"/>
  <c r="I546" i="32" s="1"/>
  <c r="I547" i="32" s="1"/>
  <c r="I548" i="32" s="1"/>
  <c r="I549" i="32" s="1"/>
  <c r="I550" i="32" s="1"/>
  <c r="I551" i="32" s="1"/>
  <c r="I552" i="32" s="1"/>
  <c r="I553" i="32" s="1"/>
  <c r="I554" i="32" s="1"/>
  <c r="I555" i="32" s="1"/>
  <c r="I556" i="32" s="1"/>
  <c r="I557" i="32" s="1"/>
  <c r="I558" i="32" s="1"/>
  <c r="I559" i="32" s="1"/>
  <c r="I560" i="32" s="1"/>
  <c r="I561" i="32" s="1"/>
  <c r="I562" i="32" s="1"/>
  <c r="I563" i="32" s="1"/>
  <c r="I564" i="32" s="1"/>
  <c r="I565" i="32" s="1"/>
  <c r="I566" i="32" s="1"/>
  <c r="I567" i="32" s="1"/>
  <c r="I568" i="32" s="1"/>
  <c r="I569" i="32" s="1"/>
  <c r="I570" i="32" s="1"/>
  <c r="I571" i="32" s="1"/>
  <c r="I572" i="32" s="1"/>
  <c r="I573" i="32" s="1"/>
  <c r="I574" i="32" s="1"/>
  <c r="I575" i="32" s="1"/>
  <c r="I576" i="32" s="1"/>
  <c r="I577" i="32" s="1"/>
  <c r="I578" i="32" s="1"/>
  <c r="I579" i="32" s="1"/>
  <c r="I580" i="32" s="1"/>
  <c r="I581" i="32" s="1"/>
  <c r="I582" i="32" s="1"/>
  <c r="I583" i="32" s="1"/>
  <c r="I584" i="32" s="1"/>
  <c r="I585" i="32" s="1"/>
  <c r="I586" i="32" s="1"/>
  <c r="I587" i="32" s="1"/>
  <c r="I588" i="32" s="1"/>
  <c r="I589" i="32" s="1"/>
  <c r="I590" i="32" s="1"/>
  <c r="I591" i="32" s="1"/>
  <c r="I592" i="32" s="1"/>
  <c r="I593" i="32" s="1"/>
  <c r="I594" i="32" s="1"/>
  <c r="I595" i="32" s="1"/>
  <c r="I596" i="32" s="1"/>
  <c r="I597" i="32" s="1"/>
  <c r="I598" i="32" s="1"/>
  <c r="I599" i="32" s="1"/>
  <c r="I600" i="32" s="1"/>
  <c r="I601" i="32" s="1"/>
  <c r="I602" i="32" s="1"/>
  <c r="I603" i="32" s="1"/>
  <c r="I604" i="32" s="1"/>
  <c r="I605" i="32" s="1"/>
  <c r="I606" i="32" s="1"/>
  <c r="I607" i="32" s="1"/>
  <c r="I608" i="32" s="1"/>
  <c r="I609" i="32" s="1"/>
  <c r="I610" i="32" s="1"/>
  <c r="I611" i="32" s="1"/>
  <c r="I612" i="32" s="1"/>
  <c r="I613" i="32" s="1"/>
  <c r="I614" i="32" s="1"/>
  <c r="I615" i="32" s="1"/>
  <c r="I616" i="32" s="1"/>
  <c r="I617" i="32" s="1"/>
  <c r="I618" i="32" s="1"/>
  <c r="I619" i="32" s="1"/>
  <c r="I620" i="32" s="1"/>
  <c r="I621" i="32" s="1"/>
  <c r="I622" i="32" s="1"/>
  <c r="I623" i="32" s="1"/>
  <c r="I624" i="32" s="1"/>
  <c r="I625" i="32" s="1"/>
  <c r="I626" i="32" s="1"/>
  <c r="I627" i="32" s="1"/>
  <c r="I628" i="32" s="1"/>
  <c r="I629" i="32" s="1"/>
  <c r="I630" i="32" s="1"/>
  <c r="I631" i="32" s="1"/>
  <c r="I632" i="32" s="1"/>
  <c r="I633" i="32" s="1"/>
  <c r="I634" i="32" s="1"/>
  <c r="I635" i="32" s="1"/>
  <c r="I636" i="32" s="1"/>
  <c r="I637" i="32" s="1"/>
  <c r="I638" i="32" s="1"/>
  <c r="I639" i="32" s="1"/>
  <c r="I640" i="32" s="1"/>
  <c r="I641" i="32" s="1"/>
  <c r="I642" i="32" s="1"/>
  <c r="I643" i="32" s="1"/>
  <c r="I644" i="32" s="1"/>
  <c r="I645" i="32" s="1"/>
  <c r="I646" i="32" s="1"/>
  <c r="I647" i="32" s="1"/>
  <c r="I648" i="32" s="1"/>
  <c r="I649" i="32" s="1"/>
  <c r="I650" i="32" s="1"/>
  <c r="I651" i="32" s="1"/>
  <c r="I652" i="32" s="1"/>
  <c r="I653" i="32" s="1"/>
  <c r="I654" i="32" s="1"/>
  <c r="I655" i="32" s="1"/>
  <c r="I656" i="32" s="1"/>
  <c r="I657" i="32" s="1"/>
  <c r="I658" i="32" s="1"/>
  <c r="I659" i="32" s="1"/>
  <c r="I660" i="32" s="1"/>
  <c r="I661" i="32" s="1"/>
  <c r="I662" i="32" s="1"/>
  <c r="I663" i="32" s="1"/>
  <c r="I664" i="32" s="1"/>
  <c r="I665" i="32" s="1"/>
  <c r="I666" i="32" s="1"/>
  <c r="J91" i="31" s="1"/>
  <c r="H88" i="31"/>
  <c r="H27" i="31"/>
  <c r="H23" i="31"/>
  <c r="H18" i="31"/>
  <c r="H21" i="30"/>
  <c r="H85" i="30"/>
  <c r="H25" i="30"/>
  <c r="H16" i="30"/>
  <c r="I18" i="29"/>
  <c r="I19" i="29" s="1"/>
  <c r="I20" i="29" s="1"/>
  <c r="I21" i="29" s="1"/>
  <c r="I22" i="29" s="1"/>
  <c r="I23" i="29" s="1"/>
  <c r="I24" i="29" s="1"/>
  <c r="I25" i="29" s="1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I84" i="29" s="1"/>
  <c r="I85" i="29" s="1"/>
  <c r="I86" i="29" s="1"/>
  <c r="I87" i="29" s="1"/>
  <c r="I88" i="29" s="1"/>
  <c r="I89" i="29" s="1"/>
  <c r="I90" i="29" s="1"/>
  <c r="I91" i="29" s="1"/>
  <c r="I92" i="29" s="1"/>
  <c r="I93" i="29" s="1"/>
  <c r="I94" i="29" s="1"/>
  <c r="I95" i="29" s="1"/>
  <c r="I96" i="29" s="1"/>
  <c r="I97" i="29" s="1"/>
  <c r="I98" i="29" s="1"/>
  <c r="I99" i="29" s="1"/>
  <c r="I100" i="29" s="1"/>
  <c r="I101" i="29" s="1"/>
  <c r="I102" i="29" s="1"/>
  <c r="I103" i="29" s="1"/>
  <c r="I104" i="29" s="1"/>
  <c r="I105" i="29" s="1"/>
  <c r="I106" i="29" s="1"/>
  <c r="I107" i="29" s="1"/>
  <c r="I108" i="29" s="1"/>
  <c r="I109" i="29" s="1"/>
  <c r="I110" i="29" s="1"/>
  <c r="I111" i="29" s="1"/>
  <c r="I112" i="29" s="1"/>
  <c r="I113" i="29" s="1"/>
  <c r="I114" i="29" s="1"/>
  <c r="I115" i="29" s="1"/>
  <c r="I116" i="29" s="1"/>
  <c r="I117" i="29" s="1"/>
  <c r="I118" i="29" s="1"/>
  <c r="I119" i="29" s="1"/>
  <c r="I120" i="29" s="1"/>
  <c r="I121" i="29" s="1"/>
  <c r="I122" i="29" s="1"/>
  <c r="I123" i="29" s="1"/>
  <c r="I124" i="29" s="1"/>
  <c r="I125" i="29" s="1"/>
  <c r="I126" i="29" s="1"/>
  <c r="I127" i="29" s="1"/>
  <c r="I128" i="29" s="1"/>
  <c r="I129" i="29" s="1"/>
  <c r="I130" i="29" s="1"/>
  <c r="I131" i="29" s="1"/>
  <c r="I132" i="29" s="1"/>
  <c r="I133" i="29" s="1"/>
  <c r="I134" i="29" s="1"/>
  <c r="I135" i="29" s="1"/>
  <c r="I136" i="29" s="1"/>
  <c r="I137" i="29" s="1"/>
  <c r="I138" i="29" s="1"/>
  <c r="I139" i="29" s="1"/>
  <c r="I140" i="29" s="1"/>
  <c r="I141" i="29" s="1"/>
  <c r="I142" i="29" s="1"/>
  <c r="I143" i="29" s="1"/>
  <c r="I144" i="29" s="1"/>
  <c r="I145" i="29" s="1"/>
  <c r="I146" i="29" s="1"/>
  <c r="I147" i="29" s="1"/>
  <c r="I148" i="29" s="1"/>
  <c r="I149" i="29" s="1"/>
  <c r="I150" i="29" s="1"/>
  <c r="I151" i="29" s="1"/>
  <c r="I152" i="29" s="1"/>
  <c r="I153" i="29" s="1"/>
  <c r="I154" i="29" s="1"/>
  <c r="I155" i="29" s="1"/>
  <c r="I156" i="29" s="1"/>
  <c r="I157" i="29" s="1"/>
  <c r="I158" i="29" s="1"/>
  <c r="I159" i="29" s="1"/>
  <c r="I160" i="29" s="1"/>
  <c r="I161" i="29" s="1"/>
  <c r="I162" i="29" s="1"/>
  <c r="I163" i="29" s="1"/>
  <c r="I164" i="29" s="1"/>
  <c r="I165" i="29" s="1"/>
  <c r="I166" i="29" s="1"/>
  <c r="I167" i="29" s="1"/>
  <c r="I168" i="29" s="1"/>
  <c r="I169" i="29" s="1"/>
  <c r="I170" i="29" s="1"/>
  <c r="I171" i="29" s="1"/>
  <c r="I172" i="29" s="1"/>
  <c r="I173" i="29" s="1"/>
  <c r="I174" i="29" s="1"/>
  <c r="I175" i="29" s="1"/>
  <c r="I176" i="29" s="1"/>
  <c r="I177" i="29" s="1"/>
  <c r="I178" i="29" s="1"/>
  <c r="I179" i="29" s="1"/>
  <c r="I180" i="29" s="1"/>
  <c r="I181" i="29" s="1"/>
  <c r="I182" i="29" s="1"/>
  <c r="I183" i="29" s="1"/>
  <c r="I184" i="29" s="1"/>
  <c r="I185" i="29" s="1"/>
  <c r="I186" i="29" s="1"/>
  <c r="I187" i="29" s="1"/>
  <c r="I188" i="29" s="1"/>
  <c r="I189" i="29" s="1"/>
  <c r="I190" i="29" s="1"/>
  <c r="I191" i="29" s="1"/>
  <c r="I192" i="29" s="1"/>
  <c r="I193" i="29" s="1"/>
  <c r="I194" i="29" s="1"/>
  <c r="I195" i="29" s="1"/>
  <c r="I196" i="29" s="1"/>
  <c r="I197" i="29" s="1"/>
  <c r="I198" i="29" s="1"/>
  <c r="I199" i="29" s="1"/>
  <c r="I200" i="29" s="1"/>
  <c r="I201" i="29" s="1"/>
  <c r="I202" i="29" s="1"/>
  <c r="I203" i="29" s="1"/>
  <c r="I204" i="29" s="1"/>
  <c r="I205" i="29" s="1"/>
  <c r="I206" i="29" s="1"/>
  <c r="I207" i="29" s="1"/>
  <c r="I208" i="29" s="1"/>
  <c r="I209" i="29" s="1"/>
  <c r="I210" i="29" s="1"/>
  <c r="I211" i="29" s="1"/>
  <c r="I212" i="29" s="1"/>
  <c r="I213" i="29" s="1"/>
  <c r="I214" i="29" s="1"/>
  <c r="I215" i="29" s="1"/>
  <c r="I216" i="29" s="1"/>
  <c r="I217" i="29" s="1"/>
  <c r="I218" i="29" s="1"/>
  <c r="I219" i="29" s="1"/>
  <c r="I220" i="29" s="1"/>
  <c r="I221" i="29" s="1"/>
  <c r="I222" i="29" s="1"/>
  <c r="I223" i="29" s="1"/>
  <c r="I224" i="29" s="1"/>
  <c r="I225" i="29" s="1"/>
  <c r="I226" i="29" s="1"/>
  <c r="I227" i="29" s="1"/>
  <c r="I228" i="29" s="1"/>
  <c r="I229" i="29" s="1"/>
  <c r="I230" i="29" s="1"/>
  <c r="I231" i="29" s="1"/>
  <c r="I232" i="29" s="1"/>
  <c r="I233" i="29" s="1"/>
  <c r="I234" i="29" s="1"/>
  <c r="I235" i="29" s="1"/>
  <c r="I236" i="29" s="1"/>
  <c r="I237" i="29" s="1"/>
  <c r="I238" i="29" s="1"/>
  <c r="I239" i="29" s="1"/>
  <c r="I240" i="29" s="1"/>
  <c r="I241" i="29" s="1"/>
  <c r="I242" i="29" s="1"/>
  <c r="I243" i="29" s="1"/>
  <c r="I244" i="29" s="1"/>
  <c r="I245" i="29" s="1"/>
  <c r="I246" i="29" s="1"/>
  <c r="I247" i="29" s="1"/>
  <c r="I248" i="29" s="1"/>
  <c r="I249" i="29" s="1"/>
  <c r="I250" i="29" s="1"/>
  <c r="I251" i="29" s="1"/>
  <c r="I252" i="29" s="1"/>
  <c r="I253" i="29" s="1"/>
  <c r="I254" i="29" s="1"/>
  <c r="I255" i="29" s="1"/>
  <c r="I256" i="29" s="1"/>
  <c r="I257" i="29" s="1"/>
  <c r="I258" i="29" s="1"/>
  <c r="I259" i="29" s="1"/>
  <c r="I260" i="29" s="1"/>
  <c r="I261" i="29" s="1"/>
  <c r="I262" i="29" s="1"/>
  <c r="I263" i="29" s="1"/>
  <c r="I264" i="29" s="1"/>
  <c r="I265" i="29" s="1"/>
  <c r="I266" i="29" s="1"/>
  <c r="I267" i="29" s="1"/>
  <c r="I268" i="29" s="1"/>
  <c r="I269" i="29" s="1"/>
  <c r="I270" i="29" s="1"/>
  <c r="I271" i="29" s="1"/>
  <c r="I272" i="29" s="1"/>
  <c r="I273" i="29" s="1"/>
  <c r="I274" i="29" s="1"/>
  <c r="I275" i="29" s="1"/>
  <c r="I276" i="29" s="1"/>
  <c r="I277" i="29" s="1"/>
  <c r="I278" i="29" s="1"/>
  <c r="I279" i="29" s="1"/>
  <c r="I280" i="29" s="1"/>
  <c r="I281" i="29" s="1"/>
  <c r="I282" i="29" s="1"/>
  <c r="I283" i="29" s="1"/>
  <c r="I284" i="29" s="1"/>
  <c r="I285" i="29" s="1"/>
  <c r="I286" i="29" s="1"/>
  <c r="I287" i="29" s="1"/>
  <c r="I288" i="29" s="1"/>
  <c r="I289" i="29" s="1"/>
  <c r="I290" i="29" s="1"/>
  <c r="I291" i="29" s="1"/>
  <c r="I292" i="29" s="1"/>
  <c r="I293" i="29" s="1"/>
  <c r="I294" i="29" s="1"/>
  <c r="I295" i="29" s="1"/>
  <c r="I296" i="29" s="1"/>
  <c r="I297" i="29" s="1"/>
  <c r="I298" i="29" s="1"/>
  <c r="I299" i="29" s="1"/>
  <c r="I300" i="29" s="1"/>
  <c r="I301" i="29" s="1"/>
  <c r="I302" i="29" s="1"/>
  <c r="I303" i="29" s="1"/>
  <c r="I304" i="29" s="1"/>
  <c r="I305" i="29" s="1"/>
  <c r="I306" i="29" s="1"/>
  <c r="I307" i="29" s="1"/>
  <c r="I308" i="29" s="1"/>
  <c r="I309" i="29" s="1"/>
  <c r="I310" i="29" s="1"/>
  <c r="I311" i="29" s="1"/>
  <c r="I312" i="29" s="1"/>
  <c r="I313" i="29" s="1"/>
  <c r="I314" i="29" s="1"/>
  <c r="I315" i="29" s="1"/>
  <c r="I316" i="29" s="1"/>
  <c r="I317" i="29" s="1"/>
  <c r="I318" i="29" s="1"/>
  <c r="I319" i="29" s="1"/>
  <c r="I320" i="29" s="1"/>
  <c r="I321" i="29" s="1"/>
  <c r="I322" i="29" s="1"/>
  <c r="I323" i="29" s="1"/>
  <c r="I324" i="29" s="1"/>
  <c r="I325" i="29" s="1"/>
  <c r="I326" i="29" s="1"/>
  <c r="I327" i="29" s="1"/>
  <c r="I328" i="29" s="1"/>
  <c r="I329" i="29" s="1"/>
  <c r="I330" i="29" s="1"/>
  <c r="I331" i="29" s="1"/>
  <c r="I332" i="29" s="1"/>
  <c r="I333" i="29" s="1"/>
  <c r="I334" i="29" s="1"/>
  <c r="I335" i="29" s="1"/>
  <c r="I336" i="29" s="1"/>
  <c r="I337" i="29" s="1"/>
  <c r="I338" i="29" s="1"/>
  <c r="I339" i="29" s="1"/>
  <c r="I340" i="29" s="1"/>
  <c r="I341" i="29" s="1"/>
  <c r="I342" i="29" s="1"/>
  <c r="I343" i="29" s="1"/>
  <c r="I344" i="29" s="1"/>
  <c r="I345" i="29" s="1"/>
  <c r="I346" i="29" s="1"/>
  <c r="I347" i="29" s="1"/>
  <c r="I348" i="29" s="1"/>
  <c r="I349" i="29" s="1"/>
  <c r="I350" i="29" s="1"/>
  <c r="I351" i="29" s="1"/>
  <c r="I352" i="29" s="1"/>
  <c r="I353" i="29" s="1"/>
  <c r="I354" i="29" s="1"/>
  <c r="I355" i="29" s="1"/>
  <c r="I356" i="29" s="1"/>
  <c r="I357" i="29" s="1"/>
  <c r="I358" i="29" s="1"/>
  <c r="I359" i="29" s="1"/>
  <c r="I360" i="29" s="1"/>
  <c r="I361" i="29" s="1"/>
  <c r="I362" i="29" s="1"/>
  <c r="I363" i="29" s="1"/>
  <c r="I364" i="29" s="1"/>
  <c r="I365" i="29" s="1"/>
  <c r="J88" i="30" s="1"/>
  <c r="I18" i="27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I243" i="27" s="1"/>
  <c r="I244" i="27" s="1"/>
  <c r="I245" i="27" s="1"/>
  <c r="I246" i="27" s="1"/>
  <c r="I247" i="27" s="1"/>
  <c r="I248" i="27" s="1"/>
  <c r="I249" i="27" s="1"/>
  <c r="I250" i="27" s="1"/>
  <c r="I251" i="27" s="1"/>
  <c r="I252" i="27" s="1"/>
  <c r="I253" i="27" s="1"/>
  <c r="I254" i="27" s="1"/>
  <c r="I255" i="27" s="1"/>
  <c r="I256" i="27" s="1"/>
  <c r="I257" i="27" s="1"/>
  <c r="I258" i="27" s="1"/>
  <c r="I259" i="27" s="1"/>
  <c r="I260" i="27" s="1"/>
  <c r="I261" i="27" s="1"/>
  <c r="I262" i="27" s="1"/>
  <c r="I263" i="27" s="1"/>
  <c r="I264" i="27" s="1"/>
  <c r="I265" i="27" s="1"/>
  <c r="I266" i="27" s="1"/>
  <c r="I267" i="27" s="1"/>
  <c r="I268" i="27" s="1"/>
  <c r="I269" i="27" s="1"/>
  <c r="I270" i="27" s="1"/>
  <c r="I271" i="27" s="1"/>
  <c r="I272" i="27" s="1"/>
  <c r="I273" i="27" s="1"/>
  <c r="I274" i="27" s="1"/>
  <c r="I275" i="27" s="1"/>
  <c r="I276" i="27" s="1"/>
  <c r="I277" i="27" s="1"/>
  <c r="I278" i="27" s="1"/>
  <c r="I279" i="27" s="1"/>
  <c r="I280" i="27" s="1"/>
  <c r="I281" i="27" s="1"/>
  <c r="I282" i="27" s="1"/>
  <c r="I283" i="27" s="1"/>
  <c r="I284" i="27" s="1"/>
  <c r="I285" i="27" s="1"/>
  <c r="I286" i="27" s="1"/>
  <c r="I287" i="27" s="1"/>
  <c r="I288" i="27" s="1"/>
  <c r="I289" i="27" s="1"/>
  <c r="I290" i="27" s="1"/>
  <c r="I291" i="27" s="1"/>
  <c r="I292" i="27" s="1"/>
  <c r="I293" i="27" s="1"/>
  <c r="I294" i="27" s="1"/>
  <c r="I295" i="27" s="1"/>
  <c r="I296" i="27" s="1"/>
  <c r="I297" i="27" s="1"/>
  <c r="I298" i="27" s="1"/>
  <c r="I299" i="27" s="1"/>
  <c r="I300" i="27" s="1"/>
  <c r="I301" i="27" s="1"/>
  <c r="I302" i="27" s="1"/>
  <c r="I303" i="27" s="1"/>
  <c r="I304" i="27" s="1"/>
  <c r="I305" i="27" s="1"/>
  <c r="I306" i="27" s="1"/>
  <c r="I307" i="27" s="1"/>
  <c r="I308" i="27" s="1"/>
  <c r="I309" i="27" s="1"/>
  <c r="I310" i="27" s="1"/>
  <c r="I311" i="27" s="1"/>
  <c r="I312" i="27" s="1"/>
  <c r="I313" i="27" s="1"/>
  <c r="I314" i="27" s="1"/>
  <c r="I315" i="27" s="1"/>
  <c r="I316" i="27" s="1"/>
  <c r="I317" i="27" s="1"/>
  <c r="I318" i="27" s="1"/>
  <c r="I319" i="27" s="1"/>
  <c r="I320" i="27" s="1"/>
  <c r="I321" i="27" s="1"/>
  <c r="I322" i="27" s="1"/>
  <c r="I323" i="27" s="1"/>
  <c r="I324" i="27" s="1"/>
  <c r="I325" i="27" s="1"/>
  <c r="I326" i="27" s="1"/>
  <c r="I327" i="27" s="1"/>
  <c r="I328" i="27" s="1"/>
  <c r="I329" i="27" s="1"/>
  <c r="I330" i="27" s="1"/>
  <c r="I331" i="27" s="1"/>
  <c r="I332" i="27" s="1"/>
  <c r="I333" i="27" s="1"/>
  <c r="I334" i="27" s="1"/>
  <c r="I335" i="27" s="1"/>
  <c r="I336" i="27" s="1"/>
  <c r="I337" i="27" s="1"/>
  <c r="I338" i="27" s="1"/>
  <c r="I339" i="27" s="1"/>
  <c r="I340" i="27" s="1"/>
  <c r="I341" i="27" s="1"/>
  <c r="I342" i="27" s="1"/>
  <c r="I343" i="27" s="1"/>
  <c r="I344" i="27" s="1"/>
  <c r="I345" i="27" s="1"/>
  <c r="I346" i="27" s="1"/>
  <c r="I347" i="27" s="1"/>
  <c r="I348" i="27" s="1"/>
  <c r="I349" i="27" s="1"/>
  <c r="I350" i="27" s="1"/>
  <c r="I351" i="27" s="1"/>
  <c r="I352" i="27" s="1"/>
  <c r="I353" i="27" s="1"/>
  <c r="I354" i="27" s="1"/>
  <c r="I355" i="27" s="1"/>
  <c r="I356" i="27" s="1"/>
  <c r="I357" i="27" s="1"/>
  <c r="I358" i="27" s="1"/>
  <c r="I359" i="27" s="1"/>
  <c r="I360" i="27" s="1"/>
  <c r="I361" i="27" s="1"/>
  <c r="I362" i="27" s="1"/>
  <c r="I363" i="27" s="1"/>
  <c r="I364" i="27" s="1"/>
  <c r="I365" i="27" s="1"/>
  <c r="I366" i="27" s="1"/>
  <c r="I367" i="27" s="1"/>
  <c r="I368" i="27" s="1"/>
  <c r="I369" i="27" s="1"/>
  <c r="I370" i="27" s="1"/>
  <c r="I371" i="27" s="1"/>
  <c r="I372" i="27" s="1"/>
  <c r="I373" i="27" s="1"/>
  <c r="I374" i="27" s="1"/>
  <c r="I375" i="27" s="1"/>
  <c r="I376" i="27" s="1"/>
  <c r="I377" i="27" s="1"/>
  <c r="I378" i="27" s="1"/>
  <c r="I379" i="27" s="1"/>
  <c r="I380" i="27" s="1"/>
  <c r="I381" i="27" s="1"/>
  <c r="I382" i="27" s="1"/>
  <c r="I383" i="27" s="1"/>
  <c r="I384" i="27" s="1"/>
  <c r="I385" i="27" s="1"/>
  <c r="I386" i="27" s="1"/>
  <c r="I387" i="27" s="1"/>
  <c r="I388" i="27" s="1"/>
  <c r="I389" i="27" s="1"/>
  <c r="I390" i="27" s="1"/>
  <c r="I391" i="27" s="1"/>
  <c r="I392" i="27" s="1"/>
  <c r="I393" i="27" s="1"/>
  <c r="I394" i="27" s="1"/>
  <c r="I395" i="27" s="1"/>
  <c r="I396" i="27" s="1"/>
  <c r="I397" i="27" s="1"/>
  <c r="I398" i="27" s="1"/>
  <c r="I399" i="27" s="1"/>
  <c r="I400" i="27" s="1"/>
  <c r="I401" i="27" s="1"/>
  <c r="I402" i="27" s="1"/>
  <c r="I403" i="27" s="1"/>
  <c r="I404" i="27" s="1"/>
  <c r="I405" i="27" s="1"/>
  <c r="I406" i="27" s="1"/>
  <c r="I407" i="27" s="1"/>
  <c r="I408" i="27" s="1"/>
  <c r="I409" i="27" s="1"/>
  <c r="I410" i="27" s="1"/>
  <c r="I411" i="27" s="1"/>
  <c r="I412" i="27" s="1"/>
  <c r="I413" i="27" s="1"/>
  <c r="I414" i="27" s="1"/>
  <c r="I415" i="27" s="1"/>
  <c r="I416" i="27" s="1"/>
  <c r="I417" i="27" s="1"/>
  <c r="I418" i="27" s="1"/>
  <c r="I419" i="27" s="1"/>
  <c r="I420" i="27" s="1"/>
  <c r="I421" i="27" s="1"/>
  <c r="I422" i="27" s="1"/>
  <c r="I423" i="27" s="1"/>
  <c r="I424" i="27" s="1"/>
  <c r="I425" i="27" s="1"/>
  <c r="I426" i="27" s="1"/>
  <c r="I427" i="27" s="1"/>
  <c r="I428" i="27" s="1"/>
  <c r="I429" i="27" s="1"/>
  <c r="I430" i="27" s="1"/>
  <c r="I431" i="27" s="1"/>
  <c r="I432" i="27" s="1"/>
  <c r="I433" i="27" s="1"/>
  <c r="I434" i="27" s="1"/>
  <c r="I435" i="27" s="1"/>
  <c r="I436" i="27" s="1"/>
  <c r="I437" i="27" s="1"/>
  <c r="I438" i="27" s="1"/>
  <c r="I439" i="27" s="1"/>
  <c r="I440" i="27" s="1"/>
  <c r="I441" i="27" s="1"/>
  <c r="I442" i="27" s="1"/>
  <c r="I443" i="27" s="1"/>
  <c r="I444" i="27" s="1"/>
  <c r="I445" i="27" s="1"/>
  <c r="I446" i="27" s="1"/>
  <c r="I447" i="27" s="1"/>
  <c r="I448" i="27" s="1"/>
  <c r="I449" i="27" s="1"/>
  <c r="I450" i="27" s="1"/>
  <c r="I451" i="27" s="1"/>
  <c r="I452" i="27" s="1"/>
  <c r="I453" i="27" s="1"/>
  <c r="I454" i="27" s="1"/>
  <c r="I455" i="27" s="1"/>
  <c r="I456" i="27" s="1"/>
  <c r="I457" i="27" s="1"/>
  <c r="I458" i="27" s="1"/>
  <c r="I459" i="27" s="1"/>
  <c r="I460" i="27" s="1"/>
  <c r="I461" i="27" s="1"/>
  <c r="I462" i="27" s="1"/>
  <c r="I463" i="27" s="1"/>
  <c r="I464" i="27" s="1"/>
  <c r="I465" i="27" s="1"/>
  <c r="I466" i="27" s="1"/>
  <c r="I467" i="27" s="1"/>
  <c r="I468" i="27" s="1"/>
  <c r="I469" i="27" s="1"/>
  <c r="I470" i="27" s="1"/>
  <c r="I471" i="27" s="1"/>
  <c r="I472" i="27" s="1"/>
  <c r="I473" i="27" s="1"/>
  <c r="I474" i="27" s="1"/>
  <c r="I475" i="27" s="1"/>
  <c r="I476" i="27" s="1"/>
  <c r="I477" i="27" s="1"/>
  <c r="I478" i="27" s="1"/>
  <c r="I479" i="27" s="1"/>
  <c r="I480" i="27" s="1"/>
  <c r="I481" i="27" s="1"/>
  <c r="I482" i="27" s="1"/>
  <c r="I483" i="27" s="1"/>
  <c r="I484" i="27" s="1"/>
  <c r="I485" i="27" s="1"/>
  <c r="I486" i="27" s="1"/>
  <c r="I487" i="27" s="1"/>
  <c r="I488" i="27" s="1"/>
  <c r="I489" i="27" s="1"/>
  <c r="I490" i="27" s="1"/>
  <c r="I491" i="27" s="1"/>
  <c r="I492" i="27" s="1"/>
  <c r="I493" i="27" s="1"/>
  <c r="I494" i="27" s="1"/>
  <c r="I495" i="27" s="1"/>
  <c r="I496" i="27" s="1"/>
  <c r="I497" i="27" s="1"/>
  <c r="I498" i="27" s="1"/>
  <c r="I499" i="27" s="1"/>
  <c r="I500" i="27" s="1"/>
  <c r="I501" i="27" s="1"/>
  <c r="I502" i="27" s="1"/>
  <c r="I503" i="27" s="1"/>
  <c r="I504" i="27" s="1"/>
  <c r="I505" i="27" s="1"/>
  <c r="I506" i="27" s="1"/>
  <c r="I507" i="27" s="1"/>
  <c r="I508" i="27" s="1"/>
  <c r="I509" i="27" s="1"/>
  <c r="I510" i="27" s="1"/>
  <c r="I511" i="27" s="1"/>
  <c r="I512" i="27" s="1"/>
  <c r="I513" i="27" s="1"/>
  <c r="I514" i="27" s="1"/>
  <c r="I515" i="27" s="1"/>
  <c r="I516" i="27" s="1"/>
  <c r="I517" i="27" s="1"/>
  <c r="I518" i="27" s="1"/>
  <c r="I519" i="27" s="1"/>
  <c r="I520" i="27" s="1"/>
  <c r="I521" i="27" s="1"/>
  <c r="I522" i="27" s="1"/>
  <c r="I523" i="27" s="1"/>
  <c r="I524" i="27" s="1"/>
  <c r="I525" i="27" s="1"/>
  <c r="I526" i="27" s="1"/>
  <c r="I527" i="27" s="1"/>
  <c r="I528" i="27" s="1"/>
  <c r="I529" i="27" s="1"/>
  <c r="I530" i="27" s="1"/>
  <c r="I531" i="27" s="1"/>
  <c r="I532" i="27" s="1"/>
  <c r="I533" i="27" s="1"/>
  <c r="I534" i="27" s="1"/>
  <c r="I535" i="27" s="1"/>
  <c r="I536" i="27" s="1"/>
  <c r="I537" i="27" s="1"/>
  <c r="I538" i="27" s="1"/>
  <c r="I539" i="27" s="1"/>
  <c r="I540" i="27" s="1"/>
  <c r="I541" i="27" s="1"/>
  <c r="I542" i="27" s="1"/>
  <c r="I543" i="27" s="1"/>
  <c r="I544" i="27" s="1"/>
  <c r="I545" i="27" s="1"/>
  <c r="I546" i="27" s="1"/>
  <c r="I547" i="27" s="1"/>
  <c r="I548" i="27" s="1"/>
  <c r="I549" i="27" s="1"/>
  <c r="I550" i="27" s="1"/>
  <c r="I551" i="27" s="1"/>
  <c r="I552" i="27" s="1"/>
  <c r="I553" i="27" s="1"/>
  <c r="I554" i="27" s="1"/>
  <c r="I555" i="27" s="1"/>
  <c r="I556" i="27" s="1"/>
  <c r="I557" i="27" s="1"/>
  <c r="I558" i="27" s="1"/>
  <c r="I559" i="27" s="1"/>
  <c r="I560" i="27" s="1"/>
  <c r="I561" i="27" s="1"/>
  <c r="I562" i="27" s="1"/>
  <c r="I563" i="27" s="1"/>
  <c r="I564" i="27" s="1"/>
  <c r="I565" i="27" s="1"/>
  <c r="I566" i="27" s="1"/>
  <c r="I567" i="27" s="1"/>
  <c r="I568" i="27" s="1"/>
  <c r="I569" i="27" s="1"/>
  <c r="I570" i="27" s="1"/>
  <c r="I571" i="27" s="1"/>
  <c r="I572" i="27" s="1"/>
  <c r="I573" i="27" s="1"/>
  <c r="I574" i="27" s="1"/>
  <c r="I575" i="27" s="1"/>
  <c r="I576" i="27" s="1"/>
  <c r="I577" i="27" s="1"/>
  <c r="I578" i="27" s="1"/>
  <c r="I579" i="27" s="1"/>
  <c r="I580" i="27" s="1"/>
  <c r="I581" i="27" s="1"/>
  <c r="I582" i="27" s="1"/>
  <c r="I583" i="27" s="1"/>
  <c r="I584" i="27" s="1"/>
  <c r="I585" i="27" s="1"/>
  <c r="I586" i="27" s="1"/>
  <c r="I587" i="27" s="1"/>
  <c r="I588" i="27" s="1"/>
  <c r="I589" i="27" s="1"/>
  <c r="I590" i="27" s="1"/>
  <c r="I591" i="27" s="1"/>
  <c r="I592" i="27" s="1"/>
  <c r="I593" i="27" s="1"/>
  <c r="I594" i="27" s="1"/>
  <c r="I595" i="27" s="1"/>
  <c r="I596" i="27" s="1"/>
  <c r="I597" i="27" s="1"/>
  <c r="I598" i="27" s="1"/>
  <c r="I599" i="27" s="1"/>
  <c r="I600" i="27" s="1"/>
  <c r="I601" i="27" s="1"/>
  <c r="I602" i="27" s="1"/>
  <c r="I603" i="27" s="1"/>
  <c r="I604" i="27" s="1"/>
  <c r="I605" i="27" s="1"/>
  <c r="I606" i="27" s="1"/>
  <c r="I607" i="27" s="1"/>
  <c r="I608" i="27" s="1"/>
  <c r="I609" i="27" s="1"/>
  <c r="I610" i="27" s="1"/>
  <c r="I611" i="27" s="1"/>
  <c r="I612" i="27" s="1"/>
  <c r="I613" i="27" s="1"/>
  <c r="I614" i="27" s="1"/>
  <c r="I615" i="27" s="1"/>
  <c r="I616" i="27" s="1"/>
  <c r="I617" i="27" s="1"/>
  <c r="I618" i="27" s="1"/>
  <c r="I619" i="27" s="1"/>
  <c r="I620" i="27" s="1"/>
  <c r="I621" i="27" s="1"/>
  <c r="I622" i="27" s="1"/>
  <c r="I623" i="27" s="1"/>
  <c r="I624" i="27" s="1"/>
  <c r="I625" i="27" s="1"/>
  <c r="I626" i="27" s="1"/>
  <c r="I627" i="27" s="1"/>
  <c r="I628" i="27" s="1"/>
  <c r="I629" i="27" s="1"/>
  <c r="I630" i="27" s="1"/>
  <c r="I631" i="27" s="1"/>
  <c r="H51" i="28"/>
  <c r="H25" i="28"/>
  <c r="H21" i="28"/>
  <c r="H16" i="28"/>
  <c r="H118" i="40" l="1"/>
  <c r="H80" i="44"/>
  <c r="H53" i="28"/>
  <c r="I608" i="41"/>
  <c r="J119" i="40" s="1"/>
  <c r="H96" i="37"/>
  <c r="J100" i="37" s="1"/>
  <c r="J102" i="37" s="1"/>
  <c r="I689" i="35"/>
  <c r="J55" i="36" s="1"/>
  <c r="H54" i="36"/>
  <c r="H107" i="34"/>
  <c r="J111" i="34" s="1"/>
  <c r="J113" i="34" s="1"/>
  <c r="H90" i="31"/>
  <c r="J94" i="31" s="1"/>
  <c r="J96" i="31" s="1"/>
  <c r="H87" i="30"/>
  <c r="J91" i="30" s="1"/>
  <c r="J93" i="30" s="1"/>
  <c r="I871" i="27"/>
  <c r="J54" i="28" s="1"/>
  <c r="J122" i="40" l="1"/>
  <c r="J124" i="40" s="1"/>
  <c r="J58" i="36"/>
  <c r="J60" i="36" s="1"/>
  <c r="J57" i="28"/>
  <c r="J59" i="28" s="1"/>
  <c r="H98" i="25" l="1"/>
  <c r="J101" i="25"/>
  <c r="I18" i="26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I84" i="26" s="1"/>
  <c r="I85" i="26" s="1"/>
  <c r="I86" i="26" s="1"/>
  <c r="I87" i="26" s="1"/>
  <c r="I88" i="26" s="1"/>
  <c r="I89" i="26" s="1"/>
  <c r="I90" i="26" s="1"/>
  <c r="I91" i="26" s="1"/>
  <c r="I92" i="26" s="1"/>
  <c r="I93" i="26" s="1"/>
  <c r="I94" i="26" s="1"/>
  <c r="I95" i="26" s="1"/>
  <c r="I96" i="26" s="1"/>
  <c r="I97" i="26" s="1"/>
  <c r="I98" i="26" s="1"/>
  <c r="I99" i="26" s="1"/>
  <c r="I100" i="26" s="1"/>
  <c r="I101" i="26" s="1"/>
  <c r="I102" i="26" s="1"/>
  <c r="I103" i="26" s="1"/>
  <c r="I104" i="26" s="1"/>
  <c r="I105" i="26" s="1"/>
  <c r="I106" i="26" s="1"/>
  <c r="I107" i="26" s="1"/>
  <c r="I108" i="26" s="1"/>
  <c r="I109" i="26" s="1"/>
  <c r="I110" i="26" s="1"/>
  <c r="I111" i="26" s="1"/>
  <c r="I112" i="26" s="1"/>
  <c r="I113" i="26" s="1"/>
  <c r="I114" i="26" s="1"/>
  <c r="I115" i="26" s="1"/>
  <c r="I116" i="26" s="1"/>
  <c r="I117" i="26" s="1"/>
  <c r="I118" i="26" s="1"/>
  <c r="I119" i="26" s="1"/>
  <c r="I120" i="26" s="1"/>
  <c r="I121" i="26" s="1"/>
  <c r="I122" i="26" s="1"/>
  <c r="I123" i="26" s="1"/>
  <c r="I124" i="26" s="1"/>
  <c r="I125" i="26" s="1"/>
  <c r="I126" i="26" s="1"/>
  <c r="I127" i="26" s="1"/>
  <c r="I128" i="26" s="1"/>
  <c r="I129" i="26" s="1"/>
  <c r="I130" i="26" s="1"/>
  <c r="I131" i="26" s="1"/>
  <c r="I132" i="26" s="1"/>
  <c r="I133" i="26" s="1"/>
  <c r="I134" i="26" s="1"/>
  <c r="I135" i="26" s="1"/>
  <c r="I136" i="26" s="1"/>
  <c r="I137" i="26" s="1"/>
  <c r="I138" i="26" s="1"/>
  <c r="I139" i="26" s="1"/>
  <c r="I140" i="26" s="1"/>
  <c r="I141" i="26" s="1"/>
  <c r="I142" i="26" s="1"/>
  <c r="I143" i="26" s="1"/>
  <c r="I144" i="26" s="1"/>
  <c r="I145" i="26" s="1"/>
  <c r="I146" i="26" s="1"/>
  <c r="I147" i="26" s="1"/>
  <c r="I148" i="26" s="1"/>
  <c r="I149" i="26" s="1"/>
  <c r="I150" i="26" s="1"/>
  <c r="I151" i="26" s="1"/>
  <c r="I152" i="26" s="1"/>
  <c r="I153" i="26" s="1"/>
  <c r="I154" i="26" s="1"/>
  <c r="I155" i="26" s="1"/>
  <c r="I156" i="26" s="1"/>
  <c r="I157" i="26" s="1"/>
  <c r="I158" i="26" s="1"/>
  <c r="I159" i="26" s="1"/>
  <c r="I160" i="26" s="1"/>
  <c r="I161" i="26" s="1"/>
  <c r="I162" i="26" s="1"/>
  <c r="I163" i="26" s="1"/>
  <c r="I164" i="26" s="1"/>
  <c r="I165" i="26" s="1"/>
  <c r="I166" i="26" s="1"/>
  <c r="I167" i="26" s="1"/>
  <c r="I168" i="26" s="1"/>
  <c r="I169" i="26" s="1"/>
  <c r="I170" i="26" s="1"/>
  <c r="I171" i="26" s="1"/>
  <c r="I172" i="26" s="1"/>
  <c r="I173" i="26" s="1"/>
  <c r="I174" i="26" s="1"/>
  <c r="I175" i="26" s="1"/>
  <c r="I176" i="26" s="1"/>
  <c r="I177" i="26" s="1"/>
  <c r="I178" i="26" s="1"/>
  <c r="I179" i="26" s="1"/>
  <c r="I180" i="26" s="1"/>
  <c r="I181" i="26" s="1"/>
  <c r="I182" i="26" s="1"/>
  <c r="I183" i="26" s="1"/>
  <c r="I184" i="26" s="1"/>
  <c r="I185" i="26" s="1"/>
  <c r="I186" i="26" s="1"/>
  <c r="I187" i="26" s="1"/>
  <c r="I188" i="26" s="1"/>
  <c r="I189" i="26" s="1"/>
  <c r="I190" i="26" s="1"/>
  <c r="I191" i="26" s="1"/>
  <c r="I192" i="26" s="1"/>
  <c r="I193" i="26" s="1"/>
  <c r="I194" i="26" s="1"/>
  <c r="I195" i="26" s="1"/>
  <c r="I196" i="26" s="1"/>
  <c r="I197" i="26" s="1"/>
  <c r="I198" i="26" s="1"/>
  <c r="I199" i="26" s="1"/>
  <c r="I200" i="26" s="1"/>
  <c r="I201" i="26" s="1"/>
  <c r="I202" i="26" s="1"/>
  <c r="I203" i="26" s="1"/>
  <c r="I204" i="26" s="1"/>
  <c r="I205" i="26" s="1"/>
  <c r="I206" i="26" s="1"/>
  <c r="I207" i="26" s="1"/>
  <c r="I208" i="26" s="1"/>
  <c r="I209" i="26" s="1"/>
  <c r="I210" i="26" s="1"/>
  <c r="I211" i="26" s="1"/>
  <c r="I212" i="26" s="1"/>
  <c r="I213" i="26" s="1"/>
  <c r="I214" i="26" s="1"/>
  <c r="I215" i="26" s="1"/>
  <c r="I216" i="26" s="1"/>
  <c r="I217" i="26" s="1"/>
  <c r="I218" i="26" s="1"/>
  <c r="I219" i="26" s="1"/>
  <c r="I220" i="26" s="1"/>
  <c r="I221" i="26" s="1"/>
  <c r="I222" i="26" s="1"/>
  <c r="I223" i="26" s="1"/>
  <c r="I224" i="26" s="1"/>
  <c r="I225" i="26" s="1"/>
  <c r="I226" i="26" s="1"/>
  <c r="I227" i="26" s="1"/>
  <c r="I228" i="26" s="1"/>
  <c r="I229" i="26" s="1"/>
  <c r="I230" i="26" s="1"/>
  <c r="I231" i="26" s="1"/>
  <c r="I232" i="26" s="1"/>
  <c r="I233" i="26" s="1"/>
  <c r="I234" i="26" s="1"/>
  <c r="I235" i="26" s="1"/>
  <c r="I236" i="26" s="1"/>
  <c r="I237" i="26" s="1"/>
  <c r="I238" i="26" s="1"/>
  <c r="I239" i="26" s="1"/>
  <c r="I240" i="26" s="1"/>
  <c r="I241" i="26" s="1"/>
  <c r="I242" i="26" s="1"/>
  <c r="I243" i="26" s="1"/>
  <c r="I244" i="26" s="1"/>
  <c r="I245" i="26" s="1"/>
  <c r="I246" i="26" s="1"/>
  <c r="I247" i="26" s="1"/>
  <c r="I248" i="26" s="1"/>
  <c r="I249" i="26" s="1"/>
  <c r="I250" i="26" s="1"/>
  <c r="I251" i="26" s="1"/>
  <c r="I252" i="26" s="1"/>
  <c r="I253" i="26" s="1"/>
  <c r="I254" i="26" s="1"/>
  <c r="I255" i="26" s="1"/>
  <c r="I256" i="26" s="1"/>
  <c r="I257" i="26" s="1"/>
  <c r="I258" i="26" s="1"/>
  <c r="I259" i="26" s="1"/>
  <c r="I260" i="26" s="1"/>
  <c r="I261" i="26" s="1"/>
  <c r="I262" i="26" s="1"/>
  <c r="I263" i="26" s="1"/>
  <c r="I264" i="26" s="1"/>
  <c r="I265" i="26" s="1"/>
  <c r="I266" i="26" s="1"/>
  <c r="I267" i="26" s="1"/>
  <c r="I268" i="26" s="1"/>
  <c r="I269" i="26" s="1"/>
  <c r="I270" i="26" s="1"/>
  <c r="I271" i="26" s="1"/>
  <c r="I272" i="26" s="1"/>
  <c r="I273" i="26" s="1"/>
  <c r="I274" i="26" s="1"/>
  <c r="I275" i="26" s="1"/>
  <c r="I276" i="26" s="1"/>
  <c r="I277" i="26" s="1"/>
  <c r="I278" i="26" s="1"/>
  <c r="I279" i="26" s="1"/>
  <c r="I280" i="26" s="1"/>
  <c r="I281" i="26" s="1"/>
  <c r="I282" i="26" s="1"/>
  <c r="I283" i="26" s="1"/>
  <c r="I284" i="26" s="1"/>
  <c r="I285" i="26" s="1"/>
  <c r="I286" i="26" s="1"/>
  <c r="I287" i="26" s="1"/>
  <c r="I288" i="26" s="1"/>
  <c r="I289" i="26" s="1"/>
  <c r="I290" i="26" s="1"/>
  <c r="I291" i="26" s="1"/>
  <c r="I292" i="26" s="1"/>
  <c r="I293" i="26" s="1"/>
  <c r="I294" i="26" s="1"/>
  <c r="I295" i="26" s="1"/>
  <c r="I296" i="26" s="1"/>
  <c r="I297" i="26" s="1"/>
  <c r="I298" i="26" s="1"/>
  <c r="I299" i="26" s="1"/>
  <c r="I300" i="26" s="1"/>
  <c r="I301" i="26" s="1"/>
  <c r="I302" i="26" s="1"/>
  <c r="I303" i="26" s="1"/>
  <c r="I304" i="26" s="1"/>
  <c r="I305" i="26" s="1"/>
  <c r="I306" i="26" s="1"/>
  <c r="I307" i="26" s="1"/>
  <c r="I308" i="26" s="1"/>
  <c r="I309" i="26" s="1"/>
  <c r="I310" i="26" s="1"/>
  <c r="I311" i="26" s="1"/>
  <c r="I312" i="26" s="1"/>
  <c r="I313" i="26" s="1"/>
  <c r="I314" i="26" s="1"/>
  <c r="I315" i="26" s="1"/>
  <c r="I316" i="26" s="1"/>
  <c r="I317" i="26" s="1"/>
  <c r="I318" i="26" s="1"/>
  <c r="I319" i="26" s="1"/>
  <c r="I320" i="26" s="1"/>
  <c r="I321" i="26" s="1"/>
  <c r="I322" i="26" s="1"/>
  <c r="I323" i="26" s="1"/>
  <c r="I324" i="26" s="1"/>
  <c r="I325" i="26" s="1"/>
  <c r="I326" i="26" s="1"/>
  <c r="I327" i="26" s="1"/>
  <c r="I328" i="26" s="1"/>
  <c r="I329" i="26" s="1"/>
  <c r="I330" i="26" s="1"/>
  <c r="I331" i="26" s="1"/>
  <c r="I332" i="26" s="1"/>
  <c r="I333" i="26" s="1"/>
  <c r="I334" i="26" s="1"/>
  <c r="I335" i="26" s="1"/>
  <c r="I336" i="26" s="1"/>
  <c r="I337" i="26" s="1"/>
  <c r="I338" i="26" s="1"/>
  <c r="I339" i="26" s="1"/>
  <c r="I340" i="26" s="1"/>
  <c r="I341" i="26" s="1"/>
  <c r="I342" i="26" s="1"/>
  <c r="I343" i="26" s="1"/>
  <c r="I344" i="26" s="1"/>
  <c r="I345" i="26" s="1"/>
  <c r="I346" i="26" s="1"/>
  <c r="I347" i="26" s="1"/>
  <c r="I348" i="26" s="1"/>
  <c r="I349" i="26" s="1"/>
  <c r="I350" i="26" s="1"/>
  <c r="I351" i="26" s="1"/>
  <c r="I352" i="26" s="1"/>
  <c r="I353" i="26" s="1"/>
  <c r="I354" i="26" s="1"/>
  <c r="I355" i="26" s="1"/>
  <c r="I356" i="26" s="1"/>
  <c r="I357" i="26" s="1"/>
  <c r="I358" i="26" s="1"/>
  <c r="I359" i="26" s="1"/>
  <c r="I360" i="26" s="1"/>
  <c r="I361" i="26" s="1"/>
  <c r="I362" i="26" s="1"/>
  <c r="I363" i="26" s="1"/>
  <c r="I364" i="26" s="1"/>
  <c r="I365" i="26" s="1"/>
  <c r="I366" i="26" s="1"/>
  <c r="I367" i="26" s="1"/>
  <c r="I368" i="26" s="1"/>
  <c r="I369" i="26" s="1"/>
  <c r="I370" i="26" s="1"/>
  <c r="I371" i="26" s="1"/>
  <c r="I372" i="26" s="1"/>
  <c r="I373" i="26" s="1"/>
  <c r="I374" i="26" s="1"/>
  <c r="I375" i="26" s="1"/>
  <c r="I376" i="26" s="1"/>
  <c r="I377" i="26" s="1"/>
  <c r="I378" i="26" s="1"/>
  <c r="I379" i="26" s="1"/>
  <c r="I380" i="26" s="1"/>
  <c r="I381" i="26" s="1"/>
  <c r="I382" i="26" s="1"/>
  <c r="I383" i="26" s="1"/>
  <c r="I384" i="26" s="1"/>
  <c r="I385" i="26" s="1"/>
  <c r="I386" i="26" s="1"/>
  <c r="I387" i="26" s="1"/>
  <c r="I388" i="26" s="1"/>
  <c r="I389" i="26" s="1"/>
  <c r="I390" i="26" s="1"/>
  <c r="I391" i="26" s="1"/>
  <c r="I392" i="26" s="1"/>
  <c r="I393" i="26" s="1"/>
  <c r="I394" i="26" s="1"/>
  <c r="I395" i="26" s="1"/>
  <c r="I396" i="26" s="1"/>
  <c r="I397" i="26" s="1"/>
  <c r="I398" i="26" s="1"/>
  <c r="I399" i="26" s="1"/>
  <c r="I400" i="26" s="1"/>
  <c r="I401" i="26" s="1"/>
  <c r="I402" i="26" s="1"/>
  <c r="I403" i="26" s="1"/>
  <c r="I404" i="26" s="1"/>
  <c r="I405" i="26" s="1"/>
  <c r="I406" i="26" s="1"/>
  <c r="I407" i="26" s="1"/>
  <c r="I408" i="26" s="1"/>
  <c r="I409" i="26" s="1"/>
  <c r="I410" i="26" s="1"/>
  <c r="I411" i="26" s="1"/>
  <c r="I412" i="26" s="1"/>
  <c r="I413" i="26" s="1"/>
  <c r="I414" i="26" s="1"/>
  <c r="I415" i="26" s="1"/>
  <c r="I416" i="26" s="1"/>
  <c r="I417" i="26" s="1"/>
  <c r="I418" i="26" s="1"/>
  <c r="I419" i="26" s="1"/>
  <c r="I420" i="26" s="1"/>
  <c r="I421" i="26" s="1"/>
  <c r="I422" i="26" s="1"/>
  <c r="I423" i="26" s="1"/>
  <c r="I424" i="26" s="1"/>
  <c r="I425" i="26" s="1"/>
  <c r="I426" i="26" s="1"/>
  <c r="I427" i="26" s="1"/>
  <c r="I428" i="26" s="1"/>
  <c r="I429" i="26" s="1"/>
  <c r="I430" i="26" s="1"/>
  <c r="I431" i="26" s="1"/>
  <c r="I432" i="26" s="1"/>
  <c r="I433" i="26" s="1"/>
  <c r="I434" i="26" s="1"/>
  <c r="I435" i="26" s="1"/>
  <c r="I436" i="26" s="1"/>
  <c r="I437" i="26" s="1"/>
  <c r="I438" i="26" s="1"/>
  <c r="I439" i="26" s="1"/>
  <c r="I440" i="26" s="1"/>
  <c r="I441" i="26" s="1"/>
  <c r="I442" i="26" s="1"/>
  <c r="I443" i="26" s="1"/>
  <c r="I444" i="26" s="1"/>
  <c r="I445" i="26" s="1"/>
  <c r="I446" i="26" s="1"/>
  <c r="I447" i="26" s="1"/>
  <c r="I448" i="26" s="1"/>
  <c r="I449" i="26" s="1"/>
  <c r="I450" i="26" s="1"/>
  <c r="I451" i="26" s="1"/>
  <c r="I452" i="26" s="1"/>
  <c r="I453" i="26" s="1"/>
  <c r="I454" i="26" s="1"/>
  <c r="I455" i="26" s="1"/>
  <c r="I456" i="26" s="1"/>
  <c r="I457" i="26" s="1"/>
  <c r="I458" i="26" s="1"/>
  <c r="I459" i="26" s="1"/>
  <c r="I460" i="26" s="1"/>
  <c r="I461" i="26" s="1"/>
  <c r="I462" i="26" s="1"/>
  <c r="I463" i="26" s="1"/>
  <c r="I464" i="26" s="1"/>
  <c r="I465" i="26" s="1"/>
  <c r="I466" i="26" s="1"/>
  <c r="I467" i="26" s="1"/>
  <c r="I468" i="26" s="1"/>
  <c r="I469" i="26" s="1"/>
  <c r="I470" i="26" s="1"/>
  <c r="I471" i="26" s="1"/>
  <c r="I472" i="26" s="1"/>
  <c r="I473" i="26" s="1"/>
  <c r="I474" i="26" s="1"/>
  <c r="I475" i="26" s="1"/>
  <c r="I476" i="26" s="1"/>
  <c r="I477" i="26" s="1"/>
  <c r="I478" i="26" s="1"/>
  <c r="I479" i="26" s="1"/>
  <c r="I480" i="26" s="1"/>
  <c r="I481" i="26" s="1"/>
  <c r="I482" i="26" s="1"/>
  <c r="I483" i="26" s="1"/>
  <c r="I484" i="26" s="1"/>
  <c r="I485" i="26" s="1"/>
  <c r="I486" i="26" s="1"/>
  <c r="I487" i="26" s="1"/>
  <c r="I488" i="26" s="1"/>
  <c r="I489" i="26" s="1"/>
  <c r="I490" i="26" s="1"/>
  <c r="I491" i="26" s="1"/>
  <c r="I492" i="26" s="1"/>
  <c r="I493" i="26" s="1"/>
  <c r="I494" i="26" s="1"/>
  <c r="I495" i="26" s="1"/>
  <c r="I496" i="26" s="1"/>
  <c r="I497" i="26" s="1"/>
  <c r="I498" i="26" s="1"/>
  <c r="I499" i="26" s="1"/>
  <c r="I500" i="26" s="1"/>
  <c r="I501" i="26" s="1"/>
  <c r="I502" i="26" s="1"/>
  <c r="I503" i="26" s="1"/>
  <c r="I504" i="26" s="1"/>
  <c r="I505" i="26" s="1"/>
  <c r="I506" i="26" s="1"/>
  <c r="I507" i="26" s="1"/>
  <c r="I508" i="26" s="1"/>
  <c r="I509" i="26" s="1"/>
  <c r="I510" i="26" s="1"/>
  <c r="I511" i="26" s="1"/>
  <c r="I512" i="26" s="1"/>
  <c r="I513" i="26" s="1"/>
  <c r="I514" i="26" s="1"/>
  <c r="I515" i="26" s="1"/>
  <c r="I516" i="26" s="1"/>
  <c r="I517" i="26" s="1"/>
  <c r="I518" i="26" s="1"/>
  <c r="I519" i="26" s="1"/>
  <c r="I520" i="26" s="1"/>
  <c r="I521" i="26" s="1"/>
  <c r="I522" i="26" s="1"/>
  <c r="I523" i="26" s="1"/>
  <c r="I524" i="26" s="1"/>
  <c r="I525" i="26" s="1"/>
  <c r="I526" i="26" s="1"/>
  <c r="I527" i="26" s="1"/>
  <c r="I528" i="26" s="1"/>
  <c r="I529" i="26" s="1"/>
  <c r="I530" i="26" s="1"/>
  <c r="I531" i="26" s="1"/>
  <c r="I532" i="26" s="1"/>
  <c r="I533" i="26" s="1"/>
  <c r="I534" i="26" s="1"/>
  <c r="I535" i="26" s="1"/>
  <c r="I536" i="26" s="1"/>
  <c r="I537" i="26" s="1"/>
  <c r="I538" i="26" s="1"/>
  <c r="I539" i="26" s="1"/>
  <c r="I540" i="26" s="1"/>
  <c r="I541" i="26" s="1"/>
  <c r="I542" i="26" s="1"/>
  <c r="I543" i="26" s="1"/>
  <c r="I544" i="26" s="1"/>
  <c r="I545" i="26" s="1"/>
  <c r="I546" i="26" s="1"/>
  <c r="I547" i="26" s="1"/>
  <c r="I548" i="26" s="1"/>
  <c r="I549" i="26" s="1"/>
  <c r="I550" i="26" s="1"/>
  <c r="I551" i="26" s="1"/>
  <c r="I552" i="26" s="1"/>
  <c r="I553" i="26" s="1"/>
  <c r="I554" i="26" s="1"/>
  <c r="I555" i="26" s="1"/>
  <c r="I556" i="26" s="1"/>
  <c r="I557" i="26" s="1"/>
  <c r="I558" i="26" s="1"/>
  <c r="I559" i="26" s="1"/>
  <c r="I560" i="26" s="1"/>
  <c r="I561" i="26" s="1"/>
  <c r="I562" i="26" s="1"/>
  <c r="I563" i="26" s="1"/>
  <c r="I564" i="26" s="1"/>
  <c r="I565" i="26" s="1"/>
  <c r="I566" i="26" s="1"/>
  <c r="I567" i="26" s="1"/>
  <c r="I568" i="26" s="1"/>
  <c r="I569" i="26" s="1"/>
  <c r="I570" i="26" s="1"/>
  <c r="I571" i="26" s="1"/>
  <c r="I572" i="26" s="1"/>
  <c r="I573" i="26" s="1"/>
  <c r="I574" i="26" s="1"/>
  <c r="I575" i="26" s="1"/>
  <c r="I576" i="26" s="1"/>
  <c r="I577" i="26" s="1"/>
  <c r="I578" i="26" s="1"/>
  <c r="I579" i="26" s="1"/>
  <c r="I580" i="26" s="1"/>
  <c r="I581" i="26" s="1"/>
  <c r="I582" i="26" s="1"/>
  <c r="I583" i="26" s="1"/>
  <c r="I584" i="26" s="1"/>
  <c r="I585" i="26" s="1"/>
  <c r="I586" i="26" s="1"/>
  <c r="I587" i="26" s="1"/>
  <c r="I588" i="26" s="1"/>
  <c r="I589" i="26" s="1"/>
  <c r="I590" i="26" s="1"/>
  <c r="I591" i="26" s="1"/>
  <c r="I592" i="26" s="1"/>
  <c r="I593" i="26" s="1"/>
  <c r="I594" i="26" s="1"/>
  <c r="I595" i="26" s="1"/>
  <c r="I596" i="26" s="1"/>
  <c r="I597" i="26" s="1"/>
  <c r="I598" i="26" s="1"/>
  <c r="I599" i="26" s="1"/>
  <c r="I600" i="26" s="1"/>
  <c r="I601" i="26" s="1"/>
  <c r="I602" i="26" s="1"/>
  <c r="I603" i="26" s="1"/>
  <c r="I604" i="26" s="1"/>
  <c r="I605" i="26" s="1"/>
  <c r="I606" i="26" s="1"/>
  <c r="I607" i="26" s="1"/>
  <c r="I608" i="26" s="1"/>
  <c r="I609" i="26" s="1"/>
  <c r="I610" i="26" s="1"/>
  <c r="I611" i="26" s="1"/>
  <c r="I612" i="26" s="1"/>
  <c r="I613" i="26" s="1"/>
  <c r="I614" i="26" s="1"/>
  <c r="I615" i="26" s="1"/>
  <c r="I616" i="26" s="1"/>
  <c r="I617" i="26" s="1"/>
  <c r="I618" i="26" s="1"/>
  <c r="I619" i="26" s="1"/>
  <c r="I620" i="26" s="1"/>
  <c r="I621" i="26" s="1"/>
  <c r="I622" i="26" s="1"/>
  <c r="I623" i="26" s="1"/>
  <c r="I624" i="26" s="1"/>
  <c r="I625" i="26" s="1"/>
  <c r="I626" i="26" s="1"/>
  <c r="I627" i="26" s="1"/>
  <c r="I628" i="26" s="1"/>
  <c r="I629" i="26" s="1"/>
  <c r="I630" i="26" s="1"/>
  <c r="I631" i="26" s="1"/>
  <c r="I632" i="26" s="1"/>
  <c r="I633" i="26" s="1"/>
  <c r="I634" i="26" s="1"/>
  <c r="I635" i="26" s="1"/>
  <c r="I636" i="26" s="1"/>
  <c r="I637" i="26" s="1"/>
  <c r="I638" i="26" s="1"/>
  <c r="I639" i="26" s="1"/>
  <c r="I640" i="26" s="1"/>
  <c r="I641" i="26" s="1"/>
  <c r="I642" i="26" s="1"/>
  <c r="I643" i="26" s="1"/>
  <c r="I644" i="26" s="1"/>
  <c r="I645" i="26" s="1"/>
  <c r="I646" i="26" s="1"/>
  <c r="I647" i="26" s="1"/>
  <c r="I648" i="26" s="1"/>
  <c r="I649" i="26" s="1"/>
  <c r="I650" i="26" s="1"/>
  <c r="I651" i="26" s="1"/>
  <c r="I652" i="26" s="1"/>
  <c r="I653" i="26" s="1"/>
  <c r="I654" i="26" s="1"/>
  <c r="I655" i="26" s="1"/>
  <c r="I656" i="26" s="1"/>
  <c r="I657" i="26" s="1"/>
  <c r="I658" i="26" s="1"/>
  <c r="I659" i="26" s="1"/>
  <c r="I660" i="26" s="1"/>
  <c r="I661" i="26" s="1"/>
  <c r="I662" i="26" s="1"/>
  <c r="I663" i="26" s="1"/>
  <c r="I664" i="26" s="1"/>
  <c r="I665" i="26" s="1"/>
  <c r="I666" i="26" s="1"/>
  <c r="I667" i="26" s="1"/>
  <c r="I668" i="26" s="1"/>
  <c r="I669" i="26" s="1"/>
  <c r="I670" i="26" s="1"/>
  <c r="I671" i="26" s="1"/>
  <c r="I672" i="26" s="1"/>
  <c r="I673" i="26" s="1"/>
  <c r="I674" i="26" s="1"/>
  <c r="I675" i="26" s="1"/>
  <c r="I676" i="26" s="1"/>
  <c r="I677" i="26" s="1"/>
  <c r="I678" i="26" s="1"/>
  <c r="I679" i="26" s="1"/>
  <c r="I680" i="26" s="1"/>
  <c r="I681" i="26" s="1"/>
  <c r="I682" i="26" s="1"/>
  <c r="I683" i="26" s="1"/>
  <c r="I684" i="26" s="1"/>
  <c r="I685" i="26" s="1"/>
  <c r="I686" i="26" s="1"/>
  <c r="I687" i="26" s="1"/>
  <c r="I688" i="26" s="1"/>
  <c r="I689" i="26" s="1"/>
  <c r="I690" i="26" s="1"/>
  <c r="I691" i="26" s="1"/>
  <c r="I692" i="26" s="1"/>
  <c r="I693" i="26" s="1"/>
  <c r="I694" i="26" s="1"/>
  <c r="I695" i="26" s="1"/>
  <c r="I696" i="26" s="1"/>
  <c r="I697" i="26" s="1"/>
  <c r="I698" i="26" s="1"/>
  <c r="I699" i="26" s="1"/>
  <c r="I700" i="26" s="1"/>
  <c r="I701" i="26" s="1"/>
  <c r="I702" i="26" s="1"/>
  <c r="I703" i="26" s="1"/>
  <c r="I704" i="26" s="1"/>
  <c r="I705" i="26" s="1"/>
  <c r="I706" i="26" s="1"/>
  <c r="I707" i="26" s="1"/>
  <c r="I708" i="26" s="1"/>
  <c r="I709" i="26" s="1"/>
  <c r="I710" i="26" s="1"/>
  <c r="I711" i="26" s="1"/>
  <c r="I712" i="26" s="1"/>
  <c r="I713" i="26" s="1"/>
  <c r="I714" i="26" s="1"/>
  <c r="I715" i="26" s="1"/>
  <c r="I716" i="26" s="1"/>
  <c r="I717" i="26" s="1"/>
  <c r="I718" i="26" s="1"/>
  <c r="I719" i="26" s="1"/>
  <c r="I720" i="26" s="1"/>
  <c r="I721" i="26" s="1"/>
  <c r="I722" i="26" s="1"/>
  <c r="I723" i="26" s="1"/>
  <c r="I724" i="26" s="1"/>
  <c r="I725" i="26" s="1"/>
  <c r="I726" i="26" s="1"/>
  <c r="I727" i="26" s="1"/>
  <c r="I728" i="26" s="1"/>
  <c r="I729" i="26" s="1"/>
  <c r="I730" i="26" s="1"/>
  <c r="I731" i="26" s="1"/>
  <c r="I732" i="26" s="1"/>
  <c r="I733" i="26" s="1"/>
  <c r="I734" i="26" s="1"/>
  <c r="I735" i="26" s="1"/>
  <c r="I736" i="26" s="1"/>
  <c r="I737" i="26" s="1"/>
  <c r="I738" i="26" s="1"/>
  <c r="I739" i="26" s="1"/>
  <c r="I740" i="26" s="1"/>
  <c r="I741" i="26" s="1"/>
  <c r="I742" i="26" s="1"/>
  <c r="I743" i="26" s="1"/>
  <c r="I744" i="26" s="1"/>
  <c r="I745" i="26" s="1"/>
  <c r="I746" i="26" s="1"/>
  <c r="I747" i="26" s="1"/>
  <c r="I748" i="26" s="1"/>
  <c r="I749" i="26" s="1"/>
  <c r="I750" i="26" s="1"/>
  <c r="I751" i="26" s="1"/>
  <c r="I752" i="26" s="1"/>
  <c r="I753" i="26" s="1"/>
  <c r="I754" i="26" s="1"/>
  <c r="I755" i="26" s="1"/>
  <c r="I756" i="26" s="1"/>
  <c r="I757" i="26" s="1"/>
  <c r="I758" i="26" s="1"/>
  <c r="I759" i="26" s="1"/>
  <c r="I760" i="26" s="1"/>
  <c r="I761" i="26" s="1"/>
  <c r="I762" i="26" s="1"/>
  <c r="I763" i="26" s="1"/>
  <c r="I764" i="26" s="1"/>
  <c r="I765" i="26" s="1"/>
  <c r="I766" i="26" s="1"/>
  <c r="I767" i="26" s="1"/>
  <c r="I768" i="26" s="1"/>
  <c r="I769" i="26" s="1"/>
  <c r="I770" i="26" s="1"/>
  <c r="I771" i="26" s="1"/>
  <c r="I772" i="26" s="1"/>
  <c r="I773" i="26" s="1"/>
  <c r="I774" i="26" s="1"/>
  <c r="I775" i="26" s="1"/>
  <c r="I776" i="26" s="1"/>
  <c r="I777" i="26" s="1"/>
  <c r="I778" i="26" s="1"/>
  <c r="I779" i="26" s="1"/>
  <c r="I780" i="26" s="1"/>
  <c r="I781" i="26" s="1"/>
  <c r="I782" i="26" s="1"/>
  <c r="I783" i="26" s="1"/>
  <c r="I784" i="26" s="1"/>
  <c r="I785" i="26" s="1"/>
  <c r="I786" i="26" s="1"/>
  <c r="I787" i="26" s="1"/>
  <c r="I788" i="26" s="1"/>
  <c r="I789" i="26" s="1"/>
  <c r="I790" i="26" s="1"/>
  <c r="I791" i="26" s="1"/>
  <c r="I792" i="26" s="1"/>
  <c r="I793" i="26" s="1"/>
  <c r="I794" i="26" s="1"/>
  <c r="I795" i="26" s="1"/>
  <c r="I796" i="26" s="1"/>
  <c r="I797" i="26" s="1"/>
  <c r="I798" i="26" s="1"/>
  <c r="I799" i="26" s="1"/>
  <c r="I800" i="26" s="1"/>
  <c r="I801" i="26" s="1"/>
  <c r="I802" i="26" s="1"/>
  <c r="I803" i="26" s="1"/>
  <c r="I804" i="26" s="1"/>
  <c r="I805" i="26" s="1"/>
  <c r="I806" i="26" s="1"/>
  <c r="I807" i="26" s="1"/>
  <c r="I808" i="26" s="1"/>
  <c r="I809" i="26" s="1"/>
  <c r="I810" i="26" s="1"/>
  <c r="I811" i="26" s="1"/>
  <c r="I812" i="26" s="1"/>
  <c r="I813" i="26" s="1"/>
  <c r="I814" i="26" s="1"/>
  <c r="I815" i="26" s="1"/>
  <c r="I816" i="26" s="1"/>
  <c r="I817" i="26" s="1"/>
  <c r="I818" i="26" s="1"/>
  <c r="I819" i="26" s="1"/>
  <c r="I820" i="26" s="1"/>
  <c r="I821" i="26" s="1"/>
  <c r="I822" i="26" s="1"/>
  <c r="I823" i="26" s="1"/>
  <c r="I824" i="26" s="1"/>
  <c r="I825" i="26" s="1"/>
  <c r="I826" i="26" s="1"/>
  <c r="I827" i="26" s="1"/>
  <c r="I828" i="26" s="1"/>
  <c r="I829" i="26" s="1"/>
  <c r="I830" i="26" s="1"/>
  <c r="I831" i="26" s="1"/>
  <c r="I832" i="26" s="1"/>
  <c r="I833" i="26" s="1"/>
  <c r="I834" i="26" s="1"/>
  <c r="I835" i="26" s="1"/>
  <c r="I836" i="26" s="1"/>
  <c r="I837" i="26" s="1"/>
  <c r="I838" i="26" s="1"/>
  <c r="I839" i="26" s="1"/>
  <c r="I840" i="26" s="1"/>
  <c r="I841" i="26" s="1"/>
  <c r="I842" i="26" s="1"/>
  <c r="I843" i="26" s="1"/>
  <c r="I844" i="26" s="1"/>
  <c r="I845" i="26" s="1"/>
  <c r="I846" i="26" s="1"/>
  <c r="I847" i="26" s="1"/>
  <c r="I848" i="26" s="1"/>
  <c r="I849" i="26" s="1"/>
  <c r="I850" i="26" s="1"/>
  <c r="I851" i="26" s="1"/>
  <c r="I852" i="26" s="1"/>
  <c r="I853" i="26" s="1"/>
  <c r="I854" i="26" s="1"/>
  <c r="I855" i="26" s="1"/>
  <c r="I856" i="26" s="1"/>
  <c r="I857" i="26" s="1"/>
  <c r="I858" i="26" s="1"/>
  <c r="I859" i="26" s="1"/>
  <c r="I860" i="26" s="1"/>
  <c r="I861" i="26" s="1"/>
  <c r="I862" i="26" s="1"/>
  <c r="I863" i="26" s="1"/>
  <c r="I864" i="26" s="1"/>
  <c r="I865" i="26" s="1"/>
  <c r="I866" i="26" s="1"/>
  <c r="I867" i="26" s="1"/>
  <c r="I868" i="26" s="1"/>
  <c r="I869" i="26" s="1"/>
  <c r="I870" i="26" s="1"/>
  <c r="I871" i="26" s="1"/>
  <c r="I872" i="26" s="1"/>
  <c r="I873" i="26" s="1"/>
  <c r="I874" i="26" s="1"/>
  <c r="I875" i="26" s="1"/>
  <c r="I876" i="26" s="1"/>
  <c r="I877" i="26" s="1"/>
  <c r="I878" i="26" s="1"/>
  <c r="I879" i="26" s="1"/>
  <c r="I880" i="26" s="1"/>
  <c r="I881" i="26" s="1"/>
  <c r="I882" i="26" s="1"/>
  <c r="I883" i="26" s="1"/>
  <c r="I884" i="26" s="1"/>
  <c r="I885" i="26" s="1"/>
  <c r="I886" i="26" s="1"/>
  <c r="I887" i="26" s="1"/>
  <c r="I888" i="26" s="1"/>
  <c r="I889" i="26" s="1"/>
  <c r="I890" i="26" s="1"/>
  <c r="I891" i="26" s="1"/>
  <c r="I892" i="26" s="1"/>
  <c r="I893" i="26" s="1"/>
  <c r="I894" i="26" s="1"/>
  <c r="I895" i="26" s="1"/>
  <c r="I896" i="26" s="1"/>
  <c r="I897" i="26" s="1"/>
  <c r="I898" i="26" s="1"/>
  <c r="I899" i="26" s="1"/>
  <c r="I900" i="26" s="1"/>
  <c r="I901" i="26" s="1"/>
  <c r="I902" i="26" s="1"/>
  <c r="I903" i="26" s="1"/>
  <c r="I904" i="26" s="1"/>
  <c r="I905" i="26" s="1"/>
  <c r="I906" i="26" s="1"/>
  <c r="I907" i="26" s="1"/>
  <c r="I908" i="26" s="1"/>
  <c r="I909" i="26" s="1"/>
  <c r="I910" i="26" s="1"/>
  <c r="I911" i="26" s="1"/>
  <c r="I912" i="26" s="1"/>
  <c r="I913" i="26" s="1"/>
  <c r="I914" i="26" s="1"/>
  <c r="I915" i="26" s="1"/>
  <c r="I916" i="26" s="1"/>
  <c r="I917" i="26" s="1"/>
  <c r="I918" i="26" s="1"/>
  <c r="I919" i="26" s="1"/>
  <c r="I920" i="26" s="1"/>
  <c r="I921" i="26" s="1"/>
  <c r="I922" i="26" s="1"/>
  <c r="I923" i="26" s="1"/>
  <c r="I924" i="26" s="1"/>
  <c r="I925" i="26" s="1"/>
  <c r="I926" i="26" s="1"/>
  <c r="I927" i="26" s="1"/>
  <c r="I928" i="26" s="1"/>
  <c r="I929" i="26" s="1"/>
  <c r="I930" i="26" s="1"/>
  <c r="I931" i="26" s="1"/>
  <c r="I932" i="26" s="1"/>
  <c r="I933" i="26" s="1"/>
  <c r="I934" i="26" s="1"/>
  <c r="I935" i="26" s="1"/>
  <c r="I936" i="26" s="1"/>
  <c r="I937" i="26" s="1"/>
  <c r="I938" i="26" s="1"/>
  <c r="I939" i="26" s="1"/>
  <c r="I940" i="26" s="1"/>
  <c r="I941" i="26" s="1"/>
  <c r="I942" i="26" s="1"/>
  <c r="I943" i="26" s="1"/>
  <c r="I944" i="26" s="1"/>
  <c r="I945" i="26" s="1"/>
  <c r="I946" i="26" s="1"/>
  <c r="I947" i="26" s="1"/>
  <c r="I948" i="26" s="1"/>
  <c r="I949" i="26" s="1"/>
  <c r="I950" i="26" s="1"/>
  <c r="I951" i="26" s="1"/>
  <c r="I952" i="26" s="1"/>
  <c r="I953" i="26" s="1"/>
  <c r="I954" i="26" s="1"/>
  <c r="I955" i="26" s="1"/>
  <c r="I956" i="26" s="1"/>
  <c r="I957" i="26" s="1"/>
  <c r="I958" i="26" s="1"/>
  <c r="I959" i="26" s="1"/>
  <c r="I960" i="26" s="1"/>
  <c r="I961" i="26" s="1"/>
  <c r="H25" i="25"/>
  <c r="H21" i="25"/>
  <c r="H16" i="25"/>
  <c r="J66" i="3"/>
  <c r="I18" i="4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I645" i="4" s="1"/>
  <c r="I646" i="4" s="1"/>
  <c r="I647" i="4" s="1"/>
  <c r="I648" i="4" s="1"/>
  <c r="I649" i="4" s="1"/>
  <c r="I650" i="4" s="1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I673" i="4" s="1"/>
  <c r="I674" i="4" s="1"/>
  <c r="I675" i="4" s="1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I698" i="4" s="1"/>
  <c r="I699" i="4" s="1"/>
  <c r="I700" i="4" s="1"/>
  <c r="I701" i="4" s="1"/>
  <c r="I702" i="4" s="1"/>
  <c r="I703" i="4" s="1"/>
  <c r="I704" i="4" s="1"/>
  <c r="I705" i="4" s="1"/>
  <c r="I706" i="4" s="1"/>
  <c r="I707" i="4" s="1"/>
  <c r="I708" i="4" s="1"/>
  <c r="I709" i="4" s="1"/>
  <c r="I710" i="4" s="1"/>
  <c r="I711" i="4" s="1"/>
  <c r="I712" i="4" s="1"/>
  <c r="I713" i="4" s="1"/>
  <c r="I714" i="4" s="1"/>
  <c r="I715" i="4" s="1"/>
  <c r="I716" i="4" s="1"/>
  <c r="I717" i="4" s="1"/>
  <c r="I718" i="4" s="1"/>
  <c r="I719" i="4" s="1"/>
  <c r="I720" i="4" s="1"/>
  <c r="I721" i="4" s="1"/>
  <c r="I722" i="4" s="1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I745" i="4" s="1"/>
  <c r="I746" i="4" s="1"/>
  <c r="I747" i="4" s="1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I770" i="4" s="1"/>
  <c r="I771" i="4" s="1"/>
  <c r="I772" i="4" s="1"/>
  <c r="I773" i="4" s="1"/>
  <c r="I774" i="4" s="1"/>
  <c r="I775" i="4" s="1"/>
  <c r="I776" i="4" s="1"/>
  <c r="I777" i="4" s="1"/>
  <c r="I778" i="4" s="1"/>
  <c r="I779" i="4" s="1"/>
  <c r="I780" i="4" s="1"/>
  <c r="I781" i="4" s="1"/>
  <c r="I782" i="4" s="1"/>
  <c r="I783" i="4" s="1"/>
  <c r="I784" i="4" s="1"/>
  <c r="I785" i="4" s="1"/>
  <c r="I786" i="4" s="1"/>
  <c r="I787" i="4" s="1"/>
  <c r="I788" i="4" s="1"/>
  <c r="I789" i="4" s="1"/>
  <c r="I790" i="4" s="1"/>
  <c r="I791" i="4" s="1"/>
  <c r="I792" i="4" s="1"/>
  <c r="I793" i="4" s="1"/>
  <c r="I794" i="4" s="1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I817" i="4" s="1"/>
  <c r="I818" i="4" s="1"/>
  <c r="I819" i="4" s="1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I842" i="4" s="1"/>
  <c r="I843" i="4" s="1"/>
  <c r="I844" i="4" s="1"/>
  <c r="I845" i="4" s="1"/>
  <c r="I846" i="4" s="1"/>
  <c r="I847" i="4" s="1"/>
  <c r="I848" i="4" s="1"/>
  <c r="I849" i="4" s="1"/>
  <c r="I850" i="4" s="1"/>
  <c r="I851" i="4" s="1"/>
  <c r="I852" i="4" s="1"/>
  <c r="I853" i="4" s="1"/>
  <c r="I854" i="4" s="1"/>
  <c r="I855" i="4" s="1"/>
  <c r="I856" i="4" s="1"/>
  <c r="I857" i="4" s="1"/>
  <c r="I858" i="4" s="1"/>
  <c r="I859" i="4" s="1"/>
  <c r="I860" i="4" s="1"/>
  <c r="I861" i="4" s="1"/>
  <c r="I862" i="4" s="1"/>
  <c r="I863" i="4" s="1"/>
  <c r="I864" i="4" s="1"/>
  <c r="I865" i="4" s="1"/>
  <c r="I866" i="4" s="1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I889" i="4" s="1"/>
  <c r="I890" i="4" s="1"/>
  <c r="I891" i="4" s="1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I914" i="4" s="1"/>
  <c r="I915" i="4" s="1"/>
  <c r="I916" i="4" s="1"/>
  <c r="I917" i="4" s="1"/>
  <c r="I918" i="4" s="1"/>
  <c r="I919" i="4" s="1"/>
  <c r="I920" i="4" s="1"/>
  <c r="I921" i="4" s="1"/>
  <c r="I922" i="4" s="1"/>
  <c r="I923" i="4" s="1"/>
  <c r="I924" i="4" s="1"/>
  <c r="I925" i="4" s="1"/>
  <c r="I926" i="4" s="1"/>
  <c r="I927" i="4" s="1"/>
  <c r="I928" i="4" s="1"/>
  <c r="I929" i="4" s="1"/>
  <c r="I930" i="4" s="1"/>
  <c r="I931" i="4" s="1"/>
  <c r="I932" i="4" s="1"/>
  <c r="I933" i="4" s="1"/>
  <c r="I934" i="4" s="1"/>
  <c r="I935" i="4" s="1"/>
  <c r="I936" i="4" s="1"/>
  <c r="I937" i="4" s="1"/>
  <c r="I938" i="4" s="1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I961" i="4" s="1"/>
  <c r="I962" i="4" s="1"/>
  <c r="I963" i="4" s="1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I986" i="4" s="1"/>
  <c r="I987" i="4" s="1"/>
  <c r="I988" i="4" s="1"/>
  <c r="I989" i="4" s="1"/>
  <c r="I990" i="4" s="1"/>
  <c r="I991" i="4" s="1"/>
  <c r="I992" i="4" s="1"/>
  <c r="I993" i="4" s="1"/>
  <c r="I994" i="4" s="1"/>
  <c r="I995" i="4" s="1"/>
  <c r="I996" i="4" s="1"/>
  <c r="I997" i="4" s="1"/>
  <c r="I998" i="4" s="1"/>
  <c r="I999" i="4" s="1"/>
  <c r="I1000" i="4" s="1"/>
  <c r="I1001" i="4" s="1"/>
  <c r="I1002" i="4" s="1"/>
  <c r="I1003" i="4" s="1"/>
  <c r="I1004" i="4" s="1"/>
  <c r="I1005" i="4" s="1"/>
  <c r="I1006" i="4" s="1"/>
  <c r="I1007" i="4" s="1"/>
  <c r="I1008" i="4" s="1"/>
  <c r="I1009" i="4" s="1"/>
  <c r="I1010" i="4" s="1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I1032" i="4" s="1"/>
  <c r="I1033" i="4" s="1"/>
  <c r="I1034" i="4" s="1"/>
  <c r="I1035" i="4" s="1"/>
  <c r="I1036" i="4" s="1"/>
  <c r="I1037" i="4" s="1"/>
  <c r="I1038" i="4" s="1"/>
  <c r="I1039" i="4" s="1"/>
  <c r="I1040" i="4" s="1"/>
  <c r="I1041" i="4" s="1"/>
  <c r="I1042" i="4" s="1"/>
  <c r="I1043" i="4" s="1"/>
  <c r="I1044" i="4" s="1"/>
  <c r="I1045" i="4" s="1"/>
  <c r="I1046" i="4" s="1"/>
  <c r="I1047" i="4" s="1"/>
  <c r="I1048" i="4" s="1"/>
  <c r="I1049" i="4" s="1"/>
  <c r="I1050" i="4" s="1"/>
  <c r="I1051" i="4" s="1"/>
  <c r="I1052" i="4" s="1"/>
  <c r="I1053" i="4" s="1"/>
  <c r="I1054" i="4" s="1"/>
  <c r="I1055" i="4" s="1"/>
  <c r="I1056" i="4" s="1"/>
  <c r="I1057" i="4" s="1"/>
  <c r="I1058" i="4" s="1"/>
  <c r="I1059" i="4" s="1"/>
  <c r="I1060" i="4" s="1"/>
  <c r="I1061" i="4" s="1"/>
  <c r="I1062" i="4" s="1"/>
  <c r="I1063" i="4" s="1"/>
  <c r="I1064" i="4" s="1"/>
  <c r="I1065" i="4" s="1"/>
  <c r="I1066" i="4" s="1"/>
  <c r="I1067" i="4" s="1"/>
  <c r="I1068" i="4" s="1"/>
  <c r="I1069" i="4" s="1"/>
  <c r="I1070" i="4" s="1"/>
  <c r="I1071" i="4" s="1"/>
  <c r="I1072" i="4" s="1"/>
  <c r="I1073" i="4" s="1"/>
  <c r="I1074" i="4" s="1"/>
  <c r="I1075" i="4" s="1"/>
  <c r="I1076" i="4" s="1"/>
  <c r="I1077" i="4" s="1"/>
  <c r="I1078" i="4" s="1"/>
  <c r="I1079" i="4" s="1"/>
  <c r="I1080" i="4" s="1"/>
  <c r="I1081" i="4" s="1"/>
  <c r="I1082" i="4" s="1"/>
  <c r="I1083" i="4" s="1"/>
  <c r="I1084" i="4" s="1"/>
  <c r="I1085" i="4" s="1"/>
  <c r="I1086" i="4" s="1"/>
  <c r="I1087" i="4" s="1"/>
  <c r="I1088" i="4" s="1"/>
  <c r="I1089" i="4" s="1"/>
  <c r="I1090" i="4" s="1"/>
  <c r="I1091" i="4" s="1"/>
  <c r="I1092" i="4" s="1"/>
  <c r="I1093" i="4" s="1"/>
  <c r="I1094" i="4" s="1"/>
  <c r="I1095" i="4" s="1"/>
  <c r="I1096" i="4" s="1"/>
  <c r="I1097" i="4" s="1"/>
  <c r="I1098" i="4" s="1"/>
  <c r="I1099" i="4" s="1"/>
  <c r="I1100" i="4" s="1"/>
  <c r="I1101" i="4" s="1"/>
  <c r="I1102" i="4" s="1"/>
  <c r="I1103" i="4" s="1"/>
  <c r="I1104" i="4" s="1"/>
  <c r="I1105" i="4" s="1"/>
  <c r="I1106" i="4" s="1"/>
  <c r="I1107" i="4" s="1"/>
  <c r="I1108" i="4" s="1"/>
  <c r="I1109" i="4" s="1"/>
  <c r="I1110" i="4" s="1"/>
  <c r="I1111" i="4" s="1"/>
  <c r="I1112" i="4" s="1"/>
  <c r="I1113" i="4" s="1"/>
  <c r="I1114" i="4" s="1"/>
  <c r="I1115" i="4" s="1"/>
  <c r="I1116" i="4" s="1"/>
  <c r="I1117" i="4" s="1"/>
  <c r="I1118" i="4" s="1"/>
  <c r="I1119" i="4" s="1"/>
  <c r="I1120" i="4" s="1"/>
  <c r="I1121" i="4" s="1"/>
  <c r="I1122" i="4" s="1"/>
  <c r="I1123" i="4" s="1"/>
  <c r="I1124" i="4" s="1"/>
  <c r="I1125" i="4" s="1"/>
  <c r="I1126" i="4" s="1"/>
  <c r="I1127" i="4" s="1"/>
  <c r="I1128" i="4" s="1"/>
  <c r="I1129" i="4" s="1"/>
  <c r="I1130" i="4" s="1"/>
  <c r="I1131" i="4" s="1"/>
  <c r="I1132" i="4" s="1"/>
  <c r="I1133" i="4" s="1"/>
  <c r="I1134" i="4" s="1"/>
  <c r="I1135" i="4" s="1"/>
  <c r="I1136" i="4" s="1"/>
  <c r="I1137" i="4" s="1"/>
  <c r="I1138" i="4" s="1"/>
  <c r="I1139" i="4" s="1"/>
  <c r="I1140" i="4" s="1"/>
  <c r="I1141" i="4" s="1"/>
  <c r="I1142" i="4" s="1"/>
  <c r="I1143" i="4" s="1"/>
  <c r="I1144" i="4" s="1"/>
  <c r="I1145" i="4" s="1"/>
  <c r="I1146" i="4" s="1"/>
  <c r="I1147" i="4" s="1"/>
  <c r="I1148" i="4" s="1"/>
  <c r="I1149" i="4" s="1"/>
  <c r="I1150" i="4" s="1"/>
  <c r="I1151" i="4" s="1"/>
  <c r="I1152" i="4" s="1"/>
  <c r="I1153" i="4" s="1"/>
  <c r="I1154" i="4" s="1"/>
  <c r="I1155" i="4" s="1"/>
  <c r="I1156" i="4" s="1"/>
  <c r="I1157" i="4" s="1"/>
  <c r="I1158" i="4" s="1"/>
  <c r="I1159" i="4" s="1"/>
  <c r="I1160" i="4" s="1"/>
  <c r="I1161" i="4" s="1"/>
  <c r="I1162" i="4" s="1"/>
  <c r="I1163" i="4" s="1"/>
  <c r="I1164" i="4" s="1"/>
  <c r="I1165" i="4" s="1"/>
  <c r="I1166" i="4" s="1"/>
  <c r="I1167" i="4" s="1"/>
  <c r="I1168" i="4" s="1"/>
  <c r="I1169" i="4" s="1"/>
  <c r="I1170" i="4" s="1"/>
  <c r="I1171" i="4" s="1"/>
  <c r="I1172" i="4" s="1"/>
  <c r="I1173" i="4" s="1"/>
  <c r="I1174" i="4" s="1"/>
  <c r="I1175" i="4" s="1"/>
  <c r="I1176" i="4" s="1"/>
  <c r="I1177" i="4" s="1"/>
  <c r="I1178" i="4" s="1"/>
  <c r="I1179" i="4" s="1"/>
  <c r="I1180" i="4" s="1"/>
  <c r="I1181" i="4" s="1"/>
  <c r="I1182" i="4" s="1"/>
  <c r="I1183" i="4" s="1"/>
  <c r="I1184" i="4" s="1"/>
  <c r="I1185" i="4" s="1"/>
  <c r="I1186" i="4" s="1"/>
  <c r="I1187" i="4" s="1"/>
  <c r="I1188" i="4" s="1"/>
  <c r="I1189" i="4" s="1"/>
  <c r="I1190" i="4" s="1"/>
  <c r="I1191" i="4" s="1"/>
  <c r="I1192" i="4" s="1"/>
  <c r="I1193" i="4" s="1"/>
  <c r="I1194" i="4" s="1"/>
  <c r="I1195" i="4" s="1"/>
  <c r="I1196" i="4" s="1"/>
  <c r="I1197" i="4" s="1"/>
  <c r="I1198" i="4" s="1"/>
  <c r="I1199" i="4" s="1"/>
  <c r="I1200" i="4" s="1"/>
  <c r="I1201" i="4" s="1"/>
  <c r="I1202" i="4" s="1"/>
  <c r="I1203" i="4" s="1"/>
  <c r="I1204" i="4" s="1"/>
  <c r="I1205" i="4" s="1"/>
  <c r="I1206" i="4" s="1"/>
  <c r="I1207" i="4" s="1"/>
  <c r="I1208" i="4" s="1"/>
  <c r="I1209" i="4" s="1"/>
  <c r="I1210" i="4" s="1"/>
  <c r="I1211" i="4" s="1"/>
  <c r="I1212" i="4" s="1"/>
  <c r="I1213" i="4" s="1"/>
  <c r="I1214" i="4" s="1"/>
  <c r="I1215" i="4" s="1"/>
  <c r="I1216" i="4" s="1"/>
  <c r="I1217" i="4" s="1"/>
  <c r="I1218" i="4" s="1"/>
  <c r="I1219" i="4" s="1"/>
  <c r="I1220" i="4" s="1"/>
  <c r="I1221" i="4" s="1"/>
  <c r="I1222" i="4" s="1"/>
  <c r="I1223" i="4" s="1"/>
  <c r="I1224" i="4" s="1"/>
  <c r="I1225" i="4" s="1"/>
  <c r="I1226" i="4" s="1"/>
  <c r="I1227" i="4" s="1"/>
  <c r="I1228" i="4" s="1"/>
  <c r="I1229" i="4" s="1"/>
  <c r="I1230" i="4" s="1"/>
  <c r="I1231" i="4" s="1"/>
  <c r="I1232" i="4" s="1"/>
  <c r="H100" i="25" l="1"/>
  <c r="J104" i="25" s="1"/>
  <c r="J106" i="25" s="1"/>
  <c r="E378" i="24"/>
  <c r="E363" i="24"/>
  <c r="E338" i="24"/>
  <c r="E336" i="24"/>
  <c r="E246" i="24"/>
  <c r="E198" i="24"/>
  <c r="E123" i="24"/>
  <c r="C204" i="15"/>
  <c r="C197" i="15"/>
  <c r="C187" i="15"/>
  <c r="C182" i="15"/>
  <c r="C173" i="15"/>
  <c r="C159" i="15"/>
  <c r="C153" i="15"/>
  <c r="C149" i="15"/>
  <c r="C137" i="15"/>
  <c r="C133" i="15"/>
  <c r="C127" i="15"/>
  <c r="C123" i="15"/>
  <c r="C116" i="15"/>
  <c r="C104" i="15"/>
  <c r="C97" i="15"/>
  <c r="C93" i="15"/>
  <c r="C72" i="15"/>
  <c r="C75" i="15"/>
  <c r="C66" i="15"/>
  <c r="C69" i="15"/>
  <c r="C62" i="15"/>
  <c r="C59" i="15"/>
  <c r="C86" i="15"/>
  <c r="C7" i="15"/>
  <c r="E346" i="23"/>
  <c r="E268" i="23"/>
  <c r="E241" i="23"/>
  <c r="E243" i="23" s="1"/>
  <c r="E171" i="23"/>
  <c r="C210" i="14"/>
  <c r="C199" i="14"/>
  <c r="C191" i="14"/>
  <c r="C178" i="14"/>
  <c r="C166" i="14"/>
  <c r="C157" i="14"/>
  <c r="C150" i="14"/>
  <c r="C145" i="14"/>
  <c r="C142" i="14"/>
  <c r="C136" i="14"/>
  <c r="C130" i="14"/>
  <c r="C125" i="14"/>
  <c r="C117" i="14"/>
  <c r="C114" i="14"/>
  <c r="C111" i="14"/>
  <c r="C103" i="14"/>
  <c r="C96" i="14"/>
  <c r="C84" i="14"/>
  <c r="C74" i="14"/>
  <c r="C63" i="14"/>
  <c r="C10" i="14"/>
  <c r="E354" i="22"/>
  <c r="E297" i="22"/>
  <c r="E245" i="22"/>
  <c r="E185" i="22"/>
  <c r="E187" i="22" s="1"/>
  <c r="E118" i="22"/>
  <c r="C204" i="13"/>
  <c r="C193" i="13"/>
  <c r="C188" i="13"/>
  <c r="C183" i="13"/>
  <c r="C177" i="13"/>
  <c r="C170" i="13"/>
  <c r="C161" i="13"/>
  <c r="C164" i="13"/>
  <c r="C154" i="13"/>
  <c r="C151" i="13"/>
  <c r="C144" i="13"/>
  <c r="C130" i="13"/>
  <c r="C122" i="13"/>
  <c r="C118" i="13"/>
  <c r="C115" i="13"/>
  <c r="C104" i="13"/>
  <c r="C94" i="13"/>
  <c r="C87" i="13"/>
  <c r="C69" i="13"/>
  <c r="C60" i="13"/>
  <c r="E412" i="21"/>
  <c r="E400" i="21"/>
  <c r="E238" i="21"/>
  <c r="E168" i="21"/>
  <c r="E170" i="21"/>
  <c r="C219" i="12"/>
  <c r="C213" i="12"/>
  <c r="C205" i="12"/>
  <c r="C202" i="12"/>
  <c r="C194" i="12"/>
  <c r="C183" i="12"/>
  <c r="C172" i="12"/>
  <c r="C157" i="12"/>
  <c r="C150" i="12"/>
  <c r="C146" i="12"/>
  <c r="C138" i="12"/>
  <c r="C134" i="12"/>
  <c r="C127" i="12"/>
  <c r="C124" i="12"/>
  <c r="C120" i="12"/>
  <c r="C111" i="12"/>
  <c r="C108" i="12"/>
  <c r="C101" i="12"/>
  <c r="C96" i="12"/>
  <c r="C90" i="12"/>
  <c r="C76" i="12"/>
  <c r="C64" i="12"/>
  <c r="C9" i="12"/>
  <c r="E403" i="20" l="1"/>
  <c r="E336" i="20"/>
  <c r="E282" i="20"/>
  <c r="E204" i="20"/>
  <c r="E187" i="20"/>
  <c r="E189" i="20" s="1"/>
  <c r="C223" i="11"/>
  <c r="C215" i="11"/>
  <c r="C205" i="11"/>
  <c r="C197" i="11"/>
  <c r="C187" i="11"/>
  <c r="C174" i="11"/>
  <c r="C168" i="11"/>
  <c r="C160" i="11"/>
  <c r="C155" i="11"/>
  <c r="C151" i="11"/>
  <c r="C146" i="11"/>
  <c r="C140" i="11"/>
  <c r="C131" i="11"/>
  <c r="C125" i="11"/>
  <c r="C116" i="11"/>
  <c r="C109" i="11"/>
  <c r="C101" i="11"/>
  <c r="C93" i="11"/>
  <c r="C84" i="11"/>
  <c r="C75" i="11"/>
  <c r="C69" i="11"/>
  <c r="C9" i="11"/>
  <c r="E410" i="19" l="1"/>
  <c r="E364" i="19"/>
  <c r="E239" i="19"/>
  <c r="E163" i="19"/>
  <c r="E165" i="19" s="1"/>
  <c r="E97" i="19"/>
  <c r="C206" i="10"/>
  <c r="C196" i="10"/>
  <c r="C190" i="10"/>
  <c r="C182" i="10"/>
  <c r="C165" i="10"/>
  <c r="C159" i="10"/>
  <c r="C153" i="10"/>
  <c r="C149" i="10"/>
  <c r="C143" i="10"/>
  <c r="C135" i="10"/>
  <c r="C127" i="10"/>
  <c r="C118" i="10"/>
  <c r="C111" i="10"/>
  <c r="C107" i="10"/>
  <c r="C98" i="10"/>
  <c r="C91" i="10"/>
  <c r="C84" i="10"/>
  <c r="C79" i="10"/>
  <c r="C67" i="10"/>
  <c r="E152" i="18"/>
  <c r="E102" i="18"/>
  <c r="E104" i="18" s="1"/>
  <c r="E42" i="18"/>
  <c r="E41" i="18"/>
  <c r="C154" i="9"/>
  <c r="C148" i="9"/>
  <c r="C140" i="9"/>
  <c r="C136" i="9"/>
  <c r="C125" i="9"/>
  <c r="C120" i="9"/>
  <c r="C110" i="9"/>
  <c r="C106" i="9"/>
  <c r="C100" i="9"/>
  <c r="C97" i="9"/>
  <c r="C94" i="9"/>
  <c r="C90" i="9"/>
  <c r="C87" i="9"/>
  <c r="C79" i="9"/>
  <c r="C72" i="9"/>
  <c r="C63" i="9"/>
  <c r="C68" i="9"/>
  <c r="C60" i="9"/>
  <c r="E486" i="17"/>
  <c r="E472" i="17"/>
  <c r="E463" i="17"/>
  <c r="E362" i="17"/>
  <c r="E189" i="17"/>
  <c r="C233" i="8"/>
  <c r="C227" i="8"/>
  <c r="C219" i="8"/>
  <c r="C212" i="8"/>
  <c r="C204" i="8"/>
  <c r="C196" i="8"/>
  <c r="C191" i="8"/>
  <c r="C185" i="8"/>
  <c r="C181" i="8"/>
  <c r="C177" i="8"/>
  <c r="C173" i="8"/>
  <c r="C156" i="8"/>
  <c r="C148" i="8"/>
  <c r="C140" i="8"/>
  <c r="C132" i="8"/>
  <c r="C127" i="8"/>
  <c r="C118" i="8"/>
  <c r="C110" i="8"/>
  <c r="C102" i="8"/>
  <c r="C89" i="8"/>
  <c r="C20" i="8"/>
  <c r="E572" i="16"/>
  <c r="E511" i="16"/>
  <c r="E509" i="16"/>
  <c r="E411" i="16"/>
  <c r="E301" i="16"/>
  <c r="E167" i="16"/>
  <c r="E707" i="6"/>
  <c r="E682" i="6"/>
  <c r="E545" i="6"/>
  <c r="E398" i="6"/>
  <c r="E265" i="6"/>
  <c r="E267" i="6" s="1"/>
  <c r="E43" i="6"/>
  <c r="C230" i="7"/>
  <c r="C219" i="7"/>
  <c r="C214" i="7"/>
  <c r="C200" i="7"/>
  <c r="C194" i="7"/>
  <c r="C186" i="7"/>
  <c r="C180" i="7"/>
  <c r="C174" i="7"/>
  <c r="C166" i="7"/>
  <c r="C162" i="7"/>
  <c r="C149" i="7"/>
  <c r="C142" i="7"/>
  <c r="C135" i="7"/>
  <c r="C123" i="7"/>
  <c r="C110" i="7"/>
  <c r="C96" i="7"/>
  <c r="C78" i="7"/>
  <c r="C19" i="7"/>
  <c r="A3" i="15"/>
  <c r="A4" i="15"/>
  <c r="A5" i="15"/>
  <c r="A6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68" i="15"/>
  <c r="A64" i="15"/>
  <c r="A61" i="15"/>
  <c r="A65" i="15"/>
  <c r="A74" i="15"/>
  <c r="A71" i="15"/>
  <c r="A77" i="15"/>
  <c r="A78" i="15"/>
  <c r="A79" i="15"/>
  <c r="A80" i="15"/>
  <c r="A81" i="15"/>
  <c r="A82" i="15"/>
  <c r="A83" i="15"/>
  <c r="A84" i="15"/>
  <c r="A85" i="15"/>
  <c r="A88" i="15"/>
  <c r="A89" i="15"/>
  <c r="A90" i="15"/>
  <c r="A91" i="15"/>
  <c r="A92" i="15"/>
  <c r="A95" i="15"/>
  <c r="A96" i="15"/>
  <c r="A99" i="15"/>
  <c r="A100" i="15"/>
  <c r="A101" i="15"/>
  <c r="A102" i="15"/>
  <c r="A103" i="15"/>
  <c r="A106" i="15"/>
  <c r="A107" i="15"/>
  <c r="A108" i="15"/>
  <c r="A109" i="15"/>
  <c r="A110" i="15"/>
  <c r="A111" i="15"/>
  <c r="A112" i="15"/>
  <c r="A113" i="15"/>
  <c r="A114" i="15"/>
  <c r="A115" i="15"/>
  <c r="A118" i="15"/>
  <c r="A119" i="15"/>
  <c r="A120" i="15"/>
  <c r="A121" i="15"/>
  <c r="A122" i="15"/>
  <c r="A125" i="15"/>
  <c r="A126" i="15"/>
  <c r="A129" i="15"/>
  <c r="A130" i="15"/>
  <c r="A131" i="15"/>
  <c r="A132" i="15"/>
  <c r="A135" i="15"/>
  <c r="A136" i="15"/>
  <c r="A139" i="15"/>
  <c r="A140" i="15"/>
  <c r="A141" i="15"/>
  <c r="A142" i="15"/>
  <c r="A143" i="15"/>
  <c r="A144" i="15"/>
  <c r="A145" i="15"/>
  <c r="A146" i="15"/>
  <c r="A147" i="15"/>
  <c r="A148" i="15"/>
  <c r="A151" i="15"/>
  <c r="A152" i="15"/>
  <c r="A155" i="15"/>
  <c r="A156" i="15"/>
  <c r="A157" i="15"/>
  <c r="A158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5" i="15"/>
  <c r="A176" i="15"/>
  <c r="A177" i="15"/>
  <c r="A178" i="15"/>
  <c r="A179" i="15"/>
  <c r="A180" i="15"/>
  <c r="A181" i="15"/>
  <c r="A184" i="15"/>
  <c r="A185" i="15"/>
  <c r="A186" i="15"/>
  <c r="A189" i="15"/>
  <c r="A190" i="15"/>
  <c r="A191" i="15"/>
  <c r="A192" i="15"/>
  <c r="A193" i="15"/>
  <c r="A194" i="15"/>
  <c r="A195" i="15"/>
  <c r="A196" i="15"/>
  <c r="A199" i="15"/>
  <c r="A200" i="15"/>
  <c r="A201" i="15"/>
  <c r="A202" i="15"/>
  <c r="A203" i="15"/>
  <c r="A3" i="14"/>
  <c r="A4" i="14"/>
  <c r="A5" i="14"/>
  <c r="A6" i="14"/>
  <c r="A7" i="14"/>
  <c r="A8" i="14"/>
  <c r="A9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5" i="14"/>
  <c r="A66" i="14"/>
  <c r="A67" i="14"/>
  <c r="A68" i="14"/>
  <c r="A69" i="14"/>
  <c r="A70" i="14"/>
  <c r="A71" i="14"/>
  <c r="A72" i="14"/>
  <c r="A73" i="14"/>
  <c r="A76" i="14"/>
  <c r="A77" i="14"/>
  <c r="A78" i="14"/>
  <c r="A79" i="14"/>
  <c r="A80" i="14"/>
  <c r="A81" i="14"/>
  <c r="A82" i="14"/>
  <c r="A83" i="14"/>
  <c r="A86" i="14"/>
  <c r="A87" i="14"/>
  <c r="A88" i="14"/>
  <c r="A89" i="14"/>
  <c r="A90" i="14"/>
  <c r="A91" i="14"/>
  <c r="A92" i="14"/>
  <c r="A93" i="14"/>
  <c r="A94" i="14"/>
  <c r="A95" i="14"/>
  <c r="A98" i="14"/>
  <c r="A99" i="14"/>
  <c r="A100" i="14"/>
  <c r="A101" i="14"/>
  <c r="A102" i="14"/>
  <c r="A105" i="14"/>
  <c r="A106" i="14"/>
  <c r="A107" i="14"/>
  <c r="A108" i="14"/>
  <c r="A109" i="14"/>
  <c r="A110" i="14"/>
  <c r="A113" i="14"/>
  <c r="A116" i="14"/>
  <c r="A119" i="14"/>
  <c r="A120" i="14"/>
  <c r="A121" i="14"/>
  <c r="A122" i="14"/>
  <c r="A123" i="14"/>
  <c r="A124" i="14"/>
  <c r="A132" i="14"/>
  <c r="A133" i="14"/>
  <c r="A134" i="14"/>
  <c r="A135" i="14"/>
  <c r="A138" i="14"/>
  <c r="A139" i="14"/>
  <c r="A140" i="14"/>
  <c r="A141" i="14"/>
  <c r="A144" i="14"/>
  <c r="A147" i="14"/>
  <c r="A148" i="14"/>
  <c r="A149" i="14"/>
  <c r="A152" i="14"/>
  <c r="A153" i="14"/>
  <c r="A154" i="14"/>
  <c r="A155" i="14"/>
  <c r="A156" i="14"/>
  <c r="A159" i="14"/>
  <c r="A160" i="14"/>
  <c r="A161" i="14"/>
  <c r="A162" i="14"/>
  <c r="A163" i="14"/>
  <c r="A164" i="14"/>
  <c r="A165" i="14"/>
  <c r="A168" i="14"/>
  <c r="A169" i="14"/>
  <c r="A170" i="14"/>
  <c r="A171" i="14"/>
  <c r="A172" i="14"/>
  <c r="A173" i="14"/>
  <c r="A174" i="14"/>
  <c r="A175" i="14"/>
  <c r="A176" i="14"/>
  <c r="A177" i="14"/>
  <c r="A180" i="14"/>
  <c r="A181" i="14"/>
  <c r="A182" i="14"/>
  <c r="A183" i="14"/>
  <c r="A184" i="14"/>
  <c r="A185" i="14"/>
  <c r="A186" i="14"/>
  <c r="A187" i="14"/>
  <c r="A188" i="14"/>
  <c r="A189" i="14"/>
  <c r="A190" i="14"/>
  <c r="A193" i="14"/>
  <c r="A194" i="14"/>
  <c r="A195" i="14"/>
  <c r="A196" i="14"/>
  <c r="A197" i="14"/>
  <c r="A198" i="14"/>
  <c r="A201" i="14"/>
  <c r="A202" i="14"/>
  <c r="A203" i="14"/>
  <c r="A204" i="14"/>
  <c r="A205" i="14"/>
  <c r="A206" i="14"/>
  <c r="A207" i="14"/>
  <c r="A208" i="14"/>
  <c r="A209" i="14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2" i="13"/>
  <c r="A63" i="13"/>
  <c r="A64" i="13"/>
  <c r="A65" i="13"/>
  <c r="A66" i="13"/>
  <c r="A67" i="13"/>
  <c r="A68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9" i="13"/>
  <c r="A90" i="13"/>
  <c r="A91" i="13"/>
  <c r="A92" i="13"/>
  <c r="A93" i="13"/>
  <c r="A96" i="13"/>
  <c r="A97" i="13"/>
  <c r="A98" i="13"/>
  <c r="A99" i="13"/>
  <c r="A100" i="13"/>
  <c r="A101" i="13"/>
  <c r="A102" i="13"/>
  <c r="A103" i="13"/>
  <c r="A106" i="13"/>
  <c r="A107" i="13"/>
  <c r="A108" i="13"/>
  <c r="A109" i="13"/>
  <c r="A110" i="13"/>
  <c r="A111" i="13"/>
  <c r="A112" i="13"/>
  <c r="A113" i="13"/>
  <c r="A114" i="13"/>
  <c r="A117" i="13"/>
  <c r="A120" i="13"/>
  <c r="A121" i="13"/>
  <c r="A124" i="13"/>
  <c r="A125" i="13"/>
  <c r="A126" i="13"/>
  <c r="A127" i="13"/>
  <c r="A128" i="13"/>
  <c r="A129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6" i="13"/>
  <c r="A147" i="13"/>
  <c r="A148" i="13"/>
  <c r="A149" i="13"/>
  <c r="A150" i="13"/>
  <c r="A153" i="13"/>
  <c r="A163" i="13"/>
  <c r="A166" i="13"/>
  <c r="A167" i="13"/>
  <c r="A168" i="13"/>
  <c r="A169" i="13"/>
  <c r="A179" i="13"/>
  <c r="A180" i="13"/>
  <c r="A181" i="13"/>
  <c r="A182" i="13"/>
  <c r="A185" i="13"/>
  <c r="A186" i="13"/>
  <c r="A187" i="13"/>
  <c r="A190" i="13"/>
  <c r="A191" i="13"/>
  <c r="A192" i="13"/>
  <c r="A195" i="13"/>
  <c r="A196" i="13"/>
  <c r="A197" i="13"/>
  <c r="A198" i="13"/>
  <c r="A199" i="13"/>
  <c r="A200" i="13"/>
  <c r="A201" i="13"/>
  <c r="A202" i="13"/>
  <c r="A203" i="13"/>
  <c r="A3" i="12"/>
  <c r="A4" i="12"/>
  <c r="A5" i="12"/>
  <c r="A6" i="12"/>
  <c r="A7" i="12"/>
  <c r="A8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6" i="12"/>
  <c r="A67" i="12"/>
  <c r="A68" i="12"/>
  <c r="A69" i="12"/>
  <c r="A70" i="12"/>
  <c r="A71" i="12"/>
  <c r="A72" i="12"/>
  <c r="A73" i="12"/>
  <c r="A74" i="12"/>
  <c r="A75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2" i="12"/>
  <c r="A93" i="12"/>
  <c r="A94" i="12"/>
  <c r="A95" i="12"/>
  <c r="A98" i="12"/>
  <c r="A99" i="12"/>
  <c r="A100" i="12"/>
  <c r="A103" i="12"/>
  <c r="A104" i="12"/>
  <c r="A105" i="12"/>
  <c r="A106" i="12"/>
  <c r="A107" i="12"/>
  <c r="A110" i="12"/>
  <c r="A113" i="12"/>
  <c r="A114" i="12"/>
  <c r="A115" i="12"/>
  <c r="A116" i="12"/>
  <c r="A117" i="12"/>
  <c r="A118" i="12"/>
  <c r="A119" i="12"/>
  <c r="A122" i="12"/>
  <c r="A123" i="12"/>
  <c r="A126" i="12"/>
  <c r="A129" i="12"/>
  <c r="A130" i="12"/>
  <c r="A131" i="12"/>
  <c r="A132" i="12"/>
  <c r="A133" i="12"/>
  <c r="A136" i="12"/>
  <c r="A137" i="12"/>
  <c r="A140" i="12"/>
  <c r="A141" i="12"/>
  <c r="A142" i="12"/>
  <c r="A143" i="12"/>
  <c r="A144" i="12"/>
  <c r="A145" i="12"/>
  <c r="A148" i="12"/>
  <c r="A149" i="12"/>
  <c r="A152" i="12"/>
  <c r="A153" i="12"/>
  <c r="A154" i="12"/>
  <c r="A155" i="12"/>
  <c r="A156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4" i="12"/>
  <c r="A175" i="12"/>
  <c r="A176" i="12"/>
  <c r="A177" i="12"/>
  <c r="A178" i="12"/>
  <c r="A179" i="12"/>
  <c r="A180" i="12"/>
  <c r="A181" i="12"/>
  <c r="A182" i="12"/>
  <c r="A185" i="12"/>
  <c r="A186" i="12"/>
  <c r="A187" i="12"/>
  <c r="A188" i="12"/>
  <c r="A189" i="12"/>
  <c r="A190" i="12"/>
  <c r="A191" i="12"/>
  <c r="A192" i="12"/>
  <c r="A193" i="12"/>
  <c r="A196" i="12"/>
  <c r="A197" i="12"/>
  <c r="A198" i="12"/>
  <c r="A199" i="12"/>
  <c r="A200" i="12"/>
  <c r="A201" i="12"/>
  <c r="A204" i="12"/>
  <c r="A207" i="12"/>
  <c r="A208" i="12"/>
  <c r="A209" i="12"/>
  <c r="A210" i="12"/>
  <c r="A211" i="12"/>
  <c r="A212" i="12"/>
  <c r="A215" i="12"/>
  <c r="A216" i="12"/>
  <c r="A217" i="12"/>
  <c r="A218" i="12"/>
  <c r="A3" i="11"/>
  <c r="A4" i="11"/>
  <c r="A5" i="11"/>
  <c r="A6" i="11"/>
  <c r="A7" i="11"/>
  <c r="A8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71" i="11"/>
  <c r="A72" i="11"/>
  <c r="A73" i="11"/>
  <c r="A74" i="11"/>
  <c r="A77" i="11"/>
  <c r="A78" i="11"/>
  <c r="A79" i="11"/>
  <c r="A80" i="11"/>
  <c r="A81" i="11"/>
  <c r="A82" i="11"/>
  <c r="A83" i="11"/>
  <c r="A86" i="11"/>
  <c r="A87" i="11"/>
  <c r="A88" i="11"/>
  <c r="A89" i="11"/>
  <c r="A90" i="11"/>
  <c r="A91" i="11"/>
  <c r="A92" i="11"/>
  <c r="A95" i="11"/>
  <c r="A96" i="11"/>
  <c r="A97" i="11"/>
  <c r="A98" i="11"/>
  <c r="A99" i="11"/>
  <c r="A100" i="11"/>
  <c r="A103" i="11"/>
  <c r="A104" i="11"/>
  <c r="A105" i="11"/>
  <c r="A106" i="11"/>
  <c r="A107" i="11"/>
  <c r="A108" i="11"/>
  <c r="A111" i="11"/>
  <c r="A112" i="11"/>
  <c r="A113" i="11"/>
  <c r="A114" i="11"/>
  <c r="A115" i="11"/>
  <c r="A118" i="11"/>
  <c r="A119" i="11"/>
  <c r="A120" i="11"/>
  <c r="A121" i="11"/>
  <c r="A122" i="11"/>
  <c r="A123" i="11"/>
  <c r="A124" i="11"/>
  <c r="A127" i="11"/>
  <c r="A128" i="11"/>
  <c r="A129" i="11"/>
  <c r="A130" i="11"/>
  <c r="A133" i="11"/>
  <c r="A134" i="11"/>
  <c r="A135" i="11"/>
  <c r="A136" i="11"/>
  <c r="A137" i="11"/>
  <c r="A138" i="11"/>
  <c r="A139" i="11"/>
  <c r="A142" i="11"/>
  <c r="A143" i="11"/>
  <c r="A144" i="11"/>
  <c r="A145" i="11"/>
  <c r="A148" i="11"/>
  <c r="A149" i="11"/>
  <c r="A150" i="11"/>
  <c r="A153" i="11"/>
  <c r="A154" i="11"/>
  <c r="A157" i="11"/>
  <c r="A158" i="11"/>
  <c r="A159" i="11"/>
  <c r="A162" i="11"/>
  <c r="A163" i="11"/>
  <c r="A164" i="11"/>
  <c r="A165" i="11"/>
  <c r="A166" i="11"/>
  <c r="A167" i="11"/>
  <c r="A170" i="11"/>
  <c r="A171" i="11"/>
  <c r="A172" i="11"/>
  <c r="A173" i="11"/>
  <c r="A176" i="11"/>
  <c r="A177" i="11"/>
  <c r="A178" i="11"/>
  <c r="A179" i="11"/>
  <c r="A180" i="11"/>
  <c r="A181" i="11"/>
  <c r="A182" i="11"/>
  <c r="A183" i="11"/>
  <c r="A184" i="11"/>
  <c r="A185" i="11"/>
  <c r="A186" i="11"/>
  <c r="A189" i="11"/>
  <c r="A190" i="11"/>
  <c r="A191" i="11"/>
  <c r="A192" i="11"/>
  <c r="A193" i="11"/>
  <c r="A194" i="11"/>
  <c r="A195" i="11"/>
  <c r="A196" i="11"/>
  <c r="A207" i="11"/>
  <c r="A208" i="11"/>
  <c r="A209" i="11"/>
  <c r="A210" i="11"/>
  <c r="A211" i="11"/>
  <c r="A212" i="11"/>
  <c r="A213" i="11"/>
  <c r="A214" i="11"/>
  <c r="A217" i="11"/>
  <c r="A218" i="11"/>
  <c r="A219" i="11"/>
  <c r="A220" i="11"/>
  <c r="A221" i="11"/>
  <c r="A22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9" i="10"/>
  <c r="A70" i="10"/>
  <c r="A71" i="10"/>
  <c r="A72" i="10"/>
  <c r="A73" i="10"/>
  <c r="A74" i="10"/>
  <c r="A75" i="10"/>
  <c r="A76" i="10"/>
  <c r="A77" i="10"/>
  <c r="A78" i="10"/>
  <c r="A81" i="10"/>
  <c r="A82" i="10"/>
  <c r="A83" i="10"/>
  <c r="A86" i="10"/>
  <c r="A87" i="10"/>
  <c r="A88" i="10"/>
  <c r="A89" i="10"/>
  <c r="A90" i="10"/>
  <c r="A93" i="10"/>
  <c r="A94" i="10"/>
  <c r="A95" i="10"/>
  <c r="A96" i="10"/>
  <c r="A97" i="10"/>
  <c r="A100" i="10"/>
  <c r="A101" i="10"/>
  <c r="A102" i="10"/>
  <c r="A103" i="10"/>
  <c r="A104" i="10"/>
  <c r="A105" i="10"/>
  <c r="A106" i="10"/>
  <c r="A109" i="10"/>
  <c r="A110" i="10"/>
  <c r="A113" i="10"/>
  <c r="A114" i="10"/>
  <c r="A115" i="10"/>
  <c r="A116" i="10"/>
  <c r="A117" i="10"/>
  <c r="A120" i="10"/>
  <c r="A121" i="10"/>
  <c r="A122" i="10"/>
  <c r="A123" i="10"/>
  <c r="A124" i="10"/>
  <c r="A125" i="10"/>
  <c r="A126" i="10"/>
  <c r="A129" i="10"/>
  <c r="A130" i="10"/>
  <c r="A131" i="10"/>
  <c r="A132" i="10"/>
  <c r="A133" i="10"/>
  <c r="A134" i="10"/>
  <c r="A137" i="10"/>
  <c r="A138" i="10"/>
  <c r="A139" i="10"/>
  <c r="A140" i="10"/>
  <c r="A141" i="10"/>
  <c r="A142" i="10"/>
  <c r="A145" i="10"/>
  <c r="A146" i="10"/>
  <c r="A147" i="10"/>
  <c r="A148" i="10"/>
  <c r="A151" i="10"/>
  <c r="A152" i="10"/>
  <c r="A155" i="10"/>
  <c r="A156" i="10"/>
  <c r="A157" i="10"/>
  <c r="A158" i="10"/>
  <c r="A161" i="10"/>
  <c r="A162" i="10"/>
  <c r="A163" i="10"/>
  <c r="A164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4" i="10"/>
  <c r="A185" i="10"/>
  <c r="A186" i="10"/>
  <c r="A187" i="10"/>
  <c r="A188" i="10"/>
  <c r="A189" i="10"/>
  <c r="A192" i="10"/>
  <c r="A193" i="10"/>
  <c r="A194" i="10"/>
  <c r="A195" i="10"/>
  <c r="A198" i="10"/>
  <c r="A199" i="10"/>
  <c r="A200" i="10"/>
  <c r="A201" i="10"/>
  <c r="A202" i="10"/>
  <c r="A203" i="10"/>
  <c r="A204" i="10"/>
  <c r="A205" i="10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2" i="9"/>
  <c r="A65" i="9"/>
  <c r="A66" i="9"/>
  <c r="A67" i="9"/>
  <c r="A70" i="9"/>
  <c r="A71" i="9"/>
  <c r="A74" i="9"/>
  <c r="A75" i="9"/>
  <c r="A76" i="9"/>
  <c r="A77" i="9"/>
  <c r="A78" i="9"/>
  <c r="A81" i="9"/>
  <c r="A82" i="9"/>
  <c r="A83" i="9"/>
  <c r="A84" i="9"/>
  <c r="A85" i="9"/>
  <c r="A86" i="9"/>
  <c r="A89" i="9"/>
  <c r="A92" i="9"/>
  <c r="A93" i="9"/>
  <c r="A96" i="9"/>
  <c r="A99" i="9"/>
  <c r="A102" i="9"/>
  <c r="A103" i="9"/>
  <c r="A104" i="9"/>
  <c r="A105" i="9"/>
  <c r="A108" i="9"/>
  <c r="A109" i="9"/>
  <c r="A112" i="9"/>
  <c r="A113" i="9"/>
  <c r="A114" i="9"/>
  <c r="A115" i="9"/>
  <c r="A116" i="9"/>
  <c r="A117" i="9"/>
  <c r="A118" i="9"/>
  <c r="A119" i="9"/>
  <c r="A122" i="9"/>
  <c r="A123" i="9"/>
  <c r="A124" i="9"/>
  <c r="A127" i="9"/>
  <c r="A128" i="9"/>
  <c r="A129" i="9"/>
  <c r="A130" i="9"/>
  <c r="A131" i="9"/>
  <c r="A132" i="9"/>
  <c r="A133" i="9"/>
  <c r="A134" i="9"/>
  <c r="A135" i="9"/>
  <c r="A138" i="9"/>
  <c r="A139" i="9"/>
  <c r="A142" i="9"/>
  <c r="A143" i="9"/>
  <c r="A144" i="9"/>
  <c r="A145" i="9"/>
  <c r="A146" i="9"/>
  <c r="A147" i="9"/>
  <c r="A150" i="9"/>
  <c r="A151" i="9"/>
  <c r="A152" i="9"/>
  <c r="A153" i="9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91" i="8"/>
  <c r="A92" i="8"/>
  <c r="A93" i="8"/>
  <c r="A94" i="8"/>
  <c r="A95" i="8"/>
  <c r="A96" i="8"/>
  <c r="A97" i="8"/>
  <c r="A98" i="8"/>
  <c r="A99" i="8"/>
  <c r="A100" i="8"/>
  <c r="A101" i="8"/>
  <c r="A104" i="8"/>
  <c r="A105" i="8"/>
  <c r="A106" i="8"/>
  <c r="A107" i="8"/>
  <c r="A108" i="8"/>
  <c r="A109" i="8"/>
  <c r="A112" i="8"/>
  <c r="A113" i="8"/>
  <c r="A114" i="8"/>
  <c r="A115" i="8"/>
  <c r="A116" i="8"/>
  <c r="A117" i="8"/>
  <c r="A120" i="8"/>
  <c r="A121" i="8"/>
  <c r="A122" i="8"/>
  <c r="A123" i="8"/>
  <c r="A124" i="8"/>
  <c r="A125" i="8"/>
  <c r="A126" i="8"/>
  <c r="A129" i="8"/>
  <c r="A130" i="8"/>
  <c r="A131" i="8"/>
  <c r="A134" i="8"/>
  <c r="A135" i="8"/>
  <c r="A136" i="8"/>
  <c r="A137" i="8"/>
  <c r="A138" i="8"/>
  <c r="A139" i="8"/>
  <c r="A142" i="8"/>
  <c r="A143" i="8"/>
  <c r="A144" i="8"/>
  <c r="A145" i="8"/>
  <c r="A146" i="8"/>
  <c r="A147" i="8"/>
  <c r="A150" i="8"/>
  <c r="A151" i="8"/>
  <c r="A152" i="8"/>
  <c r="A153" i="8"/>
  <c r="A154" i="8"/>
  <c r="A155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5" i="8"/>
  <c r="A176" i="8"/>
  <c r="A179" i="8"/>
  <c r="A180" i="8"/>
  <c r="A183" i="8"/>
  <c r="A184" i="8"/>
  <c r="A187" i="8"/>
  <c r="A188" i="8"/>
  <c r="A189" i="8"/>
  <c r="A190" i="8"/>
  <c r="A193" i="8"/>
  <c r="A194" i="8"/>
  <c r="A195" i="8"/>
  <c r="A198" i="8"/>
  <c r="A199" i="8"/>
  <c r="A200" i="8"/>
  <c r="A201" i="8"/>
  <c r="A202" i="8"/>
  <c r="A203" i="8"/>
  <c r="A206" i="8"/>
  <c r="A207" i="8"/>
  <c r="A208" i="8"/>
  <c r="A209" i="8"/>
  <c r="A210" i="8"/>
  <c r="A211" i="8"/>
  <c r="A214" i="8"/>
  <c r="A215" i="8"/>
  <c r="A216" i="8"/>
  <c r="A217" i="8"/>
  <c r="A218" i="8"/>
  <c r="A221" i="8"/>
  <c r="A222" i="8"/>
  <c r="A223" i="8"/>
  <c r="A224" i="8"/>
  <c r="A225" i="8"/>
  <c r="A226" i="8"/>
  <c r="A229" i="8"/>
  <c r="A230" i="8"/>
  <c r="A231" i="8"/>
  <c r="A232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2" i="7"/>
  <c r="A113" i="7"/>
  <c r="A114" i="7"/>
  <c r="A115" i="7"/>
  <c r="A116" i="7"/>
  <c r="A117" i="7"/>
  <c r="A118" i="7"/>
  <c r="A119" i="7"/>
  <c r="A120" i="7"/>
  <c r="A121" i="7"/>
  <c r="A122" i="7"/>
  <c r="A125" i="7"/>
  <c r="A126" i="7"/>
  <c r="A127" i="7"/>
  <c r="A128" i="7"/>
  <c r="A129" i="7"/>
  <c r="A130" i="7"/>
  <c r="A131" i="7"/>
  <c r="A132" i="7"/>
  <c r="A133" i="7"/>
  <c r="A134" i="7"/>
  <c r="A137" i="7"/>
  <c r="A138" i="7"/>
  <c r="A139" i="7"/>
  <c r="A140" i="7"/>
  <c r="A141" i="7"/>
  <c r="A144" i="7"/>
  <c r="A145" i="7"/>
  <c r="A146" i="7"/>
  <c r="A147" i="7"/>
  <c r="A148" i="7"/>
  <c r="A164" i="7"/>
  <c r="A165" i="7"/>
  <c r="A168" i="7"/>
  <c r="A169" i="7"/>
  <c r="A170" i="7"/>
  <c r="A171" i="7"/>
  <c r="A172" i="7"/>
  <c r="A173" i="7"/>
  <c r="A176" i="7"/>
  <c r="A177" i="7"/>
  <c r="A178" i="7"/>
  <c r="A179" i="7"/>
  <c r="A182" i="7"/>
  <c r="A183" i="7"/>
  <c r="A184" i="7"/>
  <c r="A185" i="7"/>
  <c r="A188" i="7"/>
  <c r="A189" i="7"/>
  <c r="A190" i="7"/>
  <c r="A191" i="7"/>
  <c r="A192" i="7"/>
  <c r="A193" i="7"/>
  <c r="A196" i="7"/>
  <c r="A197" i="7"/>
  <c r="A198" i="7"/>
  <c r="A199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6" i="7"/>
  <c r="A217" i="7"/>
  <c r="A218" i="7"/>
  <c r="A221" i="7"/>
  <c r="A222" i="7"/>
  <c r="A223" i="7"/>
  <c r="A224" i="7"/>
  <c r="A225" i="7"/>
  <c r="A226" i="7"/>
  <c r="A227" i="7"/>
  <c r="A228" i="7"/>
  <c r="A229" i="7"/>
  <c r="C144" i="5"/>
  <c r="C299" i="5"/>
  <c r="C289" i="5"/>
  <c r="C282" i="5"/>
  <c r="C272" i="5"/>
  <c r="C256" i="5"/>
  <c r="C241" i="5"/>
  <c r="C232" i="5"/>
  <c r="C223" i="5"/>
  <c r="C215" i="5"/>
  <c r="C208" i="5"/>
  <c r="C193" i="5"/>
  <c r="C183" i="5"/>
  <c r="C175" i="5"/>
  <c r="C168" i="5"/>
  <c r="C159" i="5"/>
  <c r="C127" i="5"/>
  <c r="C121" i="5"/>
  <c r="C112" i="5"/>
  <c r="C103" i="5"/>
  <c r="C36" i="5"/>
  <c r="C25" i="5"/>
  <c r="A298" i="5"/>
  <c r="A297" i="5"/>
  <c r="A296" i="5"/>
  <c r="A295" i="5"/>
  <c r="A294" i="5"/>
  <c r="A293" i="5"/>
  <c r="A292" i="5"/>
  <c r="A291" i="5"/>
  <c r="A288" i="5"/>
  <c r="A287" i="5"/>
  <c r="A286" i="5"/>
  <c r="A285" i="5"/>
  <c r="A284" i="5"/>
  <c r="A281" i="5"/>
  <c r="A280" i="5"/>
  <c r="A279" i="5"/>
  <c r="A278" i="5"/>
  <c r="A277" i="5"/>
  <c r="A276" i="5"/>
  <c r="A275" i="5"/>
  <c r="A274" i="5"/>
  <c r="A271" i="5"/>
  <c r="A270" i="5"/>
  <c r="A269" i="5"/>
  <c r="A268" i="5"/>
  <c r="A267" i="5"/>
  <c r="A266" i="5"/>
  <c r="A264" i="5"/>
  <c r="A263" i="5"/>
  <c r="A262" i="5"/>
  <c r="A261" i="5"/>
  <c r="A260" i="5"/>
  <c r="A259" i="5"/>
  <c r="A265" i="5"/>
  <c r="A258" i="5"/>
  <c r="A253" i="5"/>
  <c r="A255" i="5"/>
  <c r="A252" i="5"/>
  <c r="A251" i="5"/>
  <c r="A250" i="5"/>
  <c r="A254" i="5"/>
  <c r="A249" i="5"/>
  <c r="A248" i="5"/>
  <c r="A247" i="5"/>
  <c r="A246" i="5"/>
  <c r="A245" i="5"/>
  <c r="A244" i="5"/>
  <c r="A243" i="5"/>
  <c r="A240" i="5"/>
  <c r="A239" i="5"/>
  <c r="A238" i="5"/>
  <c r="A237" i="5"/>
  <c r="A236" i="5"/>
  <c r="A235" i="5"/>
  <c r="A234" i="5"/>
  <c r="A231" i="5"/>
  <c r="A230" i="5"/>
  <c r="A229" i="5"/>
  <c r="A228" i="5"/>
  <c r="A227" i="5"/>
  <c r="A226" i="5"/>
  <c r="A225" i="5"/>
  <c r="A220" i="5"/>
  <c r="A222" i="5"/>
  <c r="A219" i="5"/>
  <c r="A221" i="5"/>
  <c r="A218" i="5"/>
  <c r="A217" i="5"/>
  <c r="A213" i="5"/>
  <c r="A212" i="5"/>
  <c r="A211" i="5"/>
  <c r="A214" i="5"/>
  <c r="A210" i="5"/>
  <c r="A204" i="5"/>
  <c r="A203" i="5"/>
  <c r="A202" i="5"/>
  <c r="A206" i="5"/>
  <c r="A201" i="5"/>
  <c r="A205" i="5"/>
  <c r="A200" i="5"/>
  <c r="A199" i="5"/>
  <c r="A207" i="5"/>
  <c r="A198" i="5"/>
  <c r="A197" i="5"/>
  <c r="A196" i="5"/>
  <c r="A195" i="5"/>
  <c r="A191" i="5"/>
  <c r="A190" i="5"/>
  <c r="A192" i="5"/>
  <c r="A189" i="5"/>
  <c r="A188" i="5"/>
  <c r="A187" i="5"/>
  <c r="A186" i="5"/>
  <c r="A185" i="5"/>
  <c r="A182" i="5"/>
  <c r="A181" i="5"/>
  <c r="A180" i="5"/>
  <c r="A179" i="5"/>
  <c r="A178" i="5"/>
  <c r="A177" i="5"/>
  <c r="A174" i="5"/>
  <c r="A173" i="5"/>
  <c r="A172" i="5"/>
  <c r="A171" i="5"/>
  <c r="A170" i="5"/>
  <c r="A166" i="5"/>
  <c r="A165" i="5"/>
  <c r="A164" i="5"/>
  <c r="A163" i="5"/>
  <c r="A167" i="5"/>
  <c r="A162" i="5"/>
  <c r="A161" i="5"/>
  <c r="A158" i="5"/>
  <c r="A157" i="5"/>
  <c r="A156" i="5"/>
  <c r="A155" i="5"/>
  <c r="A154" i="5"/>
  <c r="A153" i="5"/>
  <c r="A151" i="5"/>
  <c r="A150" i="5"/>
  <c r="A149" i="5"/>
  <c r="A148" i="5"/>
  <c r="A147" i="5"/>
  <c r="A152" i="5"/>
  <c r="A146" i="5"/>
  <c r="A140" i="5"/>
  <c r="A139" i="5"/>
  <c r="A138" i="5"/>
  <c r="A143" i="5"/>
  <c r="A142" i="5"/>
  <c r="A137" i="5"/>
  <c r="A136" i="5"/>
  <c r="A141" i="5"/>
  <c r="A135" i="5"/>
  <c r="A134" i="5"/>
  <c r="A133" i="5"/>
  <c r="A132" i="5"/>
  <c r="A131" i="5"/>
  <c r="A130" i="5"/>
  <c r="A129" i="5"/>
  <c r="A126" i="5"/>
  <c r="A125" i="5"/>
  <c r="A124" i="5"/>
  <c r="A123" i="5"/>
  <c r="A120" i="5"/>
  <c r="A119" i="5"/>
  <c r="A118" i="5"/>
  <c r="A117" i="5"/>
  <c r="A116" i="5"/>
  <c r="A115" i="5"/>
  <c r="A114" i="5"/>
  <c r="A109" i="5"/>
  <c r="A108" i="5"/>
  <c r="A111" i="5"/>
  <c r="A107" i="5"/>
  <c r="A106" i="5"/>
  <c r="A110" i="5"/>
  <c r="A105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48" i="5"/>
  <c r="A47" i="5"/>
  <c r="A50" i="5"/>
  <c r="A46" i="5"/>
  <c r="A45" i="5"/>
  <c r="A49" i="5"/>
  <c r="A44" i="5"/>
  <c r="A43" i="5"/>
  <c r="A42" i="5"/>
  <c r="A41" i="5"/>
  <c r="A40" i="5"/>
  <c r="A39" i="5"/>
  <c r="A38" i="5"/>
  <c r="A35" i="5"/>
  <c r="A34" i="5"/>
  <c r="A33" i="5"/>
  <c r="A32" i="5"/>
  <c r="A30" i="5"/>
  <c r="A29" i="5"/>
  <c r="A28" i="5"/>
  <c r="A31" i="5"/>
  <c r="A27" i="5"/>
  <c r="A23" i="5"/>
  <c r="A22" i="5"/>
  <c r="A21" i="5"/>
  <c r="A24" i="5"/>
  <c r="A20" i="5"/>
  <c r="A19" i="5"/>
  <c r="A18" i="5"/>
  <c r="A15" i="5"/>
  <c r="A14" i="5"/>
  <c r="A16" i="5"/>
  <c r="A17" i="5"/>
  <c r="A13" i="5"/>
  <c r="A12" i="5"/>
  <c r="A11" i="5"/>
  <c r="A10" i="5"/>
  <c r="A9" i="5"/>
  <c r="A8" i="5"/>
  <c r="A7" i="5"/>
  <c r="A6" i="5"/>
  <c r="A5" i="5"/>
  <c r="A4" i="5"/>
  <c r="A3" i="5"/>
  <c r="E43" i="18" l="1"/>
  <c r="C301" i="5"/>
  <c r="H63" i="3"/>
  <c r="H25" i="3"/>
  <c r="H21" i="3"/>
  <c r="H16" i="3"/>
  <c r="J195" i="2"/>
  <c r="H192" i="2"/>
  <c r="H194" i="2" s="1"/>
  <c r="H53" i="2"/>
  <c r="H35" i="2"/>
  <c r="H18" i="2"/>
  <c r="H65" i="3" l="1"/>
  <c r="J198" i="2"/>
  <c r="J200" i="2" s="1"/>
  <c r="J69" i="3" l="1"/>
  <c r="J71" i="3" s="1"/>
  <c r="I18" i="42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I143" i="42" s="1"/>
  <c r="I144" i="42" s="1"/>
  <c r="I145" i="42" s="1"/>
  <c r="I146" i="42" s="1"/>
  <c r="I147" i="42" s="1"/>
  <c r="I148" i="42" s="1"/>
  <c r="I149" i="42" s="1"/>
  <c r="I150" i="42" s="1"/>
  <c r="I151" i="42" s="1"/>
  <c r="I152" i="42" s="1"/>
  <c r="I153" i="42" s="1"/>
  <c r="I154" i="42" s="1"/>
  <c r="I155" i="42" s="1"/>
  <c r="I156" i="42" s="1"/>
  <c r="I157" i="42" s="1"/>
  <c r="I158" i="42" s="1"/>
  <c r="I159" i="42" s="1"/>
  <c r="I160" i="42" s="1"/>
  <c r="I161" i="42" s="1"/>
  <c r="I162" i="42" s="1"/>
  <c r="I163" i="42" s="1"/>
  <c r="I164" i="42" s="1"/>
  <c r="I165" i="42" s="1"/>
  <c r="I166" i="42" s="1"/>
  <c r="I167" i="42" s="1"/>
  <c r="I168" i="42" s="1"/>
  <c r="I169" i="42" s="1"/>
  <c r="I170" i="42" s="1"/>
  <c r="I171" i="42" s="1"/>
  <c r="I172" i="42" s="1"/>
  <c r="I173" i="42" s="1"/>
  <c r="I174" i="42" s="1"/>
  <c r="I175" i="42" s="1"/>
  <c r="I176" i="42" s="1"/>
  <c r="I177" i="42" s="1"/>
  <c r="I178" i="42" s="1"/>
  <c r="I179" i="42" s="1"/>
  <c r="I180" i="42" s="1"/>
  <c r="I181" i="42" s="1"/>
  <c r="I182" i="42" s="1"/>
  <c r="I183" i="42" s="1"/>
  <c r="I184" i="42" s="1"/>
  <c r="I185" i="42" s="1"/>
  <c r="I186" i="42" s="1"/>
  <c r="I187" i="42" s="1"/>
  <c r="I188" i="42" s="1"/>
  <c r="I189" i="42" s="1"/>
  <c r="I190" i="42" s="1"/>
  <c r="I191" i="42" s="1"/>
  <c r="I192" i="42" s="1"/>
  <c r="I193" i="42" s="1"/>
  <c r="I194" i="42" s="1"/>
  <c r="I195" i="42" s="1"/>
  <c r="I196" i="42" s="1"/>
  <c r="I197" i="42" s="1"/>
  <c r="I198" i="42" s="1"/>
  <c r="I199" i="42" s="1"/>
  <c r="I200" i="42" s="1"/>
  <c r="I201" i="42" s="1"/>
  <c r="I202" i="42" s="1"/>
  <c r="I203" i="42" s="1"/>
  <c r="I204" i="42" s="1"/>
  <c r="I205" i="42" s="1"/>
  <c r="I206" i="42" s="1"/>
  <c r="I207" i="42" s="1"/>
  <c r="I208" i="42" s="1"/>
  <c r="I209" i="42" s="1"/>
  <c r="I210" i="42" s="1"/>
  <c r="I211" i="42" s="1"/>
  <c r="I212" i="42" s="1"/>
  <c r="I213" i="42" s="1"/>
  <c r="I214" i="42" s="1"/>
  <c r="I215" i="42" s="1"/>
  <c r="I216" i="42" s="1"/>
  <c r="I217" i="42" s="1"/>
  <c r="I218" i="42" s="1"/>
  <c r="I219" i="42" s="1"/>
  <c r="I220" i="42" s="1"/>
  <c r="I221" i="42" s="1"/>
  <c r="I222" i="42" s="1"/>
  <c r="I223" i="42" s="1"/>
  <c r="I224" i="42" s="1"/>
  <c r="I225" i="42" s="1"/>
  <c r="I226" i="42" s="1"/>
  <c r="I227" i="42" s="1"/>
  <c r="I228" i="42" s="1"/>
  <c r="I229" i="42" s="1"/>
  <c r="I230" i="42" s="1"/>
  <c r="I231" i="42" s="1"/>
  <c r="I232" i="42" s="1"/>
  <c r="I233" i="42" s="1"/>
  <c r="I234" i="42" s="1"/>
  <c r="I235" i="42" s="1"/>
  <c r="I236" i="42" s="1"/>
  <c r="I237" i="42" s="1"/>
  <c r="I238" i="42" s="1"/>
  <c r="I239" i="42" s="1"/>
  <c r="I240" i="42" s="1"/>
  <c r="I241" i="42" s="1"/>
  <c r="I242" i="42" s="1"/>
  <c r="I243" i="42" s="1"/>
  <c r="I244" i="42" s="1"/>
  <c r="I245" i="42" s="1"/>
  <c r="I246" i="42" s="1"/>
  <c r="I247" i="42" s="1"/>
  <c r="I248" i="42" s="1"/>
  <c r="I249" i="42" s="1"/>
  <c r="I250" i="42" s="1"/>
  <c r="I251" i="42" s="1"/>
  <c r="I252" i="42" s="1"/>
  <c r="I253" i="42" s="1"/>
  <c r="I254" i="42" s="1"/>
  <c r="I255" i="42" s="1"/>
  <c r="I256" i="42" s="1"/>
  <c r="I257" i="42" s="1"/>
  <c r="I258" i="42" s="1"/>
  <c r="I259" i="42" s="1"/>
  <c r="I260" i="42" s="1"/>
  <c r="I261" i="42" s="1"/>
  <c r="I262" i="42" s="1"/>
  <c r="I263" i="42" s="1"/>
  <c r="I264" i="42" s="1"/>
  <c r="I265" i="42" s="1"/>
  <c r="I266" i="42" s="1"/>
  <c r="I267" i="42" s="1"/>
  <c r="I268" i="42" s="1"/>
  <c r="I269" i="42" s="1"/>
  <c r="I270" i="42" s="1"/>
  <c r="I271" i="42" s="1"/>
  <c r="I272" i="42" s="1"/>
  <c r="I273" i="42" s="1"/>
  <c r="I274" i="42" s="1"/>
  <c r="I275" i="42" s="1"/>
  <c r="I276" i="42" s="1"/>
  <c r="I277" i="42" s="1"/>
  <c r="I278" i="42" s="1"/>
  <c r="I279" i="42" s="1"/>
  <c r="I280" i="42" s="1"/>
  <c r="I281" i="42" s="1"/>
  <c r="I282" i="42" s="1"/>
  <c r="I283" i="42" s="1"/>
  <c r="I284" i="42" s="1"/>
  <c r="I285" i="42" s="1"/>
  <c r="I286" i="42" s="1"/>
  <c r="I287" i="42" s="1"/>
  <c r="I288" i="42" s="1"/>
  <c r="I289" i="42" s="1"/>
  <c r="I290" i="42" s="1"/>
  <c r="I291" i="42" s="1"/>
  <c r="I292" i="42" s="1"/>
  <c r="I293" i="42" s="1"/>
  <c r="I294" i="42" s="1"/>
  <c r="I295" i="42" s="1"/>
  <c r="I296" i="42" s="1"/>
  <c r="I297" i="42" s="1"/>
  <c r="I298" i="42" s="1"/>
  <c r="I299" i="42" s="1"/>
  <c r="I300" i="42" s="1"/>
  <c r="I301" i="42" s="1"/>
  <c r="I302" i="42" s="1"/>
  <c r="I303" i="42" s="1"/>
  <c r="I304" i="42" s="1"/>
  <c r="I305" i="42" s="1"/>
  <c r="I306" i="42" s="1"/>
  <c r="I307" i="42" s="1"/>
  <c r="I308" i="42" s="1"/>
  <c r="I309" i="42" s="1"/>
  <c r="I310" i="42" s="1"/>
  <c r="I311" i="42" s="1"/>
  <c r="I312" i="42" s="1"/>
  <c r="I313" i="42" s="1"/>
  <c r="I314" i="42" s="1"/>
  <c r="I315" i="42" s="1"/>
  <c r="I316" i="42" s="1"/>
  <c r="I317" i="42" s="1"/>
  <c r="I318" i="42" s="1"/>
  <c r="I319" i="42" s="1"/>
  <c r="I320" i="42" s="1"/>
  <c r="I321" i="42" s="1"/>
  <c r="I322" i="42" s="1"/>
  <c r="I323" i="42" s="1"/>
  <c r="I324" i="42" s="1"/>
  <c r="I325" i="42" s="1"/>
  <c r="I326" i="42" s="1"/>
  <c r="I327" i="42" s="1"/>
  <c r="I328" i="42" s="1"/>
  <c r="I329" i="42" s="1"/>
  <c r="I330" i="42" s="1"/>
  <c r="I331" i="42" s="1"/>
  <c r="I332" i="42" s="1"/>
  <c r="I333" i="42" s="1"/>
  <c r="I334" i="42" s="1"/>
  <c r="I335" i="42" s="1"/>
  <c r="I336" i="42" s="1"/>
  <c r="I337" i="42" s="1"/>
  <c r="I338" i="42" s="1"/>
  <c r="I339" i="42" s="1"/>
  <c r="I340" i="42" s="1"/>
  <c r="I341" i="42" s="1"/>
  <c r="I342" i="42" s="1"/>
  <c r="I343" i="42" s="1"/>
  <c r="I344" i="42" s="1"/>
  <c r="I345" i="42" s="1"/>
  <c r="I346" i="42" s="1"/>
  <c r="I347" i="42" s="1"/>
  <c r="I348" i="42" s="1"/>
  <c r="I349" i="42" s="1"/>
  <c r="I350" i="42" s="1"/>
  <c r="I351" i="42" s="1"/>
  <c r="I352" i="42" s="1"/>
  <c r="I353" i="42" s="1"/>
  <c r="I354" i="42" s="1"/>
  <c r="I355" i="42" s="1"/>
  <c r="I356" i="42" s="1"/>
  <c r="I357" i="42" s="1"/>
  <c r="I358" i="42" s="1"/>
  <c r="I359" i="42" s="1"/>
  <c r="I360" i="42" s="1"/>
  <c r="I361" i="42" s="1"/>
  <c r="I362" i="42" s="1"/>
  <c r="I363" i="42" s="1"/>
  <c r="I364" i="42" s="1"/>
  <c r="I365" i="42" s="1"/>
  <c r="I366" i="42" s="1"/>
  <c r="I367" i="42" s="1"/>
  <c r="I368" i="42" s="1"/>
  <c r="I369" i="42" s="1"/>
  <c r="I370" i="42" s="1"/>
  <c r="I371" i="42" s="1"/>
  <c r="I372" i="42" s="1"/>
  <c r="I373" i="42" s="1"/>
  <c r="I374" i="42" s="1"/>
  <c r="I375" i="42" s="1"/>
  <c r="I376" i="42" s="1"/>
  <c r="I377" i="42" s="1"/>
  <c r="I378" i="42" s="1"/>
  <c r="I379" i="42" s="1"/>
  <c r="I380" i="42" s="1"/>
  <c r="I381" i="42" s="1"/>
  <c r="I382" i="42" s="1"/>
  <c r="I383" i="42" s="1"/>
  <c r="I384" i="42" s="1"/>
  <c r="I385" i="42" s="1"/>
  <c r="I386" i="42" s="1"/>
  <c r="I387" i="42" s="1"/>
  <c r="I388" i="42" s="1"/>
  <c r="I389" i="42" s="1"/>
  <c r="I390" i="42" s="1"/>
  <c r="I391" i="42" s="1"/>
  <c r="I392" i="42" s="1"/>
  <c r="I393" i="42" s="1"/>
  <c r="I394" i="42" s="1"/>
  <c r="I395" i="42" s="1"/>
  <c r="I396" i="42" s="1"/>
  <c r="I397" i="42" s="1"/>
  <c r="I398" i="42" s="1"/>
  <c r="I399" i="42" s="1"/>
  <c r="I400" i="42" s="1"/>
  <c r="I401" i="42" s="1"/>
  <c r="I402" i="42" s="1"/>
  <c r="I403" i="42" s="1"/>
  <c r="I404" i="42" s="1"/>
  <c r="I405" i="42" s="1"/>
  <c r="I406" i="42" s="1"/>
  <c r="I407" i="42" s="1"/>
  <c r="I408" i="42" s="1"/>
  <c r="I409" i="42" s="1"/>
  <c r="I410" i="42" s="1"/>
  <c r="I411" i="42" s="1"/>
  <c r="I412" i="42" s="1"/>
  <c r="I413" i="42" s="1"/>
  <c r="I414" i="42" s="1"/>
  <c r="I415" i="42" s="1"/>
  <c r="I416" i="42" s="1"/>
  <c r="I417" i="42" s="1"/>
  <c r="I418" i="42" s="1"/>
  <c r="I419" i="42" s="1"/>
  <c r="I420" i="42" s="1"/>
  <c r="I421" i="42" s="1"/>
  <c r="I422" i="42" s="1"/>
  <c r="I423" i="42" s="1"/>
  <c r="I424" i="42" s="1"/>
  <c r="I425" i="42" s="1"/>
  <c r="I426" i="42" s="1"/>
  <c r="I427" i="42" s="1"/>
  <c r="I428" i="42" s="1"/>
  <c r="I429" i="42" s="1"/>
  <c r="I430" i="42" s="1"/>
  <c r="I431" i="42" s="1"/>
  <c r="I432" i="42" s="1"/>
  <c r="I433" i="42" s="1"/>
  <c r="I434" i="42" s="1"/>
  <c r="I435" i="42" s="1"/>
  <c r="I436" i="42" s="1"/>
  <c r="I437" i="42" s="1"/>
  <c r="I438" i="42" s="1"/>
  <c r="I439" i="42" s="1"/>
  <c r="I440" i="42" s="1"/>
  <c r="I441" i="42" s="1"/>
  <c r="I442" i="42" s="1"/>
  <c r="I443" i="42" s="1"/>
  <c r="I444" i="42" s="1"/>
  <c r="I445" i="42" s="1"/>
  <c r="I446" i="42" s="1"/>
  <c r="I447" i="42" s="1"/>
  <c r="I448" i="42" s="1"/>
  <c r="I449" i="42" s="1"/>
  <c r="I450" i="42" s="1"/>
  <c r="I451" i="42" s="1"/>
  <c r="I452" i="42" s="1"/>
  <c r="I453" i="42" s="1"/>
  <c r="I454" i="42" s="1"/>
  <c r="I455" i="42" s="1"/>
  <c r="I456" i="42" s="1"/>
  <c r="I457" i="42" s="1"/>
  <c r="I458" i="42" s="1"/>
  <c r="I459" i="42" s="1"/>
  <c r="I460" i="42" s="1"/>
  <c r="I461" i="42" s="1"/>
  <c r="I462" i="42" s="1"/>
  <c r="I463" i="42" s="1"/>
  <c r="I464" i="42" s="1"/>
  <c r="I465" i="42" s="1"/>
  <c r="I466" i="42" s="1"/>
  <c r="I467" i="42" s="1"/>
  <c r="I468" i="42" s="1"/>
  <c r="I469" i="42" s="1"/>
  <c r="I470" i="42" s="1"/>
  <c r="I471" i="42" s="1"/>
  <c r="I472" i="42" s="1"/>
  <c r="I473" i="42" s="1"/>
  <c r="I474" i="42" s="1"/>
  <c r="I475" i="42" s="1"/>
  <c r="I476" i="42" s="1"/>
  <c r="I477" i="42" s="1"/>
  <c r="I478" i="42" s="1"/>
  <c r="I479" i="42" s="1"/>
  <c r="I480" i="42" s="1"/>
  <c r="I481" i="42" s="1"/>
  <c r="I482" i="42" s="1"/>
  <c r="I483" i="42" s="1"/>
  <c r="I484" i="42" s="1"/>
  <c r="I485" i="42" s="1"/>
  <c r="I486" i="42" s="1"/>
  <c r="I487" i="42" s="1"/>
  <c r="I488" i="42" s="1"/>
  <c r="I489" i="42" s="1"/>
  <c r="I490" i="42" s="1"/>
  <c r="I491" i="42" s="1"/>
  <c r="I492" i="42" s="1"/>
  <c r="I493" i="42" s="1"/>
  <c r="I494" i="42" s="1"/>
  <c r="I495" i="42" s="1"/>
  <c r="I496" i="42" s="1"/>
  <c r="I497" i="42" s="1"/>
  <c r="I498" i="42" s="1"/>
  <c r="I499" i="42" s="1"/>
  <c r="I500" i="42" s="1"/>
  <c r="I501" i="42" s="1"/>
  <c r="I502" i="42" s="1"/>
  <c r="I503" i="42" s="1"/>
  <c r="I504" i="42" s="1"/>
  <c r="I505" i="42" s="1"/>
  <c r="I506" i="42" s="1"/>
  <c r="I507" i="42" s="1"/>
  <c r="I508" i="42" s="1"/>
  <c r="I509" i="42" s="1"/>
  <c r="I510" i="42" s="1"/>
  <c r="I511" i="42" s="1"/>
  <c r="I512" i="42" s="1"/>
  <c r="I513" i="42" s="1"/>
  <c r="I514" i="42" s="1"/>
  <c r="I515" i="42" s="1"/>
  <c r="I516" i="42" s="1"/>
  <c r="I517" i="42" s="1"/>
  <c r="I518" i="42" s="1"/>
  <c r="I519" i="42" s="1"/>
  <c r="I520" i="42" s="1"/>
  <c r="I521" i="42" s="1"/>
  <c r="I522" i="42" s="1"/>
  <c r="I523" i="42" s="1"/>
  <c r="I524" i="42" s="1"/>
  <c r="I525" i="42" s="1"/>
  <c r="I526" i="42" s="1"/>
  <c r="I527" i="42" s="1"/>
  <c r="I528" i="42" s="1"/>
  <c r="I529" i="42" s="1"/>
  <c r="I530" i="42" s="1"/>
  <c r="I531" i="42" s="1"/>
  <c r="I532" i="42" s="1"/>
  <c r="I533" i="42" s="1"/>
  <c r="I534" i="42" s="1"/>
  <c r="I535" i="42" s="1"/>
  <c r="I536" i="42" s="1"/>
  <c r="I537" i="42" s="1"/>
  <c r="I538" i="42" s="1"/>
  <c r="I539" i="42" s="1"/>
  <c r="I540" i="42" s="1"/>
  <c r="I541" i="42" s="1"/>
  <c r="I542" i="42" s="1"/>
  <c r="I543" i="42" s="1"/>
  <c r="I544" i="42" s="1"/>
  <c r="I545" i="42" s="1"/>
  <c r="I546" i="42" s="1"/>
  <c r="I547" i="42" s="1"/>
  <c r="I548" i="42" s="1"/>
  <c r="I549" i="42" s="1"/>
  <c r="I550" i="42" s="1"/>
  <c r="I551" i="42" s="1"/>
  <c r="I552" i="42" s="1"/>
  <c r="I553" i="42" s="1"/>
  <c r="I554" i="42" s="1"/>
  <c r="I555" i="42" s="1"/>
  <c r="I556" i="42" s="1"/>
  <c r="I557" i="42" s="1"/>
  <c r="I558" i="42" s="1"/>
  <c r="I559" i="42" s="1"/>
  <c r="I560" i="42" s="1"/>
  <c r="I561" i="42" s="1"/>
  <c r="I562" i="42" s="1"/>
  <c r="I563" i="42" s="1"/>
  <c r="I564" i="42" s="1"/>
  <c r="I565" i="42" s="1"/>
  <c r="I566" i="42" s="1"/>
  <c r="I567" i="42" s="1"/>
  <c r="I568" i="42" s="1"/>
  <c r="I569" i="42" s="1"/>
  <c r="I570" i="42" s="1"/>
  <c r="I571" i="42" s="1"/>
  <c r="I572" i="42" s="1"/>
  <c r="I573" i="42" s="1"/>
  <c r="I574" i="42" s="1"/>
  <c r="I575" i="42" s="1"/>
  <c r="I576" i="42" s="1"/>
  <c r="I577" i="42" s="1"/>
  <c r="I578" i="42" s="1"/>
  <c r="I579" i="42" s="1"/>
  <c r="I580" i="42" s="1"/>
  <c r="I581" i="42" s="1"/>
  <c r="I582" i="42" s="1"/>
  <c r="I583" i="42" s="1"/>
  <c r="I584" i="42" s="1"/>
  <c r="I585" i="42" s="1"/>
  <c r="I586" i="42" s="1"/>
  <c r="I587" i="42" s="1"/>
  <c r="I588" i="42" s="1"/>
  <c r="I589" i="42" s="1"/>
  <c r="I590" i="42" s="1"/>
  <c r="I591" i="42" s="1"/>
  <c r="I592" i="42" s="1"/>
  <c r="I593" i="42" s="1"/>
  <c r="I594" i="42" s="1"/>
  <c r="I595" i="42" s="1"/>
  <c r="I596" i="42" s="1"/>
  <c r="I597" i="42" s="1"/>
  <c r="I598" i="42" s="1"/>
  <c r="I599" i="42" s="1"/>
  <c r="I600" i="42" s="1"/>
  <c r="I601" i="42" s="1"/>
  <c r="I602" i="42" s="1"/>
  <c r="I603" i="42" s="1"/>
  <c r="I604" i="42" s="1"/>
  <c r="I605" i="42" s="1"/>
  <c r="I606" i="42" s="1"/>
  <c r="I607" i="42" s="1"/>
  <c r="I608" i="42" s="1"/>
  <c r="I609" i="42" s="1"/>
  <c r="I610" i="42" s="1"/>
  <c r="I611" i="42" s="1"/>
  <c r="I612" i="42" s="1"/>
  <c r="I613" i="42" s="1"/>
  <c r="I614" i="42" s="1"/>
  <c r="I615" i="42" s="1"/>
  <c r="I616" i="42" s="1"/>
  <c r="I617" i="42" s="1"/>
  <c r="I618" i="42" s="1"/>
  <c r="I619" i="42" s="1"/>
  <c r="I620" i="42" s="1"/>
  <c r="I621" i="42" s="1"/>
  <c r="I622" i="42" s="1"/>
  <c r="I623" i="42" s="1"/>
  <c r="I624" i="42" s="1"/>
  <c r="I625" i="42" s="1"/>
  <c r="I626" i="42" s="1"/>
  <c r="I627" i="42" s="1"/>
  <c r="I628" i="42" s="1"/>
  <c r="I629" i="42" s="1"/>
  <c r="I630" i="42" s="1"/>
  <c r="I631" i="42" s="1"/>
  <c r="I632" i="42" s="1"/>
  <c r="I633" i="42" s="1"/>
  <c r="I634" i="42" s="1"/>
  <c r="I635" i="42" s="1"/>
  <c r="I636" i="42" s="1"/>
  <c r="I637" i="42" s="1"/>
  <c r="I638" i="42" s="1"/>
  <c r="I639" i="42" s="1"/>
  <c r="I640" i="42" s="1"/>
  <c r="I641" i="42" s="1"/>
  <c r="I642" i="42" s="1"/>
  <c r="I643" i="42" s="1"/>
  <c r="I644" i="42" s="1"/>
  <c r="I645" i="42" l="1"/>
  <c r="J81" i="44" s="1"/>
  <c r="J84" i="44" s="1"/>
  <c r="J86" i="44" s="1"/>
</calcChain>
</file>

<file path=xl/sharedStrings.xml><?xml version="1.0" encoding="utf-8"?>
<sst xmlns="http://schemas.openxmlformats.org/spreadsheetml/2006/main" count="52994" uniqueCount="28283">
  <si>
    <t>LINKOTEL S. A.</t>
  </si>
  <si>
    <t>CONCILIACION BANCARIA</t>
  </si>
  <si>
    <t>BANCO DEL PACIFICO CTA. CTE. # 554910-8</t>
  </si>
  <si>
    <t>SALDO SEGÚN ESTADO DE CUENTA AL 31 DE DICIEMBRE DEL 2019</t>
  </si>
  <si>
    <t>$</t>
  </si>
  <si>
    <t>MENOS</t>
  </si>
  <si>
    <t>CHEQUES GIRADOS Y NO COBRADOS</t>
  </si>
  <si>
    <t>FECHA</t>
  </si>
  <si>
    <t>A LA ORDEN</t>
  </si>
  <si>
    <t># EG.</t>
  </si>
  <si>
    <t># CHEQUE</t>
  </si>
  <si>
    <t>VALOR</t>
  </si>
  <si>
    <t>Fact# 0028449 COPIADORA ECUATORIANA CIA LTDA ECUACOPIA Concepto:SERVICIO ARRIENDO DE IMPRESORA BASE Y COPIA COLOR B/N#33</t>
  </si>
  <si>
    <t>EG-638</t>
  </si>
  <si>
    <t>DEPOSITOS NO REGISTRADOS</t>
  </si>
  <si>
    <t>N/D BANCO DEL PACIFICO POR GASTOS BANCARIOS, DEBITO POR RECAUDACION ENE-19</t>
  </si>
  <si>
    <t>NDL-30</t>
  </si>
  <si>
    <t>PAGO TARJ. CORP. CUOTA MES DE ABRIL 2019</t>
  </si>
  <si>
    <t>NDL-43</t>
  </si>
  <si>
    <t>REVISAR ESTE VALOR EN MARZO Y ABRIL</t>
  </si>
  <si>
    <t>WESTER UNION DEPOSITADO EN EL PICHINCHA</t>
  </si>
  <si>
    <t>IC-7563</t>
  </si>
  <si>
    <t>GUA-PRINCIPAL INTERMATICO-T</t>
  </si>
  <si>
    <t>GUA-UNICENTRO</t>
  </si>
  <si>
    <t>GUA-BAHIA</t>
  </si>
  <si>
    <t>GUA-PRINCIPAL TRANSFERENCIA</t>
  </si>
  <si>
    <t>GUA-PASEO-SHOP</t>
  </si>
  <si>
    <t>GUA-ALBORADA</t>
  </si>
  <si>
    <t>TRANSFERENCIA</t>
  </si>
  <si>
    <t>MAS</t>
  </si>
  <si>
    <t>NOTAS DE DEBITO</t>
  </si>
  <si>
    <t>NOTAS DE DEBITO MES ENERO 2019</t>
  </si>
  <si>
    <t>NOTAS DE DEBITO MES FEBRERO 2019</t>
  </si>
  <si>
    <t>NOTAS DE DEBITO MES MARZO 2019</t>
  </si>
  <si>
    <t>NOTAS DE DEBITO MES ABRIL 2019 TARJETA DE CREDITO</t>
  </si>
  <si>
    <t>NOTAS DE DEBITO MES ABRIL 2019</t>
  </si>
  <si>
    <t>NOTAS DE DEBITO MES MAYO 2019</t>
  </si>
  <si>
    <t>NOTAS DE DEBITO MES JUNIO 2019</t>
  </si>
  <si>
    <t>NOTAS DE DEBITO MES JULIO 2019</t>
  </si>
  <si>
    <t>NOTAS DE DEBITO MES AGOSTO 2019</t>
  </si>
  <si>
    <t>NOTAS DE DEBITO MES SEPTIEMBRE 2019</t>
  </si>
  <si>
    <t>NOTAS DE DEBITO MES OCTUBRE 2019</t>
  </si>
  <si>
    <t>NOTAS DE DEBITO MES NOVIEMBRE 2019</t>
  </si>
  <si>
    <t>NOTAS DE DEBITO MES DICIEMBRE 2019</t>
  </si>
  <si>
    <t>DEPOSITOS EN TRANSITO</t>
  </si>
  <si>
    <t>Fact#: 9615 Rec#: 58740 PLAZACAMPO S A  Cta# 45933423 Ch# 412</t>
  </si>
  <si>
    <t>IC-2327</t>
  </si>
  <si>
    <t>Fact#: 290018-292260 Rec#: 26779 MINA MONTANO JUVER RUBEN</t>
  </si>
  <si>
    <t>IC-3620</t>
  </si>
  <si>
    <t>Fact#: 314068 Rec#: 61444 SEGURIDAD PRIVADA Y ARMADA DEL ECUADOR ARSEGEC C.</t>
  </si>
  <si>
    <t>IC-17806</t>
  </si>
  <si>
    <t>Fact#: 313677-316294 Rec#: 61445 ZEREGA RECALDE ERIKA PAMELA</t>
  </si>
  <si>
    <t>IC-17807</t>
  </si>
  <si>
    <t>Fact#: 306989-309777-312545 Rec#: 61446 MARIA GABRIELA MOREIRA ESPINOZA</t>
  </si>
  <si>
    <t>IC-17835</t>
  </si>
  <si>
    <t>Fact#: 311666-314395 Rec#: 61447 LOPEZ OLLAGUE JURY JANETH</t>
  </si>
  <si>
    <t>IC-17839</t>
  </si>
  <si>
    <t>Fact#: 306404-309224-312015 Rec#: 61448 RIVADENEIRA MONCAYO LUCY TANYA</t>
  </si>
  <si>
    <t>IC-17843</t>
  </si>
  <si>
    <t>Fact#: 297426-299993-302562 Rec#: 61449 GAIBOR SANCHEZ CARLOS GENARO</t>
  </si>
  <si>
    <t>IC-17844</t>
  </si>
  <si>
    <t>Fact#: 268407-270430-272476 Rec#: 61451 ALVARO AMBROCIO MIRANDA CEVALLOS</t>
  </si>
  <si>
    <t>IC-17846</t>
  </si>
  <si>
    <t>Fact#: 314547 Rec#: 61452 GINA PATRICIA  POVEDA CAMACHO</t>
  </si>
  <si>
    <t>IC-17848</t>
  </si>
  <si>
    <t>Fact#: 315829 Rec#: 61453 NARANJO PEÑA GUILLERMO JUAN</t>
  </si>
  <si>
    <t>IC-17884</t>
  </si>
  <si>
    <t>Fact#: 313978 Rec#: 61450 LAUDE S.A. LAUDESA ADMINISTRADORA DE FONDOS Y FIDEICOMISOS  Cta# 01-0596030 Ch# 3862</t>
  </si>
  <si>
    <t>IC-17845</t>
  </si>
  <si>
    <t>Fact#: 307294-310071-312831 Rec#: 10881 GOMEZ ZAMBRANO KAREN YALILE</t>
  </si>
  <si>
    <t>IC-17889</t>
  </si>
  <si>
    <t>Fact#: 309583-312355-315050 Rec#: 10882 LUIS FERNANDO RODRIGUEZ TAPIA</t>
  </si>
  <si>
    <t>IC-17890</t>
  </si>
  <si>
    <t>Fact#: 299230-301874-304520 Rec#: 10883 BRIONES CEVALLOS CARLOS DANIEL</t>
  </si>
  <si>
    <t>IC-17891</t>
  </si>
  <si>
    <t>Fact#: 316074 Rec#: 10884 CABRERA JIMENES FAUSTO IBAN</t>
  </si>
  <si>
    <t>IC-17892</t>
  </si>
  <si>
    <t>Fact#: 310691-313417-316049 Rec#: 10885 MONTANO ARROYO CARLINA INES</t>
  </si>
  <si>
    <t>IC-17893</t>
  </si>
  <si>
    <t>Fact#: 312454-315142 Rec#: 10886 NANCY ESTHELA SANCHEZ</t>
  </si>
  <si>
    <t>IC-17894</t>
  </si>
  <si>
    <t>Fact#: 315807 Rec#: 10887 MAYEZA REGALADO JIMMY HARRY</t>
  </si>
  <si>
    <t>IC-17895</t>
  </si>
  <si>
    <t>Fact#: 309476-312256-314951 Rec#: 10888 JESSICA LORENA TRIANA VELIS</t>
  </si>
  <si>
    <t>IC-17896</t>
  </si>
  <si>
    <t>Fact#: 312676-315355 Rec#: 10889 GONZALEZ MOREIRA MARIO ALEJANDRO</t>
  </si>
  <si>
    <t>IC-17897</t>
  </si>
  <si>
    <t>Fact#: 315218 Rec#: 10890 MIGDONIA ELINOR GARCIA MORALES</t>
  </si>
  <si>
    <t>IC-17898</t>
  </si>
  <si>
    <t>Fact#: 310405-313152-315806 Rec#: 10891 RUIZ JORDAN TERESA DE JESUS</t>
  </si>
  <si>
    <t>IC-17899</t>
  </si>
  <si>
    <t>Fact#: 312200-314895 Rec#: 10892 GINGER LIZBETH GOMEZ CALDERON</t>
  </si>
  <si>
    <t>IC-17900</t>
  </si>
  <si>
    <t>Fact#: 309612-312383-315073 Rec#: 10893 MARTHA WENDY VILLEGAS MONTOYA</t>
  </si>
  <si>
    <t>IC-17901</t>
  </si>
  <si>
    <t>Fact#: 316549 Rec#: 10894 CHOEZ ANCHUNDIA WILTER ANTONIO</t>
  </si>
  <si>
    <t>IC-17902</t>
  </si>
  <si>
    <t>Fact#: 306795-309593-312364 Rec#: 10895 PEDRO LUIS ZAPATA CEVALLOS</t>
  </si>
  <si>
    <t>IC-17903</t>
  </si>
  <si>
    <t>Fact#: 312209-314904 Rec#: 10896 RUBEN DARIO HIDALGO MUÑOZ</t>
  </si>
  <si>
    <t>IC-17904</t>
  </si>
  <si>
    <t>Fact#: 315329 Rec#: 10897 TOMALA SANCAN JORGE LUIS</t>
  </si>
  <si>
    <t>IC-17905</t>
  </si>
  <si>
    <t>Fact#: 315530 Rec#: 10898 TOMALA SANCAN JORGE LUIS</t>
  </si>
  <si>
    <t>IC-17906</t>
  </si>
  <si>
    <t>Fact#: 306107-308384-311162 Rec#: 10899 RAQUEL MARLENE AMAIQUEMA ILLESCAS</t>
  </si>
  <si>
    <t>IC-17907</t>
  </si>
  <si>
    <t>Fact#: 312375-315064 Rec#: 10900 ISABEL RODRIGUEZ RIZO</t>
  </si>
  <si>
    <t>IC-17908</t>
  </si>
  <si>
    <t>Fact#: 310558-313292-315940 Rec#: 10901 CRUZ MONTANO CLAUDIA JOHANNA</t>
  </si>
  <si>
    <t>IC-17909</t>
  </si>
  <si>
    <t>Fact#: 315068 Rec#: 10902 DELFIN NESTOR CALDERON GARCIA</t>
  </si>
  <si>
    <t>IC-17911</t>
  </si>
  <si>
    <t>Fact#: 314686 Rec#: 10903 ENCALADA SANCHEZ NIEVES ELIZABETH</t>
  </si>
  <si>
    <t>IC-17914</t>
  </si>
  <si>
    <t>Fact#: 311942-314649 Rec#: 10904 HAYDEE GANDIOSA  FALUGIANI MORA</t>
  </si>
  <si>
    <t>IC-17917</t>
  </si>
  <si>
    <t>Fact#: 315333 Rec#: 10905 VASQUEZ MIRANDA MARIO AUGUSTO</t>
  </si>
  <si>
    <t>IC-17918</t>
  </si>
  <si>
    <t>Fact#: 312349-315041 Rec#: 10906 CHRISTIAN DAVID REATEGUI BURNEO</t>
  </si>
  <si>
    <t>IC-17925</t>
  </si>
  <si>
    <t>Fact#: 312788-315458 Rec#: 10907 ROMERO LITARDO FRANCISCO XAVIER</t>
  </si>
  <si>
    <t>IC-17928</t>
  </si>
  <si>
    <t>Fact#: 313662-316277 Rec#: 10908 GUAMANQUISPE FLORES ESPERANZA ANTONIETA</t>
  </si>
  <si>
    <t>IC-17929</t>
  </si>
  <si>
    <t>Fact#: 315475 Rec#: 10909 GUTIERREZ CAJIAS ANDREA YOLANDA</t>
  </si>
  <si>
    <t>IC-17931</t>
  </si>
  <si>
    <t>Fact#: 316147 Rec#: 10910 MALDONADO VILLAMAR HUMBERTO MARTIN</t>
  </si>
  <si>
    <t>IC-17932</t>
  </si>
  <si>
    <t>Fact#: 312612-315295 Rec#: 10911 SUSAN JESSENEA GARCIA CARRASCO</t>
  </si>
  <si>
    <t>IC-17933</t>
  </si>
  <si>
    <t>Fact#: 314998 Rec#: 10912 MIGUEL ANGEL SANTOS NARANJO</t>
  </si>
  <si>
    <t>IC-17934</t>
  </si>
  <si>
    <t>Fact#: 315873 Rec#: 10913 YUNEZ PARRA JOSE MIGUEL</t>
  </si>
  <si>
    <t>IC-17935</t>
  </si>
  <si>
    <t>Fact#: 314820 Rec#: 10914 JENNY NATALIA MARTINEZ BAQUE</t>
  </si>
  <si>
    <t>IC-17936</t>
  </si>
  <si>
    <t>Fact#: 316541 Rec#: 10915 PEREDO TIGSI KEYLA THALIA</t>
  </si>
  <si>
    <t>IC-17937</t>
  </si>
  <si>
    <t>Fact#: 312907-315574 Rec#: 10916 ARROBA VALENCIA  JULIO ZENON</t>
  </si>
  <si>
    <t>IC-17938</t>
  </si>
  <si>
    <t>Fact#: 316026 Rec#: 10917 VILLAMAR GUADAMUD NIXON WILLIAN</t>
  </si>
  <si>
    <t>IC-17939</t>
  </si>
  <si>
    <t>Fact#: 309693-312463-315150 Rec#: 10918 ALEX EMILIO TELLO CEDEÑO</t>
  </si>
  <si>
    <t>IC-17940</t>
  </si>
  <si>
    <t>Fact#: 313941-316538 Rec#: 10919 JOSE ANTONIO  DIAZ ACOSTA</t>
  </si>
  <si>
    <t>IC-17941</t>
  </si>
  <si>
    <t>Fact#: 316354 Rec#: 10920 CABANILLA CORREA JORGE LOBERTI</t>
  </si>
  <si>
    <t>IC-17942</t>
  </si>
  <si>
    <t>Fact#: 315252 Rec#: 10921 LUIS BENIGNO ROMERO ABAD</t>
  </si>
  <si>
    <t>IC-17947</t>
  </si>
  <si>
    <t>Fact#: 314953 Rec#: 10922 WILLINGTON HUGO ROSALES MEDINA</t>
  </si>
  <si>
    <t>IC-17952</t>
  </si>
  <si>
    <t>Fact#: 312509-315194 Rec#: 10923 GALO ENRIQUE ESTUPIÑAN VERA</t>
  </si>
  <si>
    <t>IC-17953</t>
  </si>
  <si>
    <t>Fact#: 313196-315851 Rec#: 10924 CRESPO MEZA BYRON FIDEL</t>
  </si>
  <si>
    <t>IC-17954</t>
  </si>
  <si>
    <t>Fact#: 315731 Rec#: 10925 MEDINA BORJA LEONARDO JAVIER</t>
  </si>
  <si>
    <t>IC-17955</t>
  </si>
  <si>
    <t>Fact#: 311086-313799-316408 Rec#: 10926 ARROYO BUSTOS EXON OSNI</t>
  </si>
  <si>
    <t>IC-17956</t>
  </si>
  <si>
    <t>Fact#: 313681-316297 Rec#: 10927 SAQUICELA SORIA MARCELO ALEJANDRO</t>
  </si>
  <si>
    <t>IC-17957</t>
  </si>
  <si>
    <t>Fact#: 308301-311030-313744 Rec#: 10928 INDACOCHEA TUBAY BYRON JOSE</t>
  </si>
  <si>
    <t>IC-17958</t>
  </si>
  <si>
    <t>Fact#: 312749-315425 Rec#: 10929 RENDON SOLIS MARJORIE VALENTINA</t>
  </si>
  <si>
    <t>IC-17959</t>
  </si>
  <si>
    <t>Fact#: 307120-309904-312666 Rec#: 10930 MARTILLO BUSTAMANTE JIMMY JAVIER</t>
  </si>
  <si>
    <t>IC-17960</t>
  </si>
  <si>
    <t>Fact#: 312995-315657 Rec#: 10931 ARCE TRONCOSO YULLY CATALINA</t>
  </si>
  <si>
    <t>IC-17961</t>
  </si>
  <si>
    <t>Fact#: 312409-315098 Rec#: 10932 FELIX EDUARDO CARRERA CEDEÑO</t>
  </si>
  <si>
    <t>IC-17962</t>
  </si>
  <si>
    <t>Fact#: 314724 Rec#: 10933 ALVARADO PIGUAVE CAROLIN JANET</t>
  </si>
  <si>
    <t>IC-17963</t>
  </si>
  <si>
    <t>Fact#: 313202-315856 Rec#: 10934 CAMPOVERDE AREVALO WILLIAM HERNAN</t>
  </si>
  <si>
    <t>IC-17964</t>
  </si>
  <si>
    <t>Fact#: 316384 Rec#: 10935 CERCADO MENDOZA MARIA AUXILIADORA</t>
  </si>
  <si>
    <t>IC-17965</t>
  </si>
  <si>
    <t>Fact#: 315444 Rec#: 10936 ZAMBRANO CASTRO JOSE JAIR</t>
  </si>
  <si>
    <t>IC-17966</t>
  </si>
  <si>
    <t>Fact#: 316398 Rec#: 10937 MERINO MORAN LUIS MIGUEL</t>
  </si>
  <si>
    <t>IC-17967</t>
  </si>
  <si>
    <t>Fact#: 315830 Rec#: 10938 PALOMEQUE CALLE PEDRO EUGENIO</t>
  </si>
  <si>
    <t>IC-17968</t>
  </si>
  <si>
    <t>Fact#: 814 Rec#: 10939 CACUANGO LINCANGO EDISON FABIAN</t>
  </si>
  <si>
    <t>IC-17969</t>
  </si>
  <si>
    <t>Fact#: 314377 Rec#: 10940 SOLIS REYES OMAR MICHAEL</t>
  </si>
  <si>
    <t>IC-17970</t>
  </si>
  <si>
    <t>Fact#: 309771-312539-315225 Rec#: 10941 ADRIANA DE LOS ANGELES CUENCA SALAZAR</t>
  </si>
  <si>
    <t>IC-17971</t>
  </si>
  <si>
    <t>Fact#: 312743-315419 Rec#: 10942 CARRIEL DELGADO SIRLYS JADIRA</t>
  </si>
  <si>
    <t>IC-17972</t>
  </si>
  <si>
    <t>Fact#: 313557-316167 Rec#: 10943 ABARCA PACHAY GEOVANNY ANDRES</t>
  </si>
  <si>
    <t>IC-17973</t>
  </si>
  <si>
    <t>Fact#: 316547 Rec#: 10944 NIETO CORDERO EDYIMAR JOSEFINA</t>
  </si>
  <si>
    <t>IC-17974</t>
  </si>
  <si>
    <t>Fact#: 316356 Rec#: 10945 BURBANO VARGAS LUIS ALEJANDRO</t>
  </si>
  <si>
    <t>IC-17975</t>
  </si>
  <si>
    <t>Fact#: 316234 Rec#: 10946 LUCAS VALAREZO CRISTINA EVELIN</t>
  </si>
  <si>
    <t>IC-17976</t>
  </si>
  <si>
    <t>Fact#: 309527-312302-314997 Rec#: 10947 PAOLA MARIA AURELIA BARBA BAILON</t>
  </si>
  <si>
    <t>IC-17977</t>
  </si>
  <si>
    <t>Fact#: 316024 Rec#: 10948 ROBALINO VALENCIA  SPARTA SUSANA</t>
  </si>
  <si>
    <t>IC-17978</t>
  </si>
  <si>
    <t>Fact#: 316579 Rec#: 10949 MORAN PINCAY PATRICIA YOLANDA</t>
  </si>
  <si>
    <t>IC-17979</t>
  </si>
  <si>
    <t>Fact#: 303996-306754-309556 Rec#: 10950 NUVIA ELIZABETH TORRES VERA</t>
  </si>
  <si>
    <t>IC-17980</t>
  </si>
  <si>
    <t>Fact#: 316371 Rec#: 10951 VELEZ LOZANO HECTOR EDUARDO</t>
  </si>
  <si>
    <t>IC-17981</t>
  </si>
  <si>
    <t>Fact#: 313306-315953 Rec#: 10952 ORTEGA QUIMI ADRIANA ALEXANDRA</t>
  </si>
  <si>
    <t>IC-17982</t>
  </si>
  <si>
    <t>Fact#: 316326 Rec#: 10953 VARGAS PARRALES CARLOS JORGE</t>
  </si>
  <si>
    <t>IC-17983</t>
  </si>
  <si>
    <t>Fact#: 315681 Rec#: 10954 RUIZ SOLANO KELVIL ORLANDO</t>
  </si>
  <si>
    <t>IC-17984</t>
  </si>
  <si>
    <t>Fact#: 309500-312277-314972 Rec#: 10955 LENIN ANTONIO SARABIA ORELLANA</t>
  </si>
  <si>
    <t>IC-17985</t>
  </si>
  <si>
    <t>Fact#: 316253 Rec#: 10956 CORDOBA EIDER JOSE</t>
  </si>
  <si>
    <t>IC-17986</t>
  </si>
  <si>
    <t>Fact#: 313365-316006 Rec#: 10957 MORENO GOMEZ DUQUE ALFREDO</t>
  </si>
  <si>
    <t>IC-17987</t>
  </si>
  <si>
    <t>Fact#: 313379-316016 Rec#: 10958 MORENO GOMEZ DUQUE ALFREDO</t>
  </si>
  <si>
    <t>IC-17988</t>
  </si>
  <si>
    <t>Fact#: 316104 Rec#: 10959 GUZMAN JARAMILLO MAGALY DEL ROCIO</t>
  </si>
  <si>
    <t>IC-17989</t>
  </si>
  <si>
    <t>Fact#: 316078 Rec#: 10960 FIGUEROA RIOS MIGUEL IBSEN</t>
  </si>
  <si>
    <t>IC-17990</t>
  </si>
  <si>
    <t>Fact#: 316425 Rec#: 10961 MARIN RIVERA FREDDY OMAR</t>
  </si>
  <si>
    <t>IC-17991</t>
  </si>
  <si>
    <t>Fact#: 310598-313331-315977 Rec#: 10962 CEDENO MARCILLO IRMA JANETH</t>
  </si>
  <si>
    <t>IC-17992</t>
  </si>
  <si>
    <t>Fact#: 316335 Rec#: 10963 SOLARTE SOLARTE HERNEY SEBASTIAN</t>
  </si>
  <si>
    <t>IC-17993</t>
  </si>
  <si>
    <t>Fact#: 315267 Rec#: 10964 BEATRIZ MARIA DEL CARMEN PACHECO BALLESTEROS</t>
  </si>
  <si>
    <t>IC-17994</t>
  </si>
  <si>
    <t>Fact#: 316336 Rec#: 10965 ARROYO MOURA RENE PATRICIO</t>
  </si>
  <si>
    <t>IC-17995</t>
  </si>
  <si>
    <t>Fact#: 310402-313150-315804 Rec#: 10966 VIERA ROMERO DANTE JAVIER</t>
  </si>
  <si>
    <t>IC-17996</t>
  </si>
  <si>
    <t>Fact#: 312448-315136 Rec#: 10967 WILMER RIGOBERTO ROMERO ROBLES</t>
  </si>
  <si>
    <t>IC-17997</t>
  </si>
  <si>
    <t>Fact#: 316323 Rec#: 10968 FRANCO RODRIGUEZ FEDERICO ENRIQUE</t>
  </si>
  <si>
    <t>IC-17998</t>
  </si>
  <si>
    <t>Fact#: 313630-316243 Rec#: 10969 ROJAS MELONI LUIS FERNANDO</t>
  </si>
  <si>
    <t>IC-17999</t>
  </si>
  <si>
    <t>Fact#: 304969-307720-310466 Rec#: 10970 RUGEL AGUAYO KARINA ELIZABETH</t>
  </si>
  <si>
    <t>IC-18000</t>
  </si>
  <si>
    <t>Fact#: 315048 Rec#: 10971 BLANCA VERONICA LITARDO CANARTE</t>
  </si>
  <si>
    <t>IC-18001</t>
  </si>
  <si>
    <t>Fact#: 313862-316459 Rec#: 10972 VILLAMAR CARRANZA MARISOL DEL PILAR</t>
  </si>
  <si>
    <t>IC-18002</t>
  </si>
  <si>
    <t>Fact#: 293722-296230-298814 Rec#: 10973 GLADYS MERCEDES REYES LA ROSA</t>
  </si>
  <si>
    <t>IC-18003</t>
  </si>
  <si>
    <t>Fact#: 310020-312781-315452 Rec#: 10974 MURILLO MIRANDA GUILLERMO XAVIER</t>
  </si>
  <si>
    <t>IC-18004</t>
  </si>
  <si>
    <t>Fact#: 316342 Rec#: 10975 PENAFIEL VALLE MELISSA DEL ROCIO</t>
  </si>
  <si>
    <t>IC-18005</t>
  </si>
  <si>
    <t>Fact#: 309864-312626-315309 Rec#: 10976 ALEXANDRE FABIAN MARTINEZ CARRION</t>
  </si>
  <si>
    <t>IC-18006</t>
  </si>
  <si>
    <t>Fact#: 312854-315523 Rec#: 10977 VERA GUZMAN SILVIA AZUCENA</t>
  </si>
  <si>
    <t>IC-18007</t>
  </si>
  <si>
    <t>Fact#: 315327 Rec#: 10978 PRECIADO MOREIRA GABRIELA STEFANIA</t>
  </si>
  <si>
    <t>IC-18008</t>
  </si>
  <si>
    <t>Fact#: 312847-315515 Rec#: 10979 LUQUE RIVAS MARIA ROSA</t>
  </si>
  <si>
    <t>IC-18009</t>
  </si>
  <si>
    <t>Fact#: 314954 Rec#: 10980 NAIM ANTONIO YUNES MARIDUEÑA</t>
  </si>
  <si>
    <t>IC-18010</t>
  </si>
  <si>
    <t>Fact#: 313178-315833 Rec#: 10981 ALVARADO HOLGUIN HENRRY EDUARDO</t>
  </si>
  <si>
    <t>IC-18011</t>
  </si>
  <si>
    <t>Fact#: 312244-314939 Rec#: 10982 RUBEN ESTEBAN URRUTIA VINUEZA</t>
  </si>
  <si>
    <t>IC-18012</t>
  </si>
  <si>
    <t>Fact#: 313904-316498 Rec#: 10983 GUEVARA CAICE MAYRA CECILIA</t>
  </si>
  <si>
    <t>IC-18013</t>
  </si>
  <si>
    <t>Fact#: 315799 Rec#: 10984 CASTILLO PEREIRA GABRIEL ARCANGEL</t>
  </si>
  <si>
    <t>IC-18014</t>
  </si>
  <si>
    <t>Fact#: 316442 Rec#: 10985 FIGUEROA GAVELA SILVIA FABIOLA</t>
  </si>
  <si>
    <t>IC-18015</t>
  </si>
  <si>
    <t>Fact#: 306794-309592-312363 Rec#: 10986 MONICA JOHANA MURILLO NARANJO</t>
  </si>
  <si>
    <t>IC-18016</t>
  </si>
  <si>
    <t>Fact#: 314927 Rec#: 10987 ANDREA CANAHUATI CHAIN</t>
  </si>
  <si>
    <t>IC-18017</t>
  </si>
  <si>
    <t>Fact#: 315573 Rec#: 10988 MINA PERALTA EDDY FABRICIO</t>
  </si>
  <si>
    <t>IC-18018</t>
  </si>
  <si>
    <t>Fact#: 312404-315093 Rec#: 10989 HOLGER ALFREDO TOMALA DE LA ROSA</t>
  </si>
  <si>
    <t>IC-18019</t>
  </si>
  <si>
    <t>Fact#: 312318-315012 Rec#: 10990 LUIS FERNANDO FALCONES ZAMBRANO</t>
  </si>
  <si>
    <t>IC-18023</t>
  </si>
  <si>
    <t>Fact#: 312632-315314 Rec#: 10991 JESSICA VANESA METIGA GUARANDA</t>
  </si>
  <si>
    <t>IC-18026</t>
  </si>
  <si>
    <t>Fact#: 313488-316108 Rec#: 10992 CASTRO ALZAMORA DARWIN GABRIEL</t>
  </si>
  <si>
    <t>IC-18029</t>
  </si>
  <si>
    <t>Fact#: 315803 Rec#: 10993 LOPEZ RUIZ MARIA DEL CARMEN</t>
  </si>
  <si>
    <t>IC-18030</t>
  </si>
  <si>
    <t>Fact#: 313551-316162 Rec#: 10994 PIZA POZUELO FERNANDO</t>
  </si>
  <si>
    <t>IC-18031</t>
  </si>
  <si>
    <t>Fact#: 316256 Rec#: 10995 GARCIA VELASCO MARIANA NATIVIDAD</t>
  </si>
  <si>
    <t>IC-18033</t>
  </si>
  <si>
    <t>Fact#: 314534 Rec#: 10996 NORMA ELISA YEPEZ JIMENEZ</t>
  </si>
  <si>
    <t>IC-18034</t>
  </si>
  <si>
    <t>Fact#: 312173-314869 Rec#: 10997 LUCILA SOLANGE FLOR ORELLANA</t>
  </si>
  <si>
    <t>IC-18035</t>
  </si>
  <si>
    <t>Fact#: 310192-312952-315614 Rec#: 10998 REINOSO VASCONEZ RONALD HUMBERTO</t>
  </si>
  <si>
    <t>IC-18036</t>
  </si>
  <si>
    <t>Fact#: 314505 Rec#: 10999 ADELAIDA BETHSAIDA BRIONES</t>
  </si>
  <si>
    <t>IC-18037</t>
  </si>
  <si>
    <t>Fact#: 312922-315587 Rec#: 11000 RAMIREZ RUIZ MILTON EMILIO</t>
  </si>
  <si>
    <t>IC-18038</t>
  </si>
  <si>
    <t>Fact#: 314646 Rec#: 11001 LAURA BEATRIZ  ENCALADA ESPINOZA</t>
  </si>
  <si>
    <t>IC-18039</t>
  </si>
  <si>
    <t>Fact#: 310243-313000-315662 Rec#: 11002 MENDEZ VILLON CARMEN MARISOL</t>
  </si>
  <si>
    <t>IC-18040</t>
  </si>
  <si>
    <t>SALDO SEGÚN LIBRO BANCOS AL 31 DE DICIEMBRE DEL 2019</t>
  </si>
  <si>
    <t>PREPARADO</t>
  </si>
  <si>
    <t>APROBADO</t>
  </si>
  <si>
    <t>SALDO SEGÚN ESTADO DE CUENTA AL 31 DE ENERO DEL 2020</t>
  </si>
  <si>
    <t>SALDO SEGÚN LIBRO BANCOS AL 31 DE ENERO DEL 2020</t>
  </si>
  <si>
    <t>rptConsContMayor.rpt</t>
  </si>
  <si>
    <t>N</t>
  </si>
  <si>
    <t>Saldo Final</t>
  </si>
  <si>
    <t>Crédito</t>
  </si>
  <si>
    <t>Débito</t>
  </si>
  <si>
    <t>Saldo Inicial</t>
  </si>
  <si>
    <t>Fact#: 315239-317931 Rec#: 29551 DELIA JUDITH LEON LOPEZ</t>
  </si>
  <si>
    <t>IC-1853</t>
  </si>
  <si>
    <t>Fact#: 314507-317179 Rec#: 29550 DANIEL ALBERTO BEJAR GUERRERO</t>
  </si>
  <si>
    <t>IC-1852</t>
  </si>
  <si>
    <t>Fact#: 317257 Rec#: 29549 CESAR GALO MOTENEGRO PEÑA</t>
  </si>
  <si>
    <t>IC-1851</t>
  </si>
  <si>
    <t>Fact#: 316017-318716 Rec#: 29548 QUINTO BORJA LAURA PAMELA</t>
  </si>
  <si>
    <t>IC-1850</t>
  </si>
  <si>
    <t>Fact#: 318502 Rec#: 29547 UBILLA MORAN MARIANA JACQUELINE</t>
  </si>
  <si>
    <t>IC-1849</t>
  </si>
  <si>
    <t>Fact#: 318922 Rec#: 29546 GAVILANEZ GUTIERREZ CHRISTIAN DAVID</t>
  </si>
  <si>
    <t>IC-1848</t>
  </si>
  <si>
    <t>Fact#: 318449 Rec#: 29545 PERALTA AVILES MIGUEL ANGEL</t>
  </si>
  <si>
    <t>IC-1847</t>
  </si>
  <si>
    <t>Fact#: 318331 Rec#: 29544 ARIAS SALAZAR KATHERINE JUSETH</t>
  </si>
  <si>
    <t>IC-1846</t>
  </si>
  <si>
    <t>Fact#: 318159 Rec#: 11690 QUIÑONEZ VILLOTA KATTY ELIANA</t>
  </si>
  <si>
    <t>IC-1813</t>
  </si>
  <si>
    <t>Fact#: 315004-317685 Rec#: 11689 LORENA LISSET NUÑEZ RODRIGUEZ</t>
  </si>
  <si>
    <t>IC-1812</t>
  </si>
  <si>
    <t>Fact#: 313930-316528-319233 Rec#: 11688 TOMALA BURGOS TANIA JACQUELINE</t>
  </si>
  <si>
    <t>IC-1811</t>
  </si>
  <si>
    <t>Fact#: 318896 Rec#: 11687 SANCHEZ AGUILAR SORAYA PATRICIA</t>
  </si>
  <si>
    <t>IC-1810</t>
  </si>
  <si>
    <t>Fact#: 318897 Rec#: 11686 MARCILLO COBOS DAVID FERNANDO</t>
  </si>
  <si>
    <t>IC-1809</t>
  </si>
  <si>
    <t>Fact#: 319100 Rec#: 11685 ARBOLEDA CORTEZ CRUZ</t>
  </si>
  <si>
    <t>IC-1808</t>
  </si>
  <si>
    <t>Fact#: 319067 Rec#: 11684 PENAFIEL VALLE MELISSA DEL ROCIO</t>
  </si>
  <si>
    <t>IC-1807</t>
  </si>
  <si>
    <t>Fact#: 318340 Rec#: 11683 GONZALEZ MURO CARLOS LUIS</t>
  </si>
  <si>
    <t>IC-1806</t>
  </si>
  <si>
    <t>Fact#: 318889 Rec#: 11682 RUIZ RUIZ RAUL EDGARDO</t>
  </si>
  <si>
    <t>IC-1805</t>
  </si>
  <si>
    <t>Fact#: 319131 Rec#: 11681 BAQUE DIAZ JORGE PAUL</t>
  </si>
  <si>
    <t>IC-1804</t>
  </si>
  <si>
    <t>Fact#: 275128-277309-279694 Rec#: 11680 CARLOS WELLINGTON CHOEZ VERA</t>
  </si>
  <si>
    <t>IC-1803</t>
  </si>
  <si>
    <t>Fact#: 312852-315521-318212 Rec#: 11679 VILLAVICENCIO CEDEÑO CARLOS LUIS</t>
  </si>
  <si>
    <t>IC-1802</t>
  </si>
  <si>
    <t>Fact#: 318720 Rec#: 11678 ORTEGA CHAVEZ JUANA ALEJANDRINA</t>
  </si>
  <si>
    <t>IC-1801</t>
  </si>
  <si>
    <t>Fact#: 319225 Rec#: 11677 MOROCHO AGURTO VIVIANA MANUELA</t>
  </si>
  <si>
    <t>IC-1800</t>
  </si>
  <si>
    <t>Fact#: 312997-315659-318352 Rec#: 11676 SALINAS RIVADENEIRA JACQUELINE ANDREA</t>
  </si>
  <si>
    <t>IC-1799</t>
  </si>
  <si>
    <t>Fact#: 317880 Rec#: 11675 JAIME EDUARDO JARRIN CRUZ</t>
  </si>
  <si>
    <t>IC-1798</t>
  </si>
  <si>
    <t>Fact#: 319115 Rec#: 11674 AGUAYO SOLORZANO JOEL GEOVANNY</t>
  </si>
  <si>
    <t>IC-1797</t>
  </si>
  <si>
    <t>Fact#: 316001-318702 Rec#: 11673 BENITEZ SIGUENZA CECILIA DEL CARMEN</t>
  </si>
  <si>
    <t>IC-1796</t>
  </si>
  <si>
    <t>Fact#: 1036 Rec#: 11672 CRUZ JOSE AMABLE</t>
  </si>
  <si>
    <t>IC-1795</t>
  </si>
  <si>
    <t>Fact#: 315792-318485 Rec#: 11671 APOLO QUEZADA IVAN RAMIRO</t>
  </si>
  <si>
    <t>IC-1794</t>
  </si>
  <si>
    <t>Fact#: 309586-312358-315053 Rec#: 11670 EDGAR JUNIOR ESPINOZA BAJAÑA</t>
  </si>
  <si>
    <t>IC-1793</t>
  </si>
  <si>
    <t>Fact#: 299142-301791-304443 Rec#: 11669 CRUZ SEGURA SONIA YANINA</t>
  </si>
  <si>
    <t>IC-1792</t>
  </si>
  <si>
    <t>Fact#: 319050 Rec#: 11668 VARGAS PARRALES CARLOS JORGE</t>
  </si>
  <si>
    <t>IC-1791</t>
  </si>
  <si>
    <t>Fact#: 313921-316517-319224 Rec#: 61765 JOSE FRANCISCO  FERNANDEZ   ESPINOZA</t>
  </si>
  <si>
    <t>IC-1785</t>
  </si>
  <si>
    <t>Fact#: 303816-306576-309390 Rec#: 61764 KETTY MARIBEL PINCAY MERCHAN</t>
  </si>
  <si>
    <t>IC-1784</t>
  </si>
  <si>
    <t>Fact#: 313285-315934-318635 Rec#: 61763 MESIAS MUNOZ LILA MARINA</t>
  </si>
  <si>
    <t>IC-1783</t>
  </si>
  <si>
    <t>Fact#: 257199-258872-260436 Rec#: 61762 JUAN CARLOS CARRERA BRIONES</t>
  </si>
  <si>
    <t>IC-1782</t>
  </si>
  <si>
    <t>Fact#: 314154-316819 Rec#: 29537 DISMELEC S.A.</t>
  </si>
  <si>
    <t>IC-1781</t>
  </si>
  <si>
    <t>Fact#: 317701 Rec#: 29534 ENRIQUE FEDERICO ARENAS PILATAXI</t>
  </si>
  <si>
    <t>IC-1778</t>
  </si>
  <si>
    <t>Fact#: 316424-319142 Rec#: 61761 RUIZ UNDA ROBERTO ANTONIO</t>
  </si>
  <si>
    <t>IC-1772</t>
  </si>
  <si>
    <t>Fact#: 319186 Rec#: 61760 ESPINOSA ESPINOZA HUGO STANLEY</t>
  </si>
  <si>
    <t>IC-1766</t>
  </si>
  <si>
    <t>Fact#: 316367-319092 Rec#: 61759 HERRERA LOOR GUILLERMO NILBERTO</t>
  </si>
  <si>
    <t>IC-1750</t>
  </si>
  <si>
    <t>TRANSFERENCIA ROLES DE PAGO 2DA QUINCENA MES DE ENERO-2019</t>
  </si>
  <si>
    <t>NDL-9</t>
  </si>
  <si>
    <t>TRANSFERENCIA FACTURA#340 POR HONORARIOS PROFESIONALES MES DE ENE-2020 A PABLO BAQUERIZO DAVILA</t>
  </si>
  <si>
    <t>NDL-8</t>
  </si>
  <si>
    <t>Fact#: 317225 Rec#: 29737 MESIAS JOHN VALENCIA MONAR</t>
  </si>
  <si>
    <t>IC-2865</t>
  </si>
  <si>
    <t>Fact#: 317131 Rec#: 29543 LOURDES DEL ROCIO CHAVEZ VELEZ</t>
  </si>
  <si>
    <t>IC-1845</t>
  </si>
  <si>
    <t>Fact#: 317698 Rec#: 29542 MARIA FERNANDA GONZALEZ MITE</t>
  </si>
  <si>
    <t>IC-1844</t>
  </si>
  <si>
    <t>Fact#: 317985 Rec#: 29541 PRISCILLA DENISSE VINUEZA YEPEZ</t>
  </si>
  <si>
    <t>IC-1843</t>
  </si>
  <si>
    <t>Fact#: 312829-315498-318191 Rec#: 29540 HERRERA DIAZ HIALINA AMALIA DE LAS ROSAS</t>
  </si>
  <si>
    <t>IC-1842</t>
  </si>
  <si>
    <t>Fact#: 318743 Rec#: 29539 HERNANDEZ GOMEZ EDDY MAXIMO</t>
  </si>
  <si>
    <t>IC-1841</t>
  </si>
  <si>
    <t>Fact#: 317107 Rec#: 29535 Corporación Nacional de Telecomunicaciones-CNT EP</t>
  </si>
  <si>
    <t>IC-1779</t>
  </si>
  <si>
    <t>Fact#: 314898-317577 Rec#: 11667 JANETH CATALINA DAVILA TOMALA</t>
  </si>
  <si>
    <t>IC-1771</t>
  </si>
  <si>
    <t>Fact#: 318554 Rec#: 11666 CAMPOVERDE AREVALO WILLIAM HERNAN</t>
  </si>
  <si>
    <t>IC-1770</t>
  </si>
  <si>
    <t>Fact#: 314848-317524 Rec#: 11665 JOSE FERNANDO MURILLO RIVERA</t>
  </si>
  <si>
    <t>IC-1769</t>
  </si>
  <si>
    <t>Fact#: 316931 Rec#: 11664 CASTRO VILLEGAS ALBERTO ALEJANDRO</t>
  </si>
  <si>
    <t>IC-1768</t>
  </si>
  <si>
    <t>Fact#: 318942 Rec#: 11663 ROJAS MELONI LUIS FERNANDO</t>
  </si>
  <si>
    <t>IC-1767</t>
  </si>
  <si>
    <t>Fact#: 318592 Rec#: 11662 ROMMEL ANTONIO ZAMORA TRIGUERO</t>
  </si>
  <si>
    <t>IC-1765</t>
  </si>
  <si>
    <t>Fact#: 319122 Rec#: 11661 MERINO MORAN LUIS MIGUEL</t>
  </si>
  <si>
    <t>IC-1764</t>
  </si>
  <si>
    <t>Fact#: 293553-296052-298642 Rec#: 11660 RICHARD ANTONY ROSADO BOHORQUEZ</t>
  </si>
  <si>
    <t>IC-1760</t>
  </si>
  <si>
    <t>Fact#: 958 Rec#: 11659 SERVICIOS ESTRATEGICOS VEKTOR - SEVEKSA S.A.</t>
  </si>
  <si>
    <t>IC-1759</t>
  </si>
  <si>
    <t>Fact#: 315219-317909 Rec#: 11658 CARLOS ENRIQUE PAZ FIALLOS</t>
  </si>
  <si>
    <t>IC-1758</t>
  </si>
  <si>
    <t>Fact#: 316776 Rec#: 11657 FORMICONSTRUC S.A.</t>
  </si>
  <si>
    <t>IC-1757</t>
  </si>
  <si>
    <t>Fact#: 316777 Rec#: 11656 FORMICONSTRUC S.A.</t>
  </si>
  <si>
    <t>IC-1756</t>
  </si>
  <si>
    <t>Fact#: 305493-308244-310974 Rec#: 11655 CLEMENTE MAGALLANES ROBERTO CARLOS</t>
  </si>
  <si>
    <t>IC-1755</t>
  </si>
  <si>
    <t>Fact#: 315303-317996 Rec#: 11654 LISETTE VICTORIA FRANCO CASTRO</t>
  </si>
  <si>
    <t>IC-1754</t>
  </si>
  <si>
    <t>Fact#: 318062 Rec#: 11653 FREDDY PABLO  ENDARA SAAVEDRA</t>
  </si>
  <si>
    <t>IC-1753</t>
  </si>
  <si>
    <t>Fact#: 316794 Rec#: 11652 MARIA JOSE VITERI FERNANDEZ</t>
  </si>
  <si>
    <t>IC-1752</t>
  </si>
  <si>
    <t>Fact#: 318425 Rec#: 11651 MEDINA BORJA LEONARDO JAVIER</t>
  </si>
  <si>
    <t>IC-1751</t>
  </si>
  <si>
    <t>Fact#: 318730 Rec#: 11650 TOBAR MOROCHO JOSE AUGUSTO</t>
  </si>
  <si>
    <t>IC-1749</t>
  </si>
  <si>
    <t>Fact#: 318156 Rec#: 11649 GUERRERO CORTEZ  CELDRY CENER</t>
  </si>
  <si>
    <t>IC-1748</t>
  </si>
  <si>
    <t>Fact#: 310838-313571-316179 Rec#: 11648 VALENCIA QUINONEZ JIMMY MARCELO</t>
  </si>
  <si>
    <t>IC-1747</t>
  </si>
  <si>
    <t>Fact#: 313841-316439-319158 Rec#: 61758 LAUZO MARISCAL MANUEL DAVID</t>
  </si>
  <si>
    <t>IC-1744</t>
  </si>
  <si>
    <t>Fact#: 317481 Rec#: 61757 CESAR AUGUSTO BAQUERIZO AROSEMENA</t>
  </si>
  <si>
    <t>IC-1732</t>
  </si>
  <si>
    <t>Fact#: 313890-316483 Rec#: 61756 LUCIN DE LA A JOSE WILMER</t>
  </si>
  <si>
    <t>IC-1731</t>
  </si>
  <si>
    <t>Fact#: 307944-310682-313409 Rec#: 61755 VINUEZA GARCIA EDISON EDUARDO</t>
  </si>
  <si>
    <t>IC-1730</t>
  </si>
  <si>
    <t>Fact#: 319342 Rec#: 61754 ARIAS AVILA JONATHAN DANIEL</t>
  </si>
  <si>
    <t>IC-1729</t>
  </si>
  <si>
    <t>Fact#: 300105-316183-318883 Rec#: 61753 ARIAS AVILA JONATHAN DANIEL</t>
  </si>
  <si>
    <t>IC-1728</t>
  </si>
  <si>
    <t>Fact#: 314379-317033 Rec#: 61752 ARIAS AVILA JONATHAN DANIEL</t>
  </si>
  <si>
    <t>IC-1727</t>
  </si>
  <si>
    <t>Fact#: 316747 Rec#: 29648 ASESORIA ECONOMICA INTEGRAL ADVFINSERVICES S.A.</t>
  </si>
  <si>
    <t>IC-2323</t>
  </si>
  <si>
    <t>Fact#: 317094 Rec#: 29536 CONSORCIO ECUATORIANO DE TELECOMUNICACIONES S.A. CONECEL</t>
  </si>
  <si>
    <t>IC-1780</t>
  </si>
  <si>
    <t>Fact#: 316759 Rec#: 29533 OPENGROUP S.A.</t>
  </si>
  <si>
    <t>IC-1742</t>
  </si>
  <si>
    <t>Fact#: 313046-315706-318399 Rec#: 11647 GARCIA CHAVEZ MARCIA BEATRIZ</t>
  </si>
  <si>
    <t>IC-1711</t>
  </si>
  <si>
    <t>Fact#: 315651-318344 Rec#: 11646 ALVERNIA OJEDA NIDIA ROSA</t>
  </si>
  <si>
    <t>IC-1710</t>
  </si>
  <si>
    <t>Fact#: 315721-318415 Rec#: 11645 ECHEVERRIA CORONADO PAUL VICENTE</t>
  </si>
  <si>
    <t>IC-1709</t>
  </si>
  <si>
    <t>Fact#: 318267 Rec#: 11644 ARROBA VALENCIA  JULIO ZENON</t>
  </si>
  <si>
    <t>IC-1708</t>
  </si>
  <si>
    <t>Fact#: 305124-307892-310623 Rec#: 11643 GUAYLLAS CARANQUI ROOSEVELT PATRICIO</t>
  </si>
  <si>
    <t>IC-1707</t>
  </si>
  <si>
    <t>Fact#: 316888 Rec#: 11642 TECNOLOGIAS DE BUSINESS S.A  TECBUSINESS</t>
  </si>
  <si>
    <t>IC-1706</t>
  </si>
  <si>
    <t>Fact#: 316382-319108 Rec#: 11641 PARRAGA JOSE JUAN</t>
  </si>
  <si>
    <t>IC-1705</t>
  </si>
  <si>
    <t>Fact#: 309997-312755-315430 Rec#: 11640 QUIÑONEZ SIMISTERRA CARLOS EFREN</t>
  </si>
  <si>
    <t>IC-1704</t>
  </si>
  <si>
    <t>Fact#: 317736 Rec#: 11639 LUIS FERNANDO RODRIGUEZ TAPIA</t>
  </si>
  <si>
    <t>IC-1703</t>
  </si>
  <si>
    <t>Fact#: 317634 Rec#: 11638 WILLINGTON HUGO ROSALES MEDINA</t>
  </si>
  <si>
    <t>IC-1702</t>
  </si>
  <si>
    <t>Fact#: 315505-318197 Rec#: 11637 SELLAN SELLAN EMILIA MARGARITA</t>
  </si>
  <si>
    <t>IC-1701</t>
  </si>
  <si>
    <t>Fact#: 313261-315913-318615 Rec#: 11636 CAMPUZANO CASTILLO TOMAS ROLANDO</t>
  </si>
  <si>
    <t>IC-1700</t>
  </si>
  <si>
    <t>Fact#: 318682 Rec#: 11635 CAMPUZANO BRAVO KAROLY ANDREA</t>
  </si>
  <si>
    <t>IC-1699</t>
  </si>
  <si>
    <t>Fact#: 1079 Rec#: 11634 GUTIERREZ ALVAREZ TERESA EUGENIA</t>
  </si>
  <si>
    <t>IC-1698</t>
  </si>
  <si>
    <t>Fact#: 317208 Rec#: 11633 NORMA ELISA YEPEZ JIMENEZ</t>
  </si>
  <si>
    <t>IC-1697</t>
  </si>
  <si>
    <t>Fact#: 316073-318771 Rec#: 11632 REYES MUÑIZ STALIN EFREN</t>
  </si>
  <si>
    <t>IC-1696</t>
  </si>
  <si>
    <t>Fact#: 319125 Rec#: 11631 BASANTES CHILUIZA RAUL</t>
  </si>
  <si>
    <t>IC-1695</t>
  </si>
  <si>
    <t>Fact#: 319155 Rec#: 11630 ARIAS RENDON LUIS ALBERTO</t>
  </si>
  <si>
    <t>IC-1694</t>
  </si>
  <si>
    <t>Fact#: 771-823-991 Rec#: 11629 INTRIAGO ALCIVAR DAISY ADRIANA</t>
  </si>
  <si>
    <t>IC-1693</t>
  </si>
  <si>
    <t>Fact#: 305517-308270-310999 Rec#: 11628 CAMPOVERDE BARZOLA ALEXANDRA JACQUELINE</t>
  </si>
  <si>
    <t>IC-1692</t>
  </si>
  <si>
    <t>Fact#: 949 Rec#: 11627 INDEXCORP CIA. LTDA.</t>
  </si>
  <si>
    <t>IC-1691</t>
  </si>
  <si>
    <t>Fact#: 319162 Rec#: 11626 MORENO TELLO CELI DURINDANA</t>
  </si>
  <si>
    <t>IC-1690</t>
  </si>
  <si>
    <t>Fact#: 317907 Rec#: 11625 ROBERTO GABRIEL QUINDE DIAZ</t>
  </si>
  <si>
    <t>IC-1689</t>
  </si>
  <si>
    <t>Fact#: 589 Rec#: 29532 CALLE AVILA CRISTIAN DARWIN</t>
  </si>
  <si>
    <t>IC-1688</t>
  </si>
  <si>
    <t>Fact#: 315594-318287 Rec#: 29531 CHALAR BONE JESSICA GEOCONDA</t>
  </si>
  <si>
    <t>IC-1687</t>
  </si>
  <si>
    <t>Fact#: 316040-318737 Rec#: 29530 CALONGE GUERRERO JAIR</t>
  </si>
  <si>
    <t>IC-1686</t>
  </si>
  <si>
    <t>Fact#: 316432 Rec#: 29529 CEBALLOS CASTRILLON CAROLINA</t>
  </si>
  <si>
    <t>IC-1685</t>
  </si>
  <si>
    <t>Fact#: 315311-318004 Rec#: 29528 DANIELA MELISSA MORAN RUGEL</t>
  </si>
  <si>
    <t>IC-1684</t>
  </si>
  <si>
    <t>Fact#: 317989 Rec#: 29527 TANIA PAOLA ILLESCAS PIBAQUE</t>
  </si>
  <si>
    <t>IC-1683</t>
  </si>
  <si>
    <t>Fact#: 315132-317822 Rec#: 29526 ROSANA LETICIA VIOLA</t>
  </si>
  <si>
    <t>IC-1682</t>
  </si>
  <si>
    <t>Fact#: 318803 Rec#: 29525 CEVALLOS ZAVALA BOLIVAR ANTONIO</t>
  </si>
  <si>
    <t>IC-1681</t>
  </si>
  <si>
    <t>Fact#: 317961-319340 Rec#: 61751 CANDY PAOLA MORA BARAHONA</t>
  </si>
  <si>
    <t>IC-1658</t>
  </si>
  <si>
    <t>Fact#: 289162-291481-293808 Rec#: 61750 ALFONSO ELIAS CALDERON MORENO</t>
  </si>
  <si>
    <t>IC-1657</t>
  </si>
  <si>
    <t>Fact#: 315542-318234 Rec#: 61748 MUÑOZ MUÑOZ WASHINGTON VICENTE</t>
  </si>
  <si>
    <t>IC-1656</t>
  </si>
  <si>
    <t>Fact#: 317353 Rec#: 29524 SILVIA XIMENA CHAVEZ CABRERA</t>
  </si>
  <si>
    <t>IC-1654</t>
  </si>
  <si>
    <t>Fact#: 319167 Rec#: 61747 MEDINA FLORES DANIEL FRANCISCO</t>
  </si>
  <si>
    <t>IC-1644</t>
  </si>
  <si>
    <t>Fact#: 316799 Rec#: 29522 ALLINPUBLICIDAD&amp;MARKETING S A</t>
  </si>
  <si>
    <t>IC-1651</t>
  </si>
  <si>
    <t>Fact#: 316532-319237 Rec#: 29521 BENITEZ MACIAS ROSA NARCISA</t>
  </si>
  <si>
    <t>IC-1650</t>
  </si>
  <si>
    <t>Fact#: 319211 Rec#: 29520 RODRIGUEZ Y DUQUE JORGE</t>
  </si>
  <si>
    <t>IC-1649</t>
  </si>
  <si>
    <t>Fact#: 317986 Rec#: 29519 RICHARD ORLANDO CHIQUITO MOLINA</t>
  </si>
  <si>
    <t>IC-1648</t>
  </si>
  <si>
    <t>Fact#: 315557-318250 Rec#: 29518 BAJANA DE LA ROSA SANTIAGO EDISON</t>
  </si>
  <si>
    <t>IC-1647</t>
  </si>
  <si>
    <t>Fact#: 317001 Rec#: 29517 BAJANA DE LA ROSA SANTIAGO EDISON</t>
  </si>
  <si>
    <t>IC-1646</t>
  </si>
  <si>
    <t>Fact#: 306102-308379-311157 Rec#: 29523 SILGADO DIAZ ANA MARIA</t>
  </si>
  <si>
    <t>IC-1645</t>
  </si>
  <si>
    <t>Fact#: 316809 Rec#: 29516 EDGAR MARCELO MERA VASQUEZ</t>
  </si>
  <si>
    <t>IC-1643</t>
  </si>
  <si>
    <t>Fact#: 316878 Rec#: 29515 SANCHEZ TIMM RAFAEL ANDRES</t>
  </si>
  <si>
    <t>IC-1642</t>
  </si>
  <si>
    <t>Fact#: 318056 Rec#: 29514 MINO DOYLET YOLANDA ABIGAIL</t>
  </si>
  <si>
    <t>IC-1641</t>
  </si>
  <si>
    <t>Fact#: 317595 Rec#: 29513 KEVIN ALEXANDER PINO BERMELLO</t>
  </si>
  <si>
    <t>IC-1640</t>
  </si>
  <si>
    <t>Fact#: 318061 Rec#: 29512 SUAREZ INTRIAGO JORGE ARTURO</t>
  </si>
  <si>
    <t>IC-1639</t>
  </si>
  <si>
    <t>Fact#: 318804 Rec#: 29511 JURADO VELEZ JONNY EUGENIO</t>
  </si>
  <si>
    <t>IC-1638</t>
  </si>
  <si>
    <t>Fact#: 318088 Rec#: 29510 RUIZ VELEZ LIBIA KARINA</t>
  </si>
  <si>
    <t>IC-1637</t>
  </si>
  <si>
    <t>Fact#: 319282 Rec#: 11624 MORAN PINCAY PATRICIA YOLANDA</t>
  </si>
  <si>
    <t>IC-1628</t>
  </si>
  <si>
    <t>Fact#: 312704-315383-318078 Rec#: 11623 MORA GUERRERO HILDA ANTONIETA</t>
  </si>
  <si>
    <t>IC-1627</t>
  </si>
  <si>
    <t>Fact#: 316609-319311 Rec#: 11622 ENRIQUEZ LOMBEIDA ROSA ISABEL</t>
  </si>
  <si>
    <t>IC-1626</t>
  </si>
  <si>
    <t>Fact#: 314965-317647 Rec#: 11621 PACO OLMEDO ORNA AYMACANA</t>
  </si>
  <si>
    <t>IC-1625</t>
  </si>
  <si>
    <t>Fact#: 316996 Rec#: 11620 CAMPOS VELEZ HENRRY GONZALO</t>
  </si>
  <si>
    <t>IC-1624</t>
  </si>
  <si>
    <t>Fact#: 318944 Rec#: 11619 BARROS TERREROS JIMMY ALEJANDRO</t>
  </si>
  <si>
    <t>IC-1623</t>
  </si>
  <si>
    <t>Fact#: 315101-317791 Rec#: 11618 ROOSEVELT EDYM DELGADO TAMAYO</t>
  </si>
  <si>
    <t>IC-1622</t>
  </si>
  <si>
    <t>Fact#: 318524 Rec#: 11617 PALOMEQUE CALLE PEDRO EUGENIO</t>
  </si>
  <si>
    <t>IC-1621</t>
  </si>
  <si>
    <t>Fact#: 319292 Rec#: 11616 VALLEJO RICAURTE VANESSA ALEXANDRA</t>
  </si>
  <si>
    <t>IC-1620</t>
  </si>
  <si>
    <t>Fact#: 317607 Rec#: 11615 ANDREA CANAHUATI CHAIN</t>
  </si>
  <si>
    <t>IC-1619</t>
  </si>
  <si>
    <t>Fact#: 315655-318347 Rec#: 11614 ALEMAN SEGARRA SHIRLEY ELIZABETH</t>
  </si>
  <si>
    <t>IC-1618</t>
  </si>
  <si>
    <t>Fact#: 317349 Rec#: 11613 ANGELA MARIA ANA  FERAUD MANSSUR</t>
  </si>
  <si>
    <t>IC-1617</t>
  </si>
  <si>
    <t>Fact#: 318507 Rec#: 11612 SANTOS MALDONADO MARIA GABRIELA</t>
  </si>
  <si>
    <t>IC-1616</t>
  </si>
  <si>
    <t>Fact#: 315010-317692 Rec#: 11611 GIOVANNY FRANCISCO TOLOZANO YEPEZ</t>
  </si>
  <si>
    <t>IC-1615</t>
  </si>
  <si>
    <t>Fact#: 316527-319232 Rec#: 11610 BRIONES BAQUERIZO ALFREDO ROBERTO</t>
  </si>
  <si>
    <t>IC-1614</t>
  </si>
  <si>
    <t>Fact#: 315046-317732 Rec#: 11609 CORA MARGARITA ROCIO GALLARDO CRUSELLAS</t>
  </si>
  <si>
    <t>IC-1613</t>
  </si>
  <si>
    <t>Fact#: 317671 Rec#: 11608 OMAR JOSSUE GRANIZO HUAYAMAVE</t>
  </si>
  <si>
    <t>IC-1612</t>
  </si>
  <si>
    <t>Fact#: 315823-318517 Rec#: 11607 AMADOR SALMERON JOSE ERNESTO</t>
  </si>
  <si>
    <t>IC-1611</t>
  </si>
  <si>
    <t>Fact#: 315051-317737 Rec#: 11606 SEGUNDO PATRICIO ALMACHE AGUIRRE</t>
  </si>
  <si>
    <t>IC-1610</t>
  </si>
  <si>
    <t>Fact#: 312960-315622-318315 Rec#: 11605 GOMEZ HIDALGO LUIS EDUARDO</t>
  </si>
  <si>
    <t>IC-1609</t>
  </si>
  <si>
    <t>Fact#: 315843-318540 Rec#: 11604 CAICHE ROMERO GRACE SOFIA</t>
  </si>
  <si>
    <t>IC-1608</t>
  </si>
  <si>
    <t>Fact#: 313244-315896-318597 Rec#: 11603 MUNOZ AVILES GEOVANNI NAZARIO</t>
  </si>
  <si>
    <t>IC-1607</t>
  </si>
  <si>
    <t>Fact#: 316110-318808 Rec#: 11602 BALSECA CALVA GRACIELA RAQUEL</t>
  </si>
  <si>
    <t>IC-1606</t>
  </si>
  <si>
    <t>Fact#: 318137 Rec#: 11601 ZAMBRANO CASTRO JOSE JAIR</t>
  </si>
  <si>
    <t>IC-1605</t>
  </si>
  <si>
    <t>Fact#: 313478-316098-318796 Rec#: 11600 PALMA MACIAS ROBERTO CARLOS</t>
  </si>
  <si>
    <t>IC-1604</t>
  </si>
  <si>
    <t>Fact#: 315446-318141 Rec#: 11599 BURGOS BRIONES MARIA PAMELA</t>
  </si>
  <si>
    <t>IC-1603</t>
  </si>
  <si>
    <t>Fact#: 313023-315684-318380 Rec#: 61746 VILLEGAS JARA LUCIA ISABEL</t>
  </si>
  <si>
    <t>IC-1592</t>
  </si>
  <si>
    <t>VISA - MASTERCARD - PACIFICARD CANCELACION DE VOUCHER LOTE#1064- PAGO DE FACT 316460 - 319177</t>
  </si>
  <si>
    <t>IC-1586</t>
  </si>
  <si>
    <t>Fact#: 317473 Rec#: 29509 MARIA CRISTINA LOAIZA BREVI</t>
  </si>
  <si>
    <t>IC-1584</t>
  </si>
  <si>
    <t>Fact#: 316865 Rec#: 29508 AVICOLA FERNANDEZ S.A.</t>
  </si>
  <si>
    <t>IC-1583</t>
  </si>
  <si>
    <t>Fact#: 316855 Rec#: 29507 AVICOLA FERNANDEZ S.A.</t>
  </si>
  <si>
    <t>IC-1582</t>
  </si>
  <si>
    <t>Fact#: 315232-317924 Rec#: 61744 NIZA ALEJANDRA MARRIOT CAICEDO</t>
  </si>
  <si>
    <t>IC-1570</t>
  </si>
  <si>
    <t>Fact#: 317273 Rec#: 61743 PABLO ENRIQUE GONZENBACH IGLESIAS</t>
  </si>
  <si>
    <t>IC-1569</t>
  </si>
  <si>
    <t>Fact#: 312229-314925-317605 Rec#: 61742 HOLGER FREDDY CAMPOVERDE CARBAJO</t>
  </si>
  <si>
    <t>IC-1532</t>
  </si>
  <si>
    <t>Fact#: 317515 Rec#: 61741 MARCOS ANTONIO MIRANDA MORAN</t>
  </si>
  <si>
    <t>IC-1531</t>
  </si>
  <si>
    <t>ARCOTEL, PAGO DERECHO DE CONCESION 4TO TRIMESTRE MES DE OCT A DIC 2019</t>
  </si>
  <si>
    <t>EG-40</t>
  </si>
  <si>
    <t>ORTEGA ARGUELLO GISELLA LORENA CANCELA TELEFONO 3900492 ABONA SGTE FACTURA</t>
  </si>
  <si>
    <t>AT-2979</t>
  </si>
  <si>
    <t>Anulado con Ch. # 3303 del comprobante AN-1 ANULACION VALOR INCORRECTO</t>
  </si>
  <si>
    <t>AN-1</t>
  </si>
  <si>
    <t>Fact#: 317100-317108 Rec#: 29884 OTECEL</t>
  </si>
  <si>
    <t>IC-3733</t>
  </si>
  <si>
    <t>Fact#: 316735 Rec#: 29506 YARECUADOR CIA. LTDA</t>
  </si>
  <si>
    <t>IC-1581</t>
  </si>
  <si>
    <t>Fact#: 307823-310556-313290 Rec#: 29505 PENAFIEL TIRCIO KARINA LISSETTE</t>
  </si>
  <si>
    <t>IC-1567</t>
  </si>
  <si>
    <t>Fact#: 303921-306681-309486 Rec#: 29504 CINTHIA VANESA PALMA JIMENEZ</t>
  </si>
  <si>
    <t>IC-1566</t>
  </si>
  <si>
    <t>Fact#: 317762 Rec#: 29503 ROSA DEL CARMEN SANCHEZ PORTILLA</t>
  </si>
  <si>
    <t>IC-1565</t>
  </si>
  <si>
    <t>Fact#: 317171 Rec#: 29502 MARIA MONICA RONQUILLO RODRIGUEZ</t>
  </si>
  <si>
    <t>IC-1564</t>
  </si>
  <si>
    <t>Fact#: 316012-318712 Rec#: 29501 PAREDES LOPEZ NARCISA DEL CARMEN</t>
  </si>
  <si>
    <t>IC-1563</t>
  </si>
  <si>
    <t>Fact#: 317168 Rec#: 29500 MANUEL ALFREDO MENDOZA RODRIGUEZ</t>
  </si>
  <si>
    <t>IC-1562</t>
  </si>
  <si>
    <t>Fact#: 315757-318454 Rec#: 29499 PINCAY SILVA FERNANDO RAFAEL</t>
  </si>
  <si>
    <t>IC-1561</t>
  </si>
  <si>
    <t>Fact#: 314021-316688 Rec#: 29498 JORGE RODRIGUEZ Y DUQUE</t>
  </si>
  <si>
    <t>IC-1560</t>
  </si>
  <si>
    <t>Fact#: 318675 Rec#: 29497 VILLON SORIANO DIOSELINA SOLEDAD</t>
  </si>
  <si>
    <t>IC-1559</t>
  </si>
  <si>
    <t>Fact#: 1013 Rec#: 29496 GONZALEZ RUIZ SANDY</t>
  </si>
  <si>
    <t>IC-1558</t>
  </si>
  <si>
    <t>Fact#: 313157-315812-318505 Rec#: 29495 VERA PISPIRA JONATHAN LUIS</t>
  </si>
  <si>
    <t>IC-1557</t>
  </si>
  <si>
    <t>Fact#: 317294 Rec#: 29494 EDYSON JAVIER  BRITO ANDRADE</t>
  </si>
  <si>
    <t>IC-1556</t>
  </si>
  <si>
    <t>Fact#: 317159 Rec#: 29493 RAFAEL VICENTE ERAZO FALQUEZ</t>
  </si>
  <si>
    <t>IC-1555</t>
  </si>
  <si>
    <t>Fact#: 315443-318136 Rec#: 11598 PINO MATAMOROS GALO EFRAIN</t>
  </si>
  <si>
    <t>IC-1554</t>
  </si>
  <si>
    <t>Fact#: 314606-317277 Rec#: 11597 MARCOS ALFREDO CHANG HI FONG</t>
  </si>
  <si>
    <t>IC-1553</t>
  </si>
  <si>
    <t>Fact#: 316925 Rec#: 11596 CENTRO DE ECOGRAFIAS ECOBEBE S.A</t>
  </si>
  <si>
    <t>IC-1552</t>
  </si>
  <si>
    <t>Fact#: 315629-318322 Rec#: 11595 DUPRE MELLA HERNAN TADEO</t>
  </si>
  <si>
    <t>IC-1551</t>
  </si>
  <si>
    <t>Fact#: 299367-302007-304652 Rec#: 11594 SARMIENTO SARMIENTO JULIO RODRIGO</t>
  </si>
  <si>
    <t>IC-1550</t>
  </si>
  <si>
    <t>Fact#: 312148-314844-317520 Rec#: 11593 GEOVANNY FRANCISCO COROZO RUIZ</t>
  </si>
  <si>
    <t>IC-1549</t>
  </si>
  <si>
    <t>Fact#: 313456-316080-318778 Rec#: 11592 DUQUE ROMERO LENIN EFRAIN</t>
  </si>
  <si>
    <t>IC-1548</t>
  </si>
  <si>
    <t>Fact#: 1048-720-876 Rec#: 11591 CORONEL CARRION DOLY ALBERTINA DE LOURDES</t>
  </si>
  <si>
    <t>IC-1547</t>
  </si>
  <si>
    <t>Fact#: 319045 Rec#: 11590 FRANCO RODRIGUEZ FEDERICO ENRIQUE</t>
  </si>
  <si>
    <t>IC-1546</t>
  </si>
  <si>
    <t>Fact#: 314406-317064 Rec#: 11589 TROPICAL CARGO TROPICARGO S.A</t>
  </si>
  <si>
    <t>IC-1545</t>
  </si>
  <si>
    <t>Fact#: 608-752-906 Rec#: 11588 LAMIÑA ALMEIDA  SOLEDAD ANGELICA</t>
  </si>
  <si>
    <t>IC-1544</t>
  </si>
  <si>
    <t>Fact#: 310065-312826-315495 Rec#: 11587 CHAVEZ GUAYARA ANDREINA PILAR</t>
  </si>
  <si>
    <t>IC-1543</t>
  </si>
  <si>
    <t>Fact#: 317316 Rec#: 11586 LAURA BEATRIZ  ENCALADA ESPINOZA</t>
  </si>
  <si>
    <t>IC-1542</t>
  </si>
  <si>
    <t>Fact#: 317772 Rec#: 11585 ALONSO RIGOBERTO VALENCIA CHICA</t>
  </si>
  <si>
    <t>IC-1541</t>
  </si>
  <si>
    <t>Fact#: 293506-296004-298595 Rec#: 11584 MANUEL TEODORO HURTADO ARMIJOS</t>
  </si>
  <si>
    <t>IC-1540</t>
  </si>
  <si>
    <t>Fact#: 315999-318700 Rec#: 11583 JOZA QUIROZ MARIA JOSE</t>
  </si>
  <si>
    <t>IC-1539</t>
  </si>
  <si>
    <t>Fact#: 318723 Rec#: 11582 ROBALINO VALENCIA  SPARTA SUSANA</t>
  </si>
  <si>
    <t>IC-1538</t>
  </si>
  <si>
    <t>Fact#: 315207-317899 Rec#: 11581 JOSE EDUARDO GUILLEN VELEZ</t>
  </si>
  <si>
    <t>IC-1537</t>
  </si>
  <si>
    <t>Fact#: 318862 Rec#: 11580 MORAN MACIAS CHRISTIAN ALFREDO</t>
  </si>
  <si>
    <t>IC-1536</t>
  </si>
  <si>
    <t>Fact#: 315753-318451 Rec#: 11579 GUTIERREZ HERNANDEZ RICARDO ALBERTO</t>
  </si>
  <si>
    <t>IC-1535</t>
  </si>
  <si>
    <t>Fact#: 319078 Rec#: 11578 CABANILLA CORREA JORGE LOBERTI</t>
  </si>
  <si>
    <t>IC-1534</t>
  </si>
  <si>
    <t>Fact#: 310058-312819-315488 Rec#: 11577 CORNEJO PRIMO CRISTIAN XAVIER</t>
  </si>
  <si>
    <t>IC-1533</t>
  </si>
  <si>
    <t>Fact#: 319339 Rec#: 61740 INSTALACIONES TECNOLOGICAS IT-21 HUACON &amp; MOLINA S A</t>
  </si>
  <si>
    <t>IC-1514</t>
  </si>
  <si>
    <t>Fact#: 314476 Rec#: 61739 LIDIA JUDITH OJEDA RUIZ</t>
  </si>
  <si>
    <t>IC-1498</t>
  </si>
  <si>
    <t>Fact#: 318549 Rec#: 11576 CRESPO MEZA BYRON FIDEL</t>
  </si>
  <si>
    <t>IC-1481</t>
  </si>
  <si>
    <t>Fact#: 319080 Rec#: 11575 BURBANO VARGAS LUIS ALEJANDRO</t>
  </si>
  <si>
    <t>IC-1480</t>
  </si>
  <si>
    <t>Fact#: 317759 Rec#: 11574 ERIKA SUGEY ANCHUNDIA ALVARADO</t>
  </si>
  <si>
    <t>IC-1479</t>
  </si>
  <si>
    <t>Fact#: 316545-319250 Rec#: 11573 NEIRA CUENCA MAGNER RICHARD</t>
  </si>
  <si>
    <t>IC-1478</t>
  </si>
  <si>
    <t>Fact#: 319252 Rec#: 11572 NIETO CORDERO EDYIMAR JOSEFINA</t>
  </si>
  <si>
    <t>IC-1477</t>
  </si>
  <si>
    <t>Fact#: 319104 Rec#: 11571 GONZALEZ SINCHE EDWIN VICENTE</t>
  </si>
  <si>
    <t>IC-1476</t>
  </si>
  <si>
    <t>Fact#: 318129 Rec#: 11570 MAYI CECIBEL VILLACRES GUZMAN</t>
  </si>
  <si>
    <t>IC-1475</t>
  </si>
  <si>
    <t>Fact#: 317979 Rec#: 11569 MAYI CECIBEL VILLACRES GUZMAN</t>
  </si>
  <si>
    <t>IC-1474</t>
  </si>
  <si>
    <t>Fact#: 315006-317687 Rec#: 11568 ALEXANDER WELLINGTON ALVARADO CARRIEL</t>
  </si>
  <si>
    <t>IC-1473</t>
  </si>
  <si>
    <t>Fact#: 315287-317980 Rec#: 11567 NANCY VERONICA RODRIGUEZ GUTIERREZ</t>
  </si>
  <si>
    <t>IC-1472</t>
  </si>
  <si>
    <t>Fact#: 317748 Rec#: 11566 TARQUINO EFRAIN VARGAS CARRASCO</t>
  </si>
  <si>
    <t>IC-1471</t>
  </si>
  <si>
    <t>Fact#: 318213 Rec#: 11565 VERA GUZMAN SILVIA AZUCENA</t>
  </si>
  <si>
    <t>IC-1470</t>
  </si>
  <si>
    <t>Fact#: 316550-319255 Rec#: 11564 MANCERO AGUAS LOURDES PAOLA</t>
  </si>
  <si>
    <t>IC-1469</t>
  </si>
  <si>
    <t>Fact#: 318222 Rec#: 11563 TOMALA SANCAN JORGE LUIS</t>
  </si>
  <si>
    <t>IC-1468</t>
  </si>
  <si>
    <t>Fact#: 318022 Rec#: 11562 TOMALA SANCAN JORGE LUIS</t>
  </si>
  <si>
    <t>IC-1467</t>
  </si>
  <si>
    <t>Fact#: 318170 Rec#: 11561 SANCHEZ CARRIEL NARCISA DE JESUS</t>
  </si>
  <si>
    <t>IC-1466</t>
  </si>
  <si>
    <t>Fact#: 313183-315838-318534 Rec#: 11560 GRANADOS MUTIS JUAN PABLO</t>
  </si>
  <si>
    <t>IC-1465</t>
  </si>
  <si>
    <t>Fact#: 317031 Rec#: 11559 SOLIS REYES OMAR MICHAEL</t>
  </si>
  <si>
    <t>IC-1464</t>
  </si>
  <si>
    <t>Fact#: 316755 Rec#: 29491 FREDDY EDILBERTO MONTOYA CHAVARRIA</t>
  </si>
  <si>
    <t>IC-1463</t>
  </si>
  <si>
    <t>Fact#: 317408 Rec#: 29490 HUGO RENE LUNA</t>
  </si>
  <si>
    <t>IC-1462</t>
  </si>
  <si>
    <t>Fact#: 315619-318312 Rec#: 29489 ALVARADO ALAVA FREDDY LENIN</t>
  </si>
  <si>
    <t>IC-1461</t>
  </si>
  <si>
    <t>Fact#: 317071 Rec#: 29488 INMOBILIRIA REALTORS TRESCIENTOS SESENTA GRADOS INMOBREALTRES S.A.</t>
  </si>
  <si>
    <t>IC-1460</t>
  </si>
  <si>
    <t>Fact#: 314583-317253 Rec#: 29487 LOURDES JANET BRITO GUILLEN</t>
  </si>
  <si>
    <t>IC-1459</t>
  </si>
  <si>
    <t>Fact#: 317495 Rec#: 29486 JENNY NATALIA MARTINEZ BAQUE</t>
  </si>
  <si>
    <t>IC-1458</t>
  </si>
  <si>
    <t>Fact#: 318085 Rec#: 29485 QUINTO BAZAN JOHNN HENRY</t>
  </si>
  <si>
    <t>IC-1457</t>
  </si>
  <si>
    <t>Fact#: 1015-847 Rec#: 11558 ZAMBRANO OLMEDO VERONICA PATRICIA</t>
  </si>
  <si>
    <t>IC-1456</t>
  </si>
  <si>
    <t>Fact#: 317756 Rec#: 11557 DELFIN NESTOR CALDERON GARCIA</t>
  </si>
  <si>
    <t>IC-1455</t>
  </si>
  <si>
    <t>Fact#: 314987-317667 Rec#: 11556 RODRIGO DE JESUS CASTAÑO SALAZAR</t>
  </si>
  <si>
    <t>IC-1454</t>
  </si>
  <si>
    <t>Fact#: 316365 Rec#: 11555 CABRERA GOMEZ MARTHA INES</t>
  </si>
  <si>
    <t>IC-1453</t>
  </si>
  <si>
    <t>Fact#: 317454 Rec#: 11554 MARIA PIEDAD MONTALVAN CAMPOVERDE</t>
  </si>
  <si>
    <t>IC-1452</t>
  </si>
  <si>
    <t>Fact#: 317767 Rec#: 11553 MATILDE PILAR MORA QUIROZ</t>
  </si>
  <si>
    <t>IC-1451</t>
  </si>
  <si>
    <t>Fact#: 318814 Rec#: 11552 ROVELLO VALENCIA JOSE ROMAN</t>
  </si>
  <si>
    <t>IC-1450</t>
  </si>
  <si>
    <t>Fact#: 318779 Rec#: 11551 RAMOS PACHAY JOSE MANUEL</t>
  </si>
  <si>
    <t>IC-1449</t>
  </si>
  <si>
    <t>Fact#: 318844 Rec#: 11550 MALDONADO VILLAMAR HUMBERTO MARTIN</t>
  </si>
  <si>
    <t>IC-1448</t>
  </si>
  <si>
    <t>Fact#: 318321 Rec#: 11549 VASQUEZ DORA JUAN JOSE</t>
  </si>
  <si>
    <t>IC-1447</t>
  </si>
  <si>
    <t>Fact#: 314574-317247 Rec#: 11548 EDDY MANUEL CHAVEZ CEDEÑO</t>
  </si>
  <si>
    <t>IC-1446</t>
  </si>
  <si>
    <t>Fact#: 318776 Rec#: 11547 FIGUEROA RIOS MIGUEL IBSEN</t>
  </si>
  <si>
    <t>IC-1445</t>
  </si>
  <si>
    <t>Fact#: 318304 Rec#: 11546 GOMEZ PENAFIEL BLANCA VICTORIA</t>
  </si>
  <si>
    <t>IC-1444</t>
  </si>
  <si>
    <t>Fact#: 314902-317582 Rec#: 11545 FAUSTO HENRY ZAMBRANO VERA</t>
  </si>
  <si>
    <t>IC-1443</t>
  </si>
  <si>
    <t>Fact#: 315951-318651 Rec#: 11544 MANYA CEPEDA WILLIAM DAVID</t>
  </si>
  <si>
    <t>IC-1442</t>
  </si>
  <si>
    <t>Fact#: 316093-318790 Rec#: 11543 CIALONI PINTO GIANCARLO</t>
  </si>
  <si>
    <t>IC-1441</t>
  </si>
  <si>
    <t>Fact#: 319077 Rec#: 11542 PERALTA RODRIGUEZ MARLON SANTIAGO</t>
  </si>
  <si>
    <t>IC-1440</t>
  </si>
  <si>
    <t>Fact#: 319023 Rec#: 11541 FREIRE ANDRADE PAOLA MARIA</t>
  </si>
  <si>
    <t>IC-1439</t>
  </si>
  <si>
    <t>Fact#: 304140-306896-309691 Rec#: 11540 MERCY KARINA CASTILLO PUA</t>
  </si>
  <si>
    <t>IC-1438</t>
  </si>
  <si>
    <t>Fact#: 316131-318829 Rec#: 11539 MONTANO  VALDEZ AGUSTO</t>
  </si>
  <si>
    <t>IC-1437</t>
  </si>
  <si>
    <t>Fact#: 317398 Rec#: 11538 ALVARADO PIGUAVE CAROLIN JANET</t>
  </si>
  <si>
    <t>IC-1436</t>
  </si>
  <si>
    <t>Fact#: 313139-315794-318487 Rec#: 11537 INTRIAGO TORRES NARCISA JANETH</t>
  </si>
  <si>
    <t>IC-1435</t>
  </si>
  <si>
    <t>Fact#: 312073-314772-317445 Rec#: 11536 JESSENIA PATRICIA PEREZ CANTOS</t>
  </si>
  <si>
    <t>IC-1434</t>
  </si>
  <si>
    <t>Fact#: 310487-313225-315877 Rec#: 11535 ACOSTA PENAFIEL GRETA ESTRELLA</t>
  </si>
  <si>
    <t>IC-1433</t>
  </si>
  <si>
    <t>Fact#: 310469-313209-315862 Rec#: 11534 SARMIENTO MARTINEZ GRACE VANESSA</t>
  </si>
  <si>
    <t>IC-1432</t>
  </si>
  <si>
    <t>Fact#: 316792 Rec#: 61738 SOCIEDAD DE HECHO SAMBAC  Cta# 02-0090218 Ch# 3085</t>
  </si>
  <si>
    <t>IC-1427</t>
  </si>
  <si>
    <t>Fact#: 312397-315087-317776 Rec#: 61737 MERCY KARINA CASTILLO PUA</t>
  </si>
  <si>
    <t>IC-1426</t>
  </si>
  <si>
    <t>Fact#: 316736 Rec#: 61736 SEGURIDAD PRIVADA Y ARMADA DEL ECUADOR ARSEGEC C.</t>
  </si>
  <si>
    <t>IC-1425</t>
  </si>
  <si>
    <t>Fact#: 317735-319338 Rec#: 61735 DANIEL ANTONIO MERINO RODRIGUEZ</t>
  </si>
  <si>
    <t>IC-1424</t>
  </si>
  <si>
    <t>Fact#: 315738-318435 Rec#: 61734 VELASQUEZ POLIT NINA NATASHA</t>
  </si>
  <si>
    <t>IC-1423</t>
  </si>
  <si>
    <t>Fact#: 316645 Rec#: 61733 LAUDE S.A. LAUDESA ADMINISTRADORA DE FONDOS Y FIDEICOMISOS  Cta# 01-0596030 Ch# 3935</t>
  </si>
  <si>
    <t>IC-1422</t>
  </si>
  <si>
    <t>Fact#: 316731-316732-316733 Rec#: 61732 PESCARDEG S.A.  Cta# 001113918- Ch# 5025</t>
  </si>
  <si>
    <t>IC-1421</t>
  </si>
  <si>
    <t>Fact#: 261069-262774-264583 Rec#: 61731 WORISU S. A</t>
  </si>
  <si>
    <t>IC-1420</t>
  </si>
  <si>
    <t>VISA - MASTERCARD - PACIFICARD CANCELACION DE VOUCHER LOTE#1061 POR DEP EN CTA- PAGO DE FACT  308071 - 310834 - 313568</t>
  </si>
  <si>
    <t>IC-1419</t>
  </si>
  <si>
    <t>Fact#: 318518 Rec#: 29484 PUERO CUERO CARLOS JULIO</t>
  </si>
  <si>
    <t>IC-1417</t>
  </si>
  <si>
    <t>Fact#: 316661 Rec#: 61730 CRUSBET S.A</t>
  </si>
  <si>
    <t>IC-1415</t>
  </si>
  <si>
    <t>Fact#: 318135 Rec#: 61729 BURAYE ZURITA MARIA  FERNANDA</t>
  </si>
  <si>
    <t>IC-1414</t>
  </si>
  <si>
    <t>Fact#: 316660 Rec#: 61728 CARVAGU S.A.</t>
  </si>
  <si>
    <t>IC-1413</t>
  </si>
  <si>
    <t>Fact#: 317096 Rec#: 61727 DVT DEL ECUADOR S.A  Cta# 0769577-2 Ch# 1656</t>
  </si>
  <si>
    <t>IC-1369</t>
  </si>
  <si>
    <t>ARCOTEL, 1% APORTE AL FODETEL 4TO TRIMESTRE OCT A DIC 2019</t>
  </si>
  <si>
    <t>EG-39</t>
  </si>
  <si>
    <t>EG-38</t>
  </si>
  <si>
    <t>Fact#: 314441 Rec#: 29492 Corporación Nacional de Telecomunicaciones-CNT EP</t>
  </si>
  <si>
    <t>IC-1492</t>
  </si>
  <si>
    <t>Fact#: 316920 Rec#: 29478 ALVARADO PIN EMILIO PABLO</t>
  </si>
  <si>
    <t>IC-1391</t>
  </si>
  <si>
    <t>Fact#: 318968 Rec#: 29477 CASTAÑEDA RENDON JOFFRE AUGUSTO</t>
  </si>
  <si>
    <t>IC-1390</t>
  </si>
  <si>
    <t>Fact#: 317936 Rec#: 29476 AARON PAUL GONZALEZ ZUÑIGA</t>
  </si>
  <si>
    <t>IC-1389</t>
  </si>
  <si>
    <t>Fact#: 316358-319083 Rec#: 29475 REYES SOLIS  MARJORIE YOLANDA</t>
  </si>
  <si>
    <t>IC-1388</t>
  </si>
  <si>
    <t>Fact#: 318174 Rec#: 29474 VARGAS TORRES ZENIA</t>
  </si>
  <si>
    <t>IC-1387</t>
  </si>
  <si>
    <t>Fact#: 317329 Rec#: 29473 TANNIA ELIZABETH  CARRERA CALDERON</t>
  </si>
  <si>
    <t>IC-1386</t>
  </si>
  <si>
    <t>Fact#: 315298-317991 Rec#: 29472 WENDY LORENA QUIMIS CHOEZ</t>
  </si>
  <si>
    <t>IC-1385</t>
  </si>
  <si>
    <t>Fact#: 302108-304755-307505 Rec#: 11533 QUINDE MORAN MARITZA ALEXANDRA</t>
  </si>
  <si>
    <t>IC-1384</t>
  </si>
  <si>
    <t>Fact#: 313893-316486-319198 Rec#: 11532 RUIZ BRUSIL RONALD ROMARIO</t>
  </si>
  <si>
    <t>IC-1383</t>
  </si>
  <si>
    <t>Fact#: 315088-317777 Rec#: 11531 MAGDALENA CONCEPCION FRANCO CORREA</t>
  </si>
  <si>
    <t>IC-1382</t>
  </si>
  <si>
    <t>Fact#: 316327-319052 Rec#: 11530 BUSTAMANTE CHUQUIMARCA SANDRA ELIZABETH</t>
  </si>
  <si>
    <t>IC-1381</t>
  </si>
  <si>
    <t>Fact#: 312790-315460-318153 Rec#: 11529 MUÑOZ QUINTO MONICA ANABELLE</t>
  </si>
  <si>
    <t>IC-1380</t>
  </si>
  <si>
    <t>Fact#: 318376 Rec#: 11528 RUIZ SOLANO KELVIL ORLANDO</t>
  </si>
  <si>
    <t>IC-1379</t>
  </si>
  <si>
    <t>Fact#: 312536-315222-317912 Rec#: 11527 CARLOS RAUL CARPIO FREIRE</t>
  </si>
  <si>
    <t>IC-1378</t>
  </si>
  <si>
    <t>Fact#: 316321-319043 Rec#: 11526 ASTUDILLO ALVARADO ALEXANDRA CELESTE</t>
  </si>
  <si>
    <t>IC-1377</t>
  </si>
  <si>
    <t>Fact#: 318962 Rec#: 11525 RONALD DAVID CONTRERAS POTES</t>
  </si>
  <si>
    <t>IC-1376</t>
  </si>
  <si>
    <t>Fact#: 312599-315283-317976 Rec#: 11524 KARINA PATRICIA GIRALDO MONTERO</t>
  </si>
  <si>
    <t>IC-1375</t>
  </si>
  <si>
    <t>Fact#: 312607-315290-317983 Rec#: 11523 OSCAR LEONEL MONTERO HINOJOSA</t>
  </si>
  <si>
    <t>IC-1374</t>
  </si>
  <si>
    <t>Fact#: 318259 Rec#: 11522 CASTRO DORADO MARJORIE LUCIA</t>
  </si>
  <si>
    <t>IC-1373</t>
  </si>
  <si>
    <t>Fact#: 1091-763 Rec#: 11521 CORREA CUNIN GRACIELA PIEDAD</t>
  </si>
  <si>
    <t>IC-1372</t>
  </si>
  <si>
    <t>Fact#: 317491 Rec#: 11520 LISETTE JOHANNA MEZA VEGA</t>
  </si>
  <si>
    <t>IC-1371</t>
  </si>
  <si>
    <t>Fact#: 318562 Rec#: 11519 ESCANDON DIAZ FRANCISCO DAVID</t>
  </si>
  <si>
    <t>IC-1370</t>
  </si>
  <si>
    <t>Fact#: 315869-318569 Rec#: 11518 YUNEZ PARRA JOSE MIGUEL</t>
  </si>
  <si>
    <t>IC-1368</t>
  </si>
  <si>
    <t>Fact#: 318573 Rec#: 11517 YUNEZ PARRA JOSE MIGUEL</t>
  </si>
  <si>
    <t>IC-1367</t>
  </si>
  <si>
    <t>Fact#: 317579 Rec#: 11516 FREDY JHOVANY VARGAS LEON</t>
  </si>
  <si>
    <t>IC-1366</t>
  </si>
  <si>
    <t>Fact#: 318797 Rec#: 11515 FLORES GORDILLO LUIS EDUARDO</t>
  </si>
  <si>
    <t>IC-1365</t>
  </si>
  <si>
    <t>Fact#: 314636-317306 Rec#: 11514 ALEX ENRIQUE  MARTINEZ ESPINOZA</t>
  </si>
  <si>
    <t>IC-1364</t>
  </si>
  <si>
    <t>Fact#: 315717-318411 Rec#: 11513 VILLON MATUTE TEODORO FRANCISCO</t>
  </si>
  <si>
    <t>IC-1363</t>
  </si>
  <si>
    <t>Fact#: 318291 Rec#: 11512 VERA RODRIGUEZ CHRISTIAN ORLANDO</t>
  </si>
  <si>
    <t>IC-1362</t>
  </si>
  <si>
    <t>Fact#: 316077-318775 Rec#: 11511 HERNANDEZ MARIA ISABEL</t>
  </si>
  <si>
    <t>IC-1361</t>
  </si>
  <si>
    <t>Fact#: 318954 Rec#: 11510 MORAN POZO CRUZ HYDEE</t>
  </si>
  <si>
    <t>IC-1360</t>
  </si>
  <si>
    <t>Fact#: 315860-318558 Rec#: 11509 AGUIRRE CIRIO RIGOBERTO FRANCISCO</t>
  </si>
  <si>
    <t>IC-1359</t>
  </si>
  <si>
    <t>Fact#: 315825-318519 Rec#: 11508 REIMBERG BADUY PETER PAUL</t>
  </si>
  <si>
    <t>IC-1358</t>
  </si>
  <si>
    <t>Fact#: 316292-319001 Rec#: 11507 LUCIN DE LA A ANA GERTRUDIS</t>
  </si>
  <si>
    <t>IC-1357</t>
  </si>
  <si>
    <t>Fact#: 312261-314956-317637 Rec#: 11506 LUIS JOSE GUTIERREZ CASTILLO</t>
  </si>
  <si>
    <t>IC-1356</t>
  </si>
  <si>
    <t>Fact#: 319199 Rec#: 11505 MORAN MOSQUERA JORGE RAMON</t>
  </si>
  <si>
    <t>IC-1355</t>
  </si>
  <si>
    <t>Fact#: 318020 Rec#: 11504 PRECIADO MOREIRA GABRIELA STEFANIA</t>
  </si>
  <si>
    <t>IC-1354</t>
  </si>
  <si>
    <t>Fact#: 318207 Rec#: 11503 LUQUE RIVAS MARIA ROSA</t>
  </si>
  <si>
    <t>IC-1353</t>
  </si>
  <si>
    <t>Fact#: 315169-317859 Rec#: 11502 IVAN PATRICIO MERA VALLEJO</t>
  </si>
  <si>
    <t>IC-1352</t>
  </si>
  <si>
    <t>Fact#: 315669-318362 Rec#: 11501 MORA URRUTIA MACARENA IVONNE</t>
  </si>
  <si>
    <t>IC-1351</t>
  </si>
  <si>
    <t>Fact#: 316022-318721 Rec#: 11500 BRITO MOREIRA KARINA DE JESUS</t>
  </si>
  <si>
    <t>IC-1350</t>
  </si>
  <si>
    <t>Fact#: 304263-307018-309805 Rec#: 11499 RAWAD MACHLB BZEIH BARAKAT</t>
  </si>
  <si>
    <t>IC-1349</t>
  </si>
  <si>
    <t>Fact#: 315214-317905 Rec#: 11498 JACKELINE LUCIA LOOR ORTEGA</t>
  </si>
  <si>
    <t>IC-1348</t>
  </si>
  <si>
    <t>Fact#: 974 Rec#: 29471 SANTIAGO JAVIER NIETO CARRERA</t>
  </si>
  <si>
    <t>IC-1342</t>
  </si>
  <si>
    <t>Fact#: 316833 Rec#: 61726 CONSORCIO GH ECUADOR-GRUCONSA</t>
  </si>
  <si>
    <t>IC-1338</t>
  </si>
  <si>
    <t>Fact#: 315361-318057 Rec#: 61725 BARRAGAN QUISHPE PATRICIO XAVIER</t>
  </si>
  <si>
    <t>IC-1333</t>
  </si>
  <si>
    <t>Fact#: 317220 Rec#: 61724 GINA PATRICIA  POVEDA CAMACHO</t>
  </si>
  <si>
    <t>IC-1332</t>
  </si>
  <si>
    <t>Fact#: 314639 Rec#: 61723 MARIA ALEXANDRA  ECHEVERRIA VERA</t>
  </si>
  <si>
    <t>IC-1323</t>
  </si>
  <si>
    <t>Fact#: 316631 Rec#: 61722 ACCOUNTSERVS S.A  Cta# 178-500106 Ch# 1358</t>
  </si>
  <si>
    <t>IC-1322</t>
  </si>
  <si>
    <t>Fact#: 314768 Rec#: 61721 MARJORIE ANGELA NARANJO FERNANDEZ</t>
  </si>
  <si>
    <t>IC-1321</t>
  </si>
  <si>
    <t>Fact#: 304246-307000-309788 Rec#: 61720 GIOCONDA AUXILIADORA CEDEÑO ALCIVAR</t>
  </si>
  <si>
    <t>IC-1316</t>
  </si>
  <si>
    <t>Fact#: 317837-319337 Rec#: 61719 TERESA CARMEN VARELA LOOR</t>
  </si>
  <si>
    <t>IC-1315</t>
  </si>
  <si>
    <t>Fact#: 316769 Rec#: 61718 JIMENEZ &amp; JIMENEZ, ABOGADOS Y COMPAÑIA</t>
  </si>
  <si>
    <t>IC-1314</t>
  </si>
  <si>
    <t>Fact#: 309349-312137-314833 Rec#: 29470 HENRY LENY BETANCOURT VITERI</t>
  </si>
  <si>
    <t>IC-1329</t>
  </si>
  <si>
    <t>Fact#: 305548-311029 Rec#: 29469 MENENDEZ ROMERO GILDA MARIA</t>
  </si>
  <si>
    <t>IC-1328</t>
  </si>
  <si>
    <t>Fact#: 312801-315471 Rec#: 29468 VELEZ VERA ANGEL ALBERTO</t>
  </si>
  <si>
    <t>IC-1327</t>
  </si>
  <si>
    <t>Fact#: 316308 Rec#: 29467 FREIRE ANDRADE PAOLA MARIA</t>
  </si>
  <si>
    <t>IC-1326</t>
  </si>
  <si>
    <t>Fact#: 314793 Rec#: 29466 GUILLERMO IGNACIO JORGE BAQUERIZO VASQUEZ</t>
  </si>
  <si>
    <t>IC-1325</t>
  </si>
  <si>
    <t>Fact#: 313351-315994 Rec#: 29465 ECHEVERRIA MATA ALVARO DANIEL</t>
  </si>
  <si>
    <t>IC-1324</t>
  </si>
  <si>
    <t>Fact#: 315618 Rec#: 11497 MOLINA BUSTOS JAIRO RAMIRO</t>
  </si>
  <si>
    <t>IC-1303</t>
  </si>
  <si>
    <t>Fact#: 315516 Rec#: 11496 JARAMILLO SEMINARIO FRANCISCO JAVIER</t>
  </si>
  <si>
    <t>IC-1302</t>
  </si>
  <si>
    <t>Fact#: 312514-315200 Rec#: 11495 ALBERTO WILSON CHOEZ FIGUEROA</t>
  </si>
  <si>
    <t>IC-1301</t>
  </si>
  <si>
    <t>Fact#: 316562 Rec#: 11494 SANISACA MELENDRES KELLY MELANIE</t>
  </si>
  <si>
    <t>IC-1300</t>
  </si>
  <si>
    <t>Fact#: 313584-316193 Rec#: 11493 CHIQUITO PIBAQUE LEONARDO ALEJANDRO</t>
  </si>
  <si>
    <t>IC-1299</t>
  </si>
  <si>
    <t>Fact#: 312774-315445 Rec#: 11492 BRITO LAVAYEN BEATRIZ TERESA</t>
  </si>
  <si>
    <t>IC-1298</t>
  </si>
  <si>
    <t>Fact#: 314808 Rec#: 11491 MARIA ELENA MORA LUZCANDO</t>
  </si>
  <si>
    <t>IC-1297</t>
  </si>
  <si>
    <t>Fact#: 316494 Rec#: 11490 MERA NERO JHONNY ALEXANDER</t>
  </si>
  <si>
    <t>IC-1296</t>
  </si>
  <si>
    <t>Fact#: 309083-311875-314582 Rec#: 11489 BRUMELL OMAR AGUIAR PEREZ</t>
  </si>
  <si>
    <t>IC-1295</t>
  </si>
  <si>
    <t>Fact#: 314598 Rec#: 11488 GRACIELA ELENA CAMACHO COELLO</t>
  </si>
  <si>
    <t>IC-1294</t>
  </si>
  <si>
    <t>Fact#: 314946 Rec#: 11487 ERICK LUIS GARCIA CONTRERAS</t>
  </si>
  <si>
    <t>IC-1293</t>
  </si>
  <si>
    <t>Fact#: 943 Rec#: 11486 RODRIGUEZ GUEVARA MARIA AUGUSTA</t>
  </si>
  <si>
    <t>IC-1292</t>
  </si>
  <si>
    <t>Fact#: 311987-314692 Rec#: 11485 CALLE VACA LORENA GICELLA</t>
  </si>
  <si>
    <t>IC-1291</t>
  </si>
  <si>
    <t>Fact#: 310245-313002-315663 Rec#: 11484 VALERO ZABALA  JULIA ELIZABETH</t>
  </si>
  <si>
    <t>IC-1290</t>
  </si>
  <si>
    <t>Fact#: 316772 Rec#: 11483 FILUS S.A</t>
  </si>
  <si>
    <t>IC-1289</t>
  </si>
  <si>
    <t>Fact#: 316773 Rec#: 11482 FILUS S.A</t>
  </si>
  <si>
    <t>IC-1288</t>
  </si>
  <si>
    <t>Fact#: 310549-313283-315932 Rec#: 11481 ITURRALDE THORET DANIEL JOSE</t>
  </si>
  <si>
    <t>IC-1287</t>
  </si>
  <si>
    <t>Fact#: 315849 Rec#: 11480 ITURRALDE THORET ALBERTO FELIX</t>
  </si>
  <si>
    <t>IC-1286</t>
  </si>
  <si>
    <t>Fact#: 313937-316534 Rec#: 11479 VASQUEZ MONCAYO GUIDO MANUEL</t>
  </si>
  <si>
    <t>IC-1285</t>
  </si>
  <si>
    <t>Fact#: 313598-316209 Rec#: 11478 MONCAYO CORTEZ FRANCISCA YOVANNY</t>
  </si>
  <si>
    <t>IC-1284</t>
  </si>
  <si>
    <t>Fact#: 313619-316232 Rec#: 11477 BARRAZUETA PERDOMO EDUARDO DANIEL</t>
  </si>
  <si>
    <t>IC-1283</t>
  </si>
  <si>
    <t>Fact#: 316974 Rec#: 61715 RICMETRUCKS S.A.</t>
  </si>
  <si>
    <t>IC-1282</t>
  </si>
  <si>
    <t>Fact#: 316127-318824 Rec#: 61714 RODRIGUEZ GARCIA TEODORO DAGOBERTO</t>
  </si>
  <si>
    <t>IC-1281</t>
  </si>
  <si>
    <t>Fact#: 306236-309064-311854 Rec#: 61713 CESAR AURELIO CHALEN LAINEZ</t>
  </si>
  <si>
    <t>IC-1280</t>
  </si>
  <si>
    <t>Fact#: 312018-314720-317394 Rec#: 61621 RODRIGUEZ SORIANO ALEXANDRA ELIZABETH</t>
  </si>
  <si>
    <t>IC-1279</t>
  </si>
  <si>
    <t>Fact#: 314787-317462 Rec#: 61620 INES ISABEL MONTALVO GARCIA</t>
  </si>
  <si>
    <t>IC-1271</t>
  </si>
  <si>
    <t>Fact#: 314670-317343 Rec#: 61619 MARIA DEL CARMEN VERA VALVERDE</t>
  </si>
  <si>
    <t>IC-1270</t>
  </si>
  <si>
    <t>Fact#: 311843-314554-317226 Rec#: 61618 MICHELLE LAI YIM LOPEZ CORDOVA</t>
  </si>
  <si>
    <t>IC-1266</t>
  </si>
  <si>
    <t>Fact#: 314432-317085 Rec#: 61617 RIVADENEIRA JUNCO LUIS ENRIQUE</t>
  </si>
  <si>
    <t>IC-1264</t>
  </si>
  <si>
    <t>Fact#: 316877 Rec#: 61616 AMESSEC CIA.LTDA</t>
  </si>
  <si>
    <t>IC-1262</t>
  </si>
  <si>
    <t>Fact#: 314900-317580 Rec#: 61615 MAYRA ROCIO MULLO SAGÑAY</t>
  </si>
  <si>
    <t>IC-1259</t>
  </si>
  <si>
    <t>Fact#: 316880 Rec#: 61614 GLOBAL BUSINESS NESSGLOB S.A.</t>
  </si>
  <si>
    <t>IC-1258</t>
  </si>
  <si>
    <t>Fact#: 316891 Rec#: 61613 CORRELARE S.A.</t>
  </si>
  <si>
    <t>IC-1257</t>
  </si>
  <si>
    <t>Fact#: 297383-310714-313439 Rec#: 29483 MANUEL TEODORO HURTADO ARMIJOS</t>
  </si>
  <si>
    <t>IC-1396</t>
  </si>
  <si>
    <t>Fact#: 314494 Rec#: 29482 VICTOR ANTONIO AGUSTO ALVARADO</t>
  </si>
  <si>
    <t>IC-1395</t>
  </si>
  <si>
    <t>Fact#: 314551 Rec#: 29481 JAVIER MAURICIO RODRIGO ALBAN</t>
  </si>
  <si>
    <t>IC-1394</t>
  </si>
  <si>
    <t>Fact#: 311986-314691 Rec#: 29480 SALAZAR CARRILLO MARIA ANDREA</t>
  </si>
  <si>
    <t>IC-1393</t>
  </si>
  <si>
    <t>Fact#: 315595 Rec#: 29479 LOZANO OTERO RICARDO REIMONDI LOZANO OTERO</t>
  </si>
  <si>
    <t>IC-1392</t>
  </si>
  <si>
    <t>Fact#: 315049 Rec#: 11476 DANIEL ANTONIO MERINO RODRIGUEZ</t>
  </si>
  <si>
    <t>IC-1256</t>
  </si>
  <si>
    <t>Fact#: 861 Rec#: 11475 TIO ALVAREZ ADRIAN</t>
  </si>
  <si>
    <t>IC-1255</t>
  </si>
  <si>
    <t>Fact#: 314864 Rec#: 11474 XIMENA DE LOURDES VASQUEZ HINOJOSA</t>
  </si>
  <si>
    <t>IC-1254</t>
  </si>
  <si>
    <t>Fact#: 310232-312989-315653 Rec#: 11473 CEDENO CEVALLOS ALEJANDRO EUGENIO</t>
  </si>
  <si>
    <t>IC-1253</t>
  </si>
  <si>
    <t>Fact#: 314930 Rec#: 11472 RUBEN DARIO QUIMIS JESUS</t>
  </si>
  <si>
    <t>IC-1252</t>
  </si>
  <si>
    <t>Fact#: 312976-315639 Rec#: 11471 GUERRERO SPOONER IVON KATHERINE</t>
  </si>
  <si>
    <t>IC-1251</t>
  </si>
  <si>
    <t>Fact#: 311991-314696 Rec#: 11470 RIOS ORELLANA INGRID DE LA CRUZ</t>
  </si>
  <si>
    <t>IC-1250</t>
  </si>
  <si>
    <t>Fact#: 300638-303304-306039 Rec#: 11469 SANCHEZ JIMENEZ MARGARITA ELIZABETH</t>
  </si>
  <si>
    <t>IC-1249</t>
  </si>
  <si>
    <t>Fact#: 315146 Rec#: 11468 TERESA CARMEN VARELA LOOR</t>
  </si>
  <si>
    <t>IC-1248</t>
  </si>
  <si>
    <t>Fact#: 317058 Rec#: 11467 SPORTMEDIC.S.A</t>
  </si>
  <si>
    <t>IC-1247</t>
  </si>
  <si>
    <t>Fact#: 314672 Rec#: 11466 ROSA MARGARITA  BARRIGA CANTOS</t>
  </si>
  <si>
    <t>IC-1246</t>
  </si>
  <si>
    <t>Fact#: 316428 Rec#: 11465 MACIAS GRACIA JOHNNY FRANCISCO</t>
  </si>
  <si>
    <t>IC-1245</t>
  </si>
  <si>
    <t>Fact#: 305547-308300-311028 Rec#: 11464 CASTRO SAENZ DIANA INDIRA</t>
  </si>
  <si>
    <t>IC-1244</t>
  </si>
  <si>
    <t>Fact#: 312916-315582 Rec#: 11463 SALAS NORIEGA BLANCA TERESA</t>
  </si>
  <si>
    <t>IC-1243</t>
  </si>
  <si>
    <t>Fact#: 315462 Rec#: 11462 PLAZA CHUNGA SILVIA MARIA</t>
  </si>
  <si>
    <t>IC-1242</t>
  </si>
  <si>
    <t>Fact#: 299116-301767-304420 Rec#: 11461 LOOR GOMEZ MARIA ANTONIETA</t>
  </si>
  <si>
    <t>IC-1241</t>
  </si>
  <si>
    <t>Fact#: 315023 Rec#: 29464 RICHARD OMAR MOREIRA AGUIRRE</t>
  </si>
  <si>
    <t>IC-1207</t>
  </si>
  <si>
    <t>Fact#: 301086-303749-306513 Rec#: 29460 JUAN GABRIEL RODRIGUEZ FERNANDEZ</t>
  </si>
  <si>
    <t>IC-1201</t>
  </si>
  <si>
    <t>Fact#: 316668 Rec#: 61610 ACRUXZA C. A.  Cta# 21000410-6 Ch# 2476</t>
  </si>
  <si>
    <t>IC-1189</t>
  </si>
  <si>
    <t>Fact#: 317035 Rec#: 61609 PROMOTORA OCCIDENTAL PROCCIDENT S.A</t>
  </si>
  <si>
    <t>IC-1163</t>
  </si>
  <si>
    <t>PAGO TARJ. CORP. CUOTA MES DE ENE-2020</t>
  </si>
  <si>
    <t>NDL-14</t>
  </si>
  <si>
    <t>Fact#: 315166 Rec#: 11460 MOISES ROBERTO FRANCO ANDRADE</t>
  </si>
  <si>
    <t>IC-1239</t>
  </si>
  <si>
    <t>Fact#: 313340-315985 Rec#: 11459 GUADALUPE REMACHE SILVIA FABIOLA</t>
  </si>
  <si>
    <t>IC-1238</t>
  </si>
  <si>
    <t>Fact#: 313673-316289 Rec#: 11458 RODRIGUEZ REYES JINSOP ORLIN</t>
  </si>
  <si>
    <t>IC-1237</t>
  </si>
  <si>
    <t>Fact#: 315159 Rec#: 11457 EDUARDO CAMPOSANO ULLOA</t>
  </si>
  <si>
    <t>IC-1236</t>
  </si>
  <si>
    <t>Fact#: 313258-315910 Rec#: 11456 MORENO OVIEDO LUIS ITALO</t>
  </si>
  <si>
    <t>IC-1235</t>
  </si>
  <si>
    <t>Fact#: 314386-317042 Rec#: 11455 SALMAN JARAMILLO MILTON RAFAEL</t>
  </si>
  <si>
    <t>IC-1234</t>
  </si>
  <si>
    <t>Fact#: 315680 Rec#: 11454 VALLEJO MARTINEZ LEIDIZ DIANA</t>
  </si>
  <si>
    <t>IC-1233</t>
  </si>
  <si>
    <t>Fact#: 315592 Rec#: 11453 ZAMBRANO MOREIRA LUIS ALFREDO</t>
  </si>
  <si>
    <t>IC-1232</t>
  </si>
  <si>
    <t>Fact#: 313894-316487 Rec#: 11452 MORAN MOSQUERA JORGE RAMON</t>
  </si>
  <si>
    <t>IC-1231</t>
  </si>
  <si>
    <t>Fact#: 965 Rec#: 11451 VEJAR ROMERO SILVANA MICHELLE</t>
  </si>
  <si>
    <t>IC-1230</t>
  </si>
  <si>
    <t>Fact#: 316261 Rec#: 11450 LEON ANDRADE CRISTIAN ALFREDO</t>
  </si>
  <si>
    <t>IC-1229</t>
  </si>
  <si>
    <t>Fact#: 316781 Rec#: 11449 SINOXSA ECUADOR S.A.</t>
  </si>
  <si>
    <t>IC-1228</t>
  </si>
  <si>
    <t>Fact#: 316701 Rec#: 11448 SINOXSA ECUADOR S.A.</t>
  </si>
  <si>
    <t>IC-1227</t>
  </si>
  <si>
    <t>Fact#: 316702 Rec#: 11447 SINOXSA ECUADOR S.A.</t>
  </si>
  <si>
    <t>IC-1226</t>
  </si>
  <si>
    <t>Fact#: 314545 Rec#: 11446 MORAIMA SEMINARIO TOLEDO</t>
  </si>
  <si>
    <t>IC-1225</t>
  </si>
  <si>
    <t>Fact#: 311411-314147-316813 Rec#: 11445 COSME EDUARDO AGUILAR CONTENTO</t>
  </si>
  <si>
    <t>IC-1224</t>
  </si>
  <si>
    <t>Fact#: 313508-316125 Rec#: 11444 YAGUAREMA GUEVARA RUTH ALEXANDRA</t>
  </si>
  <si>
    <t>IC-1223</t>
  </si>
  <si>
    <t>Fact#: 310023-312783-315453 Rec#: 11443 RAMIREZ ROJAS  RONNEY RAFAEL</t>
  </si>
  <si>
    <t>IC-1222</t>
  </si>
  <si>
    <t>Fact#: 307927-310662-313389 Rec#: 11442 PIN VELEZ FATIMA DOLORES</t>
  </si>
  <si>
    <t>IC-1221</t>
  </si>
  <si>
    <t>Fact#: 317039 Rec#: 11441 ALVARADO BASURTO SEGUNDO GABRIEL</t>
  </si>
  <si>
    <t>IC-1220</t>
  </si>
  <si>
    <t>Fact#: 311095-313807-316416 Rec#: 11440 ESCALANTE AVILES ABRAHAN JOSUE</t>
  </si>
  <si>
    <t>IC-1219</t>
  </si>
  <si>
    <t>Fact#: 315732 Rec#: 11439 VALLE GONZALEZ LIDIA ELIZABETH</t>
  </si>
  <si>
    <t>IC-1218</t>
  </si>
  <si>
    <t>Fact#: 311412-314148-316814 Rec#: 11438 DANILO ROMO LEROUX ZUÑIGA</t>
  </si>
  <si>
    <t>IC-1217</t>
  </si>
  <si>
    <t>Fact#: 315115 Rec#: 11437 DANILO ROMO LEROUX ZUÑIGA</t>
  </si>
  <si>
    <t>IC-1216</t>
  </si>
  <si>
    <t>Fact#: 316512 Rec#: 11436 ORRALA VILLON MARJORIE ESTEFANIA</t>
  </si>
  <si>
    <t>IC-1215</t>
  </si>
  <si>
    <t>Fact#: 313131-315786 Rec#: 11435 ZEREGA GARAYCOA MARIA MERCEDES</t>
  </si>
  <si>
    <t>IC-1214</t>
  </si>
  <si>
    <t>Fact#: 315612 Rec#: 11434 MIRANDA LAJONE JORGE ANTONIO</t>
  </si>
  <si>
    <t>IC-1213</t>
  </si>
  <si>
    <t>Fact#: 314933 Rec#: 11433 JORGE ANDRES TOALA ALVAREZ</t>
  </si>
  <si>
    <t>IC-1212</t>
  </si>
  <si>
    <t>Fact#: 308041-310802-313528 Rec#: 11432 CASTRO CHOEZ KERLLY JAZMIN</t>
  </si>
  <si>
    <t>IC-1211</t>
  </si>
  <si>
    <t>Fact#: 304704-307456-310227 Rec#: 11431 CRUZ ALVARADO CINTHYA MARIELA</t>
  </si>
  <si>
    <t>IC-1210</t>
  </si>
  <si>
    <t>Fact#: 306582-312181 Rec#: 11430 KATHERINE NOEMI RAMIREZ SALDAÑA</t>
  </si>
  <si>
    <t>IC-1209</t>
  </si>
  <si>
    <t>Fact#: 315271 Rec#: 11429 CESAR VICENTE ALDAZABAL ALZAMORA</t>
  </si>
  <si>
    <t>IC-1208</t>
  </si>
  <si>
    <t>Fact#: 680 Rec#: 29463 F.V - AREA ANDINA S.A.</t>
  </si>
  <si>
    <t>IC-1204</t>
  </si>
  <si>
    <t>Fact#: 316740 Rec#: 29462 WANHAI LINES ECUADOR S.A.</t>
  </si>
  <si>
    <t>IC-1203</t>
  </si>
  <si>
    <t>Fact#: 311948-314655 Rec#: 29461 MAGALI ELIZABETH  CALDERON AVILA</t>
  </si>
  <si>
    <t>IC-1202</t>
  </si>
  <si>
    <t>Fact#: 311071-313783 Rec#: 29459 ALARCON ALVARADO GABRIELA GISELLA</t>
  </si>
  <si>
    <t>IC-1162</t>
  </si>
  <si>
    <t>Fact#: 309124-311913-314621 Rec#: 29458 NELSON SAVITRI  VELASCO PAZMIÑO</t>
  </si>
  <si>
    <t>IC-1161</t>
  </si>
  <si>
    <t>Fact#: 315930 Rec#: 29457 MORENO VIVAR LORENA BEATRIZ</t>
  </si>
  <si>
    <t>IC-1160</t>
  </si>
  <si>
    <t>Fact#: 314519 Rec#: 29456 LUIS RAUL BRITO GALLEGOS</t>
  </si>
  <si>
    <t>IC-1159</t>
  </si>
  <si>
    <t>Fact#: 316092 Rec#: 29455 BARAHONA MONTALVO HECTOR GONZALO</t>
  </si>
  <si>
    <t>IC-1158</t>
  </si>
  <si>
    <t>Fact#: 316700 Rec#: 29454 LABORATORIO BIOTANICALS DEL ECUADOR S.A.</t>
  </si>
  <si>
    <t>IC-1157</t>
  </si>
  <si>
    <t>Fact#: 314558 Rec#: 29453 LAURO DAVID TORRES CARRILLO</t>
  </si>
  <si>
    <t>IC-1156</t>
  </si>
  <si>
    <t>Fact#: 316864 Rec#: 29452 ETYECU S A</t>
  </si>
  <si>
    <t>IC-1155</t>
  </si>
  <si>
    <t>Fact#: 314577 Rec#: 29451 GLORIA ISABEL MITE LEON</t>
  </si>
  <si>
    <t>IC-1154</t>
  </si>
  <si>
    <t>Fact#: 314753 Rec#: 29450 LUIS DANIEL CHIANG GUERRERO</t>
  </si>
  <si>
    <t>IC-1153</t>
  </si>
  <si>
    <t>Fact#: 314752 Rec#: 29449 LUIS DANIEL CHIANG GUERRERO</t>
  </si>
  <si>
    <t>IC-1152</t>
  </si>
  <si>
    <t>Fact#: 315308 Rec#: 29448 JAVIER ALEJANDRO PAREDES SALTOS</t>
  </si>
  <si>
    <t>IC-1151</t>
  </si>
  <si>
    <t>Fact#: 316683 Rec#: 61608 COMBLANC DEL ECUADOR S.A.  Cta# 02-0061457 Ch# 1010</t>
  </si>
  <si>
    <t>IC-1150</t>
  </si>
  <si>
    <t>Fact#: 316632-317110 Rec#: 61607 SOLVESA  ECUADOR S.A  Cta# 31207621-0 Ch# 41737</t>
  </si>
  <si>
    <t>IC-1149</t>
  </si>
  <si>
    <t>Fact#: 314775-314776-314777-314778-314779 Rec#: 61606 JORGE HUMBERTO COSTALES VERA</t>
  </si>
  <si>
    <t>IC-1148</t>
  </si>
  <si>
    <t>Fact#: 316155 Rec#: 61605 AREVALO PONCE JAVIER MAURICIO</t>
  </si>
  <si>
    <t>IC-1147</t>
  </si>
  <si>
    <t>Fact#: 316625 Rec#: 61604 CONTECON GUAYAQUIL S.A.  Cta# 000-519066 Ch# 5505</t>
  </si>
  <si>
    <t>IC-1146</t>
  </si>
  <si>
    <t>Fact#: 302745-305388-308151 Rec#: 61603 CORTEZ CANTOS  PEDRO PABLO</t>
  </si>
  <si>
    <t>IC-1141</t>
  </si>
  <si>
    <t>Fact#: 317118-317119 Rec#: 61602 ANA LUCRECIA  CABRERA GARCIA</t>
  </si>
  <si>
    <t>IC-1137</t>
  </si>
  <si>
    <t>Fact#: 316868 Rec#: 61601 PRIMERA ETAPA DEL PROYECTO URBANISTICO AIRES DE BATAN  Cta# 000-529887 Ch# 468</t>
  </si>
  <si>
    <t>IC-1123</t>
  </si>
  <si>
    <t>Fact#: 316771 Rec#: 61600 LABORATORIOS RENALABSA S A</t>
  </si>
  <si>
    <t>IC-1105</t>
  </si>
  <si>
    <t>Fact#: 316638 Rec#: 61599 INSTALACION DE TUBOS DE HORMIGON S.A. INSTUGO  Cta# 130-062182 Ch# 3841</t>
  </si>
  <si>
    <t>IC-1103</t>
  </si>
  <si>
    <t>Fact#: 316653 Rec#: 61598 SER.TRANSPORTE Y LOGISTICA INTEGRADO TRANSLOINTEG.  Cta# 107091545- Ch# 3487</t>
  </si>
  <si>
    <t>IC-1074</t>
  </si>
  <si>
    <t>Fact#: 312765-315439 Rec#: 61597 MORENO VELOZ ELECTRA AZUCENA</t>
  </si>
  <si>
    <t>IC-1073</t>
  </si>
  <si>
    <t>Fact# 0624383 CNEL EP Concepto:CONSUMO DE ENERGÍA ELÉCTRICA PERIODO 05/DIC/2019 AL 04/ENE/2020, COD:0900420945, URB. CAP</t>
  </si>
  <si>
    <t>EG-36</t>
  </si>
  <si>
    <t>Fact# 17995559 CNEL EP Concepto:CONSUMO DE ENERGÍA ELÉCTRICA PERIODO 17/DIC/2019 AL 15/ENE/2020, COD:200019723945, EL CA</t>
  </si>
  <si>
    <t>EG-35</t>
  </si>
  <si>
    <t>Fact# 0620113 CNEL EP Concepto:CONSUMO DE ENERGÍA ELÉCTRICA PERIODO 28 NOV AL 29 DIC 2019, COD:0900421382, URB. TERRASOL</t>
  </si>
  <si>
    <t>EG-34</t>
  </si>
  <si>
    <t>SIMON EMILIO BRIONES LOOR CANCELA TELEFONO 3960274 ABONA SGTE FACTURA</t>
  </si>
  <si>
    <t>AT-2970</t>
  </si>
  <si>
    <t>FANNY ENRIQUETA PAPADIMITRIOU CANCELA TEL 3960270 ABONO PARA LAS SIGUIENTES FACTURAS</t>
  </si>
  <si>
    <t>AT-2969</t>
  </si>
  <si>
    <t>Fact#: 309978-312738-315414 Rec#: 11428 CHIQUITO PIHUAVE CHRISTIAN EDUARDO</t>
  </si>
  <si>
    <t>IC-1116</t>
  </si>
  <si>
    <t>Fact#: 315585 Rec#: 11427 ROSADO YANEZ ISABEL DEL ROCIO</t>
  </si>
  <si>
    <t>IC-1115</t>
  </si>
  <si>
    <t>Fact#: 316295 Rec#: 11426 VITE CALDERON PEDRO PABLO</t>
  </si>
  <si>
    <t>IC-1114</t>
  </si>
  <si>
    <t>Fact#: 952 Rec#: 11425 JIMENEZ BERNAL TANIA BEATRIZ</t>
  </si>
  <si>
    <t>IC-1113</t>
  </si>
  <si>
    <t>Fact#: 313637-316252 Rec#: 11424 ALZAMORA RAMIREZ PEDRO FAUSTO</t>
  </si>
  <si>
    <t>IC-1112</t>
  </si>
  <si>
    <t>Fact#: 314480 Rec#: 11423 GIOVANNY NARVAEZ PORTILLA</t>
  </si>
  <si>
    <t>IC-1111</t>
  </si>
  <si>
    <t>Fact#: 315814 Rec#: 11422 SANTOS MALDONADO MARIA GABRIELA</t>
  </si>
  <si>
    <t>IC-1110</t>
  </si>
  <si>
    <t>Fact#: 855 Rec#: 11421 CORONEL GARCIA MARITZA LUCILA</t>
  </si>
  <si>
    <t>IC-1109</t>
  </si>
  <si>
    <t>Fact#: 296293-298879-301526 Rec#: 11420 MALLITA ALEXANDRA PAZMIÑO MACIAS</t>
  </si>
  <si>
    <t>IC-1108</t>
  </si>
  <si>
    <t>Fact#: 312246-314941 Rec#: 11419 TERESA LEONOR SALAZAR PLUAS</t>
  </si>
  <si>
    <t>IC-1107</t>
  </si>
  <si>
    <t>Fact#: 310380-313126-315781 Rec#: 11418 SOLORZANO ITURRALDE JORGE LUIS</t>
  </si>
  <si>
    <t>IC-1106</t>
  </si>
  <si>
    <t>Fact#: 312245-314940 Rec#: 11417 JONATHAN XAVIER RIVAS FIGUEROA</t>
  </si>
  <si>
    <t>IC-1104</t>
  </si>
  <si>
    <t>Fact#: 313689-316305 Rec#: 11416 FIGUEROA MIRANDA MARTINA MONSERRATE</t>
  </si>
  <si>
    <t>IC-1102</t>
  </si>
  <si>
    <t>Fact#: 315627 Rec#: 11415 GOMEZ CALDERON ALEXANDRA ELIZABETH</t>
  </si>
  <si>
    <t>IC-1101</t>
  </si>
  <si>
    <t>Fact#: 314485 Rec#: 11414 NERY LILIANA OCHOA BAQUE</t>
  </si>
  <si>
    <t>IC-1100</t>
  </si>
  <si>
    <t>Fact#: 312817-315486 Rec#: 11413 GOMEZ LOPEZ SAMUEL ELEODORO</t>
  </si>
  <si>
    <t>IC-1099</t>
  </si>
  <si>
    <t>Fact#: 307891-310622-313352 Rec#: 11412 INTRIAGO NAVARRETE MARIELA ADELAIDA</t>
  </si>
  <si>
    <t>IC-1098</t>
  </si>
  <si>
    <t>Fact#: 907 Rec#: 11411 GUERRERO CASTRO ROSA ELVIRA</t>
  </si>
  <si>
    <t>IC-1097</t>
  </si>
  <si>
    <t>Fact#: 316892 Rec#: 11410 LAGOS LAKE ALEJANDRO ANDRE</t>
  </si>
  <si>
    <t>IC-1096</t>
  </si>
  <si>
    <t>Fact#: 316992 Rec#: 11409 LAGOS LAKE ALEJANDRO ANDRE</t>
  </si>
  <si>
    <t>IC-1095</t>
  </si>
  <si>
    <t>Fact#: 316724 Rec#: 29446 AMFORAPACKAGING S.A.</t>
  </si>
  <si>
    <t>IC-1140</t>
  </si>
  <si>
    <t>Fact#: 316881 Rec#: 29445 DATA TOOLS S.A.</t>
  </si>
  <si>
    <t>IC-1139</t>
  </si>
  <si>
    <t>Fact#: 316857 Rec#: 29444 CIPORT &amp; TECNAC CIPTE C.L</t>
  </si>
  <si>
    <t>IC-1138</t>
  </si>
  <si>
    <t>Fact#: 308991-311783-314496 Rec#: 29443 ARTURO ALFONSO VELASCO TUTIVEN</t>
  </si>
  <si>
    <t>IC-1131</t>
  </si>
  <si>
    <t>Fact#: 314565 Rec#: 29442 MARIA GABRIELA TERAN SEVILLA</t>
  </si>
  <si>
    <t>IC-1130</t>
  </si>
  <si>
    <t>Fact#: 314581 Rec#: 29441 BENILDA JESUS ACOSTA ZAMBRANO</t>
  </si>
  <si>
    <t>IC-1129</t>
  </si>
  <si>
    <t>Fact#: 313666-316283 Rec#: 29440 JIMENEZ ALVAREZ GARY WINDER</t>
  </si>
  <si>
    <t>IC-1128</t>
  </si>
  <si>
    <t>Fact#: 314492 Rec#: 29439 FATIMA LEONOR AGUILAR MURILLO</t>
  </si>
  <si>
    <t>IC-1127</t>
  </si>
  <si>
    <t>Fact#: 726-882 Rec#: 29438 ACUNA ALBUJA XIMENA ALEXANDRA</t>
  </si>
  <si>
    <t>IC-1126</t>
  </si>
  <si>
    <t>Fact#: 316634 Rec#: 29437 DORCIEN S.A</t>
  </si>
  <si>
    <t>IC-1125</t>
  </si>
  <si>
    <t>Fact#: 822 Rec#: 29436 GUATEMAL COLIMBA JUAN BAUTISTA</t>
  </si>
  <si>
    <t>IC-1124</t>
  </si>
  <si>
    <t>Fact#: 311176-313877-316471 Rec#: 11408 ITURBURU SALVADOR JORGE DAVID</t>
  </si>
  <si>
    <t>IC-1094</t>
  </si>
  <si>
    <t>Fact#: 302275-304913-307667 Rec#: 11407 RODRIGUEZ RAMON PAMELA CAROLINA</t>
  </si>
  <si>
    <t>IC-1093</t>
  </si>
  <si>
    <t>Fact#: 309441-312222-314918 Rec#: 11406 SUSAN ASKEW</t>
  </si>
  <si>
    <t>IC-1092</t>
  </si>
  <si>
    <t>Fact#: 315980 Rec#: 11405 NARANJO CADENA DANIEL FIDEL</t>
  </si>
  <si>
    <t>IC-1091</t>
  </si>
  <si>
    <t>Fact#: 292869-305994-308811 Rec#: 11404 ZAMBRANO NAPA SHIRLEY ROCIO</t>
  </si>
  <si>
    <t>IC-1090</t>
  </si>
  <si>
    <t>Fact#: 315773 Rec#: 11403 CORTEZ AVILES PEDRO ROGELIO</t>
  </si>
  <si>
    <t>IC-1089</t>
  </si>
  <si>
    <t>Fact#: 313117-315772 Rec#: 11402 CASTILLO PAZMINO ANTHONI AARON</t>
  </si>
  <si>
    <t>IC-1088</t>
  </si>
  <si>
    <t>Fact#: 312753-315428 Rec#: 11401 FLORES INTRIAGO CRISTOBAL DOUGLAS</t>
  </si>
  <si>
    <t>IC-1087</t>
  </si>
  <si>
    <t>Fact#: 315818 Rec#: 11400 GUAMAN IZA LILIANA ARACELY</t>
  </si>
  <si>
    <t>IC-1086</t>
  </si>
  <si>
    <t>Fact#: 301030-303693-306456 Rec#: 11399 NESTOR EDUARDO PLUAS OCHOA</t>
  </si>
  <si>
    <t>IC-1085</t>
  </si>
  <si>
    <t>Fact#: 316002 Rec#: 11398 BORBOR VILLON ALEX ALEJANDRO</t>
  </si>
  <si>
    <t>IC-1084</t>
  </si>
  <si>
    <t>Fact#: 314770 Rec#: 11397 YANIRA SUGEY ANGULO MARTINEZ</t>
  </si>
  <si>
    <t>IC-1083</t>
  </si>
  <si>
    <t>Fact#: 316061 Rec#: 11396 LOPEZ NIETO WILFRIDO BENEDICTO</t>
  </si>
  <si>
    <t>IC-1082</t>
  </si>
  <si>
    <t>Fact#: 297019-299595-302216 Rec#: 11395 RIZZO GAMARRA HERIKA CAROLINA</t>
  </si>
  <si>
    <t>IC-1081</t>
  </si>
  <si>
    <t>Fact#: 301425-304089-306845 Rec#: 11394 JEYSON ENRIQUE BAJAÑA QUIZHPI</t>
  </si>
  <si>
    <t>IC-1080</t>
  </si>
  <si>
    <t>Fact#: 313056-315716 Rec#: 11393 PONCE ANDRADE KERLY KARINA</t>
  </si>
  <si>
    <t>IC-1079</t>
  </si>
  <si>
    <t>Fact#: 836 Rec#: 11392 LEMA CHICAIZA FRANCISCO HERNAN</t>
  </si>
  <si>
    <t>IC-1078</t>
  </si>
  <si>
    <t>Fact#: 315275 Rec#: 11391 ESMERALDA MARITZA ALVARADO SEGURA</t>
  </si>
  <si>
    <t>IC-1077</t>
  </si>
  <si>
    <t>Fact#: 315710 Rec#: 11390 GUEVARA ACOSTA LUIS JAIRO</t>
  </si>
  <si>
    <t>IC-1076</t>
  </si>
  <si>
    <t>Fact#: 315116 Rec#: 11389 DAYANNA ANABELL BAQUERIZO AQUINO</t>
  </si>
  <si>
    <t>IC-1075</t>
  </si>
  <si>
    <t>Fact#: 316795 Rec#: 29435 SERVICITY C A</t>
  </si>
  <si>
    <t>IC-1071</t>
  </si>
  <si>
    <t>Fact#: 316636 Rec#: 29434 LG ELECTRONICS PANAMA S.A</t>
  </si>
  <si>
    <t>IC-1070</t>
  </si>
  <si>
    <t>Fact#: 313833 Rec#: 61596 CEBALLOS CASTRILLON CAROLINA</t>
  </si>
  <si>
    <t>IC-1069</t>
  </si>
  <si>
    <t>Fact#: 316623 Rec#: 61595 CODEMET S.A.</t>
  </si>
  <si>
    <t>IC-1057</t>
  </si>
  <si>
    <t>Fact#: 316629 Rec#: 61594 DOLCA S.A  Cta# 000-015415 Ch# 15780</t>
  </si>
  <si>
    <t>IC-1056</t>
  </si>
  <si>
    <t>Fact#: 316825 Rec#: 61593 BONELLY S.A.</t>
  </si>
  <si>
    <t>IC-1053</t>
  </si>
  <si>
    <t>Fact#: 314715 Rec#: 61592 JORGE TYRONE AVILA OJEDA</t>
  </si>
  <si>
    <t>IC-1052</t>
  </si>
  <si>
    <t>Fact#: 316615-316616 Rec#: 61591 EDIFICIO PROFESSIONAL CENTER  Cta# 02-0130151 Ch# 5185</t>
  </si>
  <si>
    <t>IC-1046</t>
  </si>
  <si>
    <t>Fact#: 316862 Rec#: 61590 PRODUCTOS TISSUE DEL ECUADOR S.A.</t>
  </si>
  <si>
    <t>IC-1038</t>
  </si>
  <si>
    <t>Fact#: 309037-311828-314539 Rec#: 61589 CARLOS VEINTIMILLA BALAS</t>
  </si>
  <si>
    <t>IC-1025</t>
  </si>
  <si>
    <t>Fact#: 316770 Rec#: 29433 ELECTROMOOM S.A.</t>
  </si>
  <si>
    <t>IC-1045</t>
  </si>
  <si>
    <t>Fact#: 316943 Rec#: 29432 ADVANCED POS SOLUTIONS INC</t>
  </si>
  <si>
    <t>IC-1044</t>
  </si>
  <si>
    <t>Fact#: 314461 Rec#: 29431 JORGE ALFREDO FRANCO MORAN</t>
  </si>
  <si>
    <t>IC-1043</t>
  </si>
  <si>
    <t>Fact#: 316988 Rec#: 29430 GENERALAIR S. A</t>
  </si>
  <si>
    <t>IC-1042</t>
  </si>
  <si>
    <t>Fact#: 311994-314699 Rec#: 29429 ARMANDO ROBERTO  YAGUAL BRITO</t>
  </si>
  <si>
    <t>IC-1041</t>
  </si>
  <si>
    <t>Fact#: 313215-315866 Rec#: 29428 POVEDA VALLEJO JORGE LUIS</t>
  </si>
  <si>
    <t>IC-1040</t>
  </si>
  <si>
    <t>Fact#: 314792 Rec#: 11388 JENNIFER MARITZA BAJAÑA MERCHAN</t>
  </si>
  <si>
    <t>IC-1037</t>
  </si>
  <si>
    <t>Fact#: 316196 Rec#: 11387 CASTRO BARZOLA KEVIN JONATHAN</t>
  </si>
  <si>
    <t>IC-1036</t>
  </si>
  <si>
    <t>Fact#: 838 Rec#: 11386 JARA SANCHEZ MANUEL BENIGNO</t>
  </si>
  <si>
    <t>IC-1035</t>
  </si>
  <si>
    <t>Fact#: 316050 Rec#: 11385 CORDOVA REYES CARLOS HORACIO</t>
  </si>
  <si>
    <t>IC-1034</t>
  </si>
  <si>
    <t>Fact#: 316008 Rec#: 11384 BRAVO BRIONES JOSE FEDERICO</t>
  </si>
  <si>
    <t>IC-1033</t>
  </si>
  <si>
    <t>Fact#: 834 Rec#: 11383 CRUZ SANTANA MARCOS BOLIVAR</t>
  </si>
  <si>
    <t>IC-1032</t>
  </si>
  <si>
    <t>Fact#: 313940-316537 Rec#: 11382 HERRERA MOSQUERA SHELLMA GISELLA BERNARDIT</t>
  </si>
  <si>
    <t>IC-1031</t>
  </si>
  <si>
    <t>Fact#: 312820-315489 Rec#: 11381 BARBERAN BRIONES JOSE JULIAN</t>
  </si>
  <si>
    <t>IC-1030</t>
  </si>
  <si>
    <t>Fact#: 314603 Rec#: 11380 CAROLA MISHEL ABISAAB MEDINA</t>
  </si>
  <si>
    <t>IC-1029</t>
  </si>
  <si>
    <t>Fact#: 311988-314693 Rec#: 11379 AGUILERA RODRIGUEZ YONNY STALIN</t>
  </si>
  <si>
    <t>IC-1028</t>
  </si>
  <si>
    <t>Fact#: 316178 Rec#: 11378 LEON MUNOZ LUCY DOMENICA</t>
  </si>
  <si>
    <t>IC-1027</t>
  </si>
  <si>
    <t>Fact#: 312432-315121 Rec#: 11377 GINA PATRICIA HERRERA GRANADOS</t>
  </si>
  <si>
    <t>IC-1026</t>
  </si>
  <si>
    <t>Fact#: 313870-316465 Rec#: 11376 VELASQUEZ AGUIRRE CARLOS JOSE</t>
  </si>
  <si>
    <t>IC-1024</t>
  </si>
  <si>
    <t>Fact#: 312671-315350 Rec#: 11375 MONCAYO LARREA JOHANN LEONARDO</t>
  </si>
  <si>
    <t>IC-1023</t>
  </si>
  <si>
    <t>Fact#: 283097-285313-287577 Rec#: 11374 PENAFIEL TAPIA FRANCISCO MIGUEL</t>
  </si>
  <si>
    <t>IC-1022</t>
  </si>
  <si>
    <t>Fact#: 316007 Rec#: 11373 CONSTANTE GARCIA VICKY POALA</t>
  </si>
  <si>
    <t>IC-1021</t>
  </si>
  <si>
    <t>Fact#: 315811 Rec#: 11372 INTRIAGO GANCHOZO ANGELA MERCEDES</t>
  </si>
  <si>
    <t>IC-1020</t>
  </si>
  <si>
    <t>Fact#: 312843-315511 Rec#: 11371 ANDRADE ALVARADO NANCY NOEMI</t>
  </si>
  <si>
    <t>IC-1019</t>
  </si>
  <si>
    <t>Fact#: 870 Rec#: 11370 ANDRADE LANZL ADRIANA PATRICIA</t>
  </si>
  <si>
    <t>IC-1018</t>
  </si>
  <si>
    <t>Fact#: 313095-315750 Rec#: 11369 CALI PINCAY SANDRA ELIZABETH</t>
  </si>
  <si>
    <t>IC-1017</t>
  </si>
  <si>
    <t>Fact#: 316060 Rec#: 11368 SANCHEZ QUINCHUELA INES MONICA</t>
  </si>
  <si>
    <t>IC-1016</t>
  </si>
  <si>
    <t>Fact#: 314694 Rec#: 11367 PAZMIÑO COELLO JAIME MARCELO</t>
  </si>
  <si>
    <t>IC-1015</t>
  </si>
  <si>
    <t>Fact#: 315054 Rec#: 11366 DIANA GISELLA JIMENEZ CABRERA</t>
  </si>
  <si>
    <t>IC-1014</t>
  </si>
  <si>
    <t>Fact#: 315066 Rec#: 11365 CESAR ORLANDO VALLEJO VERA</t>
  </si>
  <si>
    <t>IC-1013</t>
  </si>
  <si>
    <t>Fact#: 311182-313883-316476 Rec#: 29426 VARGAS ZAMBRANO HILDA MARIA</t>
  </si>
  <si>
    <t>IC-996</t>
  </si>
  <si>
    <t>Fact#: 308114-310874-313610 Rec#: 61587 QUINONEZ CUERO PATRICIA ALEXANDRA</t>
  </si>
  <si>
    <t>IC-994</t>
  </si>
  <si>
    <t>Fact#: 314418 Rec#: 61586 LA CASA DEL MEDICO LACASADELMEDICO S.A.</t>
  </si>
  <si>
    <t>IC-993</t>
  </si>
  <si>
    <t>Fact#: 313933 Rec#: 61585 ZAMBRANO ZAMBRANO MARIUXI MONSERRATE</t>
  </si>
  <si>
    <t>IC-992</t>
  </si>
  <si>
    <t>Fact#: 316451 Rec#: 61584 MEDINA FLORES DANIEL FRANCISCO</t>
  </si>
  <si>
    <t>IC-991</t>
  </si>
  <si>
    <t>Fact#: 316652 Rec#: 61583 DOLMEN S.A.  Cta# 21000390-1 Ch# 37740</t>
  </si>
  <si>
    <t>IC-990</t>
  </si>
  <si>
    <t>TRANSFERENCIA ANTICIPO POR HONORARIOS PROFESIONALES MES ENE-2020, PABLO BAQUERIZO D.</t>
  </si>
  <si>
    <t>NDL-4</t>
  </si>
  <si>
    <t>TRANSFERENCIA PAGO DE FONDOS DE RESERVA MES DE DICIEMBRE 2019</t>
  </si>
  <si>
    <t>NDL-3</t>
  </si>
  <si>
    <t>TRANSFERENCIA ROLES DE PAGO 1ERA QUINCENA DEL MES DE ENERO 2020</t>
  </si>
  <si>
    <t>NDL-2</t>
  </si>
  <si>
    <t>Fact#: 304450-307206-309986 Rec#: 29427 PALACIOS DILLON ALEXANDRA DEL ROCIO</t>
  </si>
  <si>
    <t>IC-997</t>
  </si>
  <si>
    <t>Fact#: 315340 Rec#: 29425 GENOVESE CEVALLOS GIANCARLO CESAR</t>
  </si>
  <si>
    <t>IC-995</t>
  </si>
  <si>
    <t>Fact#: 316760 Rec#: 29424 EIKON S.A.</t>
  </si>
  <si>
    <t>IC-989</t>
  </si>
  <si>
    <t>Fact#: 314469 Rec#: 29423 SEGUNDO PEDRO PABLO ANDRADE LOAYZA</t>
  </si>
  <si>
    <t>IC-988</t>
  </si>
  <si>
    <t>Fact#: 314479 Rec#: 29422 EDDA GLADYS PARRALES GOMEZ</t>
  </si>
  <si>
    <t>IC-987</t>
  </si>
  <si>
    <t>Fact#: 314644 Rec#: 29421 MARY ELENA  MONROY PAREDES</t>
  </si>
  <si>
    <t>IC-986</t>
  </si>
  <si>
    <t>Fact#: 314531 Rec#: 29420 ELIANA JOANELY BARCHI GUTIERREZ</t>
  </si>
  <si>
    <t>IC-985</t>
  </si>
  <si>
    <t>Fact#: 315113 Rec#: 11364 AIMARA RODRIGUEZ FERNANDEZ</t>
  </si>
  <si>
    <t>IC-980</t>
  </si>
  <si>
    <t>Fact#: 315472 Rec#: 11363 GABRIELA NATHALY GONZALEZ BAÑOS</t>
  </si>
  <si>
    <t>IC-979</t>
  </si>
  <si>
    <t>Fact#: 303405-306167-308997 Rec#: 11362 NANCY ELENA MUÑOZ SUAREZ</t>
  </si>
  <si>
    <t>IC-978</t>
  </si>
  <si>
    <t>Fact#: 291393-293718-296226 Rec#: 11361 CINTHYA ELIZABETH JARA CAGUA</t>
  </si>
  <si>
    <t>IC-977</t>
  </si>
  <si>
    <t>Fact#: 316462 Rec#: 11360 SANCHEZ PEREZ FRANCISCO ROBERTO</t>
  </si>
  <si>
    <t>IC-976</t>
  </si>
  <si>
    <t>Fact#: 311567-314299-316959 Rec#: 11359 RISQUE RISK S.A.</t>
  </si>
  <si>
    <t>IC-975</t>
  </si>
  <si>
    <t>Fact#: 316420 Rec#: 11358 BAQUE MORA DARWIN EDWIN</t>
  </si>
  <si>
    <t>IC-974</t>
  </si>
  <si>
    <t>Fact#: 611-755 Rec#: 11357 LAJONES MORENO CARLOS JAVIER</t>
  </si>
  <si>
    <t>IC-973</t>
  </si>
  <si>
    <t>Fact#: 314943 Rec#: 11356 CARLA MARIA GARCIA ANDRADE</t>
  </si>
  <si>
    <t>IC-972</t>
  </si>
  <si>
    <t>Fact#: 316608 Rec#: 11355 LLERAS EVARISTO RAFAEL GUSTAVO</t>
  </si>
  <si>
    <t>IC-971</t>
  </si>
  <si>
    <t>Fact#: 313913 Rec#: 11354 PENAFIEL MOSQUERA MIRNA LORGIA</t>
  </si>
  <si>
    <t>IC-970</t>
  </si>
  <si>
    <t>Fact#: 305475-308228-310958 Rec#: 11353 PONCE HUACON GABRIELA VANESSA</t>
  </si>
  <si>
    <t>IC-969</t>
  </si>
  <si>
    <t>Fact#: 316199 Rec#: 11352 MARCILLO COBOS DAVID FERNANDO</t>
  </si>
  <si>
    <t>IC-968</t>
  </si>
  <si>
    <t>Fact#: 314700 Rec#: 11351 ARCE FLORES NORBERTO</t>
  </si>
  <si>
    <t>IC-967</t>
  </si>
  <si>
    <t>Fact#: 312926-315591 Rec#: 11350 DIAZ CHAMBA WALTER OVIDIO</t>
  </si>
  <si>
    <t>IC-966</t>
  </si>
  <si>
    <t>Fact#: 313643-316260 Rec#: 11349 MORA SANCHEZ DIANA LISSETH</t>
  </si>
  <si>
    <t>IC-965</t>
  </si>
  <si>
    <t>Fact#: 315743 Rec#: 11348 RIVADENEIRA SACON GRACE ALEXANDRA</t>
  </si>
  <si>
    <t>IC-964</t>
  </si>
  <si>
    <t>Fact#: 310814-313542-316154 Rec#: 11347 TRIVINO BARONA GEORGE XAVIER</t>
  </si>
  <si>
    <t>IC-963</t>
  </si>
  <si>
    <t>Fact#: 313078-315737 Rec#: 11346 MARURI HERRERA JAQUELINE DEL ROCIO</t>
  </si>
  <si>
    <t>IC-962</t>
  </si>
  <si>
    <t>Fact#: 312860-315528 Rec#: 11345 EGAS LINO KEVIN STALIN</t>
  </si>
  <si>
    <t>IC-961</t>
  </si>
  <si>
    <t>Fact#: 301634-304293-307050 Rec#: 11344 MARIA ALEJANDRA CHABLA VASQUEZ</t>
  </si>
  <si>
    <t>IC-960</t>
  </si>
  <si>
    <t>Fact#: 315973 Rec#: 11343 PANCHANA GONZALEZ GLADYS HAIDEE</t>
  </si>
  <si>
    <t>IC-959</t>
  </si>
  <si>
    <t>Fact#: 294043-296543-299120 Rec#: 11342 JOHN FRANCISCO IZQUIERDO ZAVALA</t>
  </si>
  <si>
    <t>IC-958</t>
  </si>
  <si>
    <t>Fact#: 311790 Rec#: 61579 MELVA PATRICIA TORRES ALMEIDA</t>
  </si>
  <si>
    <t>IC-915</t>
  </si>
  <si>
    <t>Fact#: 316043 Rec#: 61578 ANDRADE AMOROZO AUGUSTO GUIDO</t>
  </si>
  <si>
    <t>IC-914</t>
  </si>
  <si>
    <t>Fact#: 310861-313599-316210 Rec#: 61577 BONES CORDOVA GUIDO EDUARDO</t>
  </si>
  <si>
    <t>IC-913</t>
  </si>
  <si>
    <t>Fact# 0006043 ARROBA PIEDRA RODRIGO Concepto:HONORARIOS PROFESIONALES, JUBILACIÓN PATRONAL TODO EL PERSONAL E INDEMNIZAC</t>
  </si>
  <si>
    <t>EG-33</t>
  </si>
  <si>
    <t>MERELO ANGULO ROBERTO, PAGO DE FONDO DE RESERVA MES DE DIC-2019</t>
  </si>
  <si>
    <t>EG-32</t>
  </si>
  <si>
    <t>Fact# 17933329 CNEL EP Concepto:CONSUMO DE ENERGÍA ELÉCTRICA PERIODO 12 DIC 2019 AL 11 ENE 2020, COD:200016916559, VIA A</t>
  </si>
  <si>
    <t>EG-31</t>
  </si>
  <si>
    <t>Fact# 17890418 CNEL EP Concepto:CONSUMO DE ENERGÍA ELÉCTRICA PERIODO 12 DIC 2019 AL 11 ENE 2020, COD:200017417466, VALLE</t>
  </si>
  <si>
    <t>EG-30</t>
  </si>
  <si>
    <t>Fact# 17916177 CNEL EP Concepto:CONSUMO DE ENERGÍA ELÉCTRICA PERIODO 14 DIC 2019 AL 13 ENE 2020, COD:200022378406, BTA.</t>
  </si>
  <si>
    <t>EG-29</t>
  </si>
  <si>
    <t>CNEL EP, CONSUMO DE ENERGÍA ELÉCTRICA PERIODO 12 DIC 2019 AL 11 ENE 2020, COD:200017298429, PORTAL AL SOL, CTV</t>
  </si>
  <si>
    <t>EG-28</t>
  </si>
  <si>
    <t>Fact# 17871690 CNEL EP Concepto:CONSUMO DE ENERGÍA ELÉCTRICA PERIODO 12/DIC/2019 AL 11/01/2020-</t>
  </si>
  <si>
    <t>EG-27</t>
  </si>
  <si>
    <t>Fact# 23598825 CNEL EP Concepto:CONSUMO DE ENERGÍA ELÉCTRICA PERIODO 30 NOV AL 30 DIC 2019, COD:5385091, MANABI-MANTA-</t>
  </si>
  <si>
    <t>EG-26</t>
  </si>
  <si>
    <t>Fact# 27361579 ETAPA EP Concepto:SERVICIO DE ENERGÍA Y COUBICACIÓN MES DE DIC-2019-</t>
  </si>
  <si>
    <t>EG-25</t>
  </si>
  <si>
    <t>Fact# 0012360-0012223 ASOC. DE MORADORES DE LA URB. MATICES DE SAMBORONDON Concepto:CONSUMO DE ENERGÍA ELÉCTRICA DE LA A</t>
  </si>
  <si>
    <t>EG-24</t>
  </si>
  <si>
    <t>Fact# 0262512 ZURICH SEGUROS ECUADOR S.A. Concepto:PÓLIZA#104341 POR CUMPLIMIENTO DE CONTRATO, ARCOTEL-</t>
  </si>
  <si>
    <t>EG-23</t>
  </si>
  <si>
    <t>MERELO ANGULO ROBERTO , REEMBOLSO DE CAJA CHICA DEL 01 AL 10 DE ENERO,</t>
  </si>
  <si>
    <t>EG-22</t>
  </si>
  <si>
    <t>MERELO ANGULO ROBERTO, PAGO DE 1ERA QUINCENA MES DE ENERO 2019</t>
  </si>
  <si>
    <t>EG-21</t>
  </si>
  <si>
    <t>RONQUILLO MORAN  PERFECTO, PAGO DE 1ERA QUINCENA MES DE ENERO 2019</t>
  </si>
  <si>
    <t>EG-20</t>
  </si>
  <si>
    <t>COMPRA DE 2 GRANDTREAM 2 PUERTOS, EQUIPOS PARA STOCK</t>
  </si>
  <si>
    <t>EG-19</t>
  </si>
  <si>
    <t>PAREDES CORNEJO BELLA ZOILA CANCELA TELEFONO 3907976 ABONA SGTE FACTURA</t>
  </si>
  <si>
    <t>AT-2965</t>
  </si>
  <si>
    <t>Fact#: 315173 Rec#: 11341 CESAR AURELIO BARRERA MORALES</t>
  </si>
  <si>
    <t>IC-951</t>
  </si>
  <si>
    <t>Fact#: 315797 Rec#: 11340 CAMPOVERDE GONZALEZ IVAN EUSEBIO</t>
  </si>
  <si>
    <t>IC-950</t>
  </si>
  <si>
    <t>Fact#: 315069 Rec#: 11339 CECILIA ISABEL PORTILLA ESPINOZA</t>
  </si>
  <si>
    <t>IC-949</t>
  </si>
  <si>
    <t>Fact#: 288801-291153-293477 Rec#: 11338 TONY ENRIQUE CAMPUZANO ARIAS</t>
  </si>
  <si>
    <t>IC-948</t>
  </si>
  <si>
    <t>Fact#: 316911 Rec#: 11337 APOLO LOAYZA HECTOR IVAN</t>
  </si>
  <si>
    <t>IC-947</t>
  </si>
  <si>
    <t>Fact#: 314352-317008 Rec#: 11336 MEDINA CHOCO JORDY JOEL</t>
  </si>
  <si>
    <t>IC-946</t>
  </si>
  <si>
    <t>Fact#: 315188 Rec#: 11335 JAIME EDUARDO JARRIN CRUZ</t>
  </si>
  <si>
    <t>IC-945</t>
  </si>
  <si>
    <t>Fact#: 312605-315288 Rec#: 11334 NARCISA MIRELLA ANDRADE SALTOS</t>
  </si>
  <si>
    <t>IC-944</t>
  </si>
  <si>
    <t>Fact#: 312386-315076 Rec#: 11333 SULLY GABRIELA GONZALEZ GUZMAN</t>
  </si>
  <si>
    <t>IC-943</t>
  </si>
  <si>
    <t>Fact#: 966 Rec#: 11332 CONJUNTO RESIDENCIAL VISTA PLAZA</t>
  </si>
  <si>
    <t>IC-942</t>
  </si>
  <si>
    <t>Fact#: 315153 Rec#: 11331 EDISON FERNANDO MERA CASTAÑEDA</t>
  </si>
  <si>
    <t>IC-941</t>
  </si>
  <si>
    <t>Fact#: 316849 Rec#: 11330 NEDERAGRO S.A.</t>
  </si>
  <si>
    <t>IC-940</t>
  </si>
  <si>
    <t>Fact#: 312803-315473 Rec#: 11329 GUERRERO HOLGUIN JAIME GUSTAVO</t>
  </si>
  <si>
    <t>IC-939</t>
  </si>
  <si>
    <t>Fact#: 316096 Rec#: 11328 QUINONEZ MINA DARLIS LUCIA</t>
  </si>
  <si>
    <t>IC-938</t>
  </si>
  <si>
    <t>Fact#: 315110 Rec#: 11327 MONICA LORENA OROZCO AVILES</t>
  </si>
  <si>
    <t>IC-937</t>
  </si>
  <si>
    <t>Fact#: 316395 Rec#: 11326 PONCE BURGOS NORMA ISABEL</t>
  </si>
  <si>
    <t>IC-936</t>
  </si>
  <si>
    <t>Fact#: 316396 Rec#: 11325 PONCE BURGOS NORMA ISABEL</t>
  </si>
  <si>
    <t>IC-935</t>
  </si>
  <si>
    <t>Fact#: 310377-313123-315778 Rec#: 11324 BUENAVENTURA RODRIGUEZ MARIA DEL CARMEN</t>
  </si>
  <si>
    <t>IC-934</t>
  </si>
  <si>
    <t>Fact#: 315894 Rec#: 11323 AVILA ORTIZ GEOVANNY FABRICIO</t>
  </si>
  <si>
    <t>IC-933</t>
  </si>
  <si>
    <t>Fact#: 315487 Rec#: 11322 CEVALLOS VERA SILVIA ANTONIA</t>
  </si>
  <si>
    <t>IC-932</t>
  </si>
  <si>
    <t>Fact#: 305982-308801-311601 Rec#: 11321 MORAN PIZA TANIA YADIRA</t>
  </si>
  <si>
    <t>IC-931</t>
  </si>
  <si>
    <t>Fact#: 312896-315563 Rec#: 11320 PARRAGA CEDENO JOSE VIRGILIO</t>
  </si>
  <si>
    <t>IC-930</t>
  </si>
  <si>
    <t>Fact#: 309941-312702-315381 Rec#: 11319 NUÑEZ MORAN TANIA DEL ROCIO</t>
  </si>
  <si>
    <t>IC-929</t>
  </si>
  <si>
    <t>Fact#: 317053 Rec#: 11318 ALVARADO COBOS ALDO MANUEL</t>
  </si>
  <si>
    <t>IC-928</t>
  </si>
  <si>
    <t>Fact#: 316458 Rec#: 11317 CEDENO SORIANO CHRISTIAN OLIVER</t>
  </si>
  <si>
    <t>IC-927</t>
  </si>
  <si>
    <t>Fact#: 308078-310840-313573 Rec#: 11316 CORNEJO FLORES JOEL BEN HUR</t>
  </si>
  <si>
    <t>IC-926</t>
  </si>
  <si>
    <t>Fact#: 309885-312649-315332 Rec#: 11315 PINCAY MALDONADO JUAN CARLOS</t>
  </si>
  <si>
    <t>IC-925</t>
  </si>
  <si>
    <t>Fact#: 316971-316998-316999-317000 Rec#: 29419 RUIZ ROMAN ROMMEL ELIAS</t>
  </si>
  <si>
    <t>IC-924</t>
  </si>
  <si>
    <t>Fact#: 316879 Rec#: 29418 SINERGIA MARIN SANCHEZ S.A. SINERMASA</t>
  </si>
  <si>
    <t>IC-923</t>
  </si>
  <si>
    <t>Fact#: 681 Rec#: 29417 F.V - AREA ANDINA S.A.</t>
  </si>
  <si>
    <t>IC-922</t>
  </si>
  <si>
    <t>Fact#: 299035-301681-304340 Rec#: 29416 VICTOR IGNACIO LAINEZ ECHEVERRIA</t>
  </si>
  <si>
    <t>IC-906</t>
  </si>
  <si>
    <t>Fact#: 315372 Rec#: 29415 MARTEN CABALLERO NILDA</t>
  </si>
  <si>
    <t>IC-905</t>
  </si>
  <si>
    <t>Fact#: 313494-316113 Rec#: 29414 ESPINOSA ORTEGA GERMAN EDUARDO</t>
  </si>
  <si>
    <t>IC-904</t>
  </si>
  <si>
    <t>Fact#: 315697 Rec#: 29413 NARANJO BENITES LUIS ALBERTO</t>
  </si>
  <si>
    <t>IC-903</t>
  </si>
  <si>
    <t>Fact#: 316761 Rec#: 29412 CAMPOS Y ASOCIADOS CIA LTDA</t>
  </si>
  <si>
    <t>IC-902</t>
  </si>
  <si>
    <t>Fact#: 315421 Rec#: 29411 BAUTISTA LITARDO NOEMI LOURDES</t>
  </si>
  <si>
    <t>IC-901</t>
  </si>
  <si>
    <t>Fact#: 314849 Rec#: 29410 MANUEL ISAIAS TAPIA LOPEZ</t>
  </si>
  <si>
    <t>IC-900</t>
  </si>
  <si>
    <t>Fact#: 316383 Rec#: 61574 PARRAGA JOSE JUAN</t>
  </si>
  <si>
    <t>IC-898</t>
  </si>
  <si>
    <t>Fact#: 309976-312736-315413 Rec#: 61573 QUIMIS QUIMIS JUAN STANISLAO</t>
  </si>
  <si>
    <t>IC-897</t>
  </si>
  <si>
    <t>Fact#: 316674 Rec#: 61572 TUTOBIENES S.A.  Cta# 000-518066 Ch# 3129</t>
  </si>
  <si>
    <t>IC-896</t>
  </si>
  <si>
    <t>Fact#: 316673 Rec#: 61571 PROMILCA S.A.  Cta# 00-0170033 Ch# 1450</t>
  </si>
  <si>
    <t>IC-895</t>
  </si>
  <si>
    <t>Fact#: 316672 Rec#: 61570 INTEQUIN S.A.  Cta# 000-007652 Ch# 18580</t>
  </si>
  <si>
    <t>IC-894</t>
  </si>
  <si>
    <t>Fact#: 316670 Rec#: 61569 GRANITECSA S.A  Cta# 000-526753 Ch# 6752</t>
  </si>
  <si>
    <t>IC-893</t>
  </si>
  <si>
    <t>Fact#: 316663 Rec#: 61568 LIFE FOOD PRODUCT ECUADOR LIFPRODEC S.A.  Cta# 000-526107 Ch# 11667</t>
  </si>
  <si>
    <t>IC-892</t>
  </si>
  <si>
    <t>Fact#: 316123 Rec#: 61567 QUINDE HOLGUIN YONNY ARCENIO</t>
  </si>
  <si>
    <t>IC-891</t>
  </si>
  <si>
    <t>Fact#: 312189-314886 Rec#: 61566 MARCOS VINICIO MURILLO RIVERA</t>
  </si>
  <si>
    <t>IC-890</t>
  </si>
  <si>
    <t>Fact#: 316825 Rec#: 61565 BONELLY S.A.  Cta# 01-0208162 Ch# 2516</t>
  </si>
  <si>
    <t>IC-889</t>
  </si>
  <si>
    <t>Fact#: 250297-251117-252180 Rec#: 61564 VIEJO LEON OSWALDO VICENTE</t>
  </si>
  <si>
    <t>IC-842</t>
  </si>
  <si>
    <t>SULLY GABRIELA GONZALEZ GUZMAN CANCELA TELEFONO 3907668 ABONA SGTE FACTURA</t>
  </si>
  <si>
    <t>AT-2964</t>
  </si>
  <si>
    <t>Fact#: 315417 Rec#: 29408 LOPEZ PALACIOS DANNY CHRISTIAN</t>
  </si>
  <si>
    <t>IC-888</t>
  </si>
  <si>
    <t>Fact#: 314429-317082 Rec#: 29407 SILVA CHIQUITO JOSE LUIS</t>
  </si>
  <si>
    <t>IC-887</t>
  </si>
  <si>
    <t>Fact#: 314229-316894 Rec#: 29406 YIDEASA S.A</t>
  </si>
  <si>
    <t>IC-886</t>
  </si>
  <si>
    <t>Fact#: 315221 Rec#: 29405 XAVIER ALFREDO ZANABRIA VILLAMAR</t>
  </si>
  <si>
    <t>IC-885</t>
  </si>
  <si>
    <t>Fact#: 316812 Rec#: 29404 JORGE ARTURO ZANABRIA VILLAMAR</t>
  </si>
  <si>
    <t>IC-884</t>
  </si>
  <si>
    <t>Fact#: 316962 Rec#: 29403 SERVICIO &amp; MANTENIMIENTO INDUSTRIAL MANSEINSAJAB S.A</t>
  </si>
  <si>
    <t>IC-883</t>
  </si>
  <si>
    <t>Fact#: 310816-313544-316157 Rec#: 29409 ROCAFUERTE ESTRELLA JUAN CARLOS</t>
  </si>
  <si>
    <t>IC-882</t>
  </si>
  <si>
    <t>Fact#: 316746 Rec#: 29402 AUTOMERCADO S.A.</t>
  </si>
  <si>
    <t>IC-881</t>
  </si>
  <si>
    <t>Fact#: 316979 Rec#: 29401 RAMIREZ TAMAYO ENMA MERCEDES</t>
  </si>
  <si>
    <t>IC-880</t>
  </si>
  <si>
    <t>Fact#: 316970 Rec#: 29400 RAMIREZ TAMAYO ENMA MERCEDES</t>
  </si>
  <si>
    <t>IC-879</t>
  </si>
  <si>
    <t>Fact#: 316964 Rec#: 29399 ASISTMED ASISTENCIA A MEDICOS S.A.</t>
  </si>
  <si>
    <t>IC-878</t>
  </si>
  <si>
    <t>Fact#: 312637-315319 Rec#: 29398 MARCELA CAROLINA BEDON BEDOYA</t>
  </si>
  <si>
    <t>IC-877</t>
  </si>
  <si>
    <t>Fact#: 314829 Rec#: 29397 CARLOS GUILLERMO MUÑOZ GUTIERREZ</t>
  </si>
  <si>
    <t>IC-876</t>
  </si>
  <si>
    <t>Fact#: 912 Rec#: 11314 SANGUNA RON TANIA GRICELDA</t>
  </si>
  <si>
    <t>IC-871</t>
  </si>
  <si>
    <t>Fact#: 314347-317004 Rec#: 11313 MORANTE VILLARREAL ROBERTO OMAR</t>
  </si>
  <si>
    <t>IC-870</t>
  </si>
  <si>
    <t>Fact#: 316850 Rec#: 11312 MORANTE VILLARREAL ROBERTO OMAR</t>
  </si>
  <si>
    <t>IC-869</t>
  </si>
  <si>
    <t>Fact#: 313784-316392 Rec#: 11311 PRIETO MOLINA ALLAN JOAO</t>
  </si>
  <si>
    <t>IC-868</t>
  </si>
  <si>
    <t>Fact#: 313305-315952 Rec#: 11310 DESINTONIO HUAYAMAVE ALBERTO LUIS</t>
  </si>
  <si>
    <t>IC-867</t>
  </si>
  <si>
    <t>Fact#: 305540-308293-311022 Rec#: 11309 MORENO GARCES LUZ DE LOURDES</t>
  </si>
  <si>
    <t>IC-866</t>
  </si>
  <si>
    <t>Fact#: 312904-315571 Rec#: 11308 MOLINA ALCIVAR CESAR RAUL</t>
  </si>
  <si>
    <t>IC-865</t>
  </si>
  <si>
    <t>Fact#: 315168 Rec#: 11307 RUTH ANGELICA VERDEZOTO GAIBOR</t>
  </si>
  <si>
    <t>IC-864</t>
  </si>
  <si>
    <t>Fact#: 289402-291717-294044 Rec#: 11306 FLORES GUZMAN CARLOS LUIS</t>
  </si>
  <si>
    <t>IC-863</t>
  </si>
  <si>
    <t>Fact#: 310603-313335-315981 Rec#: 11305 CAMPUZANO BRAVO KAROLY ANDREA</t>
  </si>
  <si>
    <t>IC-862</t>
  </si>
  <si>
    <t>Fact#: 316062 Rec#: 11304 DIAZ CHAVEZ WILLIAN ANTONIO</t>
  </si>
  <si>
    <t>IC-861</t>
  </si>
  <si>
    <t>Fact#: 314906 Rec#: 11303 GLORIA GABRIELA VARGAS ACUÑA</t>
  </si>
  <si>
    <t>IC-860</t>
  </si>
  <si>
    <t>Fact#: 311556-314288-316948 Rec#: 11302 MANRIQUE MOSQUERA SILVIA LORENA</t>
  </si>
  <si>
    <t>IC-859</t>
  </si>
  <si>
    <t>Fact#: 313316-315965 Rec#: 11301 ESTUPINAN PEREZ EDUARDO</t>
  </si>
  <si>
    <t>IC-858</t>
  </si>
  <si>
    <t>Fact#: 314402-317060 Rec#: 11300 DREW S.A.</t>
  </si>
  <si>
    <t>IC-857</t>
  </si>
  <si>
    <t>Fact#: 314042-316709 Rec#: 11299 ALEJANDRA ANDREA CALASANZ VALLE</t>
  </si>
  <si>
    <t>IC-856</t>
  </si>
  <si>
    <t>Fact#: 866 Rec#: 11298 CRUZ JOSE AMABLE</t>
  </si>
  <si>
    <t>IC-855</t>
  </si>
  <si>
    <t>Fact#: 313531-316146 Rec#: 11297 MENENDEZ GARCIA RODRIGO ANTONIO</t>
  </si>
  <si>
    <t>IC-854</t>
  </si>
  <si>
    <t>Fact#: 313119-315774 Rec#: 11296 TANA LOPEZ CRISTHIAN MANUEL</t>
  </si>
  <si>
    <t>IC-853</t>
  </si>
  <si>
    <t>Fact#: 313067-315728 Rec#: 11295 TANA LOPEZ CRISTHIAN MANUEL</t>
  </si>
  <si>
    <t>IC-852</t>
  </si>
  <si>
    <t>Fact#: 315580 Rec#: 11294 FLORES MARTINEZ RAQUEL VERONICA</t>
  </si>
  <si>
    <t>IC-851</t>
  </si>
  <si>
    <t>Fact#: 307577-310340-313088 Rec#: 11293 CARDENAS ORELLANA JONATHAN MAURICIO</t>
  </si>
  <si>
    <t>IC-850</t>
  </si>
  <si>
    <t>Fact#: 314332-316990 Rec#: 11292 JARRIN GONZAGA LUIS ALFONSO</t>
  </si>
  <si>
    <t>IC-849</t>
  </si>
  <si>
    <t>Fact#: 312059-314758 Rec#: 11291 NESTOR AGUSTIN SIMANCAS PINTA</t>
  </si>
  <si>
    <t>IC-848</t>
  </si>
  <si>
    <t>Fact#: 314963 Rec#: 11290 JERRY JEFFREY GARCIA HUAYAMAVE</t>
  </si>
  <si>
    <t>IC-844</t>
  </si>
  <si>
    <t>Fact#: 316242 Rec#: 11289 SALAZAR GUEVARA MARIELLA ISABEL</t>
  </si>
  <si>
    <t>IC-843</t>
  </si>
  <si>
    <t>Fact#: 316630 Rec#: 61562 TEDEX S.A  Cta# 000-514643 Ch# 19971</t>
  </si>
  <si>
    <t>IC-829</t>
  </si>
  <si>
    <t>Fact#: 309012-311801-314513 Rec#: 61560 FREDERIC HUMBERTO RIVERA ADUM</t>
  </si>
  <si>
    <t>IC-808</t>
  </si>
  <si>
    <t>Fact#: 317104 Rec#: 61559 SORNOZA ALCIVAR MARIA GABRIELA</t>
  </si>
  <si>
    <t>IC-804</t>
  </si>
  <si>
    <t>Fact#: 314340-316997 Rec#: 29396 ADUANOVACORP S.A.</t>
  </si>
  <si>
    <t>IC-803</t>
  </si>
  <si>
    <t>Fact#: 316212 Rec#: 61558 SORNOZA ALCIVAR MARIA GABRIELA</t>
  </si>
  <si>
    <t>IC-802</t>
  </si>
  <si>
    <t>Fact#: 315603 Rec#: 61557 CHICHANDE DIAZ LUIS ENRIQUE</t>
  </si>
  <si>
    <t>IC-787</t>
  </si>
  <si>
    <t>Fact#: 316932 Rec#: 29393 PAYLESS SHOESOURCE ECUADOR CIA. LTDA.</t>
  </si>
  <si>
    <t>IC-783</t>
  </si>
  <si>
    <t>Fact#: 312641-315323 Rec#: 11288 CARLOS FERNANDO BERMELLO MEZA</t>
  </si>
  <si>
    <t>IC-765</t>
  </si>
  <si>
    <t>Fact#: 313901-316495 Rec#: 11287 ALVARADO JALCA JAZMIN ESTHER</t>
  </si>
  <si>
    <t>IC-764</t>
  </si>
  <si>
    <t>Fact#: 313228-315880 Rec#: 11286 MERA BAUTISTA RONALD DARIO</t>
  </si>
  <si>
    <t>IC-763</t>
  </si>
  <si>
    <t>Fact#: 308340 Rec#: 29394 GARCIA CHARCOPA YANDRES JANNETH</t>
  </si>
  <si>
    <t>IC-784</t>
  </si>
  <si>
    <t>Fact#: 312381-315071 Rec#: 11285 ERIKA SUGEY ANCHUNDIA ALVARADO</t>
  </si>
  <si>
    <t>IC-762</t>
  </si>
  <si>
    <t>Fact#: 313260-315912 Rec#: 11284 BERMELLO PONCE SALBADOR ATILIO</t>
  </si>
  <si>
    <t>IC-761</t>
  </si>
  <si>
    <t>Fact#: 312405-315094 Rec#: 11283 JUAN CARLOS ARROYO FASSIO</t>
  </si>
  <si>
    <t>IC-760</t>
  </si>
  <si>
    <t>Fact#: 294789-297267-299838 Rec#: 11282 LUCAS LUCAS ZENEN  VIRGILIO</t>
  </si>
  <si>
    <t>IC-759</t>
  </si>
  <si>
    <t>Fact#: 296627-299207-301852 Rec#: 11281 GUERRERO CORTEZ  CELDRY CENER</t>
  </si>
  <si>
    <t>IC-758</t>
  </si>
  <si>
    <t>Fact#: 313560-316169 Rec#: 11280 ROMO VILLAFUERTE MARIA ISABEL</t>
  </si>
  <si>
    <t>IC-757</t>
  </si>
  <si>
    <t>N/D BANCO DEL PACIFICO CANCELACION FACT#62799419 OTECEL S.A. POOL CORP. PERIODO 08 DIC 2019 AL 07 ENE 2020</t>
  </si>
  <si>
    <t>NDL-1</t>
  </si>
  <si>
    <t>N/D POR COMISIONES DE WESTERN UNION POR RECAUDACION DEL 03/01/2020 AL 09/01/2020</t>
  </si>
  <si>
    <t>ND-1</t>
  </si>
  <si>
    <t>Fact#: 308879-311671 Rec#: 29392 PLASTICOS KOCH C LTDA</t>
  </si>
  <si>
    <t>IC-782</t>
  </si>
  <si>
    <t>Fact#: 306061-308878-311670 Rec#: 29391 PLASTICOS KOCH C LTDA</t>
  </si>
  <si>
    <t>IC-781</t>
  </si>
  <si>
    <t>Fact#: 303714-306477-309298 Rec#: 29390 ANDRES DAVID AGUIRRE PALACIOS</t>
  </si>
  <si>
    <t>IC-780</t>
  </si>
  <si>
    <t>Fact#: 314739 Rec#: 29389 VILLAO JURADO ANDREA BELEN</t>
  </si>
  <si>
    <t>IC-779</t>
  </si>
  <si>
    <t>Fact#: 314643 Rec#: 29388 CARMEN NARCISA  JURADO PAREDES</t>
  </si>
  <si>
    <t>IC-778</t>
  </si>
  <si>
    <t>Fact#: 314588 Rec#: 29387 LUIS ERNESTO TABARES CEDEÑO</t>
  </si>
  <si>
    <t>IC-777</t>
  </si>
  <si>
    <t>Fact#: 316613 Rec#: 29386 ASOC. DE PROPIETARIOS URB. VIA AL SOL</t>
  </si>
  <si>
    <t>IC-776</t>
  </si>
  <si>
    <t>Fact#: 314486 Rec#: 29385 RAFAEL VICENTE ERAZO FALQUEZ</t>
  </si>
  <si>
    <t>IC-775</t>
  </si>
  <si>
    <t>Fact#: 314511 Rec#: 29384 LUIS EDUARDO BAQUERIZO BRAND</t>
  </si>
  <si>
    <t>IC-774</t>
  </si>
  <si>
    <t>Fact#: 316223 Rec#: 29383 ROCA AGUILERA FRANCISCO</t>
  </si>
  <si>
    <t>IC-773</t>
  </si>
  <si>
    <t>Fact#: 316790 Rec#: 29382 CHRISTIAN JAVIER MIDEROS ROMERO</t>
  </si>
  <si>
    <t>IC-772</t>
  </si>
  <si>
    <t>Fact#: 316106 Rec#: 29381 JURADO VELEZ JONNY EUGENIO</t>
  </si>
  <si>
    <t>IC-771</t>
  </si>
  <si>
    <t>Fact#: 315761 Rec#: 29380 CAMPOS MANZABA ESTEFANIA XIOMARA</t>
  </si>
  <si>
    <t>IC-770</t>
  </si>
  <si>
    <t>Fact#: 316944 Rec#: 29379 SAAB ACHI MICHEL</t>
  </si>
  <si>
    <t>IC-769</t>
  </si>
  <si>
    <t>Fact#: 665-818 Rec#: 29378 GAVILANEZ MEDINA MIRIAM PATRICIA</t>
  </si>
  <si>
    <t>IC-768</t>
  </si>
  <si>
    <t>Fact#: 310180-312938-315602 Rec#: 11279 VERA POSLIGUA MARIA ALEXANDRA</t>
  </si>
  <si>
    <t>IC-756</t>
  </si>
  <si>
    <t>Fact#: 314171-316836 Rec#: 11278 CAPACITACIONES Y EVENTOS ARTE&amp;CAFE ZAMPRO S A</t>
  </si>
  <si>
    <t>IC-755</t>
  </si>
  <si>
    <t>Fact#: 314596 Rec#: 11277 VICENTE GABRIEL VINUEZA MERINO</t>
  </si>
  <si>
    <t>IC-754</t>
  </si>
  <si>
    <t>Fact#: 315144 Rec#: 11276 EDWIN ANDRES REYES TOALA</t>
  </si>
  <si>
    <t>IC-753</t>
  </si>
  <si>
    <t>Fact#: 312522-315208 Rec#: 11275 VILMA NINFA MORA MORA</t>
  </si>
  <si>
    <t>IC-752</t>
  </si>
  <si>
    <t>Fact#: 298919-301566-304226 Rec#: 11274 MARIA AUGUSTA IGLESIAS CRESPO</t>
  </si>
  <si>
    <t>IC-751</t>
  </si>
  <si>
    <t>Fact#: 312912-315578 Rec#: 11273 CAZAR ERAZO RODRIGO ARTURO</t>
  </si>
  <si>
    <t>IC-750</t>
  </si>
  <si>
    <t>Fact#: 313618-316231 Rec#: 11272 GOMEZ VERA NATALY ELIZABETH</t>
  </si>
  <si>
    <t>IC-749</t>
  </si>
  <si>
    <t>Fact#: 315401 Rec#: 11271 ARIAS FLORES ENRIQUE SEBASTIAN</t>
  </si>
  <si>
    <t>IC-748</t>
  </si>
  <si>
    <t>Fact#: 316976 Rec#: 11270 VIOSCULPT ECUADOR S.A.</t>
  </si>
  <si>
    <t>IC-746</t>
  </si>
  <si>
    <t>Fact#: 315863 Rec#: 11269 MOREIRA VELEZ MANUEL ISIDRO</t>
  </si>
  <si>
    <t>IC-741</t>
  </si>
  <si>
    <t>Fact#: 317066 Rec#: 11268 TRSC ENTERPRISES S.A</t>
  </si>
  <si>
    <t>IC-737</t>
  </si>
  <si>
    <t>Fact#: 312032-314733 Rec#: 11267 RODRIGUEZ Y DUQUE JORGE</t>
  </si>
  <si>
    <t>IC-736</t>
  </si>
  <si>
    <t>Fact#: 313907-316501 Rec#: 11266 RODRIGUEZ Y DUQUE JORGE</t>
  </si>
  <si>
    <t>IC-735</t>
  </si>
  <si>
    <t>Fact#: 315609 Rec#: 11265 YANEZ ARROYO LUIS ALBERTO</t>
  </si>
  <si>
    <t>IC-734</t>
  </si>
  <si>
    <t>Fact#: 312175-314871 Rec#: 11264 FLOR VIOLETA CALIZ MARCILLO</t>
  </si>
  <si>
    <t>IC-733</t>
  </si>
  <si>
    <t>Fact#: 312434-315123 Rec#: 11263 EDDY ALBERTO BUSTOS PEÑAHERRERA</t>
  </si>
  <si>
    <t>IC-732</t>
  </si>
  <si>
    <t>Fact#: 263302-266690-268577 Rec#: 29377 VACA RIVAS MARIA JOSE</t>
  </si>
  <si>
    <t>IC-715</t>
  </si>
  <si>
    <t>Fact#: 316750 Rec#: 29376 STEVEN MICHAEL RAMOS MEZA</t>
  </si>
  <si>
    <t>IC-714</t>
  </si>
  <si>
    <t>Fact#: 313899-316493 Rec#: 61556 TOMALA CUENCA DANIEL GERARDO</t>
  </si>
  <si>
    <t>IC-713</t>
  </si>
  <si>
    <t>Fact#: 314553 Rec#: 29374 MESIAS JOHN VALENCIA MONAR</t>
  </si>
  <si>
    <t>IC-708</t>
  </si>
  <si>
    <t>Fact#: 316826 Rec#: 61555 CALIZAS Y MINERALES CALMOSACORP CIA. LTDA.  Cta# 003201901- Ch# 6499</t>
  </si>
  <si>
    <t>IC-706</t>
  </si>
  <si>
    <t>Fact#: 313686-316302 Rec#: 61554 ARANA BARROS AMBAR GEOVANA</t>
  </si>
  <si>
    <t>IC-705</t>
  </si>
  <si>
    <t>Fact#: 314274-316934 Rec#: 61553 BEBEGRAFIA S.A.</t>
  </si>
  <si>
    <t>IC-704</t>
  </si>
  <si>
    <t>Fact#: 316753-316754 Rec#: 61552 FUDRIVER S.A.</t>
  </si>
  <si>
    <t>IC-703</t>
  </si>
  <si>
    <t>Fact#: 312069 Rec#: 61551 MARJORIE ANGELA NARANJO FERNANDEZ</t>
  </si>
  <si>
    <t>IC-702</t>
  </si>
  <si>
    <t>Fact#: 316816 Rec#: 61550 LOGISTICA ZEUS S.A. LOGZEUS</t>
  </si>
  <si>
    <t>IC-701</t>
  </si>
  <si>
    <t>Fact#: 316580 Rec#: 29373 STURLA GALLEGOS FELIPE NICOLAS</t>
  </si>
  <si>
    <t>IC-699</t>
  </si>
  <si>
    <t>Fact#: 316647 Rec#: 61549 ASOCIACION DE PROPIETARIOS DE LA URB. LA LAGUNA  Cta# 000-507253 Ch# 6761</t>
  </si>
  <si>
    <t>IC-692</t>
  </si>
  <si>
    <t>Fact#: 309753-312523-315209 Rec#: 29372 LOURDES DEL ROCIO JIMENEZ ACOSTA</t>
  </si>
  <si>
    <t>IC-696</t>
  </si>
  <si>
    <t>Fact#: 314504 Rec#: 29371 EDISON VIRGILIO ALVARIO MERA</t>
  </si>
  <si>
    <t>IC-695</t>
  </si>
  <si>
    <t>Fact#: 314430-317083 Rec#: 29370 COBREXLEG SA</t>
  </si>
  <si>
    <t>IC-694</t>
  </si>
  <si>
    <t>Fact#: 314296-316956 Rec#: 29369 CORPALVAH S A</t>
  </si>
  <si>
    <t>IC-693</t>
  </si>
  <si>
    <t>Fact#: 313093-315748 Rec#: 11262 VALENCIA TORRES IVIS MABEL</t>
  </si>
  <si>
    <t>IC-691</t>
  </si>
  <si>
    <t>Fact#: 934 Rec#: 11261 CABEZAS GUERRA MARIA DEL CARMEN</t>
  </si>
  <si>
    <t>IC-690</t>
  </si>
  <si>
    <t>Fact#: 313230-315882 Rec#: 11260 MORILLO GRIBORIO JUAN PABLO</t>
  </si>
  <si>
    <t>IC-689</t>
  </si>
  <si>
    <t>Fact#: 304932-307686-310438 Rec#: 11259 VENEGAS ARTEAGA CARLOS ALFREDO</t>
  </si>
  <si>
    <t>IC-688</t>
  </si>
  <si>
    <t>Fact#: 316165 Rec#: 11258 CABELLO CHIRIGUAYA DAVID ELIAS</t>
  </si>
  <si>
    <t>IC-687</t>
  </si>
  <si>
    <t>Fact#: 313759-316376 Rec#: 11257 ARBOLEDA CORTEZ CRUZ</t>
  </si>
  <si>
    <t>IC-686</t>
  </si>
  <si>
    <t>Fact#: 315056 Rec#: 11256 ERIKA ELBA MEDINA ORELLANA</t>
  </si>
  <si>
    <t>IC-685</t>
  </si>
  <si>
    <t>Fact#: 312119-314816 Rec#: 11255 JIMMY LEANDRO MERCHAN JALCA</t>
  </si>
  <si>
    <t>IC-684</t>
  </si>
  <si>
    <t>Fact#: 293376-295875-298468 Rec#: 11254 YOLANDA DE FATIMA SOTO CORTAZAR</t>
  </si>
  <si>
    <t>IC-683</t>
  </si>
  <si>
    <t>Fact#: 312988-315652 Rec#: 11253 PEREZ VELASQUEZ ROBERTO LUIS</t>
  </si>
  <si>
    <t>IC-682</t>
  </si>
  <si>
    <t>Fact#: 313014-315675 Rec#: 11252 RODRIGUEZ  SALAZAR DANIEL</t>
  </si>
  <si>
    <t>IC-681</t>
  </si>
  <si>
    <t>Fact#: 316839 Rec#: 11251 CENTRO CARDIOLOGICO PREVENCARDIO CIA. LTDA.</t>
  </si>
  <si>
    <t>IC-680</t>
  </si>
  <si>
    <t>Fact#: 312796-315466 Rec#: 11250 CARRILLO ANCHUNDIA FLOR MARIA</t>
  </si>
  <si>
    <t>IC-679</t>
  </si>
  <si>
    <t>Fact#: 311881-314589 Rec#: 11249 MARCOS ROBERTO CALDERON VELASQUEZ</t>
  </si>
  <si>
    <t>IC-678</t>
  </si>
  <si>
    <t>Fact#: 312961-315623 Rec#: 11248 DELGADO VINTIMILLA CARLOS FERNANDO</t>
  </si>
  <si>
    <t>IC-677</t>
  </si>
  <si>
    <t>Fact#: 311038-313750-316368 Rec#: 11247 PAREDES TORRES ANGELA DEL ROSARIO</t>
  </si>
  <si>
    <t>IC-676</t>
  </si>
  <si>
    <t>Fact#: 315299 Rec#: 11246 GABRIEL CLEMENTE MEJIA MATA</t>
  </si>
  <si>
    <t>IC-675</t>
  </si>
  <si>
    <t>Fact#: 307943-310680-313407 Rec#: 11245 FERNANDEZ ZAMBRANO ELSA VIOLETA</t>
  </si>
  <si>
    <t>IC-674</t>
  </si>
  <si>
    <t>Fact#: 315118 Rec#: 11244 LUIS ROJAS AMAYA</t>
  </si>
  <si>
    <t>IC-673</t>
  </si>
  <si>
    <t>Fact#: 315369 Rec#: 11243 TAMAYO CARABALLOSO LISANDRA MERCEDES</t>
  </si>
  <si>
    <t>IC-672</t>
  </si>
  <si>
    <t>Fact#: 311809-314521 Rec#: 11242 ALBA REBECA BOHORQUEZ JACOME</t>
  </si>
  <si>
    <t>IC-671</t>
  </si>
  <si>
    <t>Fact#: 312307-315002 Rec#: 11241 RICHARD VICENTE TORRES POVEDA</t>
  </si>
  <si>
    <t>IC-670</t>
  </si>
  <si>
    <t>Fact#: 313780-316390 Rec#: 11240 SALAZAR ZULEYMAN FELIX ANTONIO</t>
  </si>
  <si>
    <t>IC-669</t>
  </si>
  <si>
    <t>Fact#: 303789-306550-309366 Rec#: 11239 JULIO MIGUEL NARANJO FIALLOS</t>
  </si>
  <si>
    <t>IC-668</t>
  </si>
  <si>
    <t>Fact#: 315268 Rec#: 11238 CANDY PAOLA MORA BARAHONA</t>
  </si>
  <si>
    <t>IC-667</t>
  </si>
  <si>
    <t>Fact#: 314116-316783 Rec#: 11237 FOODSERVEC FOOD SERVICE ECUADOR S.A</t>
  </si>
  <si>
    <t>IC-666</t>
  </si>
  <si>
    <t>Fact#: 313586-316195 Rec#: 11236 AGILA MALDONADO MANUEL HORACIO</t>
  </si>
  <si>
    <t>IC-665</t>
  </si>
  <si>
    <t>Fact#: 311183-313884-316477 Rec#: 11235 TAPIA FAYTONG MARCOS JAVIER</t>
  </si>
  <si>
    <t>IC-664</t>
  </si>
  <si>
    <t>Fact#: 315791 Rec#: 11234 VILLEGAS BASTIDAS JOSE ALFREDO</t>
  </si>
  <si>
    <t>IC-663</t>
  </si>
  <si>
    <t>Fact#: 315357 Rec#: 11233 NIETO BARQUET OSCAR AHMED</t>
  </si>
  <si>
    <t>IC-662</t>
  </si>
  <si>
    <t>Fact#: 312722-315398 Rec#: 11232 ALBA VANESSA MANZO BARZOLA</t>
  </si>
  <si>
    <t>IC-661</t>
  </si>
  <si>
    <t>Fact#: 315013 Rec#: 11231 JAVIER ENRIQUE ARTEAGA MENENDEZ</t>
  </si>
  <si>
    <t>IC-660</t>
  </si>
  <si>
    <t>Fact#: 313179-315834 Rec#: 11230 GUERRERO CRESPIN JULIO ENRIQUE</t>
  </si>
  <si>
    <t>IC-659</t>
  </si>
  <si>
    <t>Fact#: 316817 Rec#: 29368 CONSTRU-YA S.A.</t>
  </si>
  <si>
    <t>IC-657</t>
  </si>
  <si>
    <t>Fact#: 317078-317079 Rec#: 29367 TOPFOOD CIA. LTDA.</t>
  </si>
  <si>
    <t>IC-656</t>
  </si>
  <si>
    <t>Fact#: 316882 Rec#: 29366 FERRUX S.A.</t>
  </si>
  <si>
    <t>IC-655</t>
  </si>
  <si>
    <t>Fact#: 314163-314164-316828-316829 Rec#: 61548 YAGLODVIAL S.A.</t>
  </si>
  <si>
    <t>IC-654</t>
  </si>
  <si>
    <t>Fact#: 316843-316844 Rec#: 61547 WINSTOCORP S.A.</t>
  </si>
  <si>
    <t>IC-652</t>
  </si>
  <si>
    <t>Fact#: 309156-311944-314651 Rec#: 61546 CRUZ MARIA  SORIANO GOMEZ</t>
  </si>
  <si>
    <t>IC-645</t>
  </si>
  <si>
    <t>Fact#: 314805 Rec#: 61545 CESAR AUGUSTO BAQUERIZO AROSEMENA</t>
  </si>
  <si>
    <t>IC-635</t>
  </si>
  <si>
    <t>Fact#: 311803-314515 Rec#: 61544 MARIA MELINA  MAYA NAVARRETE</t>
  </si>
  <si>
    <t>IC-613</t>
  </si>
  <si>
    <t>AMERICAN EXPRESS CANCELACION DEBITO TARJETAS GUAYAQUIL-PAGO DE FACT 314830 - 314924 - 315261- 316786- 315399- 316951 - 316953 - 315764- 316122- 316272- 889- 316823- 316456 - 316575- 316200- 316385- 314977</t>
  </si>
  <si>
    <t>NC-3</t>
  </si>
  <si>
    <t>VISA - MASTERCARD - PACIFICARD CANCELACION DEBITO TARJETAS GUAYAQUIL- PAGO DE FACT 314799 - 316678- 314806- 314843- 315128- 316787 - 316796- 316788- 315388- 315138- 316263- 316322- 316095</t>
  </si>
  <si>
    <t>NC-2</t>
  </si>
  <si>
    <t>Fact#: 313300-315948 Rec#: 29365 MERA ESPINOZA LEONEL ANTONIO</t>
  </si>
  <si>
    <t>IC-631</t>
  </si>
  <si>
    <t>Fact#: 313299-315947 Rec#: 29364 MERA ESPINOZA LEONEL ANTONIO</t>
  </si>
  <si>
    <t>IC-630</t>
  </si>
  <si>
    <t>Fact#: 316621 Rec#: 29363 ASOC. PRO. NEW YORK 12 DE SEPTIEMBRE</t>
  </si>
  <si>
    <t>IC-629</t>
  </si>
  <si>
    <t>Fact#: 316614 Rec#: 29362 ASOC. PRO. NEW YORK 12 DE SEPTIEMBRE</t>
  </si>
  <si>
    <t>IC-628</t>
  </si>
  <si>
    <t>Fact#: 314523 Rec#: 29361 SIXTER ABRAHAM ECHEVERRIA ORTIZ</t>
  </si>
  <si>
    <t>IC-627</t>
  </si>
  <si>
    <t>Fact#: 313175-315831 Rec#: 29360 SILVA ARMAS MARIA TERESA</t>
  </si>
  <si>
    <t>IC-626</t>
  </si>
  <si>
    <t>Fact#: 315390 Rec#: 29359 QUINTO BAZAN JOHNN HENRY</t>
  </si>
  <si>
    <t>IC-625</t>
  </si>
  <si>
    <t>Fact#: 316917 Rec#: 11229 SOLUCIONES GLOBALES S.A GLOBFAST</t>
  </si>
  <si>
    <t>IC-624</t>
  </si>
  <si>
    <t>Fact#: 316918 Rec#: 11228 SOLUCIONES GLOBALES S.A GLOBFAST</t>
  </si>
  <si>
    <t>IC-623</t>
  </si>
  <si>
    <t>Fact#: 311179-313880-316474 Rec#: 11227 ARREAGA MARTILLO JOSE BRAULIO</t>
  </si>
  <si>
    <t>IC-622</t>
  </si>
  <si>
    <t>Fact#: 312779-315450 Rec#: 11226 CABEZA BENITEZ MONSERRATE FATIMA</t>
  </si>
  <si>
    <t>IC-621</t>
  </si>
  <si>
    <t>Fact#: 316099 Rec#: 11225 FLORES GORDILLO LUIS EDUARDO</t>
  </si>
  <si>
    <t>IC-620</t>
  </si>
  <si>
    <t>Fact#: 314246-316908 Rec#: 11224 PACHECO CACERES DENISE ERIKA</t>
  </si>
  <si>
    <t>IC-619</t>
  </si>
  <si>
    <t>Fact#: 313569-316176 Rec#: 11223 SOLANO DE LA TORRE EFRAIN ALFREDO</t>
  </si>
  <si>
    <t>IC-618</t>
  </si>
  <si>
    <t>Fact#: 314735 Rec#: 11222 MUÑOZ ESPIN GINA ALICIA</t>
  </si>
  <si>
    <t>IC-617</t>
  </si>
  <si>
    <t>Fact#: 316332 Rec#: 11221 MEDINA MORA IVAN ALEXANDER</t>
  </si>
  <si>
    <t>IC-616</t>
  </si>
  <si>
    <t>Fact#: 315598 Rec#: 11220 VERA RODRIGUEZ CHRISTIAN ORLANDO</t>
  </si>
  <si>
    <t>IC-615</t>
  </si>
  <si>
    <t>Fact#: 312949-315611 Rec#: 11219 GOMEZ PENAFIEL BLANCA VICTORIA</t>
  </si>
  <si>
    <t>IC-614</t>
  </si>
  <si>
    <t>Fact#: 313323-315972 Rec#: 11218 BOLANO HURTADO SUGEY MERY</t>
  </si>
  <si>
    <t>IC-612</t>
  </si>
  <si>
    <t>Fact#: 315881 Rec#: 11217 VELASTEGUI COELLAR MICHAEL PATRICIO</t>
  </si>
  <si>
    <t>IC-611</t>
  </si>
  <si>
    <t>Fact#: 315301 Rec#: 11216 CARLOS GREGORIO HURTADO MOSQUERA</t>
  </si>
  <si>
    <t>IC-610</t>
  </si>
  <si>
    <t>Fact#: 310734-313457-316081 Rec#: 11215 RAMOS PACHAY JOSE MANUEL</t>
  </si>
  <si>
    <t>IC-609</t>
  </si>
  <si>
    <t>Fact#: 312089-314788 Rec#: 11214 HENRY ALEJANDRO SEVILLANO MORA</t>
  </si>
  <si>
    <t>IC-608</t>
  </si>
  <si>
    <t>Fact#: 313042-315702 Rec#: 11213 PAREDES CORNEJO BELLA ZOILA</t>
  </si>
  <si>
    <t>IC-607</t>
  </si>
  <si>
    <t>Fact#: 282956-285207-287467 Rec#: 11212 ARGUELLO ENCALADA ENRIQUETA MARIA</t>
  </si>
  <si>
    <t>IC-606</t>
  </si>
  <si>
    <t>Fact#: 315870 Rec#: 11211 RAMOS MARCILLO CATHERINE LISSETTE</t>
  </si>
  <si>
    <t>IC-605</t>
  </si>
  <si>
    <t>Fact#: 313710-316325 Rec#: 11210 SANCHEZ CASTELLANO GLADYS MARICELA</t>
  </si>
  <si>
    <t>IC-604</t>
  </si>
  <si>
    <t>Fact#: 313245-315897 Rec#: 11209 MUNOZ CASTRO JULEXI ALEXANDRA</t>
  </si>
  <si>
    <t>IC-603</t>
  </si>
  <si>
    <t>Fact#: 311749-314462 Rec#: 11208 JANNETH DEL ROCIO ALCIVAR MOLINA</t>
  </si>
  <si>
    <t>IC-602</t>
  </si>
  <si>
    <t>Fact#: 316596 Rec#: 11207 JIMENEZ OCHOA LUIS ENRIQUE</t>
  </si>
  <si>
    <t>IC-601</t>
  </si>
  <si>
    <t>Fact#: 313132-315787 Rec#: 11206 ESCOBAR HERRERA EDISON EDUARDO</t>
  </si>
  <si>
    <t>IC-600</t>
  </si>
  <si>
    <t>Fact#: 313647-316265 Rec#: 11205 CASTRO OLAYA PATRICIA ANNABEL DEL ROSARIO</t>
  </si>
  <si>
    <t>IC-599</t>
  </si>
  <si>
    <t>Fact#: 313676-316293 Rec#: 11204 ALVARADO BAJANA MARIELA MARISOL</t>
  </si>
  <si>
    <t>IC-598</t>
  </si>
  <si>
    <t>Fact#: 315152 Rec#: 11203 JOSELYNE VIVIANA MORA ARRIAGA</t>
  </si>
  <si>
    <t>IC-597</t>
  </si>
  <si>
    <t>Fact#: 316019 Rec#: 11202 TENORIO PRECIADO SUSANA MIRELLA</t>
  </si>
  <si>
    <t>IC-596</t>
  </si>
  <si>
    <t>Fact#: 311047-313760-316377 Rec#: 11201 BERMEO ROMERO  MERCY LORENA</t>
  </si>
  <si>
    <t>IC-595</t>
  </si>
  <si>
    <t>Fact#: 308164-310912-313652 Rec#: 11200 MERINO GONZALEZ KELLY JESSENIA</t>
  </si>
  <si>
    <t>IC-594</t>
  </si>
  <si>
    <t>Fact#: 313910-316504 Rec#: 11199 ESPINEL MOLINA CARLINA TATIANA</t>
  </si>
  <si>
    <t>IC-593</t>
  </si>
  <si>
    <t>Fact#: 313396-316033 Rec#: 11198 TOBAR MOROCHO JOSE AUGUSTO</t>
  </si>
  <si>
    <t>IC-592</t>
  </si>
  <si>
    <t>Fact#: 800-953 Rec#: 11197 ROSO SANCHEZ JHONATAN ALFONSO</t>
  </si>
  <si>
    <t>IC-591</t>
  </si>
  <si>
    <t>Fact#: 313800-316409 Rec#: 11196 BAQUE MAGALLANES ENMA VERONICA</t>
  </si>
  <si>
    <t>IC-590</t>
  </si>
  <si>
    <t>Fact#: 313938-316535 Rec#: 11195 ARAUJO AGUIRRE JUAN JOSE</t>
  </si>
  <si>
    <t>IC-589</t>
  </si>
  <si>
    <t>Fact#: 316952 Rec#: 11194 CORPORACION DE TRANSPORTISTAS DEL ECUADOR S.A.</t>
  </si>
  <si>
    <t>IC-588</t>
  </si>
  <si>
    <t>Fact#: 312836-315504 Rec#: 11193 SANCHEZ ALMEIDA LOURDES VERONICA</t>
  </si>
  <si>
    <t>IC-587</t>
  </si>
  <si>
    <t>Fact#: 311797-314509 Rec#: 61543 NELLY MARIA  DIAZ FAGGIONI</t>
  </si>
  <si>
    <t>IC-576</t>
  </si>
  <si>
    <t>Fact#: 310678-313405-316042 Rec#: 29358 JURADO LARREA FABRICIO GUSTAVO</t>
  </si>
  <si>
    <t>IC-551</t>
  </si>
  <si>
    <t>Fact#: 313688-316304 Rec#: 61542 SOLEDISPA ACEBO MILTON ANTONIO</t>
  </si>
  <si>
    <t>IC-549</t>
  </si>
  <si>
    <t>Fact#: 311982-314687 Rec#: 61541 RODRIGUEZ PUGA JAIME ALFREDO</t>
  </si>
  <si>
    <t>IC-548</t>
  </si>
  <si>
    <t>Fact#: 305337-308105-310865 Rec#: 61540 FERNANDEZ ASSAN CESAR ENRIQUE</t>
  </si>
  <si>
    <t>IC-541</t>
  </si>
  <si>
    <t>Fact#: 315645 Rec#: 61539 LOGROÑO REYES VICENTE JAVIER</t>
  </si>
  <si>
    <t>IC-540</t>
  </si>
  <si>
    <t>Fact#: 302263-304902-307657 Rec#: 61538 ESPINOZA YANQUI FRANCISCO JOSE</t>
  </si>
  <si>
    <t>IC-539</t>
  </si>
  <si>
    <t>Fact#: 314728-317099 Rec#: 61537 LUIS FELIPE SANTOS BOLOÑA</t>
  </si>
  <si>
    <t>IC-538</t>
  </si>
  <si>
    <t>Fact#: 316815 Rec#: 61536 ECUADORIANSHIMP S.A.</t>
  </si>
  <si>
    <t>IC-537</t>
  </si>
  <si>
    <t>Fact#: 316682 Rec#: 61535 COMPAÑIA VERDU S.A.  Cta# 31382994-0 Ch# 47690</t>
  </si>
  <si>
    <t>IC-536</t>
  </si>
  <si>
    <t>Fact#: 311230-313973 Rec#: 61534 VALAREZO &amp; ASOCIADOS VALASOC CIA.LTDA.</t>
  </si>
  <si>
    <t>IC-535</t>
  </si>
  <si>
    <t>Fact#: 313973 Rec#: 61533 VALAREZO &amp; ASOCIADOS VALASOC CIA.LTDA.  Cta# 21000768-2 Ch# 1208</t>
  </si>
  <si>
    <t>IC-525</t>
  </si>
  <si>
    <t>Fact#: 317098 Rec#: 61532 HENRY XAVIER CHAVEZ YEPEZ</t>
  </si>
  <si>
    <t>IC-524</t>
  </si>
  <si>
    <t>Fact#: 314266 Rec#: 61531 CENTRO DE ECOGRAFIAS ECOBEBE S.A</t>
  </si>
  <si>
    <t>IC-518</t>
  </si>
  <si>
    <t>Fact#: 311584-314315-316973 Rec#: 61530 AGUIRRE PERALVO GELGI CECIBEL</t>
  </si>
  <si>
    <t>IC-517</t>
  </si>
  <si>
    <t>Fact#: 314840 Rec#: 61529 MARCOS ANTONIO MIRANDA MORAN</t>
  </si>
  <si>
    <t>IC-485</t>
  </si>
  <si>
    <t>Fact#: 316656 Rec#: 61528 COLEGIO INTERNACIONAL SEK ECUADOR S.A.  Cta# 100-060101 Ch# 23465</t>
  </si>
  <si>
    <t>IC-473</t>
  </si>
  <si>
    <t>Fact# 0028880 COPIADORA ECUATORIANA CIA LTDA ECUACOPIA Concepto:SERVICIO ARRIENDO DE IMPRESORA BASE Y COPIA COLOR B/N#33</t>
  </si>
  <si>
    <t>EG-12</t>
  </si>
  <si>
    <t>Fact# 0059865 AIG METROPOLITANA CIA DE SEGUROS                   Concepto:PAGO DE SEGURO POR ACCIDENTE MES DE ENE-2020-</t>
  </si>
  <si>
    <t>EG-11</t>
  </si>
  <si>
    <t>SEGUROS EQUINOCCIAL S.A., PAGO DE 4TA CUOTA POR POLIZA MES DE ENE-2020</t>
  </si>
  <si>
    <t>EG-10</t>
  </si>
  <si>
    <t>Fact# 0018126 COLEGIO DE CONTADORES DEL GUAYAS Concepto:RENOVACION CREDENCIAL CONTADOR 2020-</t>
  </si>
  <si>
    <t>EG-9</t>
  </si>
  <si>
    <t>Fact# 27082264 ETAPA EP Concepto:SERVICIO DE ENERGÍA Y COUBICACIÓN MES DE NOV-2019-</t>
  </si>
  <si>
    <t>EG-8</t>
  </si>
  <si>
    <t>Fact# 0003111 CONECEL S.A Concepto:INTERCONEXIÓN FIJA MES DE NOV-2019-</t>
  </si>
  <si>
    <t>EG-7</t>
  </si>
  <si>
    <t>Fact# 138978773 CORPORACION NACIONAL DE TELECOMUNICACIONES CNT EP Concepto:CONSUMO TELEFÓNICO#42682706 MES DE DIC-2019-</t>
  </si>
  <si>
    <t>EG-6</t>
  </si>
  <si>
    <t>Fact# 138978772 CORPORACION NACIONAL DE TELECOMUNICACIONES CNT EP Concepto:PENSIÓN BÁSICA MES DE OCT-19, PILOTO 891537,</t>
  </si>
  <si>
    <t>EG-5</t>
  </si>
  <si>
    <t>Fact# 138978771 CORPORACION NACIONAL DE TELECOMUNICACIONES CNT EP Concepto:PENSIÓN BÁSICA MES DE DIC-19 PILOTO#891422 EN</t>
  </si>
  <si>
    <t>EG-4</t>
  </si>
  <si>
    <t>Fact# 138978770 CORPORACION NACIONAL DE TELECOMUNICACIONES CNT EP Concepto:PENSION BASICA SERVICIO#43805540 MES DIC  201</t>
  </si>
  <si>
    <t>EG-3</t>
  </si>
  <si>
    <t>Fact# 138978769 CORPORACION NACIONAL DE TELECOMUNICACIONES CNT EP Concepto:PENSIÓN BÁSICA SERVICIO#23820600 MES DE DIC-1</t>
  </si>
  <si>
    <t>EG-2</t>
  </si>
  <si>
    <t>Fact# 0005113 CORPORACION NACIONAL DE TELECOMUNICACIONES CNT EP Concepto:INTERCONEXIÓN FIJA MES DE NOV-2019, MED:249,485</t>
  </si>
  <si>
    <t>EG-1</t>
  </si>
  <si>
    <t>Fact#: 310480-313220-315871 Rec#: 29355 MERA MACIAS LUIS EDUARDO</t>
  </si>
  <si>
    <t>IC-527</t>
  </si>
  <si>
    <t>Fact#: 309229-312020-314722 Rec#: 29354 AGUILERA PAZMIÑO FREDDY ERNESTO</t>
  </si>
  <si>
    <t>IC-526</t>
  </si>
  <si>
    <t>Fact#: 312610-315293 Rec#: 29353 RICHARD ORLANDO CHIQUITO MOLINA</t>
  </si>
  <si>
    <t>IC-523</t>
  </si>
  <si>
    <t>Fact#: 315362 Rec#: 29352 EDUARDO GERMAN CORDOVA ROMERO</t>
  </si>
  <si>
    <t>IC-522</t>
  </si>
  <si>
    <t>Fact#: 312193-314890 Rec#: 29351 RAUL ARTURO LEON ORTIZ</t>
  </si>
  <si>
    <t>IC-521</t>
  </si>
  <si>
    <t>Fact#: 311904-314611 Rec#: 29350 MARIA DOLORES COBOS MARMOLEJO</t>
  </si>
  <si>
    <t>IC-520</t>
  </si>
  <si>
    <t>Fact#: 314616 Rec#: 29349 BETTY EUVENIA ACOSTA CAJAPE</t>
  </si>
  <si>
    <t>IC-519</t>
  </si>
  <si>
    <t>Fact#: 314197 Rec#: 11192 DULCES, PASTELES Y TORTAS RADU S.A.</t>
  </si>
  <si>
    <t>IC-516</t>
  </si>
  <si>
    <t>Fact#: 314267 Rec#: 11191 DULCES, PASTELES Y TORTAS RADU S.A.</t>
  </si>
  <si>
    <t>IC-515</t>
  </si>
  <si>
    <t>Fact#: 314194 Rec#: 11190 DULCES, PASTELES Y TORTAS RADU S.A.</t>
  </si>
  <si>
    <t>IC-514</t>
  </si>
  <si>
    <t>Fact#: 315864 Rec#: 11189 BRITO ANDRADE MILTON KLEBER</t>
  </si>
  <si>
    <t>IC-512</t>
  </si>
  <si>
    <t>Fact#: 316435 Rec#: 11188 ARIAS RENDON LUIS ALBERTO</t>
  </si>
  <si>
    <t>IC-511</t>
  </si>
  <si>
    <t>Fact#: 867 Rec#: 11187 CEVALLOS SUAREZ MARIO RUBEN</t>
  </si>
  <si>
    <t>IC-507</t>
  </si>
  <si>
    <t>Fact#: 314780 Rec#: 11186 MARIA PIEDAD MONTALVAN CAMPOVERDE</t>
  </si>
  <si>
    <t>IC-504</t>
  </si>
  <si>
    <t>Fact#: 312118-314815 Rec#: 11185 LISETTE JOHANNA MEZA VEGA</t>
  </si>
  <si>
    <t>IC-503</t>
  </si>
  <si>
    <t>Fact#: 312780-315451 Rec#: 11184 MARQUEZ CABRERA EDINSON JAVIER</t>
  </si>
  <si>
    <t>IC-502</t>
  </si>
  <si>
    <t>Fact#: 302820-305468-308220 Rec#: 11183 VERDUGA CANARTE ANTONIO ZABULON</t>
  </si>
  <si>
    <t>IC-501</t>
  </si>
  <si>
    <t>Fact#: 314601 Rec#: 11182 SANDRA PATRICIA MOREJON LLANOS</t>
  </si>
  <si>
    <t>IC-500</t>
  </si>
  <si>
    <t>Fact#: 315821 Rec#: 11181 MATAMOROS MATOMOROS MAYRA ISABEL</t>
  </si>
  <si>
    <t>IC-499</t>
  </si>
  <si>
    <t>Fact#: 315084 Rec#: 11180 JAVIER FEDERICO VILLON ANASTACIO</t>
  </si>
  <si>
    <t>IC-498</t>
  </si>
  <si>
    <t>Fact#: 313437-316066 Rec#: 11179 ALVARADO EDGAR ANTONIO</t>
  </si>
  <si>
    <t>IC-497</t>
  </si>
  <si>
    <t>Fact#: 307111-309895-312657 Rec#: 11178 QUIROZ FLOREZ EDUARDO DE JESUS</t>
  </si>
  <si>
    <t>IC-496</t>
  </si>
  <si>
    <t>Fact#: 314416 Rec#: 11177 BRODERIN S.A</t>
  </si>
  <si>
    <t>IC-495</t>
  </si>
  <si>
    <t>Fact#: 312543-315229 Rec#: 11176 MARITZA MABEL USHIÑA GIRALDO</t>
  </si>
  <si>
    <t>IC-494</t>
  </si>
  <si>
    <t>Fact#: 315461 Rec#: 11175 SALTOS RODRIGUEZ ANDREA EDITH</t>
  </si>
  <si>
    <t>IC-493</t>
  </si>
  <si>
    <t>Fact#: 316468 Rec#: 11174 PONCE VICTORES MARICELA YOLANDA</t>
  </si>
  <si>
    <t>IC-492</t>
  </si>
  <si>
    <t>Fact#: 314207 Rec#: 11173 SALTOS RODRIGUEZ ANDREA EDITH</t>
  </si>
  <si>
    <t>IC-491</t>
  </si>
  <si>
    <t>Fact#: 316148 Rec#: 11172 MOELLER GOMEZ ROMMY LEE</t>
  </si>
  <si>
    <t>IC-490</t>
  </si>
  <si>
    <t>Fact#: 314104 Rec#: 11171 FILUS S.A</t>
  </si>
  <si>
    <t>IC-489</t>
  </si>
  <si>
    <t>Fact#: 314105 Rec#: 11170 FILUS S.A</t>
  </si>
  <si>
    <t>IC-488</t>
  </si>
  <si>
    <t>Fact#: 313727-316344 Rec#: 11169 CASAGRANDE GARBOA BYRON OTON</t>
  </si>
  <si>
    <t>IC-487</t>
  </si>
  <si>
    <t>Fact#: 312624-315307 Rec#: 11168 PAUL FERNANDO SEGURA MACIAS</t>
  </si>
  <si>
    <t>IC-486</t>
  </si>
  <si>
    <t>Fact#: 314033 Rec#: 11167 LABORATORIO BIOTANICALS DEL ECUADOR S.A.</t>
  </si>
  <si>
    <t>IC-484</t>
  </si>
  <si>
    <t>Fact#: 314032 Rec#: 11166 LABORATORIO BIOTANICALS DEL ECUADOR S.A.</t>
  </si>
  <si>
    <t>IC-483</t>
  </si>
  <si>
    <t>Fact#: 317059 Rec#: 11165 W E C A R E   S.A</t>
  </si>
  <si>
    <t>IC-482</t>
  </si>
  <si>
    <t>Fact#: 315547 Rec#: 11164 BAÑOS BARRAGAN FLOR AMERICA</t>
  </si>
  <si>
    <t>IC-481</t>
  </si>
  <si>
    <t>Fact#: 816 Rec#: 11163 PEREZ SERRANO  ALFONSO RAFAEL</t>
  </si>
  <si>
    <t>IC-480</t>
  </si>
  <si>
    <t>Fact#: 815 Rec#: 11162 PEREZ SERRANO  ALFONSO RAFAEL</t>
  </si>
  <si>
    <t>IC-479</t>
  </si>
  <si>
    <t>Fact#: 792 Rec#: 11161 AGUILAR ECHEVERRIA LUIS FERNANDO</t>
  </si>
  <si>
    <t>IC-478</t>
  </si>
  <si>
    <t>Fact#: 315459 Rec#: 11160 MERCHAN  PEREZ FABIAN BERNARDINO</t>
  </si>
  <si>
    <t>IC-477</t>
  </si>
  <si>
    <t>Fact#: 314908 Rec#: 11159 BIRON ANDERSON MINA LASTRA</t>
  </si>
  <si>
    <t>IC-476</t>
  </si>
  <si>
    <t>Fact#: 313646-316264 Rec#: 11158 RONALD DAVID CONTRERAS POTES</t>
  </si>
  <si>
    <t>IC-475</t>
  </si>
  <si>
    <t>Fact#: 307052-309840-312601 Rec#: 11157 MARIA PIEDAD VIVAR MARCILLO</t>
  </si>
  <si>
    <t>IC-474</t>
  </si>
  <si>
    <t>Fact#: 314265 Rec#: 11156 CENTRO DE ECOGRAFIAS ECOBEBE S.A</t>
  </si>
  <si>
    <t>IC-472</t>
  </si>
  <si>
    <t>Fact#: 314980 Rec#: 11155 LUIS GALO IDROBO ACEBO</t>
  </si>
  <si>
    <t>IC-471</t>
  </si>
  <si>
    <t>Fact#: 312925-315590 Rec#: 11154 MENDEZ ROSALES GIOCONDA EREUTEIDA</t>
  </si>
  <si>
    <t>IC-470</t>
  </si>
  <si>
    <t>Fact#: 315373 Rec#: 11153 ESTUPIÑAN BAJAÑA JORDAN EDWARD</t>
  </si>
  <si>
    <t>IC-469</t>
  </si>
  <si>
    <t>Fact#: 310901-313639-316255 Rec#: 11152 MORAN POZO CRUZ HYDEE</t>
  </si>
  <si>
    <t>IC-468</t>
  </si>
  <si>
    <t>Fact#: 313125-315780 Rec#: 11151 SANTOS CHANCAY BOLIVAR JONATHAN</t>
  </si>
  <si>
    <t>IC-467</t>
  </si>
  <si>
    <t>Fact#: 313516-316133 Rec#: 11150 SANTOS CHANCAY BOLIVAR JONATHAN</t>
  </si>
  <si>
    <t>IC-466</t>
  </si>
  <si>
    <t>Fact#: 312337-315031 Rec#: 11149 NILO JUSTINO GUERRERO INDIO</t>
  </si>
  <si>
    <t>IC-465</t>
  </si>
  <si>
    <t>Fact#: 316029 Rec#: 11148 DIAZ PINARGOTE ISIDORA BEATRIZ</t>
  </si>
  <si>
    <t>IC-464</t>
  </si>
  <si>
    <t>Fact#: 316913 Rec#: 29348 INDUSKAR S.A.</t>
  </si>
  <si>
    <t>IC-463</t>
  </si>
  <si>
    <t>Fact#: 316469 Rec#: 61527 ESPINOSA ESPINOZA HUGO STANLEY</t>
  </si>
  <si>
    <t>IC-460</t>
  </si>
  <si>
    <t>Fact#: 317069 Rec#: 29347 METAL MAN</t>
  </si>
  <si>
    <t>IC-459</t>
  </si>
  <si>
    <t>Fact#: 312088 Rec#: 29346 INES ISABEL MONTALVO GARCIA</t>
  </si>
  <si>
    <t>IC-457</t>
  </si>
  <si>
    <t>Fact#: 312972-315635 Rec#: 61526 ESPINOZA ZUNIGA ISABEL MARIA</t>
  </si>
  <si>
    <t>IC-455</t>
  </si>
  <si>
    <t>Fact#: 312828-315497 Rec#: 61525 MIGUEZ ACOSTA WILLIAM GERMAN</t>
  </si>
  <si>
    <t>IC-454</t>
  </si>
  <si>
    <t>Fact#: 314389-317044 Rec#: 61524 AGROAVILAB S.A.</t>
  </si>
  <si>
    <t>IC-400</t>
  </si>
  <si>
    <t>Fact#: 316734 Rec#: 61523 ADITIVOS Y ALIMENTOS S.A. ADILISA  Cta# 80283672-0 Ch# 348</t>
  </si>
  <si>
    <t>IC-399</t>
  </si>
  <si>
    <t>Fact#: 316599 Rec#: 61522 BROCEL LOZANO DIEGO EFRAIN</t>
  </si>
  <si>
    <t>IC-376</t>
  </si>
  <si>
    <t>Fact#: 314141-314142-314155-314156 Rec#: 61521 JOMALUNKA S.A  Cta# 003202220- Ch# 1071</t>
  </si>
  <si>
    <t>IC-375</t>
  </si>
  <si>
    <t>Fact#: 314107-316775 Rec#: 61519 SERVICIOS MEDICOS SUMEDCA S.A.</t>
  </si>
  <si>
    <t>IC-283</t>
  </si>
  <si>
    <t>Fact#: 313649-316269 Rec#: 61518 MURGA JARAMILLO VERONICA DEL CARMEN</t>
  </si>
  <si>
    <t>IC-260</t>
  </si>
  <si>
    <t>Fact#: 314490 Rec#: 61517 HELENA ESTHER TAMAYO RIGAIL</t>
  </si>
  <si>
    <t>IC-259</t>
  </si>
  <si>
    <t>Fact#: 317014 Rec#: 29344 MARRIOTT S.A</t>
  </si>
  <si>
    <t>IC-456</t>
  </si>
  <si>
    <t>Fact#: 312366-315058 Rec#: 29341 CECILIA VIVIANA RUIZ MENDOZA</t>
  </si>
  <si>
    <t>IC-453</t>
  </si>
  <si>
    <t>Fact#: 316627 Rec#: 29340 AUTOMEKANO CIA. LTDA</t>
  </si>
  <si>
    <t>IC-452</t>
  </si>
  <si>
    <t>Fact#: 316622 Rec#: 29339 ASOC. DE PROPIETARIOS URB. TERRASOL</t>
  </si>
  <si>
    <t>IC-451</t>
  </si>
  <si>
    <t>Fact#: 316831 Rec#: 29338 RITOMI S.A.</t>
  </si>
  <si>
    <t>IC-450</t>
  </si>
  <si>
    <t>Fact#: 316617 Rec#: 29337 EFFICACITAS CONSULTORA CIA.LTDA.</t>
  </si>
  <si>
    <t>IC-449</t>
  </si>
  <si>
    <t>Fact#: 316619 Rec#: 29336 EFFICACITAS CONSULTORA CIA.LTDA.</t>
  </si>
  <si>
    <t>IC-448</t>
  </si>
  <si>
    <t>Fact#: 316618 Rec#: 29335 EFFICACITAS CONSULTORA CIA.LTDA.</t>
  </si>
  <si>
    <t>IC-447</t>
  </si>
  <si>
    <t>Fact#: 316873 Rec#: 29334 SORIANO LEON  GUSTAVO FERNANDO</t>
  </si>
  <si>
    <t>IC-446</t>
  </si>
  <si>
    <t>Fact#: 316743 Rec#: 29333 BELLUSCIO S.A.</t>
  </si>
  <si>
    <t>IC-445</t>
  </si>
  <si>
    <t>Fact#: 316752 Rec#: 29332 DUPROCSA S.A.</t>
  </si>
  <si>
    <t>IC-444</t>
  </si>
  <si>
    <t>Fact#: 316885 Rec#: 29331 INDUVERIKA S.A.</t>
  </si>
  <si>
    <t>IC-443</t>
  </si>
  <si>
    <t>Fact#: 316869 Rec#: 29330 AGUIRRE AGUIRRE BEXY DEL ROCIO</t>
  </si>
  <si>
    <t>IC-442</t>
  </si>
  <si>
    <t>Fact#: 311832-314543 Rec#: 29329 JENNY CEDEÑO CAAMAÑO</t>
  </si>
  <si>
    <t>IC-441</t>
  </si>
  <si>
    <t>Fact#: 314455 Rec#: 29328 ROBERTO MUZZIO NARANJO</t>
  </si>
  <si>
    <t>IC-440</t>
  </si>
  <si>
    <t>Fact#: 314698 Rec#: 29327 MANRIQUEZ SALAZAR MARIA PAZ</t>
  </si>
  <si>
    <t>IC-439</t>
  </si>
  <si>
    <t>Fact#: 315220 Rec#: 29326 RICARDO PABLO FALCONI DUEÑAS</t>
  </si>
  <si>
    <t>IC-438</t>
  </si>
  <si>
    <t>Fact#: 314718 Rec#: 29325 TERESA DE LA CRUZ TOSCANO BRITO</t>
  </si>
  <si>
    <t>IC-437</t>
  </si>
  <si>
    <t>Fact#: 314450 Rec#: 29324 MARIA ROSA DUNN YCAZA</t>
  </si>
  <si>
    <t>IC-436</t>
  </si>
  <si>
    <t>Fact#: 314695 Rec#: 29323 CARLOS ALBERTO RENDON PALMA</t>
  </si>
  <si>
    <t>IC-435</t>
  </si>
  <si>
    <t>Fact#: 315193 Rec#: 29322 HERNAN ANTONIO ALVEAR MERCHAN</t>
  </si>
  <si>
    <t>IC-434</t>
  </si>
  <si>
    <t>Fact#: 314447 Rec#: 29321 EVA MARIA VINUEZA OCAÑA</t>
  </si>
  <si>
    <t>IC-433</t>
  </si>
  <si>
    <t>Fact#: 314472 Rec#: 29320 JUAN JOSE CHACON PACHECO</t>
  </si>
  <si>
    <t>IC-432</t>
  </si>
  <si>
    <t>Fact#: 314812 Rec#: 29319 LUIS CARLOS ABAD YCAZA</t>
  </si>
  <si>
    <t>IC-431</t>
  </si>
  <si>
    <t>Fact#: 314625 Rec#: 29318 FRANKLIN JOAQUIN  DOMINGUEZ VARGAS</t>
  </si>
  <si>
    <t>IC-430</t>
  </si>
  <si>
    <t>Fact#: 316313 Rec#: 29317 ZULVY BEDON LAGOS</t>
  </si>
  <si>
    <t>IC-429</t>
  </si>
  <si>
    <t>Fact#: 315790 Rec#: 29316 CASTILLO PALMA DANIEL ALFREDO</t>
  </si>
  <si>
    <t>IC-428</t>
  </si>
  <si>
    <t>Fact#: 314961 Rec#: 29315 ANTONIO IGNACIO ARTEAGA FERAUD</t>
  </si>
  <si>
    <t>IC-427</t>
  </si>
  <si>
    <t>Fact#: 315976 Rec#: 29314 CANDO REYES JOSE MAURICIO</t>
  </si>
  <si>
    <t>IC-426</t>
  </si>
  <si>
    <t>Fact#: 314468 Rec#: 29313 GISELLE MARIELA CLEMENTE VERA</t>
  </si>
  <si>
    <t>IC-425</t>
  </si>
  <si>
    <t>Fact#: 314697 Rec#: 29312 UVIDIA SALTOS  CARLOS BOLIVAR</t>
  </si>
  <si>
    <t>IC-424</t>
  </si>
  <si>
    <t>Fact#: 314896 Rec#: 29311 GUILLERMO ELOY SERRANO GOMEZ</t>
  </si>
  <si>
    <t>IC-423</t>
  </si>
  <si>
    <t>Fact#: 314878 Rec#: 29310 JUAN XAVIER BENEDETI RIPALDA</t>
  </si>
  <si>
    <t>IC-422</t>
  </si>
  <si>
    <t>Fact#: 314557 Rec#: 29309 LUIS CESAR GAMARRA GONZALES</t>
  </si>
  <si>
    <t>IC-421</t>
  </si>
  <si>
    <t>Fact#: 314487 Rec#: 29308 ISABEL ROSARIO QUINDE SORIANO</t>
  </si>
  <si>
    <t>IC-420</t>
  </si>
  <si>
    <t>Fact#: 314501 Rec#: 29307 KETTY ARACELY GAROFALO LEON</t>
  </si>
  <si>
    <t>IC-419</t>
  </si>
  <si>
    <t>Fact#: 314789 Rec#: 29306 GISELLA MARIA YUNES ANDRADE</t>
  </si>
  <si>
    <t>IC-418</t>
  </si>
  <si>
    <t>Fact#: 314542 Rec#: 29305 MONICA CRIOLLO SALAZAR</t>
  </si>
  <si>
    <t>IC-417</t>
  </si>
  <si>
    <t>Fact#: 314590 Rec#: 29304 PAULA JESUS SALAZAR MACIAS</t>
  </si>
  <si>
    <t>IC-416</t>
  </si>
  <si>
    <t>Fact#: 315467 Rec#: 29303 GILBERT SILVA CECILIA MARIA</t>
  </si>
  <si>
    <t>IC-415</t>
  </si>
  <si>
    <t>Fact#: 314803 Rec#: 29302 LUIS EDUARDO SANCHEZ TIMM</t>
  </si>
  <si>
    <t>IC-414</t>
  </si>
  <si>
    <t>Fact#: 315034 Rec#: 29301 RICHARD FERNANDO BURGOS VERA</t>
  </si>
  <si>
    <t>IC-413</t>
  </si>
  <si>
    <t>Fact#: 314690 Rec#: 29300 BONILLA ALCIVAR MARIANA VERONICA</t>
  </si>
  <si>
    <t>IC-412</t>
  </si>
  <si>
    <t>Fact#: 316129 Rec#: 29299 SUSANA HERMELINDA ANALUISA HARO</t>
  </si>
  <si>
    <t>IC-411</t>
  </si>
  <si>
    <t>Fact#: 314473 Rec#: 29298 JAIRO ALBERTO GOMEZ COELLO</t>
  </si>
  <si>
    <t>IC-410</t>
  </si>
  <si>
    <t>Fact#: 315959 Rec#: 29297 PERALTA BENITEZ ROBERTO ELIAS</t>
  </si>
  <si>
    <t>IC-409</t>
  </si>
  <si>
    <t>Fact#: 314620 Rec#: 29296 FAUSTO EDUARDO  CARBO RIVERA</t>
  </si>
  <si>
    <t>IC-408</t>
  </si>
  <si>
    <t>Fact#: 315156 Rec#: 29295 CARLOS ADALBERTO SALAVARRIA PALMA</t>
  </si>
  <si>
    <t>IC-407</t>
  </si>
  <si>
    <t>Fact#: 314679 Rec#: 29294 ANA LUCRECIA  CABRERA GARCIA</t>
  </si>
  <si>
    <t>IC-406</t>
  </si>
  <si>
    <t>Fact#: 315107 Rec#: 29293 FERNANDO XAVIER DROUET CEDEÑO</t>
  </si>
  <si>
    <t>IC-405</t>
  </si>
  <si>
    <t>Fact#: 315584 Rec#: 29292 TRUJILLO LOPEZ DIANA CAROLINA</t>
  </si>
  <si>
    <t>IC-404</t>
  </si>
  <si>
    <t>Fact#: 315719 Rec#: 29291 ESPANA BAJANA STEFANIA ELIZABETH</t>
  </si>
  <si>
    <t>IC-403</t>
  </si>
  <si>
    <t>Fact#: 315026 Rec#: 29290 CARLOS BENJAMIN ROSALES PINO</t>
  </si>
  <si>
    <t>IC-402</t>
  </si>
  <si>
    <t>Fact#: 308356-311112-313825 Rec#: 29343 CARPIO ALVARADO CELIA MARYURI</t>
  </si>
  <si>
    <t>IC-401</t>
  </si>
  <si>
    <t>Fact#: 309957-312716-315392 Rec#: 29342 RUIZ VELEZ LIBIA KARINA</t>
  </si>
  <si>
    <t>IC-398</t>
  </si>
  <si>
    <t>Fact#: 313896-316490 Rec#: 29289 LARA CHERE FREDY GONZALO</t>
  </si>
  <si>
    <t>IC-397</t>
  </si>
  <si>
    <t>Fact#: 313383-316021 Rec#: 29288 ORTEGA CHAVEZ JUANA ALEJANDRINA</t>
  </si>
  <si>
    <t>IC-396</t>
  </si>
  <si>
    <t>Fact#: 314495 Rec#: 29287 MANUEL ALFREDO MENDOZA RODRIGUEZ</t>
  </si>
  <si>
    <t>IC-395</t>
  </si>
  <si>
    <t>Fact#: 314607 Rec#: 29286 WILSON EFREN  ROMERO NACIPUCHA</t>
  </si>
  <si>
    <t>IC-394</t>
  </si>
  <si>
    <t>Fact#: 313025-315686 Rec#: 29285 GONZALEZ SANCHEZ CESAR IVAN</t>
  </si>
  <si>
    <t>IC-393</t>
  </si>
  <si>
    <t>Fact#: 315637 Rec#: 29284 ARIAS SALAZAR KATHERINE JUSETH</t>
  </si>
  <si>
    <t>IC-392</t>
  </si>
  <si>
    <t>Fact#: 316848 Rec#: 29283 DERCONSULT CIA LTDA</t>
  </si>
  <si>
    <t>IC-388</t>
  </si>
  <si>
    <t>Fact#: 316774 Rec#: 29282 WILMER JONAS MEJIA LEON</t>
  </si>
  <si>
    <t>IC-387</t>
  </si>
  <si>
    <t>Fact#: 315836 Rec#: 29281 VALERO CEPEDA IVONNE MARIA</t>
  </si>
  <si>
    <t>IC-386</t>
  </si>
  <si>
    <t>Fact#: 317025 Rec#: 29280 WEISSON CEDENO GLADYS LORENA</t>
  </si>
  <si>
    <t>IC-385</t>
  </si>
  <si>
    <t>Fact#: 316115 Rec#: 29279 SALAS PLUAS PAULO ROBERTO</t>
  </si>
  <si>
    <t>IC-384</t>
  </si>
  <si>
    <t>Fact#: 316018 Rec#: 11147 PEREZ SEMINARIO HECTOR JUNIOR</t>
  </si>
  <si>
    <t>IC-290</t>
  </si>
  <si>
    <t>Fact#: 313050-315709 Rec#: 11146 ZHICAY CARRILLO FRANKLIN GEOVANNY</t>
  </si>
  <si>
    <t>IC-289</t>
  </si>
  <si>
    <t>Fact#: 312352-315045 Rec#: 11145 MICHAEL MAURICIO MORLA MERO</t>
  </si>
  <si>
    <t>IC-288</t>
  </si>
  <si>
    <t>Fact#: 313922-316519 Rec#: 11144 MOROCHO AGURTO VIVIANA MANUELA</t>
  </si>
  <si>
    <t>IC-287</t>
  </si>
  <si>
    <t>Fact#: 314887 Rec#: 11143 CINDY LORENA BAJAÑA BELTRAN</t>
  </si>
  <si>
    <t>IC-286</t>
  </si>
  <si>
    <t>Fact#: 304477-307232-310010 Rec#: 11142 FLORES MORALES  JORGE ALFREDO</t>
  </si>
  <si>
    <t>IC-285</t>
  </si>
  <si>
    <t>Fact#: 308988-311780-314493 Rec#: 11141 DELIA AMPARO SALMERON ACOSTA</t>
  </si>
  <si>
    <t>IC-284</t>
  </si>
  <si>
    <t>Fact#: 313538-316151 Rec#: 11140 ROSALES TRIVINO MARGARITA AURORA</t>
  </si>
  <si>
    <t>IC-282</t>
  </si>
  <si>
    <t>Fact#: 312494-315179 Rec#: 11139 LUIS ENRIQUE COLOMBO MALTA</t>
  </si>
  <si>
    <t>IC-281</t>
  </si>
  <si>
    <t>Fact#: 313252-315903 Rec#: 11138 FERNANDEZ PACHECO DIANA ISABEL</t>
  </si>
  <si>
    <t>IC-280</t>
  </si>
  <si>
    <t>Fact#: 314938 Rec#: 11137 RUFINA EPIFANIA ASPIAZU BONOSO</t>
  </si>
  <si>
    <t>IC-279</t>
  </si>
  <si>
    <t>Fact#: 311078-313791-316399 Rec#: 11136 RIVERA PINTO RAMONA ELIZABETH</t>
  </si>
  <si>
    <t>IC-278</t>
  </si>
  <si>
    <t>Fact#: 316578 Rec#: 11135 CARREÑO ACOSTA JESUS LAUREANO</t>
  </si>
  <si>
    <t>IC-277</t>
  </si>
  <si>
    <t>Fact#: 315441 Rec#: 11134 REINA SALAZAR JOSE DIEGO</t>
  </si>
  <si>
    <t>IC-276</t>
  </si>
  <si>
    <t>Fact#: 313741-316359 Rec#: 11133 SANDOVAL MORALES MARGARITA DE LAS MERCEDES</t>
  </si>
  <si>
    <t>IC-275</t>
  </si>
  <si>
    <t>Fact#: 313044-315704 Rec#: 11132 ROMAN ALVARADO LILIAN ISIDORA</t>
  </si>
  <si>
    <t>IC-274</t>
  </si>
  <si>
    <t>Fact#: 314765 Rec#: 11131 JULIO CESAR MONCAYO CRESPIN</t>
  </si>
  <si>
    <t>IC-272</t>
  </si>
  <si>
    <t>Fact#: 314633 Rec#: 11130 WALTER ENRIQUE  BAJAÑA MEDINA</t>
  </si>
  <si>
    <t>IC-271</t>
  </si>
  <si>
    <t>Fact#: 315785 Rec#: 11129 AGUIRRE HURTADO KATHERINE ELIZABETH</t>
  </si>
  <si>
    <t>IC-270</t>
  </si>
  <si>
    <t>Fact#: 312177-314873 Rec#: 11128 NUBIA CICELY LOPEZ CONTRERAS</t>
  </si>
  <si>
    <t>IC-269</t>
  </si>
  <si>
    <t>Fact#: 312403-315092 Rec#: 11127 JORJY JIMY RIVERA MONTIEL</t>
  </si>
  <si>
    <t>IC-268</t>
  </si>
  <si>
    <t>Fact#: 313297-315945 Rec#: 11126 RONQUILLO LOPEZ BIRMANIA NURY</t>
  </si>
  <si>
    <t>IC-267</t>
  </si>
  <si>
    <t>Fact#: 301682-304341-307094 Rec#: 11125 BILLY JOHN LARA FRANCO</t>
  </si>
  <si>
    <t>IC-266</t>
  </si>
  <si>
    <t>Fact#: 297369-299937 Rec#: 11124 CHEME AYALA MARTHA JANINA</t>
  </si>
  <si>
    <t>IC-265</t>
  </si>
  <si>
    <t>Fact#: 315713 Rec#: 11123 PARRALES GONZALEZ NIXA JASMIN</t>
  </si>
  <si>
    <t>IC-264</t>
  </si>
  <si>
    <t>Fact#: 316128 Rec#: 11122 MORALES FRANCO WILMAN</t>
  </si>
  <si>
    <t>IC-263</t>
  </si>
  <si>
    <t>Fact#: 799 Rec#: 11121 JIMENEZ BERNAL TANIA BEATRIZ</t>
  </si>
  <si>
    <t>IC-262</t>
  </si>
  <si>
    <t>Fact#: 315406 Rec#: 11120 MORALES CASTRO SAMUEL</t>
  </si>
  <si>
    <t>IC-261</t>
  </si>
  <si>
    <t>Fact#: 339-464-591 Rec#: 11119 ZABALA BARRIONUEVO RITA CECILIA</t>
  </si>
  <si>
    <t>IC-258</t>
  </si>
  <si>
    <t>Fact#: 312984-315647 Rec#: 11118 GONZALEZ MURO CARLOS LUIS</t>
  </si>
  <si>
    <t>IC-257</t>
  </si>
  <si>
    <t>Fact#: 894 Rec#: 11117 ESPIN BIFARINI LOURDES TAMARA</t>
  </si>
  <si>
    <t>IC-256</t>
  </si>
  <si>
    <t>Fact#: 701-857 Rec#: 11116 PACHECO ORBEA ALDRIN JEANET</t>
  </si>
  <si>
    <t>IC-255</t>
  </si>
  <si>
    <t>Fact#: 300104-302661-305307 Rec#: 11115 CHALEN LOOR JHONNY ALEXANDER</t>
  </si>
  <si>
    <t>IC-254</t>
  </si>
  <si>
    <t>Fact#: 311150-313860-316457 Rec#: 11114 AYLLON LOOR ANGGYE LORENA</t>
  </si>
  <si>
    <t>IC-253</t>
  </si>
  <si>
    <t>Fact#: 316577 Rec#: 11113 CABRERA SOLORZANO NELSON CATITO</t>
  </si>
  <si>
    <t>IC-252</t>
  </si>
  <si>
    <t>Fact#: 317041 Rec#: 61515 AFIN ASESORES FINANCIEROS S.A   Cta# 21001876-4 Ch# 122</t>
  </si>
  <si>
    <t>IC-251</t>
  </si>
  <si>
    <t>Fact#: 315147 Rec#: 29278 CARMEN ELIZABETH BELTRAN GARCES</t>
  </si>
  <si>
    <t>IC-249</t>
  </si>
  <si>
    <t>Fact#: 313049-315708 Rec#: 61514 GARCIA VALDIVIEZO CARLOS ANDRES</t>
  </si>
  <si>
    <t>IC-246</t>
  </si>
  <si>
    <t>Fact#: 313959 Rec#: 61513 REFRESCO SIN GAS S.A. RE.S.GA.SA.  Cta# 000-516305 Ch# 29136</t>
  </si>
  <si>
    <t>IC-244</t>
  </si>
  <si>
    <t>Fact#: 309704-312477-315163 Rec#: 61512 GUILLERMO DANNY TAMAYO SANTOS</t>
  </si>
  <si>
    <t>IC-242</t>
  </si>
  <si>
    <t>Fact#: 316972 Rec#: 61511 VELIZ RAMOS JOHN JIMMY</t>
  </si>
  <si>
    <t>IC-240</t>
  </si>
  <si>
    <t>Fact#: 316805 Rec#: 61510 INMOBILIARIA GALILEA-ECUADOR S.A</t>
  </si>
  <si>
    <t>IC-226</t>
  </si>
  <si>
    <t>Fact#: 313988 Rec#: 61509 DVT DEL ECUADOR S.A  Cta# 0769577-2 Ch# 1609</t>
  </si>
  <si>
    <t>IC-220</t>
  </si>
  <si>
    <t>Fact#: 311225-313968 Rec#: 61508 ESPOLTEL S.A</t>
  </si>
  <si>
    <t>IC-210</t>
  </si>
  <si>
    <t>Fact#: 316708 Rec#: 61507 DOCAL HOLDING S.A DOCAHOLDSA  Cta# 21001495-8 Ch# 895</t>
  </si>
  <si>
    <t>IC-202</t>
  </si>
  <si>
    <t>Fact#: 316143 Rec#: 61506 PARRALES CABRERA TEOFILO CELESTINO</t>
  </si>
  <si>
    <t>IC-172</t>
  </si>
  <si>
    <t>Fact#: 314707 Rec#: 11112 NELIS MARIA PINARGOTE YEPEZ</t>
  </si>
  <si>
    <t>IC-209</t>
  </si>
  <si>
    <t>Fact#: 315044 Rec#: 11111 EDGAR AUGUSTO CEVALLOS VACA</t>
  </si>
  <si>
    <t>IC-208</t>
  </si>
  <si>
    <t>Fact#: 313320-315969 Rec#: 11110 QUIMI LOPEZ FROILAN TITO</t>
  </si>
  <si>
    <t>IC-207</t>
  </si>
  <si>
    <t>Fact#: 315454 Rec#: 11109 GUADAMUD BURGOS JORGE ULPIANO</t>
  </si>
  <si>
    <t>IC-206</t>
  </si>
  <si>
    <t>Fact#: 312479-315165 Rec#: 11108 JAZMIN ESMERALDAS GONZALEZ RON</t>
  </si>
  <si>
    <t>IC-205</t>
  </si>
  <si>
    <t>Fact#: 301517-304177-306931 Rec#: 11107 RODNNY XAVIER GONZALEZ RUIZ</t>
  </si>
  <si>
    <t>IC-204</t>
  </si>
  <si>
    <t>Fact#: 299922-310686-313413 Rec#: 11106 CUEVA SAREZ JENNIFER STEFANIA</t>
  </si>
  <si>
    <t>IC-203</t>
  </si>
  <si>
    <t>Fact#: 313317-315966 Rec#: 11105 VALENCIA MEDINA JOSE RICARDO</t>
  </si>
  <si>
    <t>IC-201</t>
  </si>
  <si>
    <t>Fact#: 315494 Rec#: 11104 CHACHA MOREIRA SINTIA PAOLA</t>
  </si>
  <si>
    <t>IC-200</t>
  </si>
  <si>
    <t>Fact#: 315541 Rec#: 11103 SAMANIEGO LAVAYEN YESENIA ELIZABETH</t>
  </si>
  <si>
    <t>IC-199</t>
  </si>
  <si>
    <t>Fact#: 312161-314857 Rec#: 11102 EVELYN DAYANA LINO DELGADO</t>
  </si>
  <si>
    <t>IC-198</t>
  </si>
  <si>
    <t>Fact#: 315885 Rec#: 11101 SALCEDO ISBELL JENNIFFER MICHELLE</t>
  </si>
  <si>
    <t>IC-197</t>
  </si>
  <si>
    <t>Fact#: 314271 Rec#: 11100 CASTRO VILLEGAS ALBERTO ALEJANDRO</t>
  </si>
  <si>
    <t>IC-196</t>
  </si>
  <si>
    <t>Fact#: 315192 Rec#: 11099 LIGIA AZUCENA ARTEAGA VALENZUELA</t>
  </si>
  <si>
    <t>IC-195</t>
  </si>
  <si>
    <t>Fact#: 315566 Rec#: 11098 CASTRO DORADO MARJORIE LUCIA</t>
  </si>
  <si>
    <t>IC-194</t>
  </si>
  <si>
    <t>Fact#: 314891 Rec#: 11097 GISELA LEONOR GARCIA VARGAS</t>
  </si>
  <si>
    <t>IC-193</t>
  </si>
  <si>
    <t>Fact#: 312983-315646 Rec#: 11096 ALARCON MORALES JENNY ROCIO</t>
  </si>
  <si>
    <t>IC-192</t>
  </si>
  <si>
    <t>Fact#: 306738-309539-312315 Rec#: 11095 BERNABE LEONEL MARCILLO MARCILLO</t>
  </si>
  <si>
    <t>IC-191</t>
  </si>
  <si>
    <t>Fact#: 314942 Rec#: 11094 MOISES SIGIFREDO OBANDO MONTENEGRO</t>
  </si>
  <si>
    <t>IC-190</t>
  </si>
  <si>
    <t>Fact#: 313259-315911 Rec#: 11093 NEIRA PILLASAGUA ROSA DEL CARMEN</t>
  </si>
  <si>
    <t>IC-189</t>
  </si>
  <si>
    <t>Fact#: 315434 Rec#: 11092 NAREA BAJANA ANGELA DEL CARMEN</t>
  </si>
  <si>
    <t>IC-188</t>
  </si>
  <si>
    <t>Fact#: 314996 Rec#: 11091 PATRICIA IVETTE ANCHUNDIA MESTANZA</t>
  </si>
  <si>
    <t>IC-187</t>
  </si>
  <si>
    <t>Fact#: 290009-292251-294591 Rec#: 11090 ARROYO RUANO ENRRIQUE TOMAS</t>
  </si>
  <si>
    <t>IC-186</t>
  </si>
  <si>
    <t>Fact#: 316216 Rec#: 11089 BORBOR MORENO LUIS ANTONIO</t>
  </si>
  <si>
    <t>IC-185</t>
  </si>
  <si>
    <t>Fact#: 316434 Rec#: 11088 HERRERA CALVACHE JUAN CARLOS</t>
  </si>
  <si>
    <t>IC-184</t>
  </si>
  <si>
    <t>Fact#: 306073-308889-311681 Rec#: 11087 INSTALACIONES TECNOLOGICAS IT-21 HUACON &amp; MOLINA S A</t>
  </si>
  <si>
    <t>IC-183</t>
  </si>
  <si>
    <t>Fact#: 313066-315727 Rec#: 11086 SIMISTERRA MICOLTA RUBEN DARIO</t>
  </si>
  <si>
    <t>IC-182</t>
  </si>
  <si>
    <t>Fact#: 304736-307487-310254 Rec#: 11085 ALVEAR MUNOZ JUAN RAUL</t>
  </si>
  <si>
    <t>IC-181</t>
  </si>
  <si>
    <t>AT-2949</t>
  </si>
  <si>
    <t>Fact#: 310015-312776-315447 Rec#: 29276 BAQUERO PILOSO OTTO XAVIER</t>
  </si>
  <si>
    <t>IC-219</t>
  </si>
  <si>
    <t>Fact#: 312515-315201 Rec#: 29275 JOSE BENITO MUÑOZ ZAMBRANO</t>
  </si>
  <si>
    <t>IC-218</t>
  </si>
  <si>
    <t>Fact#: 315074 Rec#: 29274 ROSA DEL CARMEN SANCHEZ PORTILLA</t>
  </si>
  <si>
    <t>IC-217</t>
  </si>
  <si>
    <t>Fact#: 314659 Rec#: 29273 TANNIA ELIZABETH  CARRERA CALDERON</t>
  </si>
  <si>
    <t>IC-216</t>
  </si>
  <si>
    <t>Fact#: 293572-296073-298663 Rec#: 29277 JIMMY FRANCISCO ASCENCIO ESPINOZA</t>
  </si>
  <si>
    <t>IC-215</t>
  </si>
  <si>
    <t>Fact#: 315374 Rec#: 29272 TENENUELA CEPEDA MARIA MANUELA</t>
  </si>
  <si>
    <t>IC-214</t>
  </si>
  <si>
    <t>Fact#: 314258 Rec#: 29271 ALVARADO PIN EMILIO PABLO</t>
  </si>
  <si>
    <t>IC-213</t>
  </si>
  <si>
    <t>Fact#: 314499 Rec#: 29270 MARIA MONICA RONQUILLO RODRIGUEZ</t>
  </si>
  <si>
    <t>IC-212</t>
  </si>
  <si>
    <t>Fact#: 314464 Rec#: 29269 SIMON EMILIO BRIONES LOOR</t>
  </si>
  <si>
    <t>IC-211</t>
  </si>
  <si>
    <t>Fact#: 316250 Rec#: 11084 CHUCA CHANCAY ANDREA BETZABETH</t>
  </si>
  <si>
    <t>IC-180</t>
  </si>
  <si>
    <t>Fact#: 313086-315744 Rec#: 11083 HINOJOSA RABASCO OLGA MORAYMA</t>
  </si>
  <si>
    <t>IC-179</t>
  </si>
  <si>
    <t>Fact#: 316372 Rec#: 11082 BARZOLA ARREAGA IVAN ABEL</t>
  </si>
  <si>
    <t>IC-178</t>
  </si>
  <si>
    <t>Fact#: 308320-311050-313762 Rec#: 11081 SAGUBAY VALENCIA CRUZ MIRELLA</t>
  </si>
  <si>
    <t>IC-177</t>
  </si>
  <si>
    <t>Fact#: 316397 Rec#: 11080 PEREZ ASENCIO LUCIANO ALBERTO</t>
  </si>
  <si>
    <t>IC-176</t>
  </si>
  <si>
    <t>Fact#: 315081 Rec#: 11079 TEODOMIRO MAYO</t>
  </si>
  <si>
    <t>IC-175</t>
  </si>
  <si>
    <t>Fact#: 315465 Rec#: 11078 QUIÑONEZ VILLOTA KATTY ELIANA</t>
  </si>
  <si>
    <t>IC-174</t>
  </si>
  <si>
    <t>Fact#: 316039 Rec#: 11077 ROSERO MERCADO ELSA KARINA</t>
  </si>
  <si>
    <t>IC-173</t>
  </si>
  <si>
    <t>Fact#: 835 Rec#: 11076 CABEZAS FLORES MARIELA EVELIN</t>
  </si>
  <si>
    <t>IC-171</t>
  </si>
  <si>
    <t>Fact#: 312892-315559 Rec#: 11075 SALEM ONETO MARIA AUXILIADORA</t>
  </si>
  <si>
    <t>IC-170</t>
  </si>
  <si>
    <t>Fact#: 306799-309597-312368 Rec#: 11074 LUDGARDA CRISTINA SILVA JAUREGUI</t>
  </si>
  <si>
    <t>IC-169</t>
  </si>
  <si>
    <t>Fact#: 314055 Rec#: 11073 SERVICIOS MEDICOS SUMEDCA S.A.</t>
  </si>
  <si>
    <t>IC-168</t>
  </si>
  <si>
    <t>Fact#: 316190 Rec#: 11072 RUIZ RUIZ RAUL EDGARDO</t>
  </si>
  <si>
    <t>IC-167</t>
  </si>
  <si>
    <t>Fact#: 315349 Rec#: 11071 GONZALEZ MELLA CRISTIAN ALEJANDRO</t>
  </si>
  <si>
    <t>IC-166</t>
  </si>
  <si>
    <t>Fact#: 310033-312793-315463 Rec#: 11070 ARROYO AYOVI SANDRA YADIRA</t>
  </si>
  <si>
    <t>IC-165</t>
  </si>
  <si>
    <t>Fact#: 316117 Rec#: 11069 ROVELLO VALENCIA JOSE ROMAN</t>
  </si>
  <si>
    <t>IC-164</t>
  </si>
  <si>
    <t>Fact#: 307865-310596-313329 Rec#: 11068 HUALCA ALVARADO GERARDO VLADIMIR</t>
  </si>
  <si>
    <t>IC-163</t>
  </si>
  <si>
    <t>Fact#: 305220-310747-313471 Rec#: 11067 ANDRADE FORNELL JOSE LUIS</t>
  </si>
  <si>
    <t>IC-162</t>
  </si>
  <si>
    <t>Fact#: 310775-313499-316118 Rec#: 11066 VERA VELOZ LISSETTE IRENE</t>
  </si>
  <si>
    <t>IC-161</t>
  </si>
  <si>
    <t>Fact#: 312677-315356 Rec#: 11065 ROBAYO GONZALEZ ROBERTO JAVIER</t>
  </si>
  <si>
    <t>IC-160</t>
  </si>
  <si>
    <t>Fact#: 315404 Rec#: 11064 SUAREZ MAGALLANES JULIO ALFONSO</t>
  </si>
  <si>
    <t>IC-159</t>
  </si>
  <si>
    <t>Fact#: 310114-312872-315539 Rec#: 11063 VALENCIA VICTOR HUGO</t>
  </si>
  <si>
    <t>IC-158</t>
  </si>
  <si>
    <t>Fact#: 315927 Rec#: 11062 CEVALLOS ORVEN AMADITA</t>
  </si>
  <si>
    <t>IC-157</t>
  </si>
  <si>
    <t>Fact#: 310084-312844-315512 Rec#: 11061 SANCHEZ MERCHAN JAVIER FERNANDO</t>
  </si>
  <si>
    <t>IC-156</t>
  </si>
  <si>
    <t>Fact#: 316320 Rec#: 11060 VERA DOMINGUEZ JOSE MARCELO</t>
  </si>
  <si>
    <t>IC-155</t>
  </si>
  <si>
    <t>Fact#: 312468-315155 Rec#: 11059 MAYRA MARIELA MORAN MOREIRA</t>
  </si>
  <si>
    <t>IC-154</t>
  </si>
  <si>
    <t>Fact#: 316353 Rec#: 11058 PERALTA RODRIGUEZ MARLON SANTIAGO</t>
  </si>
  <si>
    <t>IC-153</t>
  </si>
  <si>
    <t>Fact#: 315891 Rec#: 11057 ROMMEL ANTONIO ZAMORA TRIGUERO</t>
  </si>
  <si>
    <t>IC-152</t>
  </si>
  <si>
    <t>Fact#: 316198 Rec#: 11056 SANCHEZ AGUILAR SORAYA PATRICIA</t>
  </si>
  <si>
    <t>IC-151</t>
  </si>
  <si>
    <t>Fact#: 314926 Rec#: 11055 UBALDO HELIODORO MOTOCHE MEDINA</t>
  </si>
  <si>
    <t>IC-150</t>
  </si>
  <si>
    <t>Fact#: 315476 Rec#: 11054 SANCHEZ CARRIEL NARCISA DE JESUS</t>
  </si>
  <si>
    <t>IC-149</t>
  </si>
  <si>
    <t>Fact#: 313273-315925 Rec#: 11053 ROMERO VERSOZA RICARDO GERONIMO</t>
  </si>
  <si>
    <t>IC-148</t>
  </si>
  <si>
    <t>Fact#: 315305 Rec#: 11052 JOSE ANTONIO CABEZAS BURGOS</t>
  </si>
  <si>
    <t>IC-147</t>
  </si>
  <si>
    <t>Fact#: 315974 Rec#: 11051 SAMPEDRO BASURTO MARIA JULIANA</t>
  </si>
  <si>
    <t>IC-146</t>
  </si>
  <si>
    <t>Fact#: 315654 Rec#: 11050 RUBEN DARIO HIDALGO MUÑOZ</t>
  </si>
  <si>
    <t>IC-145</t>
  </si>
  <si>
    <t>Fact#: 304121-306876-309670 Rec#: 11049 AMADA ORQUIDEA CAICEDO TREJO</t>
  </si>
  <si>
    <t>IC-144</t>
  </si>
  <si>
    <t>Fact#: 315893 Rec#: 11048 SANCHEZ MONCAYO LUIS FELIPE</t>
  </si>
  <si>
    <t>IC-143</t>
  </si>
  <si>
    <t>Fact#: 312761-315435 Rec#: 11047 MAYI CECIBEL VILLACRES GUZMAN</t>
  </si>
  <si>
    <t>IC-142</t>
  </si>
  <si>
    <t>Fact#: 312603-315286 Rec#: 11046 MAYI CECIBEL VILLACRES GUZMAN</t>
  </si>
  <si>
    <t>IC-140</t>
  </si>
  <si>
    <t>Fact#: 309901-312663-315345 Rec#: 11045 CARPIO MUÑOZ JOSE ANTONIO</t>
  </si>
  <si>
    <t>IC-133</t>
  </si>
  <si>
    <t>Fact#: 315377 Rec#: 11044 ORTIZ CARRILLO ROBERTO JAVIER</t>
  </si>
  <si>
    <t>IC-128</t>
  </si>
  <si>
    <t>Fact#: 314144-316810 Rec#: 29268 CAROLINA DEL ROCIO GRANDA BARZOLA</t>
  </si>
  <si>
    <t>IC-105</t>
  </si>
  <si>
    <t>Fact#: 723-879 Rec#: 29267 ZAPATA FLORES GILMAR FABRICIO</t>
  </si>
  <si>
    <t>IC-104</t>
  </si>
  <si>
    <t>Fact#: 313191-315846 Rec#: 61468 LAW LAI ALBERTO</t>
  </si>
  <si>
    <t>IC-101</t>
  </si>
  <si>
    <t>Fact#: 313079 Rec#: 61467 VELASQUEZ POLIT NINA NATASHA</t>
  </si>
  <si>
    <t>IC-100</t>
  </si>
  <si>
    <t>Fact#: 314825 Rec#: 61466 JAVIER SANTIAGO GUZHÑAY ANDRADE</t>
  </si>
  <si>
    <t>IC-99</t>
  </si>
  <si>
    <t>Fact#: 312688-315366 Rec#: 11043 FREDDY PABLO  ENDARA SAAVEDRA</t>
  </si>
  <si>
    <t>IC-94</t>
  </si>
  <si>
    <t>Fact#: 313992 Rec#: 61465 ASESORIA INTEGRAL EMASESOR S.A  Cta# 01-0576250 Ch# 1326</t>
  </si>
  <si>
    <t>IC-91</t>
  </si>
  <si>
    <t>Fact#: 307958-310701-313427 Rec#: 61464 GOMEZ CALERO LUIS GERVACIO</t>
  </si>
  <si>
    <t>IC-90</t>
  </si>
  <si>
    <t>Fact#: 315119-317095 Rec#: 61463 WASHINGTON WILFRIDO CAMPOVERDE PEREZ</t>
  </si>
  <si>
    <t>IC-80</t>
  </si>
  <si>
    <t>Fact#: 309120-311910-314617 Rec#: 61461 MAIRA ALEJANDRA GRANDA ZARI</t>
  </si>
  <si>
    <t>IC-24</t>
  </si>
  <si>
    <t>Fact#: 315537 Rec#: 29260 RODRIGUEZ BADILLO GLENDA MARITZA</t>
  </si>
  <si>
    <t>IC-98</t>
  </si>
  <si>
    <t>Fact#: 311978-314682 Rec#: 29259 SILVIA XIMENA CHAVEZ CABRERA</t>
  </si>
  <si>
    <t>IC-97</t>
  </si>
  <si>
    <t>Fact#: 316102 Rec#: 29258 ALMEIDA CAMPOVERDE ALEX ADRIAN</t>
  </si>
  <si>
    <t>IC-96</t>
  </si>
  <si>
    <t>Fact#: 303809-306570-309383 Rec#: 29256 MARCOS GABRIEL ECHEVERRIA GUTIERREZ</t>
  </si>
  <si>
    <t>IC-88</t>
  </si>
  <si>
    <t>Fact#: 316054 Rec#: 29253 TAFUR MOSQUERA AMPARO JACQUELINE</t>
  </si>
  <si>
    <t>IC-87</t>
  </si>
  <si>
    <t>Fact#: 315360 Rec#: 29252 MINO DOYLET YOLANDA ABIGAIL</t>
  </si>
  <si>
    <t>IC-86</t>
  </si>
  <si>
    <t>Fact#: 315365 Rec#: 29251 SUAREZ INTRIAGO JORGE ARTURO</t>
  </si>
  <si>
    <t>IC-85</t>
  </si>
  <si>
    <t>Fact#: 315642 Rec#: 29250 CARRION RODRIGUEZ RICHARD HAMILTON</t>
  </si>
  <si>
    <t>IC-84</t>
  </si>
  <si>
    <t>Fact#: 313420-316052 Rec#: 29249 INDIO MUNOZ SNAYDER VALENTIN</t>
  </si>
  <si>
    <t>IC-83</t>
  </si>
  <si>
    <t>Fact#: 315296 Rec#: 29248 TANIA PAOLA ILLESCAS PIBAQUE</t>
  </si>
  <si>
    <t>IC-82</t>
  </si>
  <si>
    <t>Fact#: 296395-298978-301622 Rec#: 29255 EFREN AUGUSTO FREIRE VALENCIA</t>
  </si>
  <si>
    <t>IC-81</t>
  </si>
  <si>
    <t>Fact#: 302601-305253-308026 Rec#: 29254 ALVARADO PEREZ OSCAR ANTONIO</t>
  </si>
  <si>
    <t>IC-79</t>
  </si>
  <si>
    <t>Fact#: 314559 Rec#: 29247 ALVARO CORNEJO RODRIGUEZ</t>
  </si>
  <si>
    <t>IC-78</t>
  </si>
  <si>
    <t>Fact#: 312941-315605 Rec#: 29246 GRANDA GALLARDO MARLON GERMAN</t>
  </si>
  <si>
    <t>IC-77</t>
  </si>
  <si>
    <t>Fact#: 314475 Rec#: 29245 LEONOR MARGARITA MONTOYA ALVARADO</t>
  </si>
  <si>
    <t>IC-76</t>
  </si>
  <si>
    <t>Fact#: 315632 Rec#: 29244 SOXO QUICHIMBO IVONNE ALEXANDRA</t>
  </si>
  <si>
    <t>IC-75</t>
  </si>
  <si>
    <t>Fact#: 314306 Rec#: 29243 MONCAYO ONATE NELSON GABRIEL</t>
  </si>
  <si>
    <t>IC-74</t>
  </si>
  <si>
    <t>Fact#: 313936-316533 Rec#: 29242 SANCHEZ MEDINA FELIX</t>
  </si>
  <si>
    <t>IC-73</t>
  </si>
  <si>
    <t>Fact#: 314734 Rec#: 29241 HUGO RENE LUNA</t>
  </si>
  <si>
    <t>IC-72</t>
  </si>
  <si>
    <t>Fact#: 312300-314995 Rec#: 29240 CAROLINA ALICIA EGAS NUÑEZ</t>
  </si>
  <si>
    <t>IC-71</t>
  </si>
  <si>
    <t>Fact#: 312964-315626 Rec#: 29239 DUENAS RUIZ TERESA EDITH</t>
  </si>
  <si>
    <t>IC-70</t>
  </si>
  <si>
    <t>Fact#: 314889 Rec#: 29238 MIRIAM ANTONIETA MARIDUEÑA VALENZUELA</t>
  </si>
  <si>
    <t>IC-69</t>
  </si>
  <si>
    <t>Fact#: 316103 Rec#: 29237 PESANTES GUAMAN DANIEL ARTURO</t>
  </si>
  <si>
    <t>IC-68</t>
  </si>
  <si>
    <t>Fact#: 313502-316121 Rec#: 29236 SANTANA GOMEZ CARLOS ALBERTO</t>
  </si>
  <si>
    <t>IC-67</t>
  </si>
  <si>
    <t>Fact#: 315378 Rec#: 29235 SALAZAR JAIME CECILIA NARCISA</t>
  </si>
  <si>
    <t>IC-66</t>
  </si>
  <si>
    <t>Fact#: 316014 Rec#: 11042 ORTEGA ARGUELLO GISELLA LORENA</t>
  </si>
  <si>
    <t>IC-55</t>
  </si>
  <si>
    <t>Fact#: 805 Rec#: 11041 SERVICIOS ESTRATEGICOS VEKTOR - SEVEKSA S.A.</t>
  </si>
  <si>
    <t>IC-54</t>
  </si>
  <si>
    <t>Fact#: 314401 Rec#: 11040 W E C A R E   S.A</t>
  </si>
  <si>
    <t>IC-53</t>
  </si>
  <si>
    <t>Fact#: 313674-316291 Rec#: 11039 LARA MARURI SANDRA ELIZABETH</t>
  </si>
  <si>
    <t>IC-52</t>
  </si>
  <si>
    <t>Fact#: 312451-315139 Rec#: 11038 MARGARITA MAGALI VILLAMAR AGUAYO</t>
  </si>
  <si>
    <t>IC-51</t>
  </si>
  <si>
    <t>Fact#: 312452-315140 Rec#: 11037 MARCO VINICIO GONZALEZ LEDESMA</t>
  </si>
  <si>
    <t>IC-50</t>
  </si>
  <si>
    <t>Fact#: 707-863 Rec#: 11036 SANGUCHO MONTENEGRO CARMEN ROCIO</t>
  </si>
  <si>
    <t>IC-49</t>
  </si>
  <si>
    <t>Fact#: 315289 Rec#: 11035 NEY AQUILES APOLINARIO RODRIGUEZ</t>
  </si>
  <si>
    <t>IC-48</t>
  </si>
  <si>
    <t>Fact#: 312350-315042 Rec#: 11034 EISTEHIN GILBERTO PLAZA VERA</t>
  </si>
  <si>
    <t>IC-47</t>
  </si>
  <si>
    <t>Fact#: 315695 Rec#: 11033 PINO MAULME ENRIQUE GABRIEL</t>
  </si>
  <si>
    <t>IC-46</t>
  </si>
  <si>
    <t>Fact#: 314282 Rec#: 11032 GREEN ROADS ORGANICS ORGANICGREEN S.A.</t>
  </si>
  <si>
    <t>IC-45</t>
  </si>
  <si>
    <t>Fact#: 316401 Rec#: 11031 BASANTES CHILUIZA RAUL</t>
  </si>
  <si>
    <t>IC-44</t>
  </si>
  <si>
    <t>Fact#: 316220 Rec#: 11030 CHANCAY SOLEDISPA VICTOR MANUEL</t>
  </si>
  <si>
    <t>IC-43</t>
  </si>
  <si>
    <t>Fact#: 314729 Rec#: 11029 ASTUDILLO AYORA CECILIA FILOMENA</t>
  </si>
  <si>
    <t>IC-42</t>
  </si>
  <si>
    <t>Fact#: 312475-315161 Rec#: 11028 CARLOS ENRIQUE PEREZ ALEAGA</t>
  </si>
  <si>
    <t>IC-41</t>
  </si>
  <si>
    <t>Fact#: 315628 Rec#: 11027 VASQUEZ DORA JUAN JOSE</t>
  </si>
  <si>
    <t>IC-40</t>
  </si>
  <si>
    <t>Fact#: 316245 Rec#: 11026 BARROS TERREROS JIMMY ALEJANDRO</t>
  </si>
  <si>
    <t>IC-39</t>
  </si>
  <si>
    <t>Fact#: 312739-315415 Rec#: 11025 CORTEZ ORDOÑEZ GABY GERALDINE</t>
  </si>
  <si>
    <t>IC-38</t>
  </si>
  <si>
    <t>Fact#: 299430-302067-304712 Rec#: 11024 VARGAS RONQUILLO KARINA DENISSE</t>
  </si>
  <si>
    <t>IC-37</t>
  </si>
  <si>
    <t>Fact#: 312223-314919 Rec#: 11023 FRANCISCO ALFONSO MEZA KUFFO</t>
  </si>
  <si>
    <t>IC-36</t>
  </si>
  <si>
    <t>Fact#: 315216 Rec#: 11022 ROBERTO GABRIEL QUINDE DIAZ</t>
  </si>
  <si>
    <t>IC-35</t>
  </si>
  <si>
    <t>Fact#: 312996-315658 Rec#: 11021 PILCO SALAZAR OTTO ALFONSO</t>
  </si>
  <si>
    <t>IC-34</t>
  </si>
  <si>
    <t>Fact#: 315679 Rec#: 11020 PILAY QUINDE ALEXI ANDRES</t>
  </si>
  <si>
    <t>IC-33</t>
  </si>
  <si>
    <t>Fact#: 315766 Rec#: 11019 ORTEGA CONFORME  JANET AURORA</t>
  </si>
  <si>
    <t>IC-32</t>
  </si>
  <si>
    <t>Fact#: 312807-315477 Rec#: 11018 GAVINO LARREATEGUI  JUAN ALFREDO</t>
  </si>
  <si>
    <t>IC-31</t>
  </si>
  <si>
    <t>Fact#: 293760-296268-298854 Rec#: 11017 MARIA ESTEFANIA VERA MENDOZA</t>
  </si>
  <si>
    <t>IC-30</t>
  </si>
  <si>
    <t>Fact#: 311064-313776-316388 Rec#: 11016 CHOEZ BRAVO JOSE ANTONIO</t>
  </si>
  <si>
    <t>IC-29</t>
  </si>
  <si>
    <t>Fact#: 315282 Rec#: 11015 JUVIKA JOHANNA CABUYALES HUACON</t>
  </si>
  <si>
    <t>IC-28</t>
  </si>
  <si>
    <t>Fact#: 316185 Rec#: 11014 VELASCO ZAMBRANO NORA DEL PILAR</t>
  </si>
  <si>
    <t>IC-27</t>
  </si>
  <si>
    <t>Fact#: 315245 Rec#: 11013 EVELYN SUSANA PITA CARRASCO</t>
  </si>
  <si>
    <t>IC-26</t>
  </si>
  <si>
    <t>Fact#: 312297-314991 Rec#: 11012 OMAR JOSSUE GRANIZO HUAYAMAVE</t>
  </si>
  <si>
    <t>IC-25</t>
  </si>
  <si>
    <t>Fact#: 310053-312814-315483 Rec#: 11011 ACOSTA HERNANDEZ MARITZA NOEMI</t>
  </si>
  <si>
    <t>IC-23</t>
  </si>
  <si>
    <t>Fact#: 316589 Rec#: 11010 VALLEJO RICAURTE VANESSA ALEXANDRA</t>
  </si>
  <si>
    <t>IC-22</t>
  </si>
  <si>
    <t>Fact#: 314167 Rec#: 11009 MULTICOMPRAS S.A.</t>
  </si>
  <si>
    <t>IC-21</t>
  </si>
  <si>
    <t>Fact#: 314176 Rec#: 11008 MULTICOMPRAS S.A.</t>
  </si>
  <si>
    <t>IC-20</t>
  </si>
  <si>
    <t>Fact#: 312798-315468 Rec#: 11007 CASTILLO SALAS AMABILIA JACQUELINE</t>
  </si>
  <si>
    <t>IC-19</t>
  </si>
  <si>
    <t>Fact#: 282038-284341-286610 Rec#: 11006 RICARDO MICHAEL AGUAS MARINO</t>
  </si>
  <si>
    <t>IC-18</t>
  </si>
  <si>
    <t>Fact#: 315649 Rec#: 61460 VALAREZO ARZUBE MERLEN TATIANA</t>
  </si>
  <si>
    <t>IC-10</t>
  </si>
  <si>
    <t>Fact#: 316142 Rec#: 61459 INFANTE MINDIOLA JULIA MARLENE</t>
  </si>
  <si>
    <t>IC-9</t>
  </si>
  <si>
    <t>Fact#: 310997-313723-316340 Rec#: 61458 LOPEZ HERRERA FRANKLIN RIGOBERTO</t>
  </si>
  <si>
    <t>IC-5</t>
  </si>
  <si>
    <t>Fact#: 298784-301438-304102 Rec#: 61457 CARMEN YSABEL PANTA MURILLO</t>
  </si>
  <si>
    <t>IC-4</t>
  </si>
  <si>
    <t>Fact#: 311754-314467 Rec#: 61456 ANA MIRIAM ACUÑA AUCATOMA</t>
  </si>
  <si>
    <t>IC-3</t>
  </si>
  <si>
    <t>Fact#: 313963 Rec#: 61455 TEDEX S.A  Cta# 000-514643 Ch# 19876</t>
  </si>
  <si>
    <t>IC-2</t>
  </si>
  <si>
    <t>Fact#: 312036-314737 Rec#: 61454 VICENTE GABRIEL MIELES GUZMAN</t>
  </si>
  <si>
    <t>IC-1</t>
  </si>
  <si>
    <t>RODDY RAINER RAMIREZ ROJAS ABONA SGTES FACTURAS</t>
  </si>
  <si>
    <t>AT-2947</t>
  </si>
  <si>
    <t>Fact#: 315800 Rec#: 11005 MIRABAL RODRIGUEZ CRISTINA</t>
  </si>
  <si>
    <t>IC-8</t>
  </si>
  <si>
    <t>Fact#: 315240 Rec#: 11004 LUIS ENRIQUE APOLINARIO ROJAS</t>
  </si>
  <si>
    <t>IC-7</t>
  </si>
  <si>
    <t>Fact#: 313318-315967 Rec#: 11003 GUSNAY MULLO MARTHA YOLANDA</t>
  </si>
  <si>
    <t>IC-6</t>
  </si>
  <si>
    <t>BL   B3003   BANCO DEL PACÍFICO CTA. CTE. # 0554910-8</t>
  </si>
  <si>
    <t>Auxiliar</t>
  </si>
  <si>
    <t>110201   BANCOS LOCALES</t>
  </si>
  <si>
    <t>Cuenta</t>
  </si>
  <si>
    <t>Saldo</t>
  </si>
  <si>
    <t>Detalle Movimiento</t>
  </si>
  <si>
    <t>F. Contab.</t>
  </si>
  <si>
    <t>Compr</t>
  </si>
  <si>
    <t>CC-Fase</t>
  </si>
  <si>
    <t>01 GUAYAQUIL</t>
  </si>
  <si>
    <t>Sucursal:</t>
  </si>
  <si>
    <t>División:</t>
  </si>
  <si>
    <t>03 LINKOTEL</t>
  </si>
  <si>
    <t>Compañía:</t>
  </si>
  <si>
    <t>JBRAVO</t>
  </si>
  <si>
    <t>Usuario:</t>
  </si>
  <si>
    <t>Ene/2020</t>
  </si>
  <si>
    <t>Hasta:</t>
  </si>
  <si>
    <t>Desde:</t>
  </si>
  <si>
    <t>Fecha:</t>
  </si>
  <si>
    <t>Página:</t>
  </si>
  <si>
    <t>LIBRO MAYOR - CUENTA</t>
  </si>
  <si>
    <t>TELEFONO</t>
  </si>
  <si>
    <t>CLIENTE</t>
  </si>
  <si>
    <t>DOCUMENTO</t>
  </si>
  <si>
    <t>IC</t>
  </si>
  <si>
    <t xml:space="preserve">SALAZAR JAIME CECILIA NARCISA           </t>
  </si>
  <si>
    <t xml:space="preserve">SANTANA GOMEZ CARLOS ALBERTO            </t>
  </si>
  <si>
    <t xml:space="preserve">PESANTES GUAMAN DANIEL ARTURO           </t>
  </si>
  <si>
    <t xml:space="preserve">MIRIAM ANTONIETA MARIDUENA VAL          </t>
  </si>
  <si>
    <t xml:space="preserve">DUENAS RUIZ TERESA EDITH                </t>
  </si>
  <si>
    <t xml:space="preserve">CAROLINA ALICIA EGAS NUNEZ              </t>
  </si>
  <si>
    <t xml:space="preserve">HUGO RENE LUNA                          </t>
  </si>
  <si>
    <t xml:space="preserve">SANCHEZ MEDINA FELIX                    </t>
  </si>
  <si>
    <t xml:space="preserve">MONCAYO ONATE NELSON GABRIEL            </t>
  </si>
  <si>
    <t xml:space="preserve">SOXO QUICHIMBO IVONNE ALEXANDR          </t>
  </si>
  <si>
    <t xml:space="preserve">LEONOR MARGARITA MONTOYA ALVAR          </t>
  </si>
  <si>
    <t xml:space="preserve">EFREN AUGUSTO FREIRE VALENCIA           </t>
  </si>
  <si>
    <t xml:space="preserve">ALVARADO PEREZ OSCAR ANTONIO            </t>
  </si>
  <si>
    <t xml:space="preserve">GRANDA GALLARDO MARLON GERMAN           </t>
  </si>
  <si>
    <t xml:space="preserve">ALVARO CORNEJO RODRIGUEZ                </t>
  </si>
  <si>
    <t xml:space="preserve">TANIA PAOLA ILLESCAS PIBAQUE            </t>
  </si>
  <si>
    <t xml:space="preserve">INDIO MUNOZ SNAYDER VALENTIN            </t>
  </si>
  <si>
    <t xml:space="preserve">CARRION RODRIGUEZ RICHARD HAMI          </t>
  </si>
  <si>
    <t xml:space="preserve">MARCOS GABRIEL ECHEVERRIA GUTI          </t>
  </si>
  <si>
    <t xml:space="preserve">SUAREZ INTRIAGO JORGE ARTURO            </t>
  </si>
  <si>
    <t xml:space="preserve">MINO DOYLET YOLANDA ABIGAIL             </t>
  </si>
  <si>
    <t xml:space="preserve">TAFUR MOSQUERA AMPARO JACQUELI          </t>
  </si>
  <si>
    <t xml:space="preserve">SIMON EMILIO BRIONES LOOR               </t>
  </si>
  <si>
    <t xml:space="preserve">JIMMY FRANCISCO ASCENCIO ESPIN          </t>
  </si>
  <si>
    <t xml:space="preserve">MARIA MONICA RONQUILLO RODRIGU          </t>
  </si>
  <si>
    <t xml:space="preserve">ALVARADO PIN EMILIO PABLO               </t>
  </si>
  <si>
    <t xml:space="preserve">TENENUELA CEPEDA MARIA MANUELA          </t>
  </si>
  <si>
    <t xml:space="preserve">TANNIA ELIZABETH  CARRERA CALD          </t>
  </si>
  <si>
    <t xml:space="preserve">ROSA DEL CARMEN SANCHEZ PORTIL          </t>
  </si>
  <si>
    <t xml:space="preserve">JOSE BENITO MUNOZ ZAMBRANO              </t>
  </si>
  <si>
    <t xml:space="preserve">BAQUERO PILOSO OTTO XAVIER              </t>
  </si>
  <si>
    <t xml:space="preserve">SALAS PLUAS PAULO ROBERTO               </t>
  </si>
  <si>
    <t xml:space="preserve">WEISSON CEDENO GLADYS LORENA            </t>
  </si>
  <si>
    <t xml:space="preserve">VALERO CEPEDA IVONNE MARIA              </t>
  </si>
  <si>
    <t xml:space="preserve">WILMER JONAS MEJIA LEON                 </t>
  </si>
  <si>
    <t xml:space="preserve">DERCONSULT CIA LTDA                     </t>
  </si>
  <si>
    <t xml:space="preserve">ARIAS SALAZAR KATHERINE JUSETH          </t>
  </si>
  <si>
    <t xml:space="preserve">GONZALEZ SANCHEZ CESAR IVAN             </t>
  </si>
  <si>
    <t xml:space="preserve">RUIZ VELEZ LIBIA KARINA                 </t>
  </si>
  <si>
    <t xml:space="preserve">WILSON EFREN  ROMERO NACIPUCHA          </t>
  </si>
  <si>
    <t xml:space="preserve">MANUEL ALFREDO MENDOZA RODRIGU          </t>
  </si>
  <si>
    <t xml:space="preserve">CARPIO ALVARADO CELIA MARYURI           </t>
  </si>
  <si>
    <t xml:space="preserve">ORTEGA CHAVEZ JUANA ALEJANDRIN          </t>
  </si>
  <si>
    <t xml:space="preserve">LARA CHERE FREDY GONZALO                </t>
  </si>
  <si>
    <t xml:space="preserve">CARLOS BENJAMIN ROSALES PINO            </t>
  </si>
  <si>
    <t xml:space="preserve">ESPANA BAJANA STEFANIA ELIZABE          </t>
  </si>
  <si>
    <t xml:space="preserve">TRUJILLO LOPEZ DIANA CAROLINA           </t>
  </si>
  <si>
    <t xml:space="preserve">FERNANDO XAVIER DROUET CEDENO           </t>
  </si>
  <si>
    <t xml:space="preserve">ANA LUCRECIA  CABRERA GARCIA            </t>
  </si>
  <si>
    <t xml:space="preserve">CARLOS ADALBERTO SALAVARRIA PA          </t>
  </si>
  <si>
    <t xml:space="preserve">FAUSTO EDUARDO  CARBO RIVERA            </t>
  </si>
  <si>
    <t xml:space="preserve">PERALTA BENITEZ ROBERTO ELIAS           </t>
  </si>
  <si>
    <t xml:space="preserve">JAIRO ALBERTO GOMEZ COELLO              </t>
  </si>
  <si>
    <t xml:space="preserve">SUSANA HERMELINDA ANALUISA HAR          </t>
  </si>
  <si>
    <t xml:space="preserve">BONILLA ALCIVAR MARIANA VERONI          </t>
  </si>
  <si>
    <t xml:space="preserve">RICHARD FERNANDO BURGOS VERA            </t>
  </si>
  <si>
    <t xml:space="preserve">LUIS EDUARDO SANCHEZ TIMM               </t>
  </si>
  <si>
    <t xml:space="preserve">GILBERT SILVA CECILIA MARIA             </t>
  </si>
  <si>
    <t xml:space="preserve">PAULA JESUS SALAZAR MACIAS              </t>
  </si>
  <si>
    <t xml:space="preserve">MONICA CRIOLLO SALAZAR                  </t>
  </si>
  <si>
    <t xml:space="preserve">GISELLA MARIA YUNES ANDRADE             </t>
  </si>
  <si>
    <t xml:space="preserve">KETTY ARACELY GAROFALO LEON             </t>
  </si>
  <si>
    <t xml:space="preserve">ISABEL ROSARIO QUINDE SORIANO           </t>
  </si>
  <si>
    <t xml:space="preserve">LUIS CESAR GAMARRA GONZALES             </t>
  </si>
  <si>
    <t xml:space="preserve">JUAN XAVIER BENEDETI RIPALDA            </t>
  </si>
  <si>
    <t xml:space="preserve">GUILLERMO ELOY SERRANO GOMEZ            </t>
  </si>
  <si>
    <t xml:space="preserve">UVIDIA SALTOS  CARLOS BOLIVAR           </t>
  </si>
  <si>
    <t xml:space="preserve">GISELLE MARIELA CLEMENTE VERA           </t>
  </si>
  <si>
    <t xml:space="preserve">CANDO REYES JOSE MAURICIO               </t>
  </si>
  <si>
    <t xml:space="preserve">ANTONIO IGNACIO ARTEAGA FERAUD          </t>
  </si>
  <si>
    <t xml:space="preserve">CASTILLO PALMA DANIEL ALFREDO           </t>
  </si>
  <si>
    <t xml:space="preserve">ZULVY BEDON LAGOS                       </t>
  </si>
  <si>
    <t xml:space="preserve">FRANKLIN JOAQUIN  DOMINGUEZ VA          </t>
  </si>
  <si>
    <t xml:space="preserve">LUIS CARLOS ABAD YCAZA                  </t>
  </si>
  <si>
    <t xml:space="preserve">JUAN JOSE CHACON PACHECO                </t>
  </si>
  <si>
    <t xml:space="preserve">EVA MARIA VINUEZA OCANA                 </t>
  </si>
  <si>
    <t xml:space="preserve">HERNAN ANTONIO ALVEAR MERCHAN           </t>
  </si>
  <si>
    <t xml:space="preserve">CARLOS ALBERTO RENDON PALMA             </t>
  </si>
  <si>
    <t xml:space="preserve">MARIA ROSA DUNN YCAZA                   </t>
  </si>
  <si>
    <t xml:space="preserve">TERESA DE LA CRUZ TOSCANO BRIT          </t>
  </si>
  <si>
    <t xml:space="preserve">RICARDO PABLO FALCONI DUENAS            </t>
  </si>
  <si>
    <t xml:space="preserve">MANRIQUEZ SALAZAR MARIA PAZ             </t>
  </si>
  <si>
    <t xml:space="preserve">ROBERTO MUZZIO NARANJO                  </t>
  </si>
  <si>
    <t xml:space="preserve">JENNY CEDENO CAAMANO                    </t>
  </si>
  <si>
    <t xml:space="preserve">AGUIRRE AGUIRRE BEXY DEL ROCIO          </t>
  </si>
  <si>
    <t xml:space="preserve">INDUVERIKA SA                           </t>
  </si>
  <si>
    <t xml:space="preserve">DUPROCSA SA                             </t>
  </si>
  <si>
    <t xml:space="preserve">BELLUSCIO SA                            </t>
  </si>
  <si>
    <t xml:space="preserve">SORIANO LEON  GUSTAVO FERNANDO          </t>
  </si>
  <si>
    <t xml:space="preserve">EFFICACITAS CONSULTORA CIALTD           </t>
  </si>
  <si>
    <t xml:space="preserve">RITOMI SA                               </t>
  </si>
  <si>
    <t xml:space="preserve">ASOC DE PROPIETARIOS URB TER            </t>
  </si>
  <si>
    <t xml:space="preserve">AUTOMEKANO CIA LTDA                     </t>
  </si>
  <si>
    <t xml:space="preserve">CECILIA VIVIANA RUIZ MENDOZA            </t>
  </si>
  <si>
    <t xml:space="preserve">BETTY EUVENIA ACOSTA CAJAPE             </t>
  </si>
  <si>
    <t xml:space="preserve">AGUILERA PAZMINO FREDDY ERNEST          </t>
  </si>
  <si>
    <t xml:space="preserve">MARIA DOLORES COBOS MARMOLEJO           </t>
  </si>
  <si>
    <t xml:space="preserve">RAUL ARTURO LEON ORTIZ                  </t>
  </si>
  <si>
    <t xml:space="preserve">MERA MACIAS LUIS EDUARDO                </t>
  </si>
  <si>
    <t xml:space="preserve">EDUARDO GERMAN CORDOVA ROMERO           </t>
  </si>
  <si>
    <t xml:space="preserve">RICHARD ORLANDO CHIQUITO MOLIN          </t>
  </si>
  <si>
    <t xml:space="preserve">QUINTO BAZAN JOHNN HENRY                </t>
  </si>
  <si>
    <t xml:space="preserve">SILVA ARMAS MARIA TERESA                </t>
  </si>
  <si>
    <t xml:space="preserve">SIXTER ABRAHAM ECHEVERRIA ORTI          </t>
  </si>
  <si>
    <t xml:space="preserve">ASOC PRO NEW YORK 12 DE SEPT            </t>
  </si>
  <si>
    <t xml:space="preserve">MERA ESPINOZA LEONEL ANTONIO            </t>
  </si>
  <si>
    <t xml:space="preserve">CORPALVAH S A                           </t>
  </si>
  <si>
    <t xml:space="preserve">COBREXLEG SA                            </t>
  </si>
  <si>
    <t xml:space="preserve">EDISON VIRGILIO ALVARIO MERA            </t>
  </si>
  <si>
    <t xml:space="preserve">LOURDES DEL ROCIO JIMENEZ ACOS          </t>
  </si>
  <si>
    <t xml:space="preserve">GAVILANEZ MEDINA MIRIAM PATRIC          </t>
  </si>
  <si>
    <t xml:space="preserve">SAAB ACHI MICHEL                        </t>
  </si>
  <si>
    <t xml:space="preserve">CAMPOS MANZABA ESTEFANIA XIOMA          </t>
  </si>
  <si>
    <t xml:space="preserve">JURADO VELEZ JONNY EUGENIO              </t>
  </si>
  <si>
    <t xml:space="preserve">CHRISTIAN JAVIER MIDEROS ROMER          </t>
  </si>
  <si>
    <t xml:space="preserve">ROCA AGUILERA FRANCISCO                 </t>
  </si>
  <si>
    <t xml:space="preserve">LUIS EDUARDO BAQUERIZO BRAND            </t>
  </si>
  <si>
    <t xml:space="preserve">ANDRES DAVID AGUIRRE PALACIOS           </t>
  </si>
  <si>
    <t xml:space="preserve">RAFAEL VICENTE ERAZO FALQUEZ            </t>
  </si>
  <si>
    <t xml:space="preserve">ASOC DE PROPIETARIOS URB VIA            </t>
  </si>
  <si>
    <t xml:space="preserve">PLASTICOS KOCH C LTDA                   </t>
  </si>
  <si>
    <t xml:space="preserve">LUIS ERNESTO TABARES CEDENO             </t>
  </si>
  <si>
    <t xml:space="preserve">CARMEN NARCISA  JURADO PAREDES          </t>
  </si>
  <si>
    <t xml:space="preserve">VILLAO JURADO ANDREA BELEN              </t>
  </si>
  <si>
    <t xml:space="preserve">CARLOS GUILLERMO MUNOZ GUTIERR          </t>
  </si>
  <si>
    <t xml:space="preserve">ROCAFUERTE ESTRELLA JUAN CARLO          </t>
  </si>
  <si>
    <t xml:space="preserve">MARCELA CAROLINA BEDON BEDOYA           </t>
  </si>
  <si>
    <t xml:space="preserve">ASISTMED ASISTENCIA A MEDICOS           </t>
  </si>
  <si>
    <t xml:space="preserve">RAMIREZ TAMAYO ENMA MERCEDES            </t>
  </si>
  <si>
    <t xml:space="preserve">AUTOMERCADO SA                          </t>
  </si>
  <si>
    <t xml:space="preserve">SERVICIO  MANTENIMIENTO INDUS           </t>
  </si>
  <si>
    <t xml:space="preserve">JORGE ARTURO ZANABRIA VILLAMAR          </t>
  </si>
  <si>
    <t xml:space="preserve">XAVIER ALFREDO ZANABRIA VILLAM          </t>
  </si>
  <si>
    <t xml:space="preserve">YIDEASA SA                              </t>
  </si>
  <si>
    <t xml:space="preserve">SILVA CHIQUITO JOSE LUIS                </t>
  </si>
  <si>
    <t xml:space="preserve">LOPEZ PALACIOS DANNY CHRISTIAN          </t>
  </si>
  <si>
    <t xml:space="preserve">MANUEL ISAIAS TAPIA LOPEZ               </t>
  </si>
  <si>
    <t xml:space="preserve">BAUTISTA LITARDO NOEMI LOURDES          </t>
  </si>
  <si>
    <t xml:space="preserve">VICTOR IGNACIO LAINEZ ECHEVERR          </t>
  </si>
  <si>
    <t xml:space="preserve">CAMPOS Y ASOCIADOS CIA LTDA             </t>
  </si>
  <si>
    <t xml:space="preserve">NARANJO BENITES LUIS ALBERTO            </t>
  </si>
  <si>
    <t xml:space="preserve">ESPINOSA ORTEGA GERMAN EDUARDO          </t>
  </si>
  <si>
    <t xml:space="preserve">MARTEN CABALLERO NILDA                  </t>
  </si>
  <si>
    <t xml:space="preserve">ELIANA JOANELY BARCHI GUTIERRE          </t>
  </si>
  <si>
    <t xml:space="preserve">MARY ELENA  MONROY PAREDES              </t>
  </si>
  <si>
    <t xml:space="preserve">EDDA GLADYS PARRALES GOMEZ              </t>
  </si>
  <si>
    <t xml:space="preserve">SEGUNDO PEDRO PABLO ANDRADE LO          </t>
  </si>
  <si>
    <t xml:space="preserve">EIKON SA                                </t>
  </si>
  <si>
    <t xml:space="preserve">POVEDA VALLEJO JORGE LUIS               </t>
  </si>
  <si>
    <t xml:space="preserve">ARMANDO ROBERTO  YAGUAL BRITO           </t>
  </si>
  <si>
    <t xml:space="preserve">GENERALAIR S A                          </t>
  </si>
  <si>
    <t xml:space="preserve">JORGE ALFREDO FRANCO MORAN              </t>
  </si>
  <si>
    <t xml:space="preserve">ADVANCED POS SOLUTIONS INC              </t>
  </si>
  <si>
    <t xml:space="preserve">ELECTROMOOM SA                          </t>
  </si>
  <si>
    <t xml:space="preserve">GUATEMAL COLIMBA JUAN BAUTISTA          </t>
  </si>
  <si>
    <t xml:space="preserve">DORCIEN SA                              </t>
  </si>
  <si>
    <t xml:space="preserve">ACUNA ALBUJA XIMENA ALEXANDRA           </t>
  </si>
  <si>
    <t xml:space="preserve">FATIMA LEONOR AGUILAR MURILLO           </t>
  </si>
  <si>
    <t xml:space="preserve">JIMENEZ ALVAREZ GARY WINDER             </t>
  </si>
  <si>
    <t xml:space="preserve">ARTURO ALFONSO VELASCO TUTIVEN          </t>
  </si>
  <si>
    <t xml:space="preserve">BENILDA JESUS ACOSTA ZAMBRANO           </t>
  </si>
  <si>
    <t xml:space="preserve">MARIA GABRIELA TERAN SEVILLA            </t>
  </si>
  <si>
    <t xml:space="preserve">JAVIER ALEJANDRO PAREDES SALTO          </t>
  </si>
  <si>
    <t xml:space="preserve">LUIS DANIEL CHIANG GUERRERO             </t>
  </si>
  <si>
    <t xml:space="preserve">GLORIA ISABEL MITE LEON                 </t>
  </si>
  <si>
    <t>at-2970</t>
  </si>
  <si>
    <t xml:space="preserve">ETYECU S A                              </t>
  </si>
  <si>
    <t xml:space="preserve">LAURO DAVID TORRES CARRILLO             </t>
  </si>
  <si>
    <t xml:space="preserve">NELSON SAVITRI  VELASCO PAZMIN          </t>
  </si>
  <si>
    <t xml:space="preserve">LABORATORIO BIOTANICALS DEL EC          </t>
  </si>
  <si>
    <t xml:space="preserve">ALARCON ALVARADO GABRIELA GISE          </t>
  </si>
  <si>
    <t xml:space="preserve">BARAHONA MONTALVO HECTOR GONZA          </t>
  </si>
  <si>
    <t xml:space="preserve">LUIS RAUL BRITO GALLEGOS                </t>
  </si>
  <si>
    <t xml:space="preserve">MORENO VIVAR LORENA BEATRIZ             </t>
  </si>
  <si>
    <t xml:space="preserve">LOZANO OTERO RICARDO REIMONDI           </t>
  </si>
  <si>
    <t xml:space="preserve">MANUEL TEODORO HURTADO ARMIJOS          </t>
  </si>
  <si>
    <t xml:space="preserve">SALAZAR CARRILLO MARIA ANDREA           </t>
  </si>
  <si>
    <t xml:space="preserve">JAVIER MAURICIO RODRIGO ALBAN           </t>
  </si>
  <si>
    <t xml:space="preserve">VICTOR ANTONIO AGUSTO ALVARADO          </t>
  </si>
  <si>
    <t xml:space="preserve">ECHEVERRIA MATA ALVARO DANIEL           </t>
  </si>
  <si>
    <t xml:space="preserve">GUILLERMO IGNACIO JORGE BAQUER          </t>
  </si>
  <si>
    <t xml:space="preserve">MENENDEZ ROMERO GILDA MARIA             </t>
  </si>
  <si>
    <t xml:space="preserve">FREIRE ANDRADE PAOLA MARIA              </t>
  </si>
  <si>
    <t xml:space="preserve">HENRY LENY BETANCOURT VITERI            </t>
  </si>
  <si>
    <t xml:space="preserve">VELEZ VERA ANGEL ALBERTO                </t>
  </si>
  <si>
    <t xml:space="preserve">WENDY LORENA QUIMIS CHOEZ               </t>
  </si>
  <si>
    <t xml:space="preserve">VARGAS TORRES ZENIA                     </t>
  </si>
  <si>
    <t xml:space="preserve">REYES SOLIS  MARJORIE YOLANDA           </t>
  </si>
  <si>
    <t xml:space="preserve">AARON PAUL GONZALEZ ZUNIGA              </t>
  </si>
  <si>
    <t xml:space="preserve">CASTANEDA RENDON JOFFRE AUGUST          </t>
  </si>
  <si>
    <t xml:space="preserve">JENNY NATALIA MARTINEZ BAQUE            </t>
  </si>
  <si>
    <t xml:space="preserve">LOURDES JANET BRITO GUILLEN             </t>
  </si>
  <si>
    <t xml:space="preserve">INMOBILIRIA REALTORS TRESCIENT          </t>
  </si>
  <si>
    <t xml:space="preserve">ALVARADO ALAVA FREDDY LENIN             </t>
  </si>
  <si>
    <t xml:space="preserve">FREDDY EDILBERTO MONTOYA CHAVA          </t>
  </si>
  <si>
    <t xml:space="preserve">EDYSON JAVIER  BRITO ANDRADE            </t>
  </si>
  <si>
    <t xml:space="preserve">VERA PISPIRA JONATHAN LUIS              </t>
  </si>
  <si>
    <t xml:space="preserve">GONZALEZ RUIZ SANDY                     </t>
  </si>
  <si>
    <t xml:space="preserve">VILLON SORIANO DIOSELINA SOLED          </t>
  </si>
  <si>
    <t xml:space="preserve">JORGE RODRIGUEZ Y DUQUE                 </t>
  </si>
  <si>
    <t xml:space="preserve">PINCAY SILVA FERNANDO RAFAEL            </t>
  </si>
  <si>
    <t xml:space="preserve">CINTHIA VANESA PALMA JIMENEZ            </t>
  </si>
  <si>
    <t xml:space="preserve">PAREDES LOPEZ NARCISA DEL CARM          </t>
  </si>
  <si>
    <t xml:space="preserve">PENAFIEL TIRCIO KARINA LISSETT          </t>
  </si>
  <si>
    <t xml:space="preserve">SILGADO DIAZ ANA MARIA                  </t>
  </si>
  <si>
    <t xml:space="preserve">KEVIN ALEXANDER PINO BERMELLO           </t>
  </si>
  <si>
    <t xml:space="preserve">SANCHEZ TIMM RAFAEL ANDRES              </t>
  </si>
  <si>
    <t xml:space="preserve">EDGAR MARCELO MERA VASQUEZ              </t>
  </si>
  <si>
    <t xml:space="preserve">BAJANA DE LA ROSA SANTIAGO EDI          </t>
  </si>
  <si>
    <t xml:space="preserve">RODRIGUEZ Y DUQUE JORGE                 </t>
  </si>
  <si>
    <t xml:space="preserve">BENITEZ MACIAS ROSA NARCISA             </t>
  </si>
  <si>
    <t xml:space="preserve">ALLINPUBLICIDADMARKETING S A            </t>
  </si>
  <si>
    <t xml:space="preserve">CEVALLOS ZAVALA BOLIVAR ANTONI          </t>
  </si>
  <si>
    <t xml:space="preserve">ROSANA LETICIA VIOLA                    </t>
  </si>
  <si>
    <t xml:space="preserve">DANIELA MELISSA MORAN RUGEL             </t>
  </si>
  <si>
    <t xml:space="preserve">CEBALLOS CASTRILLON CAROLINA            </t>
  </si>
  <si>
    <t xml:space="preserve">CALONGE GUERRERO JAIR                   </t>
  </si>
  <si>
    <t xml:space="preserve">CHALAR BONE JESSICA GEOCONDA            </t>
  </si>
  <si>
    <t xml:space="preserve">CALLE AVILA CRISTIAN DARWIN             </t>
  </si>
  <si>
    <t xml:space="preserve">HERNANDEZ GOMEZ EDDY MAXIMO             </t>
  </si>
  <si>
    <t xml:space="preserve">HERRERA DIAZ HIALINA AMALIA DE          </t>
  </si>
  <si>
    <t xml:space="preserve">PRISCILLA DENISSE VINUEZA YEPE          </t>
  </si>
  <si>
    <t xml:space="preserve">MARIA FERNANDA GONZALEZ MITE            </t>
  </si>
  <si>
    <t xml:space="preserve">LOURDES DEL ROCIO CHAVEZ VELEZ          </t>
  </si>
  <si>
    <t xml:space="preserve">PERALTA AVILES MIGUEL ANGEL             </t>
  </si>
  <si>
    <t xml:space="preserve">GAVILANEZ GUTIERREZ CHRISTIAN           </t>
  </si>
  <si>
    <t xml:space="preserve">UBILLA MORAN MARIANA JACQUELIN          </t>
  </si>
  <si>
    <t xml:space="preserve">QUINTO BORJA LAURA PAMELA               </t>
  </si>
  <si>
    <t xml:space="preserve">CESAR GALO MOTENEGRO PENA               </t>
  </si>
  <si>
    <t xml:space="preserve">DANIEL ALBERTO BEJAR GUERRERO           </t>
  </si>
  <si>
    <t xml:space="preserve">DELIA JUDITH LEON LOPEZ                 </t>
  </si>
  <si>
    <t>Activo</t>
  </si>
  <si>
    <t>0802149252</t>
  </si>
  <si>
    <t>3909047</t>
  </si>
  <si>
    <t>REC-090-IRFP-557866</t>
  </si>
  <si>
    <t>09:24:50</t>
  </si>
  <si>
    <t>20200131</t>
  </si>
  <si>
    <t>0923665228</t>
  </si>
  <si>
    <t>3908761</t>
  </si>
  <si>
    <t>REC-3022-FNNL-520551</t>
  </si>
  <si>
    <t>10:03:41</t>
  </si>
  <si>
    <t>0915970669</t>
  </si>
  <si>
    <t>3907512</t>
  </si>
  <si>
    <t>REC-4960-A1QG-66969</t>
  </si>
  <si>
    <t>10:06:45</t>
  </si>
  <si>
    <t>0923861215</t>
  </si>
  <si>
    <t>3901722</t>
  </si>
  <si>
    <t>REC-011-VD5Z-329494</t>
  </si>
  <si>
    <t>10:40:02</t>
  </si>
  <si>
    <t>0931127203</t>
  </si>
  <si>
    <t>3901724</t>
  </si>
  <si>
    <t>REC-011-VD5Z-329507</t>
  </si>
  <si>
    <t>11:17:37</t>
  </si>
  <si>
    <t>0907032585</t>
  </si>
  <si>
    <t>3903847</t>
  </si>
  <si>
    <t>REC-011-VD5Z-329510</t>
  </si>
  <si>
    <t>11:21:16</t>
  </si>
  <si>
    <t>1204517740</t>
  </si>
  <si>
    <t>3903873</t>
  </si>
  <si>
    <t>REC-944-KDUZ-234537</t>
  </si>
  <si>
    <t>11:27:13</t>
  </si>
  <si>
    <t>0702684754</t>
  </si>
  <si>
    <t>3930339</t>
  </si>
  <si>
    <t>REC-095-AJSE-645048</t>
  </si>
  <si>
    <t>12:00:59</t>
  </si>
  <si>
    <t>0904828266</t>
  </si>
  <si>
    <t>3901712</t>
  </si>
  <si>
    <t>REC-5585-A2XB-46181</t>
  </si>
  <si>
    <t>12:16:36</t>
  </si>
  <si>
    <t>0924937337</t>
  </si>
  <si>
    <t>3906908</t>
  </si>
  <si>
    <t>REC-3371-LD0C-265202</t>
  </si>
  <si>
    <t>12:30:46</t>
  </si>
  <si>
    <t>0924424872</t>
  </si>
  <si>
    <t>3903250</t>
  </si>
  <si>
    <t>REC-4963-A3A0-899590</t>
  </si>
  <si>
    <t>12:47:47</t>
  </si>
  <si>
    <t>0913311908</t>
  </si>
  <si>
    <t>3901325</t>
  </si>
  <si>
    <t>REC-072-GPG1-206789</t>
  </si>
  <si>
    <t>12:58:24</t>
  </si>
  <si>
    <t>0911576726</t>
  </si>
  <si>
    <t>3900509</t>
  </si>
  <si>
    <t>REC-090-9SKJ-421265</t>
  </si>
  <si>
    <t>13:11:13</t>
  </si>
  <si>
    <t>1722985940</t>
  </si>
  <si>
    <t>3907455</t>
  </si>
  <si>
    <t>REC-096-DCIZ-440921</t>
  </si>
  <si>
    <t>14:08:58</t>
  </si>
  <si>
    <t>0927275529</t>
  </si>
  <si>
    <t>3930359</t>
  </si>
  <si>
    <t>REC-3371-EGEG-230213</t>
  </si>
  <si>
    <t>14:15:27</t>
  </si>
  <si>
    <t>0911435824</t>
  </si>
  <si>
    <t>3908951</t>
  </si>
  <si>
    <t>REC-004-P4FN-71106</t>
  </si>
  <si>
    <t>14:27:41</t>
  </si>
  <si>
    <t>0950808493</t>
  </si>
  <si>
    <t>3906052</t>
  </si>
  <si>
    <t>REC-072-AJ3R-229121</t>
  </si>
  <si>
    <t>15:29:44</t>
  </si>
  <si>
    <t>0910453455</t>
  </si>
  <si>
    <t>3900449</t>
  </si>
  <si>
    <t>REC-348-1R2Q-420576</t>
  </si>
  <si>
    <t>15:38:02</t>
  </si>
  <si>
    <t>1706685409</t>
  </si>
  <si>
    <t>23923107</t>
  </si>
  <si>
    <t>REC-3029-M9QW-177300</t>
  </si>
  <si>
    <t>15:48:49</t>
  </si>
  <si>
    <t>0908402910</t>
  </si>
  <si>
    <t>3909230</t>
  </si>
  <si>
    <t>REC-3371-EFX5-159655</t>
  </si>
  <si>
    <t>16:01:14</t>
  </si>
  <si>
    <t>0923579353</t>
  </si>
  <si>
    <t>3903305</t>
  </si>
  <si>
    <t>REC-090-9SKJ-421349</t>
  </si>
  <si>
    <t>18:15:08</t>
  </si>
  <si>
    <t>0925825390</t>
  </si>
  <si>
    <t>3906751</t>
  </si>
  <si>
    <t>REC-348-1R2Q-420632</t>
  </si>
  <si>
    <t>18:27:41</t>
  </si>
  <si>
    <t>1203026479</t>
  </si>
  <si>
    <t>3903836</t>
  </si>
  <si>
    <t>REC-3182-YQHE-223063</t>
  </si>
  <si>
    <t>18:55:31</t>
  </si>
  <si>
    <t>0910552793</t>
  </si>
  <si>
    <t>3907533</t>
  </si>
  <si>
    <t>REC-3187-A2UE-27971</t>
  </si>
  <si>
    <t>09:34:12</t>
  </si>
  <si>
    <t>20200130</t>
  </si>
  <si>
    <t>0927129775</t>
  </si>
  <si>
    <t>3903130</t>
  </si>
  <si>
    <t>REC-551-B2PQ-286590</t>
  </si>
  <si>
    <t>09:48:06</t>
  </si>
  <si>
    <t>0703896621</t>
  </si>
  <si>
    <t>3908629</t>
  </si>
  <si>
    <t>REC-4740-FSB7-885121</t>
  </si>
  <si>
    <t>10:18:42</t>
  </si>
  <si>
    <t>0925372476001</t>
  </si>
  <si>
    <t>3901346</t>
  </si>
  <si>
    <t>REC-342-VEHD-446043</t>
  </si>
  <si>
    <t>10:43:30</t>
  </si>
  <si>
    <t>0908793474</t>
  </si>
  <si>
    <t>3902608</t>
  </si>
  <si>
    <t>REC-342-VEHD-446059</t>
  </si>
  <si>
    <t>11:08:09</t>
  </si>
  <si>
    <t>0915335590</t>
  </si>
  <si>
    <t>3900174</t>
  </si>
  <si>
    <t>REC-061-A2WZ-10671</t>
  </si>
  <si>
    <t>11:14:48</t>
  </si>
  <si>
    <t>0923998702</t>
  </si>
  <si>
    <t>3906713</t>
  </si>
  <si>
    <t>REC-3172-LIO4-219699</t>
  </si>
  <si>
    <t>12:22:58</t>
  </si>
  <si>
    <t>0924253354</t>
  </si>
  <si>
    <t>3907636</t>
  </si>
  <si>
    <t>REC-027-A40B-52943</t>
  </si>
  <si>
    <t>12:41:03</t>
  </si>
  <si>
    <t>1792365848001</t>
  </si>
  <si>
    <t>23923191</t>
  </si>
  <si>
    <t>REC-7057-A66Z-35</t>
  </si>
  <si>
    <t>13:05:22</t>
  </si>
  <si>
    <t>0905142774</t>
  </si>
  <si>
    <t>3901088</t>
  </si>
  <si>
    <t>REC-3187-A2UB-135205</t>
  </si>
  <si>
    <t>13:23:07</t>
  </si>
  <si>
    <t>0992699280001</t>
  </si>
  <si>
    <t>3903327</t>
  </si>
  <si>
    <t>REC-342-EBMO-255060</t>
  </si>
  <si>
    <t>13:43:50</t>
  </si>
  <si>
    <t>3903328</t>
  </si>
  <si>
    <t>REC-342-EBMO-255061</t>
  </si>
  <si>
    <t>13:44:05</t>
  </si>
  <si>
    <t>0918185166</t>
  </si>
  <si>
    <t>3903826</t>
  </si>
  <si>
    <t>REC-3746-AAD6-791176</t>
  </si>
  <si>
    <t>13:54:14</t>
  </si>
  <si>
    <t>0923987069</t>
  </si>
  <si>
    <t>3907876</t>
  </si>
  <si>
    <t>REC-226-B7CC-695716</t>
  </si>
  <si>
    <t>14:59:40</t>
  </si>
  <si>
    <t>0906690136</t>
  </si>
  <si>
    <t>3903537</t>
  </si>
  <si>
    <t>REC-3370-A6JI-229943</t>
  </si>
  <si>
    <t>16:49:18</t>
  </si>
  <si>
    <t>0924175946001</t>
  </si>
  <si>
    <t>3908934</t>
  </si>
  <si>
    <t>REC-5680-XTE2-926</t>
  </si>
  <si>
    <t>17:34:32</t>
  </si>
  <si>
    <t>0922294269</t>
  </si>
  <si>
    <t>3903669</t>
  </si>
  <si>
    <t>REC-3412-PTE5-892452</t>
  </si>
  <si>
    <t>17:40:10</t>
  </si>
  <si>
    <t>0904032539</t>
  </si>
  <si>
    <t>3900543</t>
  </si>
  <si>
    <t>REC-3109-TTH2-666980</t>
  </si>
  <si>
    <t>18:06:19</t>
  </si>
  <si>
    <t>0920302130</t>
  </si>
  <si>
    <t>3909035</t>
  </si>
  <si>
    <t>REC-536-2GEZ-324727</t>
  </si>
  <si>
    <t>18:16:51</t>
  </si>
  <si>
    <t>0952543254</t>
  </si>
  <si>
    <t>3901641</t>
  </si>
  <si>
    <t>REC-3682-AAL6-793573</t>
  </si>
  <si>
    <t>18:38:50</t>
  </si>
  <si>
    <t>0915405005</t>
  </si>
  <si>
    <t>3907996</t>
  </si>
  <si>
    <t>REC-3422-A25Y-80494</t>
  </si>
  <si>
    <t>09:29:53</t>
  </si>
  <si>
    <t>20200129</t>
  </si>
  <si>
    <t>0959977976</t>
  </si>
  <si>
    <t>3930343</t>
  </si>
  <si>
    <t>REC-5635-A2YS-7182</t>
  </si>
  <si>
    <t>09:59:47</t>
  </si>
  <si>
    <t>0920508074</t>
  </si>
  <si>
    <t>3930377</t>
  </si>
  <si>
    <t>REC-4164-A19X-141658</t>
  </si>
  <si>
    <t>10:06:42</t>
  </si>
  <si>
    <t>0915309694</t>
  </si>
  <si>
    <t>3903627</t>
  </si>
  <si>
    <t>REC-4007-OIT2-874310</t>
  </si>
  <si>
    <t>11:03:24</t>
  </si>
  <si>
    <t>0102891330</t>
  </si>
  <si>
    <t>3900433</t>
  </si>
  <si>
    <t>REC-3187-A2UE-27878</t>
  </si>
  <si>
    <t>11:25:28</t>
  </si>
  <si>
    <t>0992714727001</t>
  </si>
  <si>
    <t>3901010</t>
  </si>
  <si>
    <t>REC-3301-CTQ4-875095</t>
  </si>
  <si>
    <t>11:39:01</t>
  </si>
  <si>
    <t>1304098906</t>
  </si>
  <si>
    <t>3906036</t>
  </si>
  <si>
    <t>REC-5310-Z4YZ-875392</t>
  </si>
  <si>
    <t>11:51:42</t>
  </si>
  <si>
    <t>0801745803</t>
  </si>
  <si>
    <t>3907890</t>
  </si>
  <si>
    <t>REC-678-3V18-554933</t>
  </si>
  <si>
    <t>11:53:05</t>
  </si>
  <si>
    <t>0910536374</t>
  </si>
  <si>
    <t>3908796</t>
  </si>
  <si>
    <t>REC-245-BEJI-638563</t>
  </si>
  <si>
    <t>12:27:28</t>
  </si>
  <si>
    <t>0908965338</t>
  </si>
  <si>
    <t>3900944</t>
  </si>
  <si>
    <t>REC-4319-A1I3-25883</t>
  </si>
  <si>
    <t>12:37:27</t>
  </si>
  <si>
    <t>0941007759</t>
  </si>
  <si>
    <t>3930285</t>
  </si>
  <si>
    <t>REC-061-A2WZ-10612</t>
  </si>
  <si>
    <t>12:46:51</t>
  </si>
  <si>
    <t>0909368169</t>
  </si>
  <si>
    <t>3900210</t>
  </si>
  <si>
    <t>REC-165-M8MT-635183</t>
  </si>
  <si>
    <t>12:49:37</t>
  </si>
  <si>
    <t>0924769193</t>
  </si>
  <si>
    <t>3900401</t>
  </si>
  <si>
    <t>REC-165-M8MT-635184</t>
  </si>
  <si>
    <t>12:50:49</t>
  </si>
  <si>
    <t>0501004311</t>
  </si>
  <si>
    <t>23923184</t>
  </si>
  <si>
    <t>REC-613-BK8R-414115</t>
  </si>
  <si>
    <t>13:20:56</t>
  </si>
  <si>
    <t>0902980622</t>
  </si>
  <si>
    <t>3960252</t>
  </si>
  <si>
    <t>REC-096-DCIZ-440746</t>
  </si>
  <si>
    <t>13:29:07</t>
  </si>
  <si>
    <t>0917352775</t>
  </si>
  <si>
    <t>3900638</t>
  </si>
  <si>
    <t>REC-028-AJSG-540741</t>
  </si>
  <si>
    <t>14:24:06</t>
  </si>
  <si>
    <t>0902556216</t>
  </si>
  <si>
    <t>3906791</t>
  </si>
  <si>
    <t>REC-3371-EFX5-159385</t>
  </si>
  <si>
    <t>14:54:12</t>
  </si>
  <si>
    <t>0906520168</t>
  </si>
  <si>
    <t>3907350</t>
  </si>
  <si>
    <t>REC-027-AJSJ-541143</t>
  </si>
  <si>
    <t>15:17:37</t>
  </si>
  <si>
    <t>1205522582</t>
  </si>
  <si>
    <t>23923033</t>
  </si>
  <si>
    <t>REC-364-14ZM-1416913</t>
  </si>
  <si>
    <t>15:34:19</t>
  </si>
  <si>
    <t>0912135514</t>
  </si>
  <si>
    <t>3903870</t>
  </si>
  <si>
    <t>REC-3792-A39T-97062</t>
  </si>
  <si>
    <t>17:08:00</t>
  </si>
  <si>
    <t>1791240804001</t>
  </si>
  <si>
    <t>23923143</t>
  </si>
  <si>
    <t>REC-3033-M7YF-75859</t>
  </si>
  <si>
    <t>17:53:06</t>
  </si>
  <si>
    <t>0801956582</t>
  </si>
  <si>
    <t>3907404</t>
  </si>
  <si>
    <t>REC-7178-RP30-881511</t>
  </si>
  <si>
    <t>18:06:15</t>
  </si>
  <si>
    <t>0915177687</t>
  </si>
  <si>
    <t>3930168</t>
  </si>
  <si>
    <t>REC-4963-A3A0-882852</t>
  </si>
  <si>
    <t>20:52:59</t>
  </si>
  <si>
    <t>at-2979</t>
  </si>
  <si>
    <t>0924152051</t>
  </si>
  <si>
    <t>3900492</t>
  </si>
  <si>
    <t>REC-5310-Z4YZ-857950</t>
  </si>
  <si>
    <t>09:00:23</t>
  </si>
  <si>
    <t>20200128</t>
  </si>
  <si>
    <t>0919729418</t>
  </si>
  <si>
    <t>3908109</t>
  </si>
  <si>
    <t>REC-3161-KURB-409251</t>
  </si>
  <si>
    <t>10:52:42</t>
  </si>
  <si>
    <t>0916667504</t>
  </si>
  <si>
    <t>3903559</t>
  </si>
  <si>
    <t>REC-4717-FRZ4-860953</t>
  </si>
  <si>
    <t>11:08:22</t>
  </si>
  <si>
    <t>0916396617</t>
  </si>
  <si>
    <t>3908154</t>
  </si>
  <si>
    <t>REC-3187-YWS5-592233</t>
  </si>
  <si>
    <t>12:09:36</t>
  </si>
  <si>
    <t>0601832017</t>
  </si>
  <si>
    <t>3903206</t>
  </si>
  <si>
    <t>REC-3187-YWS5-592235</t>
  </si>
  <si>
    <t>12:35:00</t>
  </si>
  <si>
    <t>0924175292001</t>
  </si>
  <si>
    <t>3900343</t>
  </si>
  <si>
    <t>REC-3360-IPEN-211081</t>
  </si>
  <si>
    <t>12:46:04</t>
  </si>
  <si>
    <t>0950645234</t>
  </si>
  <si>
    <t>3902610</t>
  </si>
  <si>
    <t>REC-5424-A30D-863370</t>
  </si>
  <si>
    <t>12:49:36</t>
  </si>
  <si>
    <t>0911244127</t>
  </si>
  <si>
    <t>3908853</t>
  </si>
  <si>
    <t>REC-3172-LIO7-102803</t>
  </si>
  <si>
    <t>13:03:42</t>
  </si>
  <si>
    <t>0101018489</t>
  </si>
  <si>
    <t>3908614</t>
  </si>
  <si>
    <t>REC-3370-A6JI-229637</t>
  </si>
  <si>
    <t>14:02:42</t>
  </si>
  <si>
    <t>0925597825</t>
  </si>
  <si>
    <t>3908126</t>
  </si>
  <si>
    <t>REC-3158-KURJ-190114</t>
  </si>
  <si>
    <t>14:11:45</t>
  </si>
  <si>
    <t>0960484996</t>
  </si>
  <si>
    <t>3909867</t>
  </si>
  <si>
    <t>REC-2004-CNH2-562994</t>
  </si>
  <si>
    <t>14:29:22</t>
  </si>
  <si>
    <t>0917707218</t>
  </si>
  <si>
    <t>3909152</t>
  </si>
  <si>
    <t>REC-3172-YIGY-261278</t>
  </si>
  <si>
    <t>14:36:59</t>
  </si>
  <si>
    <t>0908765498</t>
  </si>
  <si>
    <t>3903655</t>
  </si>
  <si>
    <t>REC-072-TTF1-301495</t>
  </si>
  <si>
    <t>14:46:42</t>
  </si>
  <si>
    <t>0918698085</t>
  </si>
  <si>
    <t>3908590</t>
  </si>
  <si>
    <t>REC-4319-A1H6-19947</t>
  </si>
  <si>
    <t>15:31:16</t>
  </si>
  <si>
    <t>0918343419</t>
  </si>
  <si>
    <t>3908744</t>
  </si>
  <si>
    <t>REC-3172-LIO7-102829</t>
  </si>
  <si>
    <t>15:49:21</t>
  </si>
  <si>
    <t>0908199318</t>
  </si>
  <si>
    <t>3907511</t>
  </si>
  <si>
    <t>REC-061-ZT95-80535</t>
  </si>
  <si>
    <t>16:00:55</t>
  </si>
  <si>
    <t>0905936134</t>
  </si>
  <si>
    <t>3900973</t>
  </si>
  <si>
    <t>REC-223-V7XD-248912</t>
  </si>
  <si>
    <t>16:08:51</t>
  </si>
  <si>
    <t>0930602834</t>
  </si>
  <si>
    <t>3907624</t>
  </si>
  <si>
    <t>REC-008-PB64-372414</t>
  </si>
  <si>
    <t>16:26:18</t>
  </si>
  <si>
    <t>0930040472</t>
  </si>
  <si>
    <t>3908640</t>
  </si>
  <si>
    <t>REC-7180-RP32-867630</t>
  </si>
  <si>
    <t>16:31:27</t>
  </si>
  <si>
    <t>0500179346</t>
  </si>
  <si>
    <t>3903254</t>
  </si>
  <si>
    <t>REC-3421-A2OB-420122</t>
  </si>
  <si>
    <t>16:47:40</t>
  </si>
  <si>
    <t>0908729445</t>
  </si>
  <si>
    <t>3909145</t>
  </si>
  <si>
    <t>REC-223-V7XD-248928</t>
  </si>
  <si>
    <t>17:31:26</t>
  </si>
  <si>
    <t>0920197217</t>
  </si>
  <si>
    <t>3909826</t>
  </si>
  <si>
    <t>REC-4235-A1BQ-27779</t>
  </si>
  <si>
    <t>17:38:45</t>
  </si>
  <si>
    <t>0916583123</t>
  </si>
  <si>
    <t>3900180</t>
  </si>
  <si>
    <t>REC-027-A40B-52845</t>
  </si>
  <si>
    <t>17:43:37</t>
  </si>
  <si>
    <t>0913306932</t>
  </si>
  <si>
    <t>3901119</t>
  </si>
  <si>
    <t>REC-245-BEJI-638503</t>
  </si>
  <si>
    <t>17:57:17</t>
  </si>
  <si>
    <t>1309149035</t>
  </si>
  <si>
    <t>3907919</t>
  </si>
  <si>
    <t>REC-3023-IZCF-556920</t>
  </si>
  <si>
    <t>17:58:01</t>
  </si>
  <si>
    <t>0919262964</t>
  </si>
  <si>
    <t>3900688</t>
  </si>
  <si>
    <t>REC-096-ZU7N-238450</t>
  </si>
  <si>
    <t>19:42:58</t>
  </si>
  <si>
    <t>0919701227</t>
  </si>
  <si>
    <t>3907914</t>
  </si>
  <si>
    <t>REC-3187-A2UB-135075</t>
  </si>
  <si>
    <t>20:54:09</t>
  </si>
  <si>
    <t>0906231196</t>
  </si>
  <si>
    <t>3907916</t>
  </si>
  <si>
    <t>REC-4184-A1VM-34654</t>
  </si>
  <si>
    <t>10:56:06</t>
  </si>
  <si>
    <t>20200127</t>
  </si>
  <si>
    <t>1201077664</t>
  </si>
  <si>
    <t>3946969</t>
  </si>
  <si>
    <t>REC-223-B7CD-548361</t>
  </si>
  <si>
    <t>11:12:42</t>
  </si>
  <si>
    <t>0993064173001</t>
  </si>
  <si>
    <t>3907966</t>
  </si>
  <si>
    <t>REC-3520-A1CH-232940</t>
  </si>
  <si>
    <t>11:27:30</t>
  </si>
  <si>
    <t>0913437026</t>
  </si>
  <si>
    <t>3909017</t>
  </si>
  <si>
    <t>REC-5206-A2D9-8861</t>
  </si>
  <si>
    <t>12:07:25</t>
  </si>
  <si>
    <t>0103026498</t>
  </si>
  <si>
    <t>3906827</t>
  </si>
  <si>
    <t>REC-5530-A1MB-1195</t>
  </si>
  <si>
    <t>12:15:24</t>
  </si>
  <si>
    <t>0927693416</t>
  </si>
  <si>
    <t>3907501</t>
  </si>
  <si>
    <t>REC-3172-LIO7-102744</t>
  </si>
  <si>
    <t>12:29:57</t>
  </si>
  <si>
    <t>0917107799</t>
  </si>
  <si>
    <t>3900650</t>
  </si>
  <si>
    <t>REC-072-4PW8-186794</t>
  </si>
  <si>
    <t>12:35:04</t>
  </si>
  <si>
    <t>1102109715</t>
  </si>
  <si>
    <t>23923132</t>
  </si>
  <si>
    <t>REC-3533-CP5G-338384</t>
  </si>
  <si>
    <t>13:11:00</t>
  </si>
  <si>
    <t>0914190772</t>
  </si>
  <si>
    <t>3903728</t>
  </si>
  <si>
    <t>REC-245-BEJI-638294</t>
  </si>
  <si>
    <t>13:33:24</t>
  </si>
  <si>
    <t>0993179981001</t>
  </si>
  <si>
    <t>3909799</t>
  </si>
  <si>
    <t>REC-4164-A19X-141484</t>
  </si>
  <si>
    <t>13:36:18</t>
  </si>
  <si>
    <t>1717090797</t>
  </si>
  <si>
    <t>23923192</t>
  </si>
  <si>
    <t>REC-3045-PIWT-118390</t>
  </si>
  <si>
    <t>13:59:19</t>
  </si>
  <si>
    <t>0926954959</t>
  </si>
  <si>
    <t>3930266</t>
  </si>
  <si>
    <t>REC-3808-A3Z9-511538</t>
  </si>
  <si>
    <t>15:25:18</t>
  </si>
  <si>
    <t>0902910108</t>
  </si>
  <si>
    <t>3902059</t>
  </si>
  <si>
    <t>REC-342-EBMO-254685</t>
  </si>
  <si>
    <t>15:42:48</t>
  </si>
  <si>
    <t>0922436597</t>
  </si>
  <si>
    <t>3907730</t>
  </si>
  <si>
    <t>REC-4164-A19P-137015</t>
  </si>
  <si>
    <t>16:02:22</t>
  </si>
  <si>
    <t>0907159735</t>
  </si>
  <si>
    <t>3903200</t>
  </si>
  <si>
    <t>REC-090-IRFP-557328</t>
  </si>
  <si>
    <t>16:11:03</t>
  </si>
  <si>
    <t>0930143326</t>
  </si>
  <si>
    <t>3900443</t>
  </si>
  <si>
    <t>REC-3109-TTH2-666721</t>
  </si>
  <si>
    <t>16:15:55</t>
  </si>
  <si>
    <t>0906995568</t>
  </si>
  <si>
    <t>3900516</t>
  </si>
  <si>
    <t>REC-008-PB65-362934</t>
  </si>
  <si>
    <t>17:08:59</t>
  </si>
  <si>
    <t>0906563093</t>
  </si>
  <si>
    <t>3930111</t>
  </si>
  <si>
    <t>REC-223-B7CD-548493</t>
  </si>
  <si>
    <t>18:32:06</t>
  </si>
  <si>
    <t>0920179207</t>
  </si>
  <si>
    <t>3901586</t>
  </si>
  <si>
    <t>REC-3792-A39T-96945</t>
  </si>
  <si>
    <t>18:55:08</t>
  </si>
  <si>
    <t>0954298923</t>
  </si>
  <si>
    <t>3908059</t>
  </si>
  <si>
    <t>REC-223-V7XD-248780</t>
  </si>
  <si>
    <t>19:00:05</t>
  </si>
  <si>
    <t>0911454262</t>
  </si>
  <si>
    <t>3903893</t>
  </si>
  <si>
    <t>REC-3371-A1DS-214529</t>
  </si>
  <si>
    <t>19:31:01</t>
  </si>
  <si>
    <t>0925556904</t>
  </si>
  <si>
    <t>3930259</t>
  </si>
  <si>
    <t>REC-008-PB65-362974</t>
  </si>
  <si>
    <t>20:20:47</t>
  </si>
  <si>
    <t>0921790663</t>
  </si>
  <si>
    <t>3909851</t>
  </si>
  <si>
    <t>REC-536-2GEZ-324114</t>
  </si>
  <si>
    <t>10:04:38</t>
  </si>
  <si>
    <t>20200126</t>
  </si>
  <si>
    <t>0913207064</t>
  </si>
  <si>
    <t>3903898</t>
  </si>
  <si>
    <t>REC-3371-LD0C-264552</t>
  </si>
  <si>
    <t>10:48:30</t>
  </si>
  <si>
    <t>0918574823</t>
  </si>
  <si>
    <t>3907680</t>
  </si>
  <si>
    <t>REC-4114-VBW5-835959</t>
  </si>
  <si>
    <t>10:59:58</t>
  </si>
  <si>
    <t>0702901653</t>
  </si>
  <si>
    <t>3907842</t>
  </si>
  <si>
    <t>REC-5585-A2XB-45238</t>
  </si>
  <si>
    <t>14:35:07</t>
  </si>
  <si>
    <t>0959932641</t>
  </si>
  <si>
    <t>3908128</t>
  </si>
  <si>
    <t>REC-223-B7CD-548242</t>
  </si>
  <si>
    <t>16:58:19</t>
  </si>
  <si>
    <t>0920786688</t>
  </si>
  <si>
    <t>3906031</t>
  </si>
  <si>
    <t>REC-3182-YQG9-265052</t>
  </si>
  <si>
    <t>17:30:27</t>
  </si>
  <si>
    <t>1202370241</t>
  </si>
  <si>
    <t>3907902</t>
  </si>
  <si>
    <t>REC-3187-YWS5-592084</t>
  </si>
  <si>
    <t>18:35:21</t>
  </si>
  <si>
    <t>3907840</t>
  </si>
  <si>
    <t>REC-3187-YWS5-592085</t>
  </si>
  <si>
    <t>18:36:07</t>
  </si>
  <si>
    <t>0917765448</t>
  </si>
  <si>
    <t>3908742</t>
  </si>
  <si>
    <t>REC-3170-YGVG-304489</t>
  </si>
  <si>
    <t>09:45:51</t>
  </si>
  <si>
    <t>20200125</t>
  </si>
  <si>
    <t>0927167544</t>
  </si>
  <si>
    <t>3907877</t>
  </si>
  <si>
    <t>REC-3370-A6JI-229247</t>
  </si>
  <si>
    <t>10:20:34</t>
  </si>
  <si>
    <t>1802929255</t>
  </si>
  <si>
    <t>3903252</t>
  </si>
  <si>
    <t>REC-048-QNCI-612700</t>
  </si>
  <si>
    <t>11:16:59</t>
  </si>
  <si>
    <t>0914648787</t>
  </si>
  <si>
    <t>3930324</t>
  </si>
  <si>
    <t>REC-609-A1M3-302998</t>
  </si>
  <si>
    <t>12:58:52</t>
  </si>
  <si>
    <t>0926866591</t>
  </si>
  <si>
    <t>3907915</t>
  </si>
  <si>
    <t>REC-3023-IZCF-556637</t>
  </si>
  <si>
    <t>14:04:04</t>
  </si>
  <si>
    <t>0927935627</t>
  </si>
  <si>
    <t>3901253</t>
  </si>
  <si>
    <t>REC-901-7ZYF-385800</t>
  </si>
  <si>
    <t>15:17:56</t>
  </si>
  <si>
    <t>3900018</t>
  </si>
  <si>
    <t>REC-901-7ZYF-385801</t>
  </si>
  <si>
    <t>15:18:29</t>
  </si>
  <si>
    <t>0906938642</t>
  </si>
  <si>
    <t>3909052</t>
  </si>
  <si>
    <t>REC-3182-SS15-1958</t>
  </si>
  <si>
    <t>15:56:39</t>
  </si>
  <si>
    <t>0927177683</t>
  </si>
  <si>
    <t>3909817</t>
  </si>
  <si>
    <t>REC-3187-YWS5-592030</t>
  </si>
  <si>
    <t>18:31:30</t>
  </si>
  <si>
    <t>0942575002001</t>
  </si>
  <si>
    <t>3901638</t>
  </si>
  <si>
    <t>REC-518-RI71-175925</t>
  </si>
  <si>
    <t>20:01:15</t>
  </si>
  <si>
    <t>1716031602</t>
  </si>
  <si>
    <t>23923070</t>
  </si>
  <si>
    <t>REC-364-NKDD-360160</t>
  </si>
  <si>
    <t>09:44:09</t>
  </si>
  <si>
    <t>20200124</t>
  </si>
  <si>
    <t>0905123956</t>
  </si>
  <si>
    <t>3907675</t>
  </si>
  <si>
    <t>REC-3170-YGVG-304429</t>
  </si>
  <si>
    <t>09:59:31</t>
  </si>
  <si>
    <t>0925288300</t>
  </si>
  <si>
    <t>3907594</t>
  </si>
  <si>
    <t>REC-944-LRJW-277742</t>
  </si>
  <si>
    <t>10:24:36</t>
  </si>
  <si>
    <t>0926058413</t>
  </si>
  <si>
    <t>3906008</t>
  </si>
  <si>
    <t>REC-3187-A2UE-27401</t>
  </si>
  <si>
    <t>10:47:53</t>
  </si>
  <si>
    <t>0910364967</t>
  </si>
  <si>
    <t>3907199</t>
  </si>
  <si>
    <t>REC-241-BEJD-555458</t>
  </si>
  <si>
    <t>11:53:01</t>
  </si>
  <si>
    <t>0912617933</t>
  </si>
  <si>
    <t>3907713</t>
  </si>
  <si>
    <t>REC-027-A40B-52426</t>
  </si>
  <si>
    <t>11:59:44</t>
  </si>
  <si>
    <t>0908992951</t>
  </si>
  <si>
    <t>3901092</t>
  </si>
  <si>
    <t>REC-3301-CTQ4-820736</t>
  </si>
  <si>
    <t>13:06:01</t>
  </si>
  <si>
    <t>0922858808</t>
  </si>
  <si>
    <t>3900651</t>
  </si>
  <si>
    <t>REC-5796-A31Y-1860</t>
  </si>
  <si>
    <t>13:08:23</t>
  </si>
  <si>
    <t>0915466700</t>
  </si>
  <si>
    <t>3901510</t>
  </si>
  <si>
    <t>REC-3295-1TWC-201435</t>
  </si>
  <si>
    <t>13:38:23</t>
  </si>
  <si>
    <t>0918777459</t>
  </si>
  <si>
    <t>3909166</t>
  </si>
  <si>
    <t>REC-3577-A1IU-128112</t>
  </si>
  <si>
    <t>14:02:01</t>
  </si>
  <si>
    <t>1305703991</t>
  </si>
  <si>
    <t>3945146</t>
  </si>
  <si>
    <t>REC-4961-A24R-28976</t>
  </si>
  <si>
    <t>14:29:52</t>
  </si>
  <si>
    <t>0914002506</t>
  </si>
  <si>
    <t>3900648</t>
  </si>
  <si>
    <t>REC-3371-EGEG-229562</t>
  </si>
  <si>
    <t>14:35:13</t>
  </si>
  <si>
    <t>1204419202</t>
  </si>
  <si>
    <t>3909128</t>
  </si>
  <si>
    <t>REC-3170-YGVG-304464</t>
  </si>
  <si>
    <t>15:13:16</t>
  </si>
  <si>
    <t>0915811137</t>
  </si>
  <si>
    <t>3907587</t>
  </si>
  <si>
    <t>REC-342-VEHD-445584</t>
  </si>
  <si>
    <t>15:19:16</t>
  </si>
  <si>
    <t>0941014995</t>
  </si>
  <si>
    <t>3900333</t>
  </si>
  <si>
    <t>REC-096-DCIZ-440342</t>
  </si>
  <si>
    <t>15:41:42</t>
  </si>
  <si>
    <t>0959703901001</t>
  </si>
  <si>
    <t>3900668</t>
  </si>
  <si>
    <t>REC-223-B7CD-547924</t>
  </si>
  <si>
    <t>15:58:35</t>
  </si>
  <si>
    <t>0923801682</t>
  </si>
  <si>
    <t>3903891</t>
  </si>
  <si>
    <t>REC-2004-CNH2-562474</t>
  </si>
  <si>
    <t>16:01:49</t>
  </si>
  <si>
    <t>0914107776</t>
  </si>
  <si>
    <t>3902381</t>
  </si>
  <si>
    <t>REC-3370-A6JI-229189</t>
  </si>
  <si>
    <t>16:03:19</t>
  </si>
  <si>
    <t>0926047325</t>
  </si>
  <si>
    <t>3903348</t>
  </si>
  <si>
    <t>REC-4717-FRZ4-824511</t>
  </si>
  <si>
    <t>16:30:32</t>
  </si>
  <si>
    <t>0801883208</t>
  </si>
  <si>
    <t>3900355</t>
  </si>
  <si>
    <t>REC-3095-T359-402695</t>
  </si>
  <si>
    <t>16:37:13</t>
  </si>
  <si>
    <t>0914372701</t>
  </si>
  <si>
    <t>3906370</t>
  </si>
  <si>
    <t>REC-072-TTF1-301368</t>
  </si>
  <si>
    <t>16:38:33</t>
  </si>
  <si>
    <t>1204643652</t>
  </si>
  <si>
    <t>3909242</t>
  </si>
  <si>
    <t>REC-3182-SS15-1852</t>
  </si>
  <si>
    <t>17:01:05</t>
  </si>
  <si>
    <t>0921021192</t>
  </si>
  <si>
    <t>3907176</t>
  </si>
  <si>
    <t>REC-3182-YQHG-207340</t>
  </si>
  <si>
    <t>17:02:00</t>
  </si>
  <si>
    <t>0908213929</t>
  </si>
  <si>
    <t>3900129</t>
  </si>
  <si>
    <t>REC-072-A6LX-186188</t>
  </si>
  <si>
    <t>17:15:41</t>
  </si>
  <si>
    <t>0923792030</t>
  </si>
  <si>
    <t>3901919</t>
  </si>
  <si>
    <t>REC-028-A3ZW-55050</t>
  </si>
  <si>
    <t>17:40:35</t>
  </si>
  <si>
    <t>0915051262</t>
  </si>
  <si>
    <t>3906852</t>
  </si>
  <si>
    <t>REC-3172-LIO4-218960</t>
  </si>
  <si>
    <t>10:18:01</t>
  </si>
  <si>
    <t>20200123</t>
  </si>
  <si>
    <t>0926157298</t>
  </si>
  <si>
    <t>3907421</t>
  </si>
  <si>
    <t>REC-3172-LIO4-218961</t>
  </si>
  <si>
    <t>10:19:26</t>
  </si>
  <si>
    <t>0902099449</t>
  </si>
  <si>
    <t>3908811</t>
  </si>
  <si>
    <t>REC-5539-A2WC-401580</t>
  </si>
  <si>
    <t>10:22:30</t>
  </si>
  <si>
    <t>1103995088</t>
  </si>
  <si>
    <t>3903840</t>
  </si>
  <si>
    <t>REC-4319-A1HZ-5576</t>
  </si>
  <si>
    <t>10:45:13</t>
  </si>
  <si>
    <t>0914924196</t>
  </si>
  <si>
    <t>3909029</t>
  </si>
  <si>
    <t>REC-223-B7CD-547638</t>
  </si>
  <si>
    <t>10:55:58</t>
  </si>
  <si>
    <t>0925532343</t>
  </si>
  <si>
    <t>3906843</t>
  </si>
  <si>
    <t>REC-3510-A4F9-224041</t>
  </si>
  <si>
    <t>11:03:09</t>
  </si>
  <si>
    <t>0910755792</t>
  </si>
  <si>
    <t>3901122</t>
  </si>
  <si>
    <t>REC-3187-A2UE-27302</t>
  </si>
  <si>
    <t>11:08:49</t>
  </si>
  <si>
    <t>0911060069</t>
  </si>
  <si>
    <t>3903703</t>
  </si>
  <si>
    <t>REC-3792-A39T-96625</t>
  </si>
  <si>
    <t>11:16:09</t>
  </si>
  <si>
    <t>0920002532</t>
  </si>
  <si>
    <t>3930160</t>
  </si>
  <si>
    <t>REC-011-JVA0-495401</t>
  </si>
  <si>
    <t>11:18:58</t>
  </si>
  <si>
    <t>0927564351</t>
  </si>
  <si>
    <t>3908979</t>
  </si>
  <si>
    <t>REC-3789-ACA8-806825</t>
  </si>
  <si>
    <t>11:35:31</t>
  </si>
  <si>
    <t>1203588973</t>
  </si>
  <si>
    <t>3908971</t>
  </si>
  <si>
    <t>REC-3789-ACA8-806855</t>
  </si>
  <si>
    <t>11:37:31</t>
  </si>
  <si>
    <t>0915251995</t>
  </si>
  <si>
    <t>3903591</t>
  </si>
  <si>
    <t>REC-3023-IZCF-556447</t>
  </si>
  <si>
    <t>11:39:58</t>
  </si>
  <si>
    <t>0602835787</t>
  </si>
  <si>
    <t>23923209</t>
  </si>
  <si>
    <t>REC-5117-A283-4138</t>
  </si>
  <si>
    <t>11:45:43</t>
  </si>
  <si>
    <t>0920061587</t>
  </si>
  <si>
    <t>3906280</t>
  </si>
  <si>
    <t>REC-3371-LD0C-264246</t>
  </si>
  <si>
    <t>11:59:34</t>
  </si>
  <si>
    <t>0802413138</t>
  </si>
  <si>
    <t>3907576</t>
  </si>
  <si>
    <t>REC-3022-FNNL-519829</t>
  </si>
  <si>
    <t>12:05:21</t>
  </si>
  <si>
    <t>0901886986</t>
  </si>
  <si>
    <t>3907648</t>
  </si>
  <si>
    <t>REC-3994-A5HO-34434</t>
  </si>
  <si>
    <t>12:34:02</t>
  </si>
  <si>
    <t>3903058</t>
  </si>
  <si>
    <t>REC-3994-A5HO-34435</t>
  </si>
  <si>
    <t>12:34:18</t>
  </si>
  <si>
    <t>0919220434</t>
  </si>
  <si>
    <t>3907563</t>
  </si>
  <si>
    <t>REC-518-RI70-181640</t>
  </si>
  <si>
    <t>13:06:22</t>
  </si>
  <si>
    <t>0909772006</t>
  </si>
  <si>
    <t>3900690</t>
  </si>
  <si>
    <t>REC-090-IRFP-556747</t>
  </si>
  <si>
    <t>13:16:47</t>
  </si>
  <si>
    <t>0912557543</t>
  </si>
  <si>
    <t>3960323</t>
  </si>
  <si>
    <t>REC-3533-A4H5-374293</t>
  </si>
  <si>
    <t>13:46:24</t>
  </si>
  <si>
    <t>0909699217</t>
  </si>
  <si>
    <t>3902219</t>
  </si>
  <si>
    <t>REC-072-GPG1-206579</t>
  </si>
  <si>
    <t>13:50:45</t>
  </si>
  <si>
    <t>0917342396</t>
  </si>
  <si>
    <t>3909107</t>
  </si>
  <si>
    <t>REC-3140-V8BE-488584</t>
  </si>
  <si>
    <t>13:53:25</t>
  </si>
  <si>
    <t>0914156559</t>
  </si>
  <si>
    <t>3900647</t>
  </si>
  <si>
    <t>REC-3187-A2UB-134512</t>
  </si>
  <si>
    <t>13:56:35</t>
  </si>
  <si>
    <t>1306856616</t>
  </si>
  <si>
    <t>3902648</t>
  </si>
  <si>
    <t>REC-3182-YQG9-264842</t>
  </si>
  <si>
    <t>14:11:42</t>
  </si>
  <si>
    <t>0902702935</t>
  </si>
  <si>
    <t>3903112</t>
  </si>
  <si>
    <t>REC-3187-A2UB-134518</t>
  </si>
  <si>
    <t>14:48:20</t>
  </si>
  <si>
    <t>0915733315</t>
  </si>
  <si>
    <t>3908657</t>
  </si>
  <si>
    <t>REC-223-B7CD-547739</t>
  </si>
  <si>
    <t>16:15:35</t>
  </si>
  <si>
    <t>0914928544</t>
  </si>
  <si>
    <t>3902771</t>
  </si>
  <si>
    <t>REC-245-BEJI-637929</t>
  </si>
  <si>
    <t>16:16:07</t>
  </si>
  <si>
    <t>0916616758</t>
  </si>
  <si>
    <t>3903198</t>
  </si>
  <si>
    <t>REC-3182-YQHD-249156</t>
  </si>
  <si>
    <t>16:23:00</t>
  </si>
  <si>
    <t>0900217407</t>
  </si>
  <si>
    <t>3907422</t>
  </si>
  <si>
    <t>REC-048-QNCI-612573</t>
  </si>
  <si>
    <t>16:23:01</t>
  </si>
  <si>
    <t>0931539860</t>
  </si>
  <si>
    <t>3900016</t>
  </si>
  <si>
    <t>REC-090-9SKJ-420659</t>
  </si>
  <si>
    <t>17:03:36</t>
  </si>
  <si>
    <t>0902428952</t>
  </si>
  <si>
    <t>3903603</t>
  </si>
  <si>
    <t>REC-3577-A1IU-128007</t>
  </si>
  <si>
    <t>17:05:16</t>
  </si>
  <si>
    <t>0916360621</t>
  </si>
  <si>
    <t>3907759</t>
  </si>
  <si>
    <t>REC-5585-A2XB-44827</t>
  </si>
  <si>
    <t>17:10:29</t>
  </si>
  <si>
    <t>0930427661</t>
  </si>
  <si>
    <t>3930370</t>
  </si>
  <si>
    <t>REC-3187-A2UE-27363</t>
  </si>
  <si>
    <t>17:41:25</t>
  </si>
  <si>
    <t>0913771754</t>
  </si>
  <si>
    <t>3900510</t>
  </si>
  <si>
    <t>REC-3370-A6JI-229114</t>
  </si>
  <si>
    <t>17:57:51</t>
  </si>
  <si>
    <t>0925268393</t>
  </si>
  <si>
    <t>3903481</t>
  </si>
  <si>
    <t>REC-048-QNCI-612595</t>
  </si>
  <si>
    <t>18:49:54</t>
  </si>
  <si>
    <t>0914830682</t>
  </si>
  <si>
    <t>3930152</t>
  </si>
  <si>
    <t>REC-048-AFEP-227737</t>
  </si>
  <si>
    <t>19:01:49</t>
  </si>
  <si>
    <t>1717220428</t>
  </si>
  <si>
    <t>3909131</t>
  </si>
  <si>
    <t>REC-3187-A2UE-27178</t>
  </si>
  <si>
    <t>10:23:05</t>
  </si>
  <si>
    <t>20200122</t>
  </si>
  <si>
    <t>1707511406</t>
  </si>
  <si>
    <t>3930317</t>
  </si>
  <si>
    <t>REC-3370-A6JI-228878</t>
  </si>
  <si>
    <t>10:35:27</t>
  </si>
  <si>
    <t>1311392532</t>
  </si>
  <si>
    <t>3930097</t>
  </si>
  <si>
    <t>REC-3095-T359-402407</t>
  </si>
  <si>
    <t>10:47:21</t>
  </si>
  <si>
    <t>0926105644</t>
  </si>
  <si>
    <t>3908011</t>
  </si>
  <si>
    <t>REC-3421-A2OB-419305</t>
  </si>
  <si>
    <t>11:03:26</t>
  </si>
  <si>
    <t>0923510101</t>
  </si>
  <si>
    <t>3901716</t>
  </si>
  <si>
    <t>REC-3606-AAB4-724845</t>
  </si>
  <si>
    <t>11:36:08</t>
  </si>
  <si>
    <t>0925965014</t>
  </si>
  <si>
    <t>3907926</t>
  </si>
  <si>
    <t>REC-3172-YIGW-292341</t>
  </si>
  <si>
    <t>11:41:43</t>
  </si>
  <si>
    <t>0905367363</t>
  </si>
  <si>
    <t>3903081</t>
  </si>
  <si>
    <t>REC-3370-A6JI-228898</t>
  </si>
  <si>
    <t>11:54:06</t>
  </si>
  <si>
    <t>0931157176</t>
  </si>
  <si>
    <t>3907430</t>
  </si>
  <si>
    <t>REC-3520-A1CH-232416</t>
  </si>
  <si>
    <t>12:02:21</t>
  </si>
  <si>
    <t>0904759172</t>
  </si>
  <si>
    <t>3960377</t>
  </si>
  <si>
    <t>REC-3370-A6JI-228899</t>
  </si>
  <si>
    <t>12:05:02</t>
  </si>
  <si>
    <t>0903553584</t>
  </si>
  <si>
    <t>3945470</t>
  </si>
  <si>
    <t>REC-223-V7XD-248071</t>
  </si>
  <si>
    <t>12:49:58</t>
  </si>
  <si>
    <t>0927239467</t>
  </si>
  <si>
    <t>3909907</t>
  </si>
  <si>
    <t>REC-4960-A1QG-66126</t>
  </si>
  <si>
    <t>13:59:42</t>
  </si>
  <si>
    <t>1714820766001</t>
  </si>
  <si>
    <t>23923110</t>
  </si>
  <si>
    <t>REC-3214-H62C-428042</t>
  </si>
  <si>
    <t>14:31:26</t>
  </si>
  <si>
    <t>0913616017</t>
  </si>
  <si>
    <t>3945263</t>
  </si>
  <si>
    <t>REC-3806-A3Z2-5608</t>
  </si>
  <si>
    <t>15:34:25</t>
  </si>
  <si>
    <t>0925927311</t>
  </si>
  <si>
    <t>3930367</t>
  </si>
  <si>
    <t>REC-5585-A2XB-44688</t>
  </si>
  <si>
    <t>16:38:59</t>
  </si>
  <si>
    <t>0992362219001</t>
  </si>
  <si>
    <t>3900958</t>
  </si>
  <si>
    <t>REC-223-V7XD-248161</t>
  </si>
  <si>
    <t>16:44:08</t>
  </si>
  <si>
    <t>3930014</t>
  </si>
  <si>
    <t>REC-223-V7XD-248162</t>
  </si>
  <si>
    <t>16:44:32</t>
  </si>
  <si>
    <t>0908784382</t>
  </si>
  <si>
    <t>3900281</t>
  </si>
  <si>
    <t>REC-223-V7XD-248189</t>
  </si>
  <si>
    <t>17:44:18</t>
  </si>
  <si>
    <t>0908784465</t>
  </si>
  <si>
    <t>3901947</t>
  </si>
  <si>
    <t>REC-223-V7XD-248190</t>
  </si>
  <si>
    <t>17:45:03</t>
  </si>
  <si>
    <t>0914495866</t>
  </si>
  <si>
    <t>3907638</t>
  </si>
  <si>
    <t>REC-4313-IAI9-800607</t>
  </si>
  <si>
    <t>18:00:50</t>
  </si>
  <si>
    <t>0912480639</t>
  </si>
  <si>
    <t>3901738</t>
  </si>
  <si>
    <t>REC-3200-SAMD-260441</t>
  </si>
  <si>
    <t>18:32:55</t>
  </si>
  <si>
    <t>0923837017</t>
  </si>
  <si>
    <t>3902501</t>
  </si>
  <si>
    <t>REC-5585-A2XB-44716</t>
  </si>
  <si>
    <t>18:37:39</t>
  </si>
  <si>
    <t>0920460409</t>
  </si>
  <si>
    <t>3909999</t>
  </si>
  <si>
    <t>REC-072-A6LX-185783</t>
  </si>
  <si>
    <t>09:24:53</t>
  </si>
  <si>
    <t>20200121</t>
  </si>
  <si>
    <t>1755876958</t>
  </si>
  <si>
    <t>23923099</t>
  </si>
  <si>
    <t>REC-568-YXPM-420059</t>
  </si>
  <si>
    <t>09:33:32</t>
  </si>
  <si>
    <t>1203367998</t>
  </si>
  <si>
    <t>3901939</t>
  </si>
  <si>
    <t>REC-4202-A16N-6877</t>
  </si>
  <si>
    <t>10:33:23</t>
  </si>
  <si>
    <t>0924425291</t>
  </si>
  <si>
    <t>3930345</t>
  </si>
  <si>
    <t>REC-3143-AWFJ-314196</t>
  </si>
  <si>
    <t>10:40:32</t>
  </si>
  <si>
    <t>0917734329</t>
  </si>
  <si>
    <t>3909899</t>
  </si>
  <si>
    <t>REC-3161-KURB-408473</t>
  </si>
  <si>
    <t>10:54:06</t>
  </si>
  <si>
    <t>0916828072</t>
  </si>
  <si>
    <t>3930291</t>
  </si>
  <si>
    <t>REC-3095-T359-402246</t>
  </si>
  <si>
    <t>11:20:24</t>
  </si>
  <si>
    <t>0903358794</t>
  </si>
  <si>
    <t>3945281</t>
  </si>
  <si>
    <t>REC-3187-YWS5-591551</t>
  </si>
  <si>
    <t>11:48:58</t>
  </si>
  <si>
    <t>1803782596001</t>
  </si>
  <si>
    <t>3901749</t>
  </si>
  <si>
    <t>REC-7197-RP49-533</t>
  </si>
  <si>
    <t>14:44:54</t>
  </si>
  <si>
    <t>1305674952</t>
  </si>
  <si>
    <t>3902175</t>
  </si>
  <si>
    <t>REC-4388-FRZ7-781655</t>
  </si>
  <si>
    <t>14:54:51</t>
  </si>
  <si>
    <t>0992713844001</t>
  </si>
  <si>
    <t>3903850</t>
  </si>
  <si>
    <t>REC-045-AFEZ-543339</t>
  </si>
  <si>
    <t>16:26:27</t>
  </si>
  <si>
    <t>0905830097</t>
  </si>
  <si>
    <t>3945218</t>
  </si>
  <si>
    <t>REC-223-B7CD-547294</t>
  </si>
  <si>
    <t>16:33:43</t>
  </si>
  <si>
    <t>0919040162</t>
  </si>
  <si>
    <t>3907293</t>
  </si>
  <si>
    <t>REC-3808-A3Z9-511137</t>
  </si>
  <si>
    <t>17:57:37</t>
  </si>
  <si>
    <t>1310368152</t>
  </si>
  <si>
    <t>3906004</t>
  </si>
  <si>
    <t>REC-3182-YQHD-248967</t>
  </si>
  <si>
    <t>18:30:42</t>
  </si>
  <si>
    <t>1203370927</t>
  </si>
  <si>
    <t>3906797</t>
  </si>
  <si>
    <t>REC-585-ZQVC-436969</t>
  </si>
  <si>
    <t>18:56:24</t>
  </si>
  <si>
    <t>0913383626</t>
  </si>
  <si>
    <t>3909034</t>
  </si>
  <si>
    <t>REC-3187-A2UE-27162</t>
  </si>
  <si>
    <t>19:18:58</t>
  </si>
  <si>
    <t>1311389868</t>
  </si>
  <si>
    <t>3903515</t>
  </si>
  <si>
    <t>REC-3187-YWS5-591651</t>
  </si>
  <si>
    <t>20:34:05</t>
  </si>
  <si>
    <t>0932266158</t>
  </si>
  <si>
    <t>3903376</t>
  </si>
  <si>
    <t>REC-4963-A3A0-750101</t>
  </si>
  <si>
    <t>08:24:35</t>
  </si>
  <si>
    <t>20200120</t>
  </si>
  <si>
    <t>0907043582</t>
  </si>
  <si>
    <t>3900411</t>
  </si>
  <si>
    <t>REC-4767-FSE8-750752</t>
  </si>
  <si>
    <t>08:53:44</t>
  </si>
  <si>
    <t>0926200486</t>
  </si>
  <si>
    <t>3902759</t>
  </si>
  <si>
    <t>REC-011-VD5Z-327934</t>
  </si>
  <si>
    <t>10:27:34</t>
  </si>
  <si>
    <t>0913314530</t>
  </si>
  <si>
    <t>3907743</t>
  </si>
  <si>
    <t>REC-4319-A12B-4778</t>
  </si>
  <si>
    <t>10:33:04</t>
  </si>
  <si>
    <t>0904966850</t>
  </si>
  <si>
    <t>3900206</t>
  </si>
  <si>
    <t>REC-4963-A3A0-754596</t>
  </si>
  <si>
    <t>10:44:53</t>
  </si>
  <si>
    <t>1102778493001</t>
  </si>
  <si>
    <t>3902627</t>
  </si>
  <si>
    <t>REC-3422-A3IU-612683</t>
  </si>
  <si>
    <t>10:52:01</t>
  </si>
  <si>
    <t>0917151714</t>
  </si>
  <si>
    <t>3906851</t>
  </si>
  <si>
    <t>REC-543-U5H7-545822</t>
  </si>
  <si>
    <t>11:14:57</t>
  </si>
  <si>
    <t>1305239111</t>
  </si>
  <si>
    <t>3906819</t>
  </si>
  <si>
    <t>REC-5544-A967-48392</t>
  </si>
  <si>
    <t>11:26:51</t>
  </si>
  <si>
    <t>REC-048-AFEP-227287</t>
  </si>
  <si>
    <t>11:36:11</t>
  </si>
  <si>
    <t>0102311073001</t>
  </si>
  <si>
    <t>23923224</t>
  </si>
  <si>
    <t>REC-620-VWAG-102822</t>
  </si>
  <si>
    <t>12:07:30</t>
  </si>
  <si>
    <t>0915087324</t>
  </si>
  <si>
    <t>3902689</t>
  </si>
  <si>
    <t>REC-072-KBN0-223254</t>
  </si>
  <si>
    <t>12:33:47</t>
  </si>
  <si>
    <t>0992957549001</t>
  </si>
  <si>
    <t>3907412</t>
  </si>
  <si>
    <t>REC-536-2GEZ-323484</t>
  </si>
  <si>
    <t>12:42:27</t>
  </si>
  <si>
    <t>3907410</t>
  </si>
  <si>
    <t>REC-536-2GEZ-323485</t>
  </si>
  <si>
    <t>12:43:28</t>
  </si>
  <si>
    <t>3907411</t>
  </si>
  <si>
    <t>REC-536-2GEZ-323486</t>
  </si>
  <si>
    <t>12:43:55</t>
  </si>
  <si>
    <t>0912097631</t>
  </si>
  <si>
    <t>3945098</t>
  </si>
  <si>
    <t>REC-3371-A1DS-213747</t>
  </si>
  <si>
    <t>13:01:38</t>
  </si>
  <si>
    <t>0918602996001</t>
  </si>
  <si>
    <t>3907818</t>
  </si>
  <si>
    <t>REC-4866-A1XE-759608</t>
  </si>
  <si>
    <t>13:10:03</t>
  </si>
  <si>
    <t>0919738260</t>
  </si>
  <si>
    <t>3901380</t>
  </si>
  <si>
    <t>REC-518-RI71-175389</t>
  </si>
  <si>
    <t>13:31:35</t>
  </si>
  <si>
    <t>0802360354</t>
  </si>
  <si>
    <t>3907944</t>
  </si>
  <si>
    <t>REC-348-1R2Q-419415</t>
  </si>
  <si>
    <t>14:49:49</t>
  </si>
  <si>
    <t>0913467080</t>
  </si>
  <si>
    <t>3900527</t>
  </si>
  <si>
    <t>REC-348-1R2Q-419440</t>
  </si>
  <si>
    <t>16:01:02</t>
  </si>
  <si>
    <t>1304158122001</t>
  </si>
  <si>
    <t>3902510</t>
  </si>
  <si>
    <t>REC-4961-A24R-28661</t>
  </si>
  <si>
    <t>16:07:25</t>
  </si>
  <si>
    <t>0925443160</t>
  </si>
  <si>
    <t>3907136</t>
  </si>
  <si>
    <t>REC-3187-A2UE-26995</t>
  </si>
  <si>
    <t>16:41:10</t>
  </si>
  <si>
    <t>0930586169</t>
  </si>
  <si>
    <t>3903653</t>
  </si>
  <si>
    <t>REC-3161-KURB-408372</t>
  </si>
  <si>
    <t>16:44:35</t>
  </si>
  <si>
    <t>0913019956</t>
  </si>
  <si>
    <t>3930032</t>
  </si>
  <si>
    <t>REC-5695-A2E3-6596</t>
  </si>
  <si>
    <t>17:07:31</t>
  </si>
  <si>
    <t>3908876</t>
  </si>
  <si>
    <t>REC-5695-A2E3-6597</t>
  </si>
  <si>
    <t>17:07:48</t>
  </si>
  <si>
    <t>0930561733</t>
  </si>
  <si>
    <t>3907450</t>
  </si>
  <si>
    <t>REC-4388-FRZ6-768011</t>
  </si>
  <si>
    <t>17:25:46</t>
  </si>
  <si>
    <t>0908766967</t>
  </si>
  <si>
    <t>3909219</t>
  </si>
  <si>
    <t>REC-4313-IAI9-768098</t>
  </si>
  <si>
    <t>17:29:16</t>
  </si>
  <si>
    <t>0923897490</t>
  </si>
  <si>
    <t>3909122</t>
  </si>
  <si>
    <t>REC-3161-KURB-408401</t>
  </si>
  <si>
    <t>17:31:32</t>
  </si>
  <si>
    <t>0924666019</t>
  </si>
  <si>
    <t>3900906</t>
  </si>
  <si>
    <t>REC-3200-SAMB-490625</t>
  </si>
  <si>
    <t>17:52:41</t>
  </si>
  <si>
    <t>0930477708</t>
  </si>
  <si>
    <t>3901482</t>
  </si>
  <si>
    <t>REC-072-AJ3R-228139</t>
  </si>
  <si>
    <t>18:42:49</t>
  </si>
  <si>
    <t>0923445563</t>
  </si>
  <si>
    <t>3930335</t>
  </si>
  <si>
    <t>REC-3510-A4F9-223680</t>
  </si>
  <si>
    <t>18:44:34</t>
  </si>
  <si>
    <t>0925117186</t>
  </si>
  <si>
    <t>3903185</t>
  </si>
  <si>
    <t>REC-4164-A19P-136308</t>
  </si>
  <si>
    <t>19:07:52</t>
  </si>
  <si>
    <t>0958495467</t>
  </si>
  <si>
    <t>3908972</t>
  </si>
  <si>
    <t>REC-3187-YWS5-591527</t>
  </si>
  <si>
    <t>20:01:09</t>
  </si>
  <si>
    <t>1309079604</t>
  </si>
  <si>
    <t>3906762</t>
  </si>
  <si>
    <t>REC-3189-YWSY-150237</t>
  </si>
  <si>
    <t>09:50:59</t>
  </si>
  <si>
    <t>20200119</t>
  </si>
  <si>
    <t>0912067295</t>
  </si>
  <si>
    <t>3908021</t>
  </si>
  <si>
    <t>REC-4257-A221-103123</t>
  </si>
  <si>
    <t>10:52:50</t>
  </si>
  <si>
    <t>0915104665</t>
  </si>
  <si>
    <t>3902774</t>
  </si>
  <si>
    <t>REC-3187-A2UB-134021</t>
  </si>
  <si>
    <t>12:16:38</t>
  </si>
  <si>
    <t>1716164395001</t>
  </si>
  <si>
    <t>23923168</t>
  </si>
  <si>
    <t>REC-568-YYC0-1570766</t>
  </si>
  <si>
    <t>12:22:48</t>
  </si>
  <si>
    <t>0925335432</t>
  </si>
  <si>
    <t>3902645</t>
  </si>
  <si>
    <t>REC-5635-A2YS-6638</t>
  </si>
  <si>
    <t>12:45:52</t>
  </si>
  <si>
    <t>0913431466</t>
  </si>
  <si>
    <t>3960293</t>
  </si>
  <si>
    <t>REC-3370-A6JI-228418</t>
  </si>
  <si>
    <t>13:01:39</t>
  </si>
  <si>
    <t>REC-097-AJSC-478194</t>
  </si>
  <si>
    <t>14:37:56</t>
  </si>
  <si>
    <t>1700258294</t>
  </si>
  <si>
    <t>23923092</t>
  </si>
  <si>
    <t>REC-3533-A4H5-373976</t>
  </si>
  <si>
    <t>15:04:26</t>
  </si>
  <si>
    <t>0918504937</t>
  </si>
  <si>
    <t>3907811</t>
  </si>
  <si>
    <t>REC-348-1R2Q-419277</t>
  </si>
  <si>
    <t>15:52:13</t>
  </si>
  <si>
    <t>0907416861</t>
  </si>
  <si>
    <t>3900924</t>
  </si>
  <si>
    <t>REC-3520-A1CH-231917</t>
  </si>
  <si>
    <t>09:47:58</t>
  </si>
  <si>
    <t>20200118</t>
  </si>
  <si>
    <t>0927861740</t>
  </si>
  <si>
    <t>3909203</t>
  </si>
  <si>
    <t>REC-096-HG9K-291502</t>
  </si>
  <si>
    <t>11:09:38</t>
  </si>
  <si>
    <t>0920334885</t>
  </si>
  <si>
    <t>3909925</t>
  </si>
  <si>
    <t>REC-7305-RQ50-169</t>
  </si>
  <si>
    <t>11:58:59</t>
  </si>
  <si>
    <t>1312041898</t>
  </si>
  <si>
    <t>3902787</t>
  </si>
  <si>
    <t>REC-355-J4YM-645916</t>
  </si>
  <si>
    <t>12:02:55</t>
  </si>
  <si>
    <t>0915828966</t>
  </si>
  <si>
    <t>3909168</t>
  </si>
  <si>
    <t>REC-3182-SS15-1330</t>
  </si>
  <si>
    <t>12:40:03</t>
  </si>
  <si>
    <t>0910934413</t>
  </si>
  <si>
    <t>3920094</t>
  </si>
  <si>
    <t>REC-7180-RP32-738018</t>
  </si>
  <si>
    <t>12:51:36</t>
  </si>
  <si>
    <t>0909314551</t>
  </si>
  <si>
    <t>3930251</t>
  </si>
  <si>
    <t>REC-3109-TTH2-665729</t>
  </si>
  <si>
    <t>14:57:25</t>
  </si>
  <si>
    <t>0931622955</t>
  </si>
  <si>
    <t>3900432</t>
  </si>
  <si>
    <t>REC-3187-A2UB-133938</t>
  </si>
  <si>
    <t>15:02:25</t>
  </si>
  <si>
    <t>1714856075</t>
  </si>
  <si>
    <t>23923196</t>
  </si>
  <si>
    <t>REC-4240-A1LP-395716</t>
  </si>
  <si>
    <t>17:29:34</t>
  </si>
  <si>
    <t>0908598196001</t>
  </si>
  <si>
    <t>3902347</t>
  </si>
  <si>
    <t>REC-008-PB64-371603</t>
  </si>
  <si>
    <t>20:27:09</t>
  </si>
  <si>
    <t>3900303</t>
  </si>
  <si>
    <t>REC-008-PB64-371604</t>
  </si>
  <si>
    <t>20:27:48</t>
  </si>
  <si>
    <t>0904242328</t>
  </si>
  <si>
    <t>3907405</t>
  </si>
  <si>
    <t>REC-061-SPOX-296857</t>
  </si>
  <si>
    <t>08:51:40</t>
  </si>
  <si>
    <t>20200117</t>
  </si>
  <si>
    <t>0931707772</t>
  </si>
  <si>
    <t>3908613</t>
  </si>
  <si>
    <t>REC-5310-Z4YZ-717937</t>
  </si>
  <si>
    <t>10:10:28</t>
  </si>
  <si>
    <t>0922073648</t>
  </si>
  <si>
    <t>3908734</t>
  </si>
  <si>
    <t>REC-096-LIO1-531971</t>
  </si>
  <si>
    <t>10:26:51</t>
  </si>
  <si>
    <t>0919501122</t>
  </si>
  <si>
    <t>3900400</t>
  </si>
  <si>
    <t>REC-5680-XTE2-869</t>
  </si>
  <si>
    <t>10:31:24</t>
  </si>
  <si>
    <t>1309677688001</t>
  </si>
  <si>
    <t>3900348</t>
  </si>
  <si>
    <t>REC-165-M8MT-633974</t>
  </si>
  <si>
    <t>11:39:22</t>
  </si>
  <si>
    <t>0940717697</t>
  </si>
  <si>
    <t>3909190</t>
  </si>
  <si>
    <t>REC-3182-YQHG-206717</t>
  </si>
  <si>
    <t>12:41:39</t>
  </si>
  <si>
    <t>0958056426</t>
  </si>
  <si>
    <t>3906882</t>
  </si>
  <si>
    <t>REC-3023-IZCF-555958</t>
  </si>
  <si>
    <t>12:55:42</t>
  </si>
  <si>
    <t>0917766024</t>
  </si>
  <si>
    <t>3906775</t>
  </si>
  <si>
    <t>REC-096-DCIZ-439618</t>
  </si>
  <si>
    <t>13:14:57</t>
  </si>
  <si>
    <t>0950306829</t>
  </si>
  <si>
    <t>3902251</t>
  </si>
  <si>
    <t>REC-223-V7XD-247314</t>
  </si>
  <si>
    <t>13:49:19</t>
  </si>
  <si>
    <t>0941080079</t>
  </si>
  <si>
    <t>3907150</t>
  </si>
  <si>
    <t>REC-3808-A3Z9-510739</t>
  </si>
  <si>
    <t>14:03:08</t>
  </si>
  <si>
    <t>0919496166</t>
  </si>
  <si>
    <t>3900450</t>
  </si>
  <si>
    <t>REC-3182-SS15-1178</t>
  </si>
  <si>
    <t>14:12:53</t>
  </si>
  <si>
    <t>0926571589</t>
  </si>
  <si>
    <t>3907153</t>
  </si>
  <si>
    <t>REC-096-DCIZ-439632</t>
  </si>
  <si>
    <t>15:04:38</t>
  </si>
  <si>
    <t>0911596591</t>
  </si>
  <si>
    <t>3900608</t>
  </si>
  <si>
    <t>REC-090-ULDN-569598</t>
  </si>
  <si>
    <t>15:36:22</t>
  </si>
  <si>
    <t>2200041412</t>
  </si>
  <si>
    <t>3909213</t>
  </si>
  <si>
    <t>REC-165-M8MT-634018</t>
  </si>
  <si>
    <t>16:14:28</t>
  </si>
  <si>
    <t>0930033378</t>
  </si>
  <si>
    <t>3908861</t>
  </si>
  <si>
    <t>REC-3172-YIGW-291848</t>
  </si>
  <si>
    <t>16:38:47</t>
  </si>
  <si>
    <t>0925471724</t>
  </si>
  <si>
    <t>3901332</t>
  </si>
  <si>
    <t>REC-2004-CNH2-561318</t>
  </si>
  <si>
    <t>16:49:12</t>
  </si>
  <si>
    <t>0502498330</t>
  </si>
  <si>
    <t>23923054</t>
  </si>
  <si>
    <t>REC-3097-T5OZ-1459139</t>
  </si>
  <si>
    <t>17:06:56</t>
  </si>
  <si>
    <t>0911367431</t>
  </si>
  <si>
    <t>3907859</t>
  </si>
  <si>
    <t>REC-944-LRJ0-372031</t>
  </si>
  <si>
    <t>18:23:25</t>
  </si>
  <si>
    <t>0923059737</t>
  </si>
  <si>
    <t>3908003</t>
  </si>
  <si>
    <t>REC-4164-A19P-135932</t>
  </si>
  <si>
    <t>18:37:26</t>
  </si>
  <si>
    <t>0950567362</t>
  </si>
  <si>
    <t>3930025</t>
  </si>
  <si>
    <t>REC-3172-YIG8-294518</t>
  </si>
  <si>
    <t>20:38:44</t>
  </si>
  <si>
    <t>0940222755</t>
  </si>
  <si>
    <t>3907259</t>
  </si>
  <si>
    <t>REC-5987-GFL4-700094</t>
  </si>
  <si>
    <t>08:38:20</t>
  </si>
  <si>
    <t>20200116</t>
  </si>
  <si>
    <t>0950690453</t>
  </si>
  <si>
    <t>3901719</t>
  </si>
  <si>
    <t>REC-678-3V18-553681</t>
  </si>
  <si>
    <t>09:14:02</t>
  </si>
  <si>
    <t>1101939864</t>
  </si>
  <si>
    <t>23923056</t>
  </si>
  <si>
    <t>REC-3093-T2A8-434031</t>
  </si>
  <si>
    <t>09:34:24</t>
  </si>
  <si>
    <t>0911281806</t>
  </si>
  <si>
    <t>3900583</t>
  </si>
  <si>
    <t>REC-2004-CNH2-561047</t>
  </si>
  <si>
    <t>09:40:42</t>
  </si>
  <si>
    <t>0927045310</t>
  </si>
  <si>
    <t>3900470</t>
  </si>
  <si>
    <t>REC-3022-FNNL-519239</t>
  </si>
  <si>
    <t>10:16:01</t>
  </si>
  <si>
    <t>1304422429</t>
  </si>
  <si>
    <t>23923051</t>
  </si>
  <si>
    <t>REC-5243-A2DR-6306</t>
  </si>
  <si>
    <t>10:30:10</t>
  </si>
  <si>
    <t>0908390396</t>
  </si>
  <si>
    <t>3907757</t>
  </si>
  <si>
    <t>REC-223-B7CD-546484</t>
  </si>
  <si>
    <t>11:13:48</t>
  </si>
  <si>
    <t>0926639022</t>
  </si>
  <si>
    <t>3930252</t>
  </si>
  <si>
    <t>REC-090-ULDN-569450</t>
  </si>
  <si>
    <t>12:25:54</t>
  </si>
  <si>
    <t>0916205917</t>
  </si>
  <si>
    <t>3945509</t>
  </si>
  <si>
    <t>REC-061-SPOX-296826</t>
  </si>
  <si>
    <t>12:25:59</t>
  </si>
  <si>
    <t>0911091346</t>
  </si>
  <si>
    <t>3903953</t>
  </si>
  <si>
    <t>REC-008-PB65-361765</t>
  </si>
  <si>
    <t>12:33:27</t>
  </si>
  <si>
    <t>0923735534</t>
  </si>
  <si>
    <t>3901640</t>
  </si>
  <si>
    <t>REC-678-3V18-553719</t>
  </si>
  <si>
    <t>12:52:48</t>
  </si>
  <si>
    <t>0920740727</t>
  </si>
  <si>
    <t>3930048</t>
  </si>
  <si>
    <t>REC-5987-GFL4-706173</t>
  </si>
  <si>
    <t>12:56:25</t>
  </si>
  <si>
    <t>0925847998</t>
  </si>
  <si>
    <t>3907392</t>
  </si>
  <si>
    <t>REC-3371-EGEG-228812</t>
  </si>
  <si>
    <t>15:02:58</t>
  </si>
  <si>
    <t>0916649700</t>
  </si>
  <si>
    <t>3900046</t>
  </si>
  <si>
    <t>REC-4164-A1CB-109576</t>
  </si>
  <si>
    <t>15:26:19</t>
  </si>
  <si>
    <t>0923276059</t>
  </si>
  <si>
    <t>3906895</t>
  </si>
  <si>
    <t>REC-3792-A24Z-536292</t>
  </si>
  <si>
    <t>15:45:22</t>
  </si>
  <si>
    <t>0925282824</t>
  </si>
  <si>
    <t>3900467</t>
  </si>
  <si>
    <t>REC-3520-A1CH-231758</t>
  </si>
  <si>
    <t>16:46:34</t>
  </si>
  <si>
    <t>1309814968</t>
  </si>
  <si>
    <t>3906284</t>
  </si>
  <si>
    <t>REC-3520-A1CH-231760</t>
  </si>
  <si>
    <t>16:49:05</t>
  </si>
  <si>
    <t>0901989921</t>
  </si>
  <si>
    <t>3930301</t>
  </si>
  <si>
    <t>REC-5276-A2G3-213686</t>
  </si>
  <si>
    <t>16:56:22</t>
  </si>
  <si>
    <t>1704580149</t>
  </si>
  <si>
    <t>23923118</t>
  </si>
  <si>
    <t>REC-3045-U2XV-12696</t>
  </si>
  <si>
    <t>17:43:02</t>
  </si>
  <si>
    <t>0913448189</t>
  </si>
  <si>
    <t>3908051</t>
  </si>
  <si>
    <t>REC-5695-A2E3-6444</t>
  </si>
  <si>
    <t>17:52:54</t>
  </si>
  <si>
    <t>0602041287</t>
  </si>
  <si>
    <t>3900606</t>
  </si>
  <si>
    <t>REC-944-ZF9M-183648</t>
  </si>
  <si>
    <t>18:00:48</t>
  </si>
  <si>
    <t>0902255900</t>
  </si>
  <si>
    <t>3960331</t>
  </si>
  <si>
    <t>REC-008-PB64-371261</t>
  </si>
  <si>
    <t>18:18:54</t>
  </si>
  <si>
    <t>0912652583</t>
  </si>
  <si>
    <t>3903275</t>
  </si>
  <si>
    <t>REC-3370-A6JI-228089</t>
  </si>
  <si>
    <t>18:21:14</t>
  </si>
  <si>
    <t>0921628723</t>
  </si>
  <si>
    <t>3907673</t>
  </si>
  <si>
    <t>REC-096-DCIZ-439583</t>
  </si>
  <si>
    <t>19:09:23</t>
  </si>
  <si>
    <t>0960752079</t>
  </si>
  <si>
    <t>3930021</t>
  </si>
  <si>
    <t>REC-611-J4ZN-483136</t>
  </si>
  <si>
    <t>09:58:26</t>
  </si>
  <si>
    <t>20200115</t>
  </si>
  <si>
    <t>1718202680</t>
  </si>
  <si>
    <t>3909053</t>
  </si>
  <si>
    <t>REC-944-LRJW-276879</t>
  </si>
  <si>
    <t>10:41:23</t>
  </si>
  <si>
    <t>1200568259</t>
  </si>
  <si>
    <t>3950175</t>
  </si>
  <si>
    <t>REC-3175-A3LN-107920</t>
  </si>
  <si>
    <t>10:49:09</t>
  </si>
  <si>
    <t>0927217976</t>
  </si>
  <si>
    <t>3902106</t>
  </si>
  <si>
    <t>REC-072-KBN0-222124</t>
  </si>
  <si>
    <t>11:12:21</t>
  </si>
  <si>
    <t>0992651008001</t>
  </si>
  <si>
    <t>3906281</t>
  </si>
  <si>
    <t>REC-008-PB65-361572</t>
  </si>
  <si>
    <t>11:14:05</t>
  </si>
  <si>
    <t>0907595235</t>
  </si>
  <si>
    <t>3907389</t>
  </si>
  <si>
    <t>REC-3172-YIG8-294062</t>
  </si>
  <si>
    <t>11:19:52</t>
  </si>
  <si>
    <t>0953153244</t>
  </si>
  <si>
    <t>3907195</t>
  </si>
  <si>
    <t>REC-3421-A2OB-418237</t>
  </si>
  <si>
    <t>11:33:38</t>
  </si>
  <si>
    <t>0802150615</t>
  </si>
  <si>
    <t>23923199</t>
  </si>
  <si>
    <t>REC-569-YXPK-1460912</t>
  </si>
  <si>
    <t>12:37:13</t>
  </si>
  <si>
    <t>1310929656</t>
  </si>
  <si>
    <t>3900929</t>
  </si>
  <si>
    <t>REC-4824-FSL1-689200</t>
  </si>
  <si>
    <t>13:14:33</t>
  </si>
  <si>
    <t>0962079711</t>
  </si>
  <si>
    <t>3908153</t>
  </si>
  <si>
    <t>REC-090-ULDN-569367</t>
  </si>
  <si>
    <t>13:24:18</t>
  </si>
  <si>
    <t>0907308845</t>
  </si>
  <si>
    <t>3907441</t>
  </si>
  <si>
    <t>REC-3371-LD0C-263063</t>
  </si>
  <si>
    <t>13:28:39</t>
  </si>
  <si>
    <t>0919757195</t>
  </si>
  <si>
    <t>3903380</t>
  </si>
  <si>
    <t>REC-096-HG9K-291191</t>
  </si>
  <si>
    <t>13:37:51</t>
  </si>
  <si>
    <t>REC-011-VD5Z-327257</t>
  </si>
  <si>
    <t>14:24:19</t>
  </si>
  <si>
    <t>0904860160</t>
  </si>
  <si>
    <t>3905114</t>
  </si>
  <si>
    <t>REC-072-KBN0-222192</t>
  </si>
  <si>
    <t>14:39:02</t>
  </si>
  <si>
    <t>0918053141</t>
  </si>
  <si>
    <t>3909106</t>
  </si>
  <si>
    <t>REC-543-U5H7-545320</t>
  </si>
  <si>
    <t>14:55:39</t>
  </si>
  <si>
    <t>0705855153</t>
  </si>
  <si>
    <t>3902686</t>
  </si>
  <si>
    <t>REC-944-LRJ0-371548</t>
  </si>
  <si>
    <t>14:55:42</t>
  </si>
  <si>
    <t>0954753190</t>
  </si>
  <si>
    <t>3906907</t>
  </si>
  <si>
    <t>REC-5762-FE91-691894</t>
  </si>
  <si>
    <t>15:04:08</t>
  </si>
  <si>
    <t>0913522017</t>
  </si>
  <si>
    <t>3901539</t>
  </si>
  <si>
    <t>REC-3370-A6JI-227887</t>
  </si>
  <si>
    <t>15:38:40</t>
  </si>
  <si>
    <t>0920503562</t>
  </si>
  <si>
    <t>3906899</t>
  </si>
  <si>
    <t>REC-678-3V18-553622</t>
  </si>
  <si>
    <t>15:50:22</t>
  </si>
  <si>
    <t>0931612790</t>
  </si>
  <si>
    <t>3901228</t>
  </si>
  <si>
    <t>REC-3172-YIHD-229605</t>
  </si>
  <si>
    <t>16:10:33</t>
  </si>
  <si>
    <t>0928726637</t>
  </si>
  <si>
    <t>3909001</t>
  </si>
  <si>
    <t>REC-5987-GFL4-695004</t>
  </si>
  <si>
    <t>16:41:38</t>
  </si>
  <si>
    <t>0926515909</t>
  </si>
  <si>
    <t>3907976</t>
  </si>
  <si>
    <t>REC-355-N45U-535073</t>
  </si>
  <si>
    <t>18:05:04</t>
  </si>
  <si>
    <t>0907688675</t>
  </si>
  <si>
    <t>3900373</t>
  </si>
  <si>
    <t>REC-518-RI70-180974</t>
  </si>
  <si>
    <t>18:45:23</t>
  </si>
  <si>
    <t>0913794848</t>
  </si>
  <si>
    <t>3906716</t>
  </si>
  <si>
    <t>REC-3370-A6JI-227964</t>
  </si>
  <si>
    <t>19:31:28</t>
  </si>
  <si>
    <t>0914537717</t>
  </si>
  <si>
    <t>3901631</t>
  </si>
  <si>
    <t>REC-4301-IAI1-663310</t>
  </si>
  <si>
    <t>07:42:37</t>
  </si>
  <si>
    <t>20200114</t>
  </si>
  <si>
    <t>0905742508</t>
  </si>
  <si>
    <t>3909252</t>
  </si>
  <si>
    <t>REC-3360-IPEN-209547</t>
  </si>
  <si>
    <t>09:27:13</t>
  </si>
  <si>
    <t>0907936744</t>
  </si>
  <si>
    <t>3907687</t>
  </si>
  <si>
    <t>REC-4966-A3Z7-665216</t>
  </si>
  <si>
    <t>09:37:13</t>
  </si>
  <si>
    <t>0918147190</t>
  </si>
  <si>
    <t>3900905</t>
  </si>
  <si>
    <t>REC-049-A518-1551678</t>
  </si>
  <si>
    <t>09:50:27</t>
  </si>
  <si>
    <t>0914589916001</t>
  </si>
  <si>
    <t>3909173</t>
  </si>
  <si>
    <t>REC-4535-A1SZ-27965</t>
  </si>
  <si>
    <t>09:56:22</t>
  </si>
  <si>
    <t>0950677112001</t>
  </si>
  <si>
    <t>3900483</t>
  </si>
  <si>
    <t>REC-072-KBN0-221919</t>
  </si>
  <si>
    <t>10:09:12</t>
  </si>
  <si>
    <t>REC-004-P4FN-68740</t>
  </si>
  <si>
    <t>10:14:52</t>
  </si>
  <si>
    <t>0907239958</t>
  </si>
  <si>
    <t>3907865</t>
  </si>
  <si>
    <t>REC-3187-A2UE-26085</t>
  </si>
  <si>
    <t>10:42:45</t>
  </si>
  <si>
    <t>0918732751</t>
  </si>
  <si>
    <t>3907668</t>
  </si>
  <si>
    <t>REC-049-A518-1551709</t>
  </si>
  <si>
    <t>11:10:45</t>
  </si>
  <si>
    <t>REC-049-A518-1551710</t>
  </si>
  <si>
    <t>11:11:15</t>
  </si>
  <si>
    <t>1792204305001</t>
  </si>
  <si>
    <t>23923225</t>
  </si>
  <si>
    <t>REC-023-UPRP-361102</t>
  </si>
  <si>
    <t>11:20:58</t>
  </si>
  <si>
    <t>0923023741</t>
  </si>
  <si>
    <t>3903345</t>
  </si>
  <si>
    <t>REC-3200-SAMB-490001</t>
  </si>
  <si>
    <t>12:32:55</t>
  </si>
  <si>
    <t>0992335610001</t>
  </si>
  <si>
    <t>3906725</t>
  </si>
  <si>
    <t>REC-611-J4ZN-483006</t>
  </si>
  <si>
    <t>12:57:05</t>
  </si>
  <si>
    <t>0919736223</t>
  </si>
  <si>
    <t>3909065</t>
  </si>
  <si>
    <t>REC-3172-YIG8-293944</t>
  </si>
  <si>
    <t>13:21:46</t>
  </si>
  <si>
    <t>0800909202</t>
  </si>
  <si>
    <t>3900678</t>
  </si>
  <si>
    <t>REC-5919-PRA9-671909</t>
  </si>
  <si>
    <t>13:48:11</t>
  </si>
  <si>
    <t>0910961259</t>
  </si>
  <si>
    <t>3908881</t>
  </si>
  <si>
    <t>REC-3172-YIGY-259781</t>
  </si>
  <si>
    <t>13:55:53</t>
  </si>
  <si>
    <t>0917904195</t>
  </si>
  <si>
    <t>3906298</t>
  </si>
  <si>
    <t>REC-355-J4YM-645326</t>
  </si>
  <si>
    <t>13:58:56</t>
  </si>
  <si>
    <t>3906299</t>
  </si>
  <si>
    <t>REC-355-J4YM-645327</t>
  </si>
  <si>
    <t>13:59:23</t>
  </si>
  <si>
    <t>1310822331</t>
  </si>
  <si>
    <t>3909195</t>
  </si>
  <si>
    <t>REC-944-LRJ0-371259</t>
  </si>
  <si>
    <t>14:05:12</t>
  </si>
  <si>
    <t>0917337750</t>
  </si>
  <si>
    <t>3900177</t>
  </si>
  <si>
    <t>REC-3792-A24Z-535960</t>
  </si>
  <si>
    <t>14:17:34</t>
  </si>
  <si>
    <t>0906094362</t>
  </si>
  <si>
    <t>3930258</t>
  </si>
  <si>
    <t>REC-4388-FRZ7-673084</t>
  </si>
  <si>
    <t>14:39:29</t>
  </si>
  <si>
    <t>0925191702001</t>
  </si>
  <si>
    <t>3900256</t>
  </si>
  <si>
    <t>REC-536-2GEZ-322622</t>
  </si>
  <si>
    <t>15:05:47</t>
  </si>
  <si>
    <t>0923915250</t>
  </si>
  <si>
    <t>3903587</t>
  </si>
  <si>
    <t>REC-609-A3AI-69879</t>
  </si>
  <si>
    <t>16:11:05</t>
  </si>
  <si>
    <t>0926081886</t>
  </si>
  <si>
    <t>3900036</t>
  </si>
  <si>
    <t>REC-048-AFEP-226792</t>
  </si>
  <si>
    <t>17:10:01</t>
  </si>
  <si>
    <t>0923046858001</t>
  </si>
  <si>
    <t>3903496</t>
  </si>
  <si>
    <t>REC-944-LRJ0-371334</t>
  </si>
  <si>
    <t>17:23:10</t>
  </si>
  <si>
    <t>0919499798</t>
  </si>
  <si>
    <t>3907382</t>
  </si>
  <si>
    <t>REC-061-A6S3-201883</t>
  </si>
  <si>
    <t>18:51:38</t>
  </si>
  <si>
    <t>0919847855</t>
  </si>
  <si>
    <t>3901645</t>
  </si>
  <si>
    <t>REC-049-A2U2-35423</t>
  </si>
  <si>
    <t>19:37:36</t>
  </si>
  <si>
    <t>0951208016</t>
  </si>
  <si>
    <t>3901182</t>
  </si>
  <si>
    <t>REC-3172-YIHD-229370</t>
  </si>
  <si>
    <t>20:25:36</t>
  </si>
  <si>
    <t>1715704563</t>
  </si>
  <si>
    <t>23923204</t>
  </si>
  <si>
    <t>REC-5688-A5XD-9256</t>
  </si>
  <si>
    <t>09:15:32</t>
  </si>
  <si>
    <t>20200113</t>
  </si>
  <si>
    <t>1204151060001</t>
  </si>
  <si>
    <t>3900430</t>
  </si>
  <si>
    <t>REC-536-TDSM-125511</t>
  </si>
  <si>
    <t>09:26:27</t>
  </si>
  <si>
    <t>3906717</t>
  </si>
  <si>
    <t>REC-536-TDSM-125512</t>
  </si>
  <si>
    <t>09:26:54</t>
  </si>
  <si>
    <t>0922651898</t>
  </si>
  <si>
    <t>3906266</t>
  </si>
  <si>
    <t>REC-3422-A25Y-78881</t>
  </si>
  <si>
    <t>10:00:58</t>
  </si>
  <si>
    <t>0911066041</t>
  </si>
  <si>
    <t>3900336</t>
  </si>
  <si>
    <t>REC-348-1R2Q-418413</t>
  </si>
  <si>
    <t>10:02:52</t>
  </si>
  <si>
    <t>0916418254</t>
  </si>
  <si>
    <t>3903936</t>
  </si>
  <si>
    <t>REC-3510-A4F9-222508</t>
  </si>
  <si>
    <t>11:09:40</t>
  </si>
  <si>
    <t>1302124761</t>
  </si>
  <si>
    <t>3903615</t>
  </si>
  <si>
    <t>REC-3187-A2UE-25963</t>
  </si>
  <si>
    <t>11:15:37</t>
  </si>
  <si>
    <t>0200792992</t>
  </si>
  <si>
    <t>3907766</t>
  </si>
  <si>
    <t>REC-4164-A1LY-116174</t>
  </si>
  <si>
    <t>11:23:47</t>
  </si>
  <si>
    <t>0920722238</t>
  </si>
  <si>
    <t>3906728</t>
  </si>
  <si>
    <t>REC-3371-EFX5-158067</t>
  </si>
  <si>
    <t>12:18:29</t>
  </si>
  <si>
    <t>REC-3371-EFX5-158068</t>
  </si>
  <si>
    <t>12:19:20</t>
  </si>
  <si>
    <t>1204658320</t>
  </si>
  <si>
    <t>3900613</t>
  </si>
  <si>
    <t>REC-3301-CTQ4-652789</t>
  </si>
  <si>
    <t>13:05:08</t>
  </si>
  <si>
    <t>0923707871</t>
  </si>
  <si>
    <t>3908669</t>
  </si>
  <si>
    <t>REC-4235-A1BQ-27456</t>
  </si>
  <si>
    <t>13:37:52</t>
  </si>
  <si>
    <t>0925788689001</t>
  </si>
  <si>
    <t>3908094</t>
  </si>
  <si>
    <t>REC-5001-A1C1-6926</t>
  </si>
  <si>
    <t>14:38:49</t>
  </si>
  <si>
    <t>0911937282</t>
  </si>
  <si>
    <t>3900362</t>
  </si>
  <si>
    <t>REC-5310-Z4YZ-655605</t>
  </si>
  <si>
    <t>14:43:53</t>
  </si>
  <si>
    <t>0992348372001</t>
  </si>
  <si>
    <t>3903856</t>
  </si>
  <si>
    <t>REC-5680-XTE2-820</t>
  </si>
  <si>
    <t>15:01:41</t>
  </si>
  <si>
    <t>0916582364</t>
  </si>
  <si>
    <t>3907218</t>
  </si>
  <si>
    <t>REC-4319-A1HZ-5556</t>
  </si>
  <si>
    <t>15:18:55</t>
  </si>
  <si>
    <t>REC-5017-A2BD-21391</t>
  </si>
  <si>
    <t>0912555000</t>
  </si>
  <si>
    <t>3901499</t>
  </si>
  <si>
    <t>REC-585-VR9E-489398</t>
  </si>
  <si>
    <t>16:22:11</t>
  </si>
  <si>
    <t>1306770098</t>
  </si>
  <si>
    <t>3906890</t>
  </si>
  <si>
    <t>REC-551-VOIB-529218</t>
  </si>
  <si>
    <t>16:34:43</t>
  </si>
  <si>
    <t>3909189</t>
  </si>
  <si>
    <t>REC-551-VOIB-529219</t>
  </si>
  <si>
    <t>16:35:36</t>
  </si>
  <si>
    <t>0908005135</t>
  </si>
  <si>
    <t>3906795</t>
  </si>
  <si>
    <t>REC-3187-YWS5-590581</t>
  </si>
  <si>
    <t>16:37:26</t>
  </si>
  <si>
    <t>0930782990</t>
  </si>
  <si>
    <t>3908041</t>
  </si>
  <si>
    <t>REC-245-BEJI-636416</t>
  </si>
  <si>
    <t>16:51:05</t>
  </si>
  <si>
    <t>0923444236001</t>
  </si>
  <si>
    <t>3900280</t>
  </si>
  <si>
    <t>REC-061-AEU1-180209</t>
  </si>
  <si>
    <t>16:55:45</t>
  </si>
  <si>
    <t>1102694096</t>
  </si>
  <si>
    <t>3907029</t>
  </si>
  <si>
    <t>REC-4901-A1YH-6476</t>
  </si>
  <si>
    <t>17:05:22</t>
  </si>
  <si>
    <t>0910140417</t>
  </si>
  <si>
    <t>3909880</t>
  </si>
  <si>
    <t>REC-3187-A2UB-133356</t>
  </si>
  <si>
    <t>19:07:07</t>
  </si>
  <si>
    <t>0917515835</t>
  </si>
  <si>
    <t>3902600</t>
  </si>
  <si>
    <t>REC-3370-A6JI-227634</t>
  </si>
  <si>
    <t>19:50:12</t>
  </si>
  <si>
    <t>1204697120</t>
  </si>
  <si>
    <t>3930213</t>
  </si>
  <si>
    <t>REC-518-RI71-174576</t>
  </si>
  <si>
    <t>13:01:45</t>
  </si>
  <si>
    <t>20200112</t>
  </si>
  <si>
    <t>0913343380</t>
  </si>
  <si>
    <t>3901634</t>
  </si>
  <si>
    <t>REC-7058-KF67-641801</t>
  </si>
  <si>
    <t>13:38:46</t>
  </si>
  <si>
    <t>0920392941</t>
  </si>
  <si>
    <t>3900141</t>
  </si>
  <si>
    <t>REC-3371-A1DS-212916</t>
  </si>
  <si>
    <t>17:45:58</t>
  </si>
  <si>
    <t>REC-4114-VBW5-634388</t>
  </si>
  <si>
    <t>11:28:56</t>
  </si>
  <si>
    <t>20200111</t>
  </si>
  <si>
    <t>1302255912</t>
  </si>
  <si>
    <t>3900208</t>
  </si>
  <si>
    <t>REC-3792-A39T-95343</t>
  </si>
  <si>
    <t>12:35:52</t>
  </si>
  <si>
    <t>1706773718</t>
  </si>
  <si>
    <t>3908829</t>
  </si>
  <si>
    <t>REC-342-EBMO-252837</t>
  </si>
  <si>
    <t>12:40:04</t>
  </si>
  <si>
    <t>0912816659</t>
  </si>
  <si>
    <t>3900425</t>
  </si>
  <si>
    <t>REC-072-AJ3R-227078</t>
  </si>
  <si>
    <t>13:42:46</t>
  </si>
  <si>
    <t>REC-536-2GEZ-322382</t>
  </si>
  <si>
    <t>15:40:23</t>
  </si>
  <si>
    <t>0919560607</t>
  </si>
  <si>
    <t>3901607</t>
  </si>
  <si>
    <t>REC-046-A3YA-89491</t>
  </si>
  <si>
    <t>18:17:04</t>
  </si>
  <si>
    <t>0922954318</t>
  </si>
  <si>
    <t>3908016</t>
  </si>
  <si>
    <t>REC-4963-A3A0-618146</t>
  </si>
  <si>
    <t>08:40:58</t>
  </si>
  <si>
    <t>20200110</t>
  </si>
  <si>
    <t>0993053848001</t>
  </si>
  <si>
    <t>3930221</t>
  </si>
  <si>
    <t>REC-027-A40B-50947</t>
  </si>
  <si>
    <t>09:40:16</t>
  </si>
  <si>
    <t>0905842837</t>
  </si>
  <si>
    <t>3945467</t>
  </si>
  <si>
    <t>REC-3187-A2UE-25667</t>
  </si>
  <si>
    <t>10:41:36</t>
  </si>
  <si>
    <t>0922619853</t>
  </si>
  <si>
    <t>3902131</t>
  </si>
  <si>
    <t>REC-3808-A3Z9-509975</t>
  </si>
  <si>
    <t>12:44:45</t>
  </si>
  <si>
    <t>0912848884</t>
  </si>
  <si>
    <t>3930141</t>
  </si>
  <si>
    <t>REC-3182-YQHD-247918</t>
  </si>
  <si>
    <t>13:40:48</t>
  </si>
  <si>
    <t>0301203667</t>
  </si>
  <si>
    <t>3930144</t>
  </si>
  <si>
    <t>REC-4044-A1NB-296088</t>
  </si>
  <si>
    <t>13:41:43</t>
  </si>
  <si>
    <t>0907545495</t>
  </si>
  <si>
    <t>3906794</t>
  </si>
  <si>
    <t>REC-3422-A25Y-78750</t>
  </si>
  <si>
    <t>14:02:55</t>
  </si>
  <si>
    <t>0922181037</t>
  </si>
  <si>
    <t>3902499</t>
  </si>
  <si>
    <t>REC-5585-A2XB-42856</t>
  </si>
  <si>
    <t>14:07:15</t>
  </si>
  <si>
    <t>1720300506</t>
  </si>
  <si>
    <t>3906738</t>
  </si>
  <si>
    <t>REC-3187-A2UE-25722</t>
  </si>
  <si>
    <t>14:53:32</t>
  </si>
  <si>
    <t>0993137723001</t>
  </si>
  <si>
    <t>3900134</t>
  </si>
  <si>
    <t>REC-4278-IOI5-626172</t>
  </si>
  <si>
    <t>14:56:51</t>
  </si>
  <si>
    <t>1304952722</t>
  </si>
  <si>
    <t>3907569</t>
  </si>
  <si>
    <t>REC-543-U5H7-544713</t>
  </si>
  <si>
    <t>16:19:37</t>
  </si>
  <si>
    <t>0993145645001</t>
  </si>
  <si>
    <t>3903915</t>
  </si>
  <si>
    <t>REC-008-PB65-361192</t>
  </si>
  <si>
    <t>16:29:08</t>
  </si>
  <si>
    <t>0916020084</t>
  </si>
  <si>
    <t>3904598</t>
  </si>
  <si>
    <t>REC-3370-A6JI-227316</t>
  </si>
  <si>
    <t>16:40:21</t>
  </si>
  <si>
    <t>3907436</t>
  </si>
  <si>
    <t>REC-3370-A6JI-227317</t>
  </si>
  <si>
    <t>16:40:39</t>
  </si>
  <si>
    <t>0918397969</t>
  </si>
  <si>
    <t>3909115</t>
  </si>
  <si>
    <t>REC-3554-PTY2-628638</t>
  </si>
  <si>
    <t>16:44:13</t>
  </si>
  <si>
    <t>0919917138</t>
  </si>
  <si>
    <t>3903153</t>
  </si>
  <si>
    <t>REC-3182-YQHG-205946</t>
  </si>
  <si>
    <t>18:40:35</t>
  </si>
  <si>
    <t>1709165151</t>
  </si>
  <si>
    <t>3930050</t>
  </si>
  <si>
    <t>REC-3187-A2UB-133097</t>
  </si>
  <si>
    <t>18:52:21</t>
  </si>
  <si>
    <t>0801924408</t>
  </si>
  <si>
    <t>3908036</t>
  </si>
  <si>
    <t>REC-061-A3Y4-243748</t>
  </si>
  <si>
    <t>06:50:48</t>
  </si>
  <si>
    <t>20200109</t>
  </si>
  <si>
    <t>1713133211001</t>
  </si>
  <si>
    <t>23923037</t>
  </si>
  <si>
    <t>REC-023-P4U6-454750</t>
  </si>
  <si>
    <t>09:09:46</t>
  </si>
  <si>
    <t>1728077064</t>
  </si>
  <si>
    <t>3900147</t>
  </si>
  <si>
    <t>REC-4960-A1QG-64440</t>
  </si>
  <si>
    <t>09:39:41</t>
  </si>
  <si>
    <t>1309167920</t>
  </si>
  <si>
    <t>3902954</t>
  </si>
  <si>
    <t>REC-551-B2PQ-284025</t>
  </si>
  <si>
    <t>09:39:58</t>
  </si>
  <si>
    <t>0920722816</t>
  </si>
  <si>
    <t>3901587</t>
  </si>
  <si>
    <t>REC-4960-A1QG-64442</t>
  </si>
  <si>
    <t>09:41:22</t>
  </si>
  <si>
    <t>REC-011-JVA0-493995</t>
  </si>
  <si>
    <t>09:53:35</t>
  </si>
  <si>
    <t>0940712516</t>
  </si>
  <si>
    <t>3903301</t>
  </si>
  <si>
    <t>REC-7060-KF69-605219</t>
  </si>
  <si>
    <t>10:08:30</t>
  </si>
  <si>
    <t>1308880879</t>
  </si>
  <si>
    <t>3906297</t>
  </si>
  <si>
    <t>REC-3422-A25Y-78627</t>
  </si>
  <si>
    <t>10:18:26</t>
  </si>
  <si>
    <t>0915225973001</t>
  </si>
  <si>
    <t>3903169</t>
  </si>
  <si>
    <t>REC-3187-A2UE-25586</t>
  </si>
  <si>
    <t>11:29:26</t>
  </si>
  <si>
    <t>0912634565</t>
  </si>
  <si>
    <t>3930344</t>
  </si>
  <si>
    <t>REC-072-A6LX-184485</t>
  </si>
  <si>
    <t>11:57:32</t>
  </si>
  <si>
    <t>0924977648</t>
  </si>
  <si>
    <t>3930389</t>
  </si>
  <si>
    <t>REC-3371-A1DS-212429</t>
  </si>
  <si>
    <t>12:05:57</t>
  </si>
  <si>
    <t>0992975415001</t>
  </si>
  <si>
    <t>3902319</t>
  </si>
  <si>
    <t>REC-3371-EGEG-227851</t>
  </si>
  <si>
    <t>12:32:24</t>
  </si>
  <si>
    <t>0913551479</t>
  </si>
  <si>
    <t>3909038</t>
  </si>
  <si>
    <t>REC-3633-AAF7-606718</t>
  </si>
  <si>
    <t>12:53:51</t>
  </si>
  <si>
    <t>0904371432</t>
  </si>
  <si>
    <t>3945430</t>
  </si>
  <si>
    <t>REC-4823-FSK9-609426</t>
  </si>
  <si>
    <t>13:00:51</t>
  </si>
  <si>
    <t>0101811495</t>
  </si>
  <si>
    <t>3909154</t>
  </si>
  <si>
    <t>REC-3187-A2UB-132956</t>
  </si>
  <si>
    <t>13:18:06</t>
  </si>
  <si>
    <t>0910477629</t>
  </si>
  <si>
    <t>3906015</t>
  </si>
  <si>
    <t>REC-3172-LIO6-107658</t>
  </si>
  <si>
    <t>13:21:17</t>
  </si>
  <si>
    <t>0918655564</t>
  </si>
  <si>
    <t>3903450</t>
  </si>
  <si>
    <t>REC-008-PB65-361020</t>
  </si>
  <si>
    <t>13:43:40</t>
  </si>
  <si>
    <t>0914342381</t>
  </si>
  <si>
    <t>3900566</t>
  </si>
  <si>
    <t>REC-3792-A39T-95077</t>
  </si>
  <si>
    <t>13:44:13</t>
  </si>
  <si>
    <t>0961171071</t>
  </si>
  <si>
    <t>3930039</t>
  </si>
  <si>
    <t>REC-3710-AAP7-607523</t>
  </si>
  <si>
    <t>14:10:23</t>
  </si>
  <si>
    <t>0931267306</t>
  </si>
  <si>
    <t>3903528</t>
  </si>
  <si>
    <t>REC-061-A2WZ-10338</t>
  </si>
  <si>
    <t>14:33:15</t>
  </si>
  <si>
    <t>0904062395</t>
  </si>
  <si>
    <t>3960283</t>
  </si>
  <si>
    <t>REC-045-VMU0-320819</t>
  </si>
  <si>
    <t>14:44:41</t>
  </si>
  <si>
    <t>0919552828</t>
  </si>
  <si>
    <t>3908746</t>
  </si>
  <si>
    <t>REC-348-AB9D-116548</t>
  </si>
  <si>
    <t>15:32:45</t>
  </si>
  <si>
    <t>FB611002</t>
  </si>
  <si>
    <t>3906095</t>
  </si>
  <si>
    <t>REC-3301-CTQ4-612650</t>
  </si>
  <si>
    <t>15:40:43</t>
  </si>
  <si>
    <t>0952222289</t>
  </si>
  <si>
    <t>3908653</t>
  </si>
  <si>
    <t>REC-944-LRJ0-370618</t>
  </si>
  <si>
    <t>15:47:58</t>
  </si>
  <si>
    <t>0925284960</t>
  </si>
  <si>
    <t>3907832</t>
  </si>
  <si>
    <t>REC-3295-1T8A-197053</t>
  </si>
  <si>
    <t>16:08:20</t>
  </si>
  <si>
    <t>0992895772001</t>
  </si>
  <si>
    <t>3930045</t>
  </si>
  <si>
    <t>REC-3187-A2UE-25629</t>
  </si>
  <si>
    <t>16:33:17</t>
  </si>
  <si>
    <t>0909664849</t>
  </si>
  <si>
    <t>3901718</t>
  </si>
  <si>
    <t>REC-3260-CTO1-614385</t>
  </si>
  <si>
    <t>16:57:26</t>
  </si>
  <si>
    <t>0918160441</t>
  </si>
  <si>
    <t>3907413</t>
  </si>
  <si>
    <t>REC-090-ULDN-568966</t>
  </si>
  <si>
    <t>16:58:32</t>
  </si>
  <si>
    <t>0908745300</t>
  </si>
  <si>
    <t>3909222</t>
  </si>
  <si>
    <t>REC-3295-1T8E-211802</t>
  </si>
  <si>
    <t>17:07:40</t>
  </si>
  <si>
    <t>0906881586</t>
  </si>
  <si>
    <t>3930238</t>
  </si>
  <si>
    <t>REC-4202-A16N-6748</t>
  </si>
  <si>
    <t>17:33:35</t>
  </si>
  <si>
    <t>0917434615</t>
  </si>
  <si>
    <t>3906731</t>
  </si>
  <si>
    <t>REC-072-AJ3R-226867</t>
  </si>
  <si>
    <t>17:48:42</t>
  </si>
  <si>
    <t>0910701044</t>
  </si>
  <si>
    <t>3909957</t>
  </si>
  <si>
    <t>REC-3370-A6JI-227246</t>
  </si>
  <si>
    <t>19:36:36</t>
  </si>
  <si>
    <t>0703300988</t>
  </si>
  <si>
    <t>3909796</t>
  </si>
  <si>
    <t>REC-3187-A2UE-25651</t>
  </si>
  <si>
    <t>19:46:36</t>
  </si>
  <si>
    <t>0992806419001</t>
  </si>
  <si>
    <t>3930329</t>
  </si>
  <si>
    <t>REC-4960-A1QG-64316</t>
  </si>
  <si>
    <t>09:25:44</t>
  </si>
  <si>
    <t>20200108</t>
  </si>
  <si>
    <t>3930333</t>
  </si>
  <si>
    <t>REC-4960-A1QG-64317</t>
  </si>
  <si>
    <t>09:26:38</t>
  </si>
  <si>
    <t>0918285909</t>
  </si>
  <si>
    <t>3907407</t>
  </si>
  <si>
    <t>REC-3422-A25Y-78526</t>
  </si>
  <si>
    <t>09:29:40</t>
  </si>
  <si>
    <t>0917909590</t>
  </si>
  <si>
    <t>3907933</t>
  </si>
  <si>
    <t>REC-5987-GFL4-589288</t>
  </si>
  <si>
    <t>09:48:14</t>
  </si>
  <si>
    <t>REC-3371-LD0C-262224</t>
  </si>
  <si>
    <t>10:04:51</t>
  </si>
  <si>
    <t>0924694672001</t>
  </si>
  <si>
    <t>3909144</t>
  </si>
  <si>
    <t>REC-5328-A640-590067</t>
  </si>
  <si>
    <t>10:15:55</t>
  </si>
  <si>
    <t>0900193004</t>
  </si>
  <si>
    <t>3901635</t>
  </si>
  <si>
    <t>REC-4313-IAI9-590416</t>
  </si>
  <si>
    <t>10:28:32</t>
  </si>
  <si>
    <t>0907114516</t>
  </si>
  <si>
    <t>3945894</t>
  </si>
  <si>
    <t>REC-3187-A2UE-25477</t>
  </si>
  <si>
    <t>10:32:53</t>
  </si>
  <si>
    <t>0930496021</t>
  </si>
  <si>
    <t>3903849</t>
  </si>
  <si>
    <t>REC-096-HG9K-290394</t>
  </si>
  <si>
    <t>11:14:32</t>
  </si>
  <si>
    <t>REC-3520-A1CH-230707</t>
  </si>
  <si>
    <t>11:42:43</t>
  </si>
  <si>
    <t>REC-096-ZU7N-237168</t>
  </si>
  <si>
    <t>11:54:56</t>
  </si>
  <si>
    <t>0922636402</t>
  </si>
  <si>
    <t>3900370</t>
  </si>
  <si>
    <t>REC-348-AB9D-116354</t>
  </si>
  <si>
    <t>11:58:55</t>
  </si>
  <si>
    <t>0910718717</t>
  </si>
  <si>
    <t>3900144</t>
  </si>
  <si>
    <t>REC-3187-YWS5-590108</t>
  </si>
  <si>
    <t>12:31:13</t>
  </si>
  <si>
    <t>0919686071</t>
  </si>
  <si>
    <t>3907871</t>
  </si>
  <si>
    <t>REC-536-TDSM-125252</t>
  </si>
  <si>
    <t>12:48:43</t>
  </si>
  <si>
    <t>REC-5796-A31Y-1677</t>
  </si>
  <si>
    <t>13:07:19</t>
  </si>
  <si>
    <t>0927502138</t>
  </si>
  <si>
    <t>3907230</t>
  </si>
  <si>
    <t>REC-3295-1T8A-196964</t>
  </si>
  <si>
    <t>13:52:45</t>
  </si>
  <si>
    <t>REC-072-KBN0-221097</t>
  </si>
  <si>
    <t>14:07:36</t>
  </si>
  <si>
    <t>0909481384</t>
  </si>
  <si>
    <t>3930348</t>
  </si>
  <si>
    <t>REC-3172-LIO7-101784</t>
  </si>
  <si>
    <t>14:28:36</t>
  </si>
  <si>
    <t>0913573150</t>
  </si>
  <si>
    <t>3901995</t>
  </si>
  <si>
    <t>REC-3371-A1DS-212263</t>
  </si>
  <si>
    <t>14:31:44</t>
  </si>
  <si>
    <t>0922710165</t>
  </si>
  <si>
    <t>3903833</t>
  </si>
  <si>
    <t>REC-3143-AWFJ-312859</t>
  </si>
  <si>
    <t>14:39:23</t>
  </si>
  <si>
    <t>0954783320</t>
  </si>
  <si>
    <t>3900181</t>
  </si>
  <si>
    <t>REC-3520-A1CH-230749</t>
  </si>
  <si>
    <t>14:59:57</t>
  </si>
  <si>
    <t>0907688865</t>
  </si>
  <si>
    <t>3960273</t>
  </si>
  <si>
    <t>REC-3161-KURB-406631</t>
  </si>
  <si>
    <t>15:16:45</t>
  </si>
  <si>
    <t>0930246715</t>
  </si>
  <si>
    <t>3908139</t>
  </si>
  <si>
    <t>REC-245-BEJI-635716</t>
  </si>
  <si>
    <t>15:42:42</t>
  </si>
  <si>
    <t>0930252358</t>
  </si>
  <si>
    <t>3909220</t>
  </si>
  <si>
    <t>REC-4313-IAI9-597415</t>
  </si>
  <si>
    <t>15:47:44</t>
  </si>
  <si>
    <t>1202676480</t>
  </si>
  <si>
    <t>3902697</t>
  </si>
  <si>
    <t>REC-090-ULDN-568856</t>
  </si>
  <si>
    <t>15:54:59</t>
  </si>
  <si>
    <t>0927330100</t>
  </si>
  <si>
    <t>3902772</t>
  </si>
  <si>
    <t>REC-095-AJSE-642179</t>
  </si>
  <si>
    <t>16:01:56</t>
  </si>
  <si>
    <t>0927178616</t>
  </si>
  <si>
    <t>3903358</t>
  </si>
  <si>
    <t>REC-4963-A3A0-599164</t>
  </si>
  <si>
    <t>17:02:05</t>
  </si>
  <si>
    <t>0801920539</t>
  </si>
  <si>
    <t>3900506</t>
  </si>
  <si>
    <t>REC-678-3V18-552895</t>
  </si>
  <si>
    <t>17:09:42</t>
  </si>
  <si>
    <t>0919586974</t>
  </si>
  <si>
    <t>3903848</t>
  </si>
  <si>
    <t>REC-944-LRJW-276410</t>
  </si>
  <si>
    <t>17:11:20</t>
  </si>
  <si>
    <t>0927292805</t>
  </si>
  <si>
    <t>3902712</t>
  </si>
  <si>
    <t>REC-609-A1M3-301588</t>
  </si>
  <si>
    <t>17:43:29</t>
  </si>
  <si>
    <t>1707173561</t>
  </si>
  <si>
    <t>3907438</t>
  </si>
  <si>
    <t>REC-3370-A6JI-227123</t>
  </si>
  <si>
    <t>17:46:29</t>
  </si>
  <si>
    <t>REC-3109-TTH2-664394</t>
  </si>
  <si>
    <t>18:09:01</t>
  </si>
  <si>
    <t>1759449059001</t>
  </si>
  <si>
    <t>23923172</t>
  </si>
  <si>
    <t>REC-4532-A12H-14885</t>
  </si>
  <si>
    <t>18:10:43</t>
  </si>
  <si>
    <t>0918750688</t>
  </si>
  <si>
    <t>3906881</t>
  </si>
  <si>
    <t>REC-3022-FNNL-518162</t>
  </si>
  <si>
    <t>18:36:17</t>
  </si>
  <si>
    <t>0917961518</t>
  </si>
  <si>
    <t>3907705</t>
  </si>
  <si>
    <t>REC-3371-LD0C-262401</t>
  </si>
  <si>
    <t>19:24:37</t>
  </si>
  <si>
    <t>0992322993001</t>
  </si>
  <si>
    <t>3902285</t>
  </si>
  <si>
    <t>REC-3676-AAK8-603461</t>
  </si>
  <si>
    <t>20:04:36</t>
  </si>
  <si>
    <t>0924119548</t>
  </si>
  <si>
    <t>3930284</t>
  </si>
  <si>
    <t>REC-518-RI71-174313</t>
  </si>
  <si>
    <t>20:10:27</t>
  </si>
  <si>
    <t>0992217936001</t>
  </si>
  <si>
    <t>3902021</t>
  </si>
  <si>
    <t>REC-4815-FSK1-569355</t>
  </si>
  <si>
    <t>09:42:39</t>
  </si>
  <si>
    <t>20200107</t>
  </si>
  <si>
    <t>3902159</t>
  </si>
  <si>
    <t>REC-4815-FSK1-569370</t>
  </si>
  <si>
    <t>09:43:16</t>
  </si>
  <si>
    <t>3902019</t>
  </si>
  <si>
    <t>REC-4815-FSK1-569384</t>
  </si>
  <si>
    <t>09:43:43</t>
  </si>
  <si>
    <t>0701205064</t>
  </si>
  <si>
    <t>3901990</t>
  </si>
  <si>
    <t>REC-3520-A1CH-230458</t>
  </si>
  <si>
    <t>09:55:54</t>
  </si>
  <si>
    <t>REC-027-AJSJ-539227</t>
  </si>
  <si>
    <t>10:12:16</t>
  </si>
  <si>
    <t>1709329021</t>
  </si>
  <si>
    <t>23923111</t>
  </si>
  <si>
    <t>REC-5219-A2EG-31796</t>
  </si>
  <si>
    <t>10:36:13</t>
  </si>
  <si>
    <t>REC-241-M1DC-324451</t>
  </si>
  <si>
    <t>10:52:15</t>
  </si>
  <si>
    <t>REC-536-TDSM-125104</t>
  </si>
  <si>
    <t>10:55:17</t>
  </si>
  <si>
    <t>0914351341</t>
  </si>
  <si>
    <t>3907936</t>
  </si>
  <si>
    <t>REC-5585-A2XB-42222</t>
  </si>
  <si>
    <t>10:58:22</t>
  </si>
  <si>
    <t>0701654451</t>
  </si>
  <si>
    <t>3903248</t>
  </si>
  <si>
    <t>REC-513-A28P-410238</t>
  </si>
  <si>
    <t>11:01:17</t>
  </si>
  <si>
    <t>0201111200</t>
  </si>
  <si>
    <t>3945486</t>
  </si>
  <si>
    <t>REC-611-J4ZN-482219</t>
  </si>
  <si>
    <t>11:05:58</t>
  </si>
  <si>
    <t>0923755490</t>
  </si>
  <si>
    <t>3907481</t>
  </si>
  <si>
    <t>REC-5762-FE91-572775</t>
  </si>
  <si>
    <t>11:20:07</t>
  </si>
  <si>
    <t>0911304111</t>
  </si>
  <si>
    <t>3908806</t>
  </si>
  <si>
    <t>REC-241-BEJD-554190</t>
  </si>
  <si>
    <t>11:29:25</t>
  </si>
  <si>
    <t>0908517048</t>
  </si>
  <si>
    <t>3900617</t>
  </si>
  <si>
    <t>REC-4301-IAI1-573236</t>
  </si>
  <si>
    <t>11:35:46</t>
  </si>
  <si>
    <t>0924448004</t>
  </si>
  <si>
    <t>3930236</t>
  </si>
  <si>
    <t>REC-944-LRJ0-370173</t>
  </si>
  <si>
    <t>11:36:09</t>
  </si>
  <si>
    <t>0993191280001</t>
  </si>
  <si>
    <t>3907286</t>
  </si>
  <si>
    <t>REC-223-B7CD-545204</t>
  </si>
  <si>
    <t>11:45:15</t>
  </si>
  <si>
    <t>0914365945</t>
  </si>
  <si>
    <t>3901137</t>
  </si>
  <si>
    <t>REC-4963-A3A0-573869</t>
  </si>
  <si>
    <t>11:53:54</t>
  </si>
  <si>
    <t>0916551930</t>
  </si>
  <si>
    <t>3909031</t>
  </si>
  <si>
    <t>REC-3422-A25Y-78444</t>
  </si>
  <si>
    <t>11:55:53</t>
  </si>
  <si>
    <t>0917053084</t>
  </si>
  <si>
    <t>3907398</t>
  </si>
  <si>
    <t>REC-3371-A1DS-211940</t>
  </si>
  <si>
    <t>12:05:25</t>
  </si>
  <si>
    <t>0916551930001</t>
  </si>
  <si>
    <t>3909046</t>
  </si>
  <si>
    <t>REC-3422-A3IU-611172</t>
  </si>
  <si>
    <t>12:27:12</t>
  </si>
  <si>
    <t>0908888241</t>
  </si>
  <si>
    <t>3901511</t>
  </si>
  <si>
    <t>REC-223-V7XD-246044</t>
  </si>
  <si>
    <t>12:38:10</t>
  </si>
  <si>
    <t>REC-072-VRT2-375194</t>
  </si>
  <si>
    <t>12:41:41</t>
  </si>
  <si>
    <t>REC-072-VRT2-375195</t>
  </si>
  <si>
    <t>12:42:11</t>
  </si>
  <si>
    <t>0922928536</t>
  </si>
  <si>
    <t>3903876</t>
  </si>
  <si>
    <t>REC-4216-A16B-15653</t>
  </si>
  <si>
    <t>12:56:59</t>
  </si>
  <si>
    <t>0914681473</t>
  </si>
  <si>
    <t>3909012</t>
  </si>
  <si>
    <t>REC-049-A2U2-34845</t>
  </si>
  <si>
    <t>13:16:50</t>
  </si>
  <si>
    <t>0992710454001</t>
  </si>
  <si>
    <t>3906995</t>
  </si>
  <si>
    <t>REC-3175-A3LN-107214</t>
  </si>
  <si>
    <t>13:19:26</t>
  </si>
  <si>
    <t>3906994</t>
  </si>
  <si>
    <t>REC-3175-A3LN-107215</t>
  </si>
  <si>
    <t>13:21:32</t>
  </si>
  <si>
    <t>0993144177001</t>
  </si>
  <si>
    <t>3903853</t>
  </si>
  <si>
    <t>REC-5635-A2YS-6126</t>
  </si>
  <si>
    <t>13:49:05</t>
  </si>
  <si>
    <t>0904939543</t>
  </si>
  <si>
    <t>3903574</t>
  </si>
  <si>
    <t>REC-4963-A3A0-577597</t>
  </si>
  <si>
    <t>14:08:19</t>
  </si>
  <si>
    <t>1705558730</t>
  </si>
  <si>
    <t>23923016</t>
  </si>
  <si>
    <t>REC-5219-A2EG-31856</t>
  </si>
  <si>
    <t>14:12:22</t>
  </si>
  <si>
    <t>23923015</t>
  </si>
  <si>
    <t>REC-5219-A2EG-31857</t>
  </si>
  <si>
    <t>14:12:56</t>
  </si>
  <si>
    <t>1715747547001</t>
  </si>
  <si>
    <t>23923124</t>
  </si>
  <si>
    <t>REC-904-KZH3-393193</t>
  </si>
  <si>
    <t>14:17:09</t>
  </si>
  <si>
    <t>1310681042</t>
  </si>
  <si>
    <t>3907943</t>
  </si>
  <si>
    <t>REC-095-AJSE-642020</t>
  </si>
  <si>
    <t>14:38:02</t>
  </si>
  <si>
    <t>0919860619</t>
  </si>
  <si>
    <t>3908680</t>
  </si>
  <si>
    <t>REC-3295-1TWC-200106</t>
  </si>
  <si>
    <t>15:16:15</t>
  </si>
  <si>
    <t>REC-011-JVA0-493807</t>
  </si>
  <si>
    <t>15:55:25</t>
  </si>
  <si>
    <t>0909118374</t>
  </si>
  <si>
    <t>3908984</t>
  </si>
  <si>
    <t>REC-241-BEJD-554223</t>
  </si>
  <si>
    <t>16:06:51</t>
  </si>
  <si>
    <t>REC-3520-A1CH-230603</t>
  </si>
  <si>
    <t>16:21:48</t>
  </si>
  <si>
    <t>0900718362</t>
  </si>
  <si>
    <t>3903240</t>
  </si>
  <si>
    <t>REC-048-AFEP-226195</t>
  </si>
  <si>
    <t>16:31:21</t>
  </si>
  <si>
    <t>0914624820</t>
  </si>
  <si>
    <t>3906815</t>
  </si>
  <si>
    <t>REC-3577-A26V-506552</t>
  </si>
  <si>
    <t>16:38:44</t>
  </si>
  <si>
    <t>0931115182</t>
  </si>
  <si>
    <t>3903538</t>
  </si>
  <si>
    <t>REC-5310-Z4YZ-584220</t>
  </si>
  <si>
    <t>17:55:29</t>
  </si>
  <si>
    <t>REC-3182-SS15-374</t>
  </si>
  <si>
    <t>18:12:04</t>
  </si>
  <si>
    <t>0925421919</t>
  </si>
  <si>
    <t>3909199</t>
  </si>
  <si>
    <t>REC-008-PB64-370183</t>
  </si>
  <si>
    <t>20:04:16</t>
  </si>
  <si>
    <t>3901428</t>
  </si>
  <si>
    <t>REC-008-PB64-370184</t>
  </si>
  <si>
    <t>20:04:51</t>
  </si>
  <si>
    <t>1306850668</t>
  </si>
  <si>
    <t>3907564</t>
  </si>
  <si>
    <t>REC-096-ZU7N-237141</t>
  </si>
  <si>
    <t>20:07:57</t>
  </si>
  <si>
    <t>0906081633</t>
  </si>
  <si>
    <t>3900534</t>
  </si>
  <si>
    <t>REC-072-KBN0-220982</t>
  </si>
  <si>
    <t>20:14:25</t>
  </si>
  <si>
    <t>0932593775</t>
  </si>
  <si>
    <t>3900503</t>
  </si>
  <si>
    <t>REC-072-KBN0-220588</t>
  </si>
  <si>
    <t>09:55:42</t>
  </si>
  <si>
    <t>20200106</t>
  </si>
  <si>
    <t>0919131300</t>
  </si>
  <si>
    <t>3908009</t>
  </si>
  <si>
    <t>REC-090-IRFP-553135</t>
  </si>
  <si>
    <t>10:11:18</t>
  </si>
  <si>
    <t>0917851578</t>
  </si>
  <si>
    <t>3900954</t>
  </si>
  <si>
    <t>REC-944-LRJX-298117</t>
  </si>
  <si>
    <t>10:15:15</t>
  </si>
  <si>
    <t>REC-4164-A19P-134376</t>
  </si>
  <si>
    <t>10:29:31</t>
  </si>
  <si>
    <t>0918769068</t>
  </si>
  <si>
    <t>3909857</t>
  </si>
  <si>
    <t>REC-3577-A26V-506324</t>
  </si>
  <si>
    <t>10:44:33</t>
  </si>
  <si>
    <t>0916799620</t>
  </si>
  <si>
    <t>3907929</t>
  </si>
  <si>
    <t>REC-4202-A16N-6680</t>
  </si>
  <si>
    <t>10:46:32</t>
  </si>
  <si>
    <t>0902890540</t>
  </si>
  <si>
    <t>3960279</t>
  </si>
  <si>
    <t>REC-3370-A6JI-226735</t>
  </si>
  <si>
    <t>10:49:59</t>
  </si>
  <si>
    <t>0913809752</t>
  </si>
  <si>
    <t>3901521</t>
  </si>
  <si>
    <t>REC-5310-Z4YZ-549208</t>
  </si>
  <si>
    <t>10:58:04</t>
  </si>
  <si>
    <t>0913688107</t>
  </si>
  <si>
    <t>3908889</t>
  </si>
  <si>
    <t>REC-3422-A3IU-611047</t>
  </si>
  <si>
    <t>11:05:55</t>
  </si>
  <si>
    <t>0912330875</t>
  </si>
  <si>
    <t>3900194</t>
  </si>
  <si>
    <t>REC-3371-LD0C-261954</t>
  </si>
  <si>
    <t>11:42:31</t>
  </si>
  <si>
    <t>0907186019</t>
  </si>
  <si>
    <t>3909931</t>
  </si>
  <si>
    <t>REC-4257-A219-141516</t>
  </si>
  <si>
    <t>11:49:44</t>
  </si>
  <si>
    <t>0907427694</t>
  </si>
  <si>
    <t>3906727</t>
  </si>
  <si>
    <t>REC-5202-A528-551440</t>
  </si>
  <si>
    <t>11:56:49</t>
  </si>
  <si>
    <t>0923415749</t>
  </si>
  <si>
    <t>3908108</t>
  </si>
  <si>
    <t>REC-072-TTF1-299614</t>
  </si>
  <si>
    <t>12:58:00</t>
  </si>
  <si>
    <t>0908842644</t>
  </si>
  <si>
    <t>3907907</t>
  </si>
  <si>
    <t>REC-4319-A12B-4697</t>
  </si>
  <si>
    <t>12:59:02</t>
  </si>
  <si>
    <t>0917723769</t>
  </si>
  <si>
    <t>3903976</t>
  </si>
  <si>
    <t>REC-3172-YIG8-292684</t>
  </si>
  <si>
    <t>13:33:56</t>
  </si>
  <si>
    <t>0928334440</t>
  </si>
  <si>
    <t>3907985</t>
  </si>
  <si>
    <t>REC-3670-AAK2-577478</t>
  </si>
  <si>
    <t>14:05:51</t>
  </si>
  <si>
    <t>0910886365</t>
  </si>
  <si>
    <t>3906961</t>
  </si>
  <si>
    <t>REC-4007-OIT2-556490</t>
  </si>
  <si>
    <t>14:15:32</t>
  </si>
  <si>
    <t>0911769867</t>
  </si>
  <si>
    <t>3960091</t>
  </si>
  <si>
    <t>REC-4128-WBT4-556742</t>
  </si>
  <si>
    <t>14:24:41</t>
  </si>
  <si>
    <t>0926194531</t>
  </si>
  <si>
    <t>3909216</t>
  </si>
  <si>
    <t>REC-609-A3AI-69234</t>
  </si>
  <si>
    <t>14:34:48</t>
  </si>
  <si>
    <t>0925343345</t>
  </si>
  <si>
    <t>3903168</t>
  </si>
  <si>
    <t>REC-061-A6S4-141229</t>
  </si>
  <si>
    <t>14:40:36</t>
  </si>
  <si>
    <t>1309514923</t>
  </si>
  <si>
    <t>3908821</t>
  </si>
  <si>
    <t>REC-3182-YQHG-205385</t>
  </si>
  <si>
    <t>15:16:26</t>
  </si>
  <si>
    <t>0915481469</t>
  </si>
  <si>
    <t>3900322</t>
  </si>
  <si>
    <t>REC-5310-Z4YZ-559021</t>
  </si>
  <si>
    <t>15:34:28</t>
  </si>
  <si>
    <t>0915373575</t>
  </si>
  <si>
    <t>3930219</t>
  </si>
  <si>
    <t>REC-096-DCIZ-438333</t>
  </si>
  <si>
    <t>15:47:42</t>
  </si>
  <si>
    <t>0929116556</t>
  </si>
  <si>
    <t>3900598</t>
  </si>
  <si>
    <t>REC-678-3V18-552635</t>
  </si>
  <si>
    <t>16:05:05</t>
  </si>
  <si>
    <t>0914343512</t>
  </si>
  <si>
    <t>3930357</t>
  </si>
  <si>
    <t>REC-3172-YIGW-290329</t>
  </si>
  <si>
    <t>16:33:39</t>
  </si>
  <si>
    <t>1202084636</t>
  </si>
  <si>
    <t>3901389</t>
  </si>
  <si>
    <t>REC-609-A1M3-301289</t>
  </si>
  <si>
    <t>REC-3809-A2FM-115443</t>
  </si>
  <si>
    <t>16:46:30</t>
  </si>
  <si>
    <t>0959923855</t>
  </si>
  <si>
    <t>3906748</t>
  </si>
  <si>
    <t>REC-3371-A1DS-211862</t>
  </si>
  <si>
    <t>17:06:11</t>
  </si>
  <si>
    <t>1708108848</t>
  </si>
  <si>
    <t>23923159</t>
  </si>
  <si>
    <t>REC-043-KM1S-396586</t>
  </si>
  <si>
    <t>17:18:23</t>
  </si>
  <si>
    <t>REC-944-LRJW-276145</t>
  </si>
  <si>
    <t>17:26:58</t>
  </si>
  <si>
    <t>1500550767</t>
  </si>
  <si>
    <t>23923170</t>
  </si>
  <si>
    <t>REC-613-BK8R-412600</t>
  </si>
  <si>
    <t>17:31:23</t>
  </si>
  <si>
    <t>0913404984</t>
  </si>
  <si>
    <t>23923095</t>
  </si>
  <si>
    <t>REC-3029-M9QX-187649</t>
  </si>
  <si>
    <t>18:23:16</t>
  </si>
  <si>
    <t>0932142391001</t>
  </si>
  <si>
    <t>3901648</t>
  </si>
  <si>
    <t>REC-061-AF82-266361</t>
  </si>
  <si>
    <t>19:39:31</t>
  </si>
  <si>
    <t>0957523939</t>
  </si>
  <si>
    <t>3907381</t>
  </si>
  <si>
    <t>REC-061-AF82-266362</t>
  </si>
  <si>
    <t>19:40:18</t>
  </si>
  <si>
    <t>1102904206</t>
  </si>
  <si>
    <t>3908107</t>
  </si>
  <si>
    <t>REC-3371-EFX5-157749</t>
  </si>
  <si>
    <t>20:41:30</t>
  </si>
  <si>
    <t>0907265938</t>
  </si>
  <si>
    <t>3950101</t>
  </si>
  <si>
    <t>REC-3175-C8JC-285740</t>
  </si>
  <si>
    <t>10:27:56</t>
  </si>
  <si>
    <t>20200105</t>
  </si>
  <si>
    <t>1308357126</t>
  </si>
  <si>
    <t>3908767</t>
  </si>
  <si>
    <t>REC-3295-1T8D-156392</t>
  </si>
  <si>
    <t>10:30:48</t>
  </si>
  <si>
    <t>0907734925</t>
  </si>
  <si>
    <t>3900367</t>
  </si>
  <si>
    <t>REC-3187-A2UB-132560</t>
  </si>
  <si>
    <t>10:49:48</t>
  </si>
  <si>
    <t>0918553405</t>
  </si>
  <si>
    <t>3907946</t>
  </si>
  <si>
    <t>REC-3022-FNNL-517413</t>
  </si>
  <si>
    <t>12:23:53</t>
  </si>
  <si>
    <t>0914223326</t>
  </si>
  <si>
    <t>3907795</t>
  </si>
  <si>
    <t>REC-4257-A219-141371</t>
  </si>
  <si>
    <t>0923253900</t>
  </si>
  <si>
    <t>3908895</t>
  </si>
  <si>
    <t>REC-342-VEHD-443019</t>
  </si>
  <si>
    <t>13:54:46</t>
  </si>
  <si>
    <t>0953350550</t>
  </si>
  <si>
    <t>3900577</t>
  </si>
  <si>
    <t>REC-585-VR9E-488661</t>
  </si>
  <si>
    <t>14:15:05</t>
  </si>
  <si>
    <t>0925180192</t>
  </si>
  <si>
    <t>3900363</t>
  </si>
  <si>
    <t>REC-3172-LIO4-216376</t>
  </si>
  <si>
    <t>14:35:14</t>
  </si>
  <si>
    <t>0917129884</t>
  </si>
  <si>
    <t>3930260</t>
  </si>
  <si>
    <t>REC-3371-LD0C-261804</t>
  </si>
  <si>
    <t>14:59:02</t>
  </si>
  <si>
    <t>0917835837</t>
  </si>
  <si>
    <t>3902359</t>
  </si>
  <si>
    <t>REC-3187-A2UB-132587</t>
  </si>
  <si>
    <t>15:24:28</t>
  </si>
  <si>
    <t>0919787721</t>
  </si>
  <si>
    <t>3900162</t>
  </si>
  <si>
    <t>REC-4963-A3A0-541447</t>
  </si>
  <si>
    <t>15:33:38</t>
  </si>
  <si>
    <t>0926827759</t>
  </si>
  <si>
    <t>3909861</t>
  </si>
  <si>
    <t>REC-355-J4YM-644601</t>
  </si>
  <si>
    <t>15:41:54</t>
  </si>
  <si>
    <t>REC-3370-A6JI-226664</t>
  </si>
  <si>
    <t>16:27:28</t>
  </si>
  <si>
    <t>1307933745</t>
  </si>
  <si>
    <t>3908938</t>
  </si>
  <si>
    <t>REC-5635-A2YS-6064</t>
  </si>
  <si>
    <t>18:10:11</t>
  </si>
  <si>
    <t>REC-3023-IZCF-554509</t>
  </si>
  <si>
    <t>09:09:45</t>
  </si>
  <si>
    <t>20200104</t>
  </si>
  <si>
    <t>0910962851</t>
  </si>
  <si>
    <t>3903176</t>
  </si>
  <si>
    <t>REC-3412-PTE5-527639</t>
  </si>
  <si>
    <t>09:29:18</t>
  </si>
  <si>
    <t>0910348069</t>
  </si>
  <si>
    <t>3930332</t>
  </si>
  <si>
    <t>REC-4208-A14N-49942</t>
  </si>
  <si>
    <t>10:04:53</t>
  </si>
  <si>
    <t>0916786791</t>
  </si>
  <si>
    <t>3908800</t>
  </si>
  <si>
    <t>REC-3161-KURB-406134</t>
  </si>
  <si>
    <t>10:57:51</t>
  </si>
  <si>
    <t>0908031511</t>
  </si>
  <si>
    <t>3900930</t>
  </si>
  <si>
    <t>REC-536-2GEZ-321683</t>
  </si>
  <si>
    <t>11:28:31</t>
  </si>
  <si>
    <t>0920009040</t>
  </si>
  <si>
    <t>3900207</t>
  </si>
  <si>
    <t>REC-3371-LD0C-261639</t>
  </si>
  <si>
    <t>13:52:12</t>
  </si>
  <si>
    <t>0913708723</t>
  </si>
  <si>
    <t>3907898</t>
  </si>
  <si>
    <t>REC-245-BEJI-635032</t>
  </si>
  <si>
    <t>13:55:01</t>
  </si>
  <si>
    <t>0921933560</t>
  </si>
  <si>
    <t>3907644</t>
  </si>
  <si>
    <t>REC-609-A1M3-301072</t>
  </si>
  <si>
    <t>14:19:59</t>
  </si>
  <si>
    <t>REC-5310-Z4YZ-534003</t>
  </si>
  <si>
    <t>14:30:46</t>
  </si>
  <si>
    <t>1002937520</t>
  </si>
  <si>
    <t>3909842</t>
  </si>
  <si>
    <t>REC-678-3V18-552497</t>
  </si>
  <si>
    <t>15:59:42</t>
  </si>
  <si>
    <t>0909549040</t>
  </si>
  <si>
    <t>3901750</t>
  </si>
  <si>
    <t>REC-609-A1M3-301084</t>
  </si>
  <si>
    <t>16:06:33</t>
  </si>
  <si>
    <t>0924990997</t>
  </si>
  <si>
    <t>3907348</t>
  </si>
  <si>
    <t>REC-090-ULDN-568531</t>
  </si>
  <si>
    <t>16:10:41</t>
  </si>
  <si>
    <t>0992910402001</t>
  </si>
  <si>
    <t>3903883</t>
  </si>
  <si>
    <t>REC-5552-A944-535788</t>
  </si>
  <si>
    <t>16:42:39</t>
  </si>
  <si>
    <t>0950679720</t>
  </si>
  <si>
    <t>3903613</t>
  </si>
  <si>
    <t>REC-096-DCIZ-438229</t>
  </si>
  <si>
    <t>17:29:38</t>
  </si>
  <si>
    <t>0910189521</t>
  </si>
  <si>
    <t>3930385</t>
  </si>
  <si>
    <t>REC-3710-AAP7-563351</t>
  </si>
  <si>
    <t>19:54:56</t>
  </si>
  <si>
    <t>0930895404</t>
  </si>
  <si>
    <t>3902636</t>
  </si>
  <si>
    <t>REC-678-3V18-552333</t>
  </si>
  <si>
    <t>09:07:01</t>
  </si>
  <si>
    <t>20200103</t>
  </si>
  <si>
    <t>0908089014</t>
  </si>
  <si>
    <t>3908029</t>
  </si>
  <si>
    <t>REC-4910-A22F-19305</t>
  </si>
  <si>
    <t>10:43:53</t>
  </si>
  <si>
    <t>0906428362</t>
  </si>
  <si>
    <t>3906022</t>
  </si>
  <si>
    <t>REC-3189-YWSY-148737</t>
  </si>
  <si>
    <t>10:57:47</t>
  </si>
  <si>
    <t>0916348915</t>
  </si>
  <si>
    <t>3906030</t>
  </si>
  <si>
    <t>REC-609-A3AI-68831</t>
  </si>
  <si>
    <t>11:00:28</t>
  </si>
  <si>
    <t>0920853603</t>
  </si>
  <si>
    <t>3906321</t>
  </si>
  <si>
    <t>REC-3189-YWSY-148743</t>
  </si>
  <si>
    <t>11:11:38</t>
  </si>
  <si>
    <t>0908516487</t>
  </si>
  <si>
    <t>3907721</t>
  </si>
  <si>
    <t>REC-3200-SAMB-488826</t>
  </si>
  <si>
    <t>11:16:03</t>
  </si>
  <si>
    <t>REC-518-RI6W-418682</t>
  </si>
  <si>
    <t>11:17:42</t>
  </si>
  <si>
    <t>0924331598</t>
  </si>
  <si>
    <t>3900561</t>
  </si>
  <si>
    <t>REC-3392-A39W-387383</t>
  </si>
  <si>
    <t>11:20:38</t>
  </si>
  <si>
    <t>0915921720</t>
  </si>
  <si>
    <t>23923053</t>
  </si>
  <si>
    <t>REC-613-BK8R-412256</t>
  </si>
  <si>
    <t>11:25:19</t>
  </si>
  <si>
    <t>0908752157</t>
  </si>
  <si>
    <t>3903582</t>
  </si>
  <si>
    <t>REC-223-B7CD-544776</t>
  </si>
  <si>
    <t>11:42:52</t>
  </si>
  <si>
    <t>1303960528</t>
  </si>
  <si>
    <t>3903294</t>
  </si>
  <si>
    <t>REC-090-9SKJ-418492</t>
  </si>
  <si>
    <t>11:48:39</t>
  </si>
  <si>
    <t>0992969938001</t>
  </si>
  <si>
    <t>3907233</t>
  </si>
  <si>
    <t>REC-3520-A1CH-229881</t>
  </si>
  <si>
    <t>12:27:13</t>
  </si>
  <si>
    <t>REC-3520-A1CH-229883</t>
  </si>
  <si>
    <t>0925657694</t>
  </si>
  <si>
    <t>3900044</t>
  </si>
  <si>
    <t>REC-810-5CAY-407023</t>
  </si>
  <si>
    <t>12:38:42</t>
  </si>
  <si>
    <t>0930929880</t>
  </si>
  <si>
    <t>3909037</t>
  </si>
  <si>
    <t>REC-072-VRT2-374471</t>
  </si>
  <si>
    <t>12:54:16</t>
  </si>
  <si>
    <t>REC-3301-CTQ4-514161</t>
  </si>
  <si>
    <t>12:54:59</t>
  </si>
  <si>
    <t>0922834734</t>
  </si>
  <si>
    <t>3900384</t>
  </si>
  <si>
    <t>REC-3182-YQHG-205167</t>
  </si>
  <si>
    <t>13:18:49</t>
  </si>
  <si>
    <t>0916489024</t>
  </si>
  <si>
    <t>3900672</t>
  </si>
  <si>
    <t>REC-095-AJSE-641432</t>
  </si>
  <si>
    <t>13:44:48</t>
  </si>
  <si>
    <t>0925743924</t>
  </si>
  <si>
    <t>3901351</t>
  </si>
  <si>
    <t>REC-3392-A39W-387422</t>
  </si>
  <si>
    <t>13:58:02</t>
  </si>
  <si>
    <t>0915965495</t>
  </si>
  <si>
    <t>3930243</t>
  </si>
  <si>
    <t>REC-095-AJSE-641453</t>
  </si>
  <si>
    <t>14:20:10</t>
  </si>
  <si>
    <t>0917616336</t>
  </si>
  <si>
    <t>3906760</t>
  </si>
  <si>
    <t>REC-3182-YQG9-262640</t>
  </si>
  <si>
    <t>14:43:28</t>
  </si>
  <si>
    <t>0912213287</t>
  </si>
  <si>
    <t>3902395</t>
  </si>
  <si>
    <t>REC-944-ZF9M-182356</t>
  </si>
  <si>
    <t>14:48:29</t>
  </si>
  <si>
    <t>1302610652</t>
  </si>
  <si>
    <t>3900257</t>
  </si>
  <si>
    <t>REC-536-TDSM-124517</t>
  </si>
  <si>
    <t>15:03:54</t>
  </si>
  <si>
    <t>0916466212</t>
  </si>
  <si>
    <t>3930316</t>
  </si>
  <si>
    <t>REC-4164-A1CB-109212</t>
  </si>
  <si>
    <t>15:06:54</t>
  </si>
  <si>
    <t>0922286711</t>
  </si>
  <si>
    <t>3903654</t>
  </si>
  <si>
    <t>REC-609-A3AI-68914</t>
  </si>
  <si>
    <t>15:20:40</t>
  </si>
  <si>
    <t>0928778182</t>
  </si>
  <si>
    <t>3903360</t>
  </si>
  <si>
    <t>REC-536-2GEZ-321614</t>
  </si>
  <si>
    <t>15:38:00</t>
  </si>
  <si>
    <t>REC-2004-CNH2-559476</t>
  </si>
  <si>
    <t>16:03:55</t>
  </si>
  <si>
    <t>REC-061-SPOX-296058</t>
  </si>
  <si>
    <t>16:06:36</t>
  </si>
  <si>
    <t>REC-3589-ACC4-549627</t>
  </si>
  <si>
    <t>16:28:23</t>
  </si>
  <si>
    <t>1102490800</t>
  </si>
  <si>
    <t>3908728</t>
  </si>
  <si>
    <t>REC-3182-YQG9-262685</t>
  </si>
  <si>
    <t>16:32:10</t>
  </si>
  <si>
    <t>REC-3182-YQHD-247065</t>
  </si>
  <si>
    <t>16:52:32</t>
  </si>
  <si>
    <t>0921879565</t>
  </si>
  <si>
    <t>3900239</t>
  </si>
  <si>
    <t>REC-3187-YWS5-589589</t>
  </si>
  <si>
    <t>17:06:15</t>
  </si>
  <si>
    <t>0917827750</t>
  </si>
  <si>
    <t>3908989</t>
  </si>
  <si>
    <t>REC-072-TTF1-299507</t>
  </si>
  <si>
    <t>17:13:37</t>
  </si>
  <si>
    <t>0925445652</t>
  </si>
  <si>
    <t>3900381</t>
  </si>
  <si>
    <t>REC-3371-A1DS-211378</t>
  </si>
  <si>
    <t>17:27:26</t>
  </si>
  <si>
    <t>0925364721</t>
  </si>
  <si>
    <t>3909164</t>
  </si>
  <si>
    <t>REC-027-AJSJ-539012</t>
  </si>
  <si>
    <t>17:41:37</t>
  </si>
  <si>
    <t xml:space="preserve"> </t>
  </si>
  <si>
    <t>0922970728</t>
  </si>
  <si>
    <t>3930041</t>
  </si>
  <si>
    <t>REC-3143-AWFJ-312351</t>
  </si>
  <si>
    <t>17:59:33</t>
  </si>
  <si>
    <t>1704934932</t>
  </si>
  <si>
    <t>3900176</t>
  </si>
  <si>
    <t>REC-613-BK8R-412322</t>
  </si>
  <si>
    <t>18:44:59</t>
  </si>
  <si>
    <t>REC-3187-YWS5-589609</t>
  </si>
  <si>
    <t>18:46:00</t>
  </si>
  <si>
    <t>REC-3187-YWS5-589610</t>
  </si>
  <si>
    <t>18:47:12</t>
  </si>
  <si>
    <t>0921585287</t>
  </si>
  <si>
    <t>3900012</t>
  </si>
  <si>
    <t>REC-3175-A3LN-106806</t>
  </si>
  <si>
    <t>18:47:39</t>
  </si>
  <si>
    <t>0910538412</t>
  </si>
  <si>
    <t>3903540</t>
  </si>
  <si>
    <t>REC-518-RI6X-414220</t>
  </si>
  <si>
    <t>19:51:23</t>
  </si>
  <si>
    <t>REC-5310-Z4YZ-485153</t>
  </si>
  <si>
    <t>08:47:57</t>
  </si>
  <si>
    <t>20200102</t>
  </si>
  <si>
    <t>REC-3511-A4FB-121720</t>
  </si>
  <si>
    <t>09:20:46</t>
  </si>
  <si>
    <t>REC-3792-A24Z-534388</t>
  </si>
  <si>
    <t>09:45:08</t>
  </si>
  <si>
    <t>0922646773</t>
  </si>
  <si>
    <t>3902769</t>
  </si>
  <si>
    <t>REC-342-VEHD-442568</t>
  </si>
  <si>
    <t>10:12:01</t>
  </si>
  <si>
    <t>0910275767</t>
  </si>
  <si>
    <t>3907736</t>
  </si>
  <si>
    <t>REC-004-P4FN-67216</t>
  </si>
  <si>
    <t>10:21:09</t>
  </si>
  <si>
    <t>0909224198</t>
  </si>
  <si>
    <t>3908810</t>
  </si>
  <si>
    <t>REC-004-P4FN-67217</t>
  </si>
  <si>
    <t>10:21:46</t>
  </si>
  <si>
    <t>0602923773</t>
  </si>
  <si>
    <t>23923104</t>
  </si>
  <si>
    <t>REC-569-YXPK-1459380</t>
  </si>
  <si>
    <t>10:56:39</t>
  </si>
  <si>
    <t>0909787095</t>
  </si>
  <si>
    <t>3907852</t>
  </si>
  <si>
    <t>REC-008-PB65-359948</t>
  </si>
  <si>
    <t>11:35:26</t>
  </si>
  <si>
    <t>0907356851</t>
  </si>
  <si>
    <t>3908775</t>
  </si>
  <si>
    <t>REC-3520-A1CH-229568</t>
  </si>
  <si>
    <t>11:52:30</t>
  </si>
  <si>
    <t>0900188566</t>
  </si>
  <si>
    <t>3930044</t>
  </si>
  <si>
    <t>REC-223-V7XD-245386</t>
  </si>
  <si>
    <t>12:07:03</t>
  </si>
  <si>
    <t>0993116661001</t>
  </si>
  <si>
    <t>3908032</t>
  </si>
  <si>
    <t>REC-011-JVA0-493196</t>
  </si>
  <si>
    <t>12:13:37</t>
  </si>
  <si>
    <t>REC-3371-A1DS-210959</t>
  </si>
  <si>
    <t>13:10:22</t>
  </si>
  <si>
    <t>1302338726</t>
  </si>
  <si>
    <t>3901758</t>
  </si>
  <si>
    <t>REC-678-3V18-552281</t>
  </si>
  <si>
    <t>13:31:28</t>
  </si>
  <si>
    <t>0906713086</t>
  </si>
  <si>
    <t>3906389</t>
  </si>
  <si>
    <t>REC-5544-A967-45135</t>
  </si>
  <si>
    <t>13:39:53</t>
  </si>
  <si>
    <t>0950399824</t>
  </si>
  <si>
    <t>3907748</t>
  </si>
  <si>
    <t>REC-611-J4ZN-481769</t>
  </si>
  <si>
    <t>14:25:16</t>
  </si>
  <si>
    <t>REC-3577-A1IU-124947</t>
  </si>
  <si>
    <t>14:28:39</t>
  </si>
  <si>
    <t>REC-5424-A30D-495976</t>
  </si>
  <si>
    <t>14:33:41</t>
  </si>
  <si>
    <t>0931224786</t>
  </si>
  <si>
    <t>3906744</t>
  </si>
  <si>
    <t>REC-355-J4YM-644181</t>
  </si>
  <si>
    <t>14:33:51</t>
  </si>
  <si>
    <t>0922884721</t>
  </si>
  <si>
    <t>3930347</t>
  </si>
  <si>
    <t>REC-3792-A39T-94162</t>
  </si>
  <si>
    <t>14:35:42</t>
  </si>
  <si>
    <t>0906046628</t>
  </si>
  <si>
    <t>3908718</t>
  </si>
  <si>
    <t>REC-611-HYM3-83401</t>
  </si>
  <si>
    <t>14:39:27</t>
  </si>
  <si>
    <t>REC-518-RI6W-418540</t>
  </si>
  <si>
    <t>15:22:34</t>
  </si>
  <si>
    <t>0958726101</t>
  </si>
  <si>
    <t>3930364</t>
  </si>
  <si>
    <t>REC-3172-YIGY-258442</t>
  </si>
  <si>
    <t>15:29:14</t>
  </si>
  <si>
    <t>0924852817</t>
  </si>
  <si>
    <t>3906850</t>
  </si>
  <si>
    <t>REC-5762-FE91-498327</t>
  </si>
  <si>
    <t>15:44:19</t>
  </si>
  <si>
    <t>0913305652</t>
  </si>
  <si>
    <t>3908081</t>
  </si>
  <si>
    <t>REC-4301-IAI1-498538</t>
  </si>
  <si>
    <t>15:51:38</t>
  </si>
  <si>
    <t>0920319316</t>
  </si>
  <si>
    <t>3909076</t>
  </si>
  <si>
    <t>REC-4209-A14Y-27188</t>
  </si>
  <si>
    <t>16:03:11</t>
  </si>
  <si>
    <t>1312893934</t>
  </si>
  <si>
    <t>3907774</t>
  </si>
  <si>
    <t>REC-223-B7CD-544682</t>
  </si>
  <si>
    <t>16:57:27</t>
  </si>
  <si>
    <t>0941163289</t>
  </si>
  <si>
    <t>3906047</t>
  </si>
  <si>
    <t>REC-090-IRFP-552304</t>
  </si>
  <si>
    <t>17:17:15</t>
  </si>
  <si>
    <t>0921772794</t>
  </si>
  <si>
    <t>3909003</t>
  </si>
  <si>
    <t>REC-3200-SAMK-206629</t>
  </si>
  <si>
    <t>17:30:07</t>
  </si>
  <si>
    <t>0910190933</t>
  </si>
  <si>
    <t>3901703</t>
  </si>
  <si>
    <t>REC-3182-YQHG-205033</t>
  </si>
  <si>
    <t>17:37:49</t>
  </si>
  <si>
    <t>0920743549</t>
  </si>
  <si>
    <t>3903445</t>
  </si>
  <si>
    <t>REC-944-KDUZ-231225</t>
  </si>
  <si>
    <t>18:06:12</t>
  </si>
  <si>
    <t>REC-3295-1T8A-196556</t>
  </si>
  <si>
    <t>18:26:25</t>
  </si>
  <si>
    <t>0912152964</t>
  </si>
  <si>
    <t>3909099</t>
  </si>
  <si>
    <t>REC-3187-YWS5-589470</t>
  </si>
  <si>
    <t>19:09:33</t>
  </si>
  <si>
    <t>REC-097-AJSC-476273</t>
  </si>
  <si>
    <t>19:45:11</t>
  </si>
  <si>
    <t>0992874260001</t>
  </si>
  <si>
    <t>3909014</t>
  </si>
  <si>
    <t>REC-5474-A871-539725</t>
  </si>
  <si>
    <t>20:02:13</t>
  </si>
  <si>
    <t>3908538</t>
  </si>
  <si>
    <t>REC-5474-A871-539740</t>
  </si>
  <si>
    <t>20:03:43</t>
  </si>
  <si>
    <t>0910317676</t>
  </si>
  <si>
    <t>3909040</t>
  </si>
  <si>
    <t>REC-3295-1T8A-196600</t>
  </si>
  <si>
    <t>20:16:58</t>
  </si>
  <si>
    <t>0922966635</t>
  </si>
  <si>
    <t>3907646</t>
  </si>
  <si>
    <t>REC-4819-FSK5-504764</t>
  </si>
  <si>
    <t>20:51:17</t>
  </si>
  <si>
    <t>1756609127</t>
  </si>
  <si>
    <t>3909235</t>
  </si>
  <si>
    <t>REC-342-EBMO-251737</t>
  </si>
  <si>
    <t>12:24:12</t>
  </si>
  <si>
    <t>20200101</t>
  </si>
  <si>
    <t>0923859821</t>
  </si>
  <si>
    <t>3902256</t>
  </si>
  <si>
    <t>REC-223-B7CD-544514</t>
  </si>
  <si>
    <t>14:59:42</t>
  </si>
  <si>
    <t>0917695900</t>
  </si>
  <si>
    <t>3900365</t>
  </si>
  <si>
    <t>REC-3187-YWS5-589334</t>
  </si>
  <si>
    <t>17:31:15</t>
  </si>
  <si>
    <t>Estado</t>
  </si>
  <si>
    <t>Documento</t>
  </si>
  <si>
    <t>Valor</t>
  </si>
  <si>
    <t>Codigo_Activa</t>
  </si>
  <si>
    <t>Hora</t>
  </si>
  <si>
    <t>Fecha</t>
  </si>
  <si>
    <t>TOTAL</t>
  </si>
  <si>
    <t>TOTAL GENERAL</t>
  </si>
  <si>
    <t>BCO PACIFICO MES DE ENERO 2020</t>
  </si>
  <si>
    <t xml:space="preserve">SUQUILANDA VERA MICHAEL ANTONI          </t>
  </si>
  <si>
    <t xml:space="preserve">STEFFIE GALLESE DE DUNN                 </t>
  </si>
  <si>
    <t xml:space="preserve">SERNAQUE CORONEL SILVIO SAUL            </t>
  </si>
  <si>
    <t xml:space="preserve">JIMA BRAVO  JOSE FLORENCIO              </t>
  </si>
  <si>
    <t xml:space="preserve">PLUAS PAREDES LUBI ISIDRO               </t>
  </si>
  <si>
    <t xml:space="preserve">JIMMY LEANDRO MERCHAN JALCA             </t>
  </si>
  <si>
    <t xml:space="preserve">REYES MARTINEZ WILLIE RICARDO           </t>
  </si>
  <si>
    <t xml:space="preserve">ROMMEL ANTONIO ZAMORA TRIGUERO          </t>
  </si>
  <si>
    <t xml:space="preserve">FREDDY RENE VALLEJO MEDRANDA            </t>
  </si>
  <si>
    <t xml:space="preserve">CAROLINA GLORIA BRAVO TOMALA            </t>
  </si>
  <si>
    <t xml:space="preserve">MEDINA CRUZ JHONNY SERGIO               </t>
  </si>
  <si>
    <t xml:space="preserve">CARLA MARIA GARCIA ANDRADE              </t>
  </si>
  <si>
    <t xml:space="preserve">SANDOYA CASTRO FILADELFIA MADR          </t>
  </si>
  <si>
    <t xml:space="preserve">REFRIGERACION INDUSTRIAL CORNE          </t>
  </si>
  <si>
    <t xml:space="preserve">PALADINES RODRIGUEZ VICTOR EMI          </t>
  </si>
  <si>
    <t xml:space="preserve">MARIA PATRICIA  RODRIGUEZ SANC          </t>
  </si>
  <si>
    <t>3930042</t>
  </si>
  <si>
    <t xml:space="preserve">IBANEZ VASCONES MARIA CECILIA           </t>
  </si>
  <si>
    <t>3930234</t>
  </si>
  <si>
    <t xml:space="preserve">CHAPALVAY DECIDERIO AGUSTIN AL          </t>
  </si>
  <si>
    <t>3900685</t>
  </si>
  <si>
    <t xml:space="preserve">ETHERIA SA                              </t>
  </si>
  <si>
    <t>3908079</t>
  </si>
  <si>
    <t>3905110</t>
  </si>
  <si>
    <t>3900882</t>
  </si>
  <si>
    <t>3960392</t>
  </si>
  <si>
    <t xml:space="preserve">ALEX RICARDO POLIT LUNA                 </t>
  </si>
  <si>
    <t>3901123</t>
  </si>
  <si>
    <t xml:space="preserve">VICENTE ANTONIO VITERI GOMEZ            </t>
  </si>
  <si>
    <t>3930057</t>
  </si>
  <si>
    <t>3908621</t>
  </si>
  <si>
    <t>23923029</t>
  </si>
  <si>
    <t xml:space="preserve">RICARDO ARMANDO COLOMA MOLINA           </t>
  </si>
  <si>
    <t xml:space="preserve">PAZ SANCHEZ ROXANA MICHELLE             </t>
  </si>
  <si>
    <t xml:space="preserve">YANEZ QUEZADA SANDRA IVONNE             </t>
  </si>
  <si>
    <t xml:space="preserve">HUGO ANTONIO SALMERON ACOSTA            </t>
  </si>
  <si>
    <t xml:space="preserve">HIDALGO LASTRA CONSUELO ALEXAN          </t>
  </si>
  <si>
    <t xml:space="preserve">VICTOR HUGO PEZO AQUINO                 </t>
  </si>
  <si>
    <t xml:space="preserve">MANRIQUE OSORIO XAVIER ENRIQUE          </t>
  </si>
  <si>
    <t xml:space="preserve">FREDDY MAURICIO SARANGO MARTIN          </t>
  </si>
  <si>
    <t xml:space="preserve">ROSERO BARZOLA KATHERINE VERON          </t>
  </si>
  <si>
    <t xml:space="preserve">ECHEVERRIA REYES JOE JOFFREY            </t>
  </si>
  <si>
    <t xml:space="preserve">LORENA VANONI ARMIJOS                   </t>
  </si>
  <si>
    <t xml:space="preserve">MALDONADO SEGURA MARIA DANIELA          </t>
  </si>
  <si>
    <t xml:space="preserve">ANDRES GONZALO CELI PEREZ               </t>
  </si>
  <si>
    <t xml:space="preserve">CARLOS IVAN AGUIRRE GARCIA              </t>
  </si>
  <si>
    <t xml:space="preserve">ANEMASA SA                              </t>
  </si>
  <si>
    <t xml:space="preserve">TANHIA ELIZABETH SUAREZ CHANCA          </t>
  </si>
  <si>
    <t xml:space="preserve">DUARTE DEMERA FRANCISCO JAVIER          </t>
  </si>
  <si>
    <t xml:space="preserve">VASQUEZ MOREIRA HILDA VIVIANA           </t>
  </si>
  <si>
    <t xml:space="preserve">CAROLINA JEANNETTE  BORDES EST          </t>
  </si>
  <si>
    <t xml:space="preserve">GONZALEZ SANCHEZ OLGA MARIA             </t>
  </si>
  <si>
    <t xml:space="preserve">MARIA LEONOR VALERO SANCHEZ             </t>
  </si>
  <si>
    <t xml:space="preserve">SOLANO DE LA TORRE EFRAIN ALFR          </t>
  </si>
  <si>
    <t xml:space="preserve">AGUILAR CARDENAS EDWIN MARCELO          </t>
  </si>
  <si>
    <t xml:space="preserve">CAROLINA AMALIA IDROVO PIEDRAH          </t>
  </si>
  <si>
    <t xml:space="preserve">JOSE JOAQUIN OLMEDO CASTELLO            </t>
  </si>
  <si>
    <t xml:space="preserve">DUNNYA MARLENE VILLAVICENCIO L          </t>
  </si>
  <si>
    <t xml:space="preserve">LUIS FRANCISCO MONTOYA ARGUDO           </t>
  </si>
  <si>
    <t xml:space="preserve">BLOISE CORTAZAR LUIGI BRUNO             </t>
  </si>
  <si>
    <t xml:space="preserve">DURAN POLIT MARIA DANIELLA              </t>
  </si>
  <si>
    <t xml:space="preserve">PEDRO ROBERTO MERELLO LOPEZ             </t>
  </si>
  <si>
    <t xml:space="preserve">AMADA ZORAIDA ORMAZA PEREZ              </t>
  </si>
  <si>
    <t xml:space="preserve">JUAN CARLOS LANGARANO DELA              </t>
  </si>
  <si>
    <t xml:space="preserve">ANDRADE ROJAS WALTER RODOLFO            </t>
  </si>
  <si>
    <t xml:space="preserve">MELCHOR MAURICIO VALENCIA PERE          </t>
  </si>
  <si>
    <t xml:space="preserve">JAIME RICARDO ZUNIGA RODRIGUEZ          </t>
  </si>
  <si>
    <t xml:space="preserve">CASTRO CEDENO JENNIFFER VERONI          </t>
  </si>
  <si>
    <t xml:space="preserve">VELIZ CASTRO RICARDO XAVIER             </t>
  </si>
  <si>
    <t xml:space="preserve">SANGUNA RON TANIA GRICELDA              </t>
  </si>
  <si>
    <t xml:space="preserve">RAUL JOSE CANIZARES GARAICOA            </t>
  </si>
  <si>
    <t xml:space="preserve">JERVIS BASURTO KENYA SORAYA             </t>
  </si>
  <si>
    <t xml:space="preserve">GUTIERREZ CARABAJO KLEBER RODO          </t>
  </si>
  <si>
    <t xml:space="preserve">FAUSTO LEONARDO  ORTIZ DE LA C          </t>
  </si>
  <si>
    <t xml:space="preserve">ROBAYO GONZALEZ ROBERTO JAVIER          </t>
  </si>
  <si>
    <t xml:space="preserve">MONTES BRIONES JEFFERSON ANTON          </t>
  </si>
  <si>
    <t xml:space="preserve">NUVIA ELIZABETH TORRES VERA             </t>
  </si>
  <si>
    <t xml:space="preserve">PERALTA CASTILLO ELSA DEL ROCI          </t>
  </si>
  <si>
    <t xml:space="preserve">JUMBO NARANJO LORENA DE LOURDE          </t>
  </si>
  <si>
    <t xml:space="preserve">CASGUZ S A CASA GUZMAN                  </t>
  </si>
  <si>
    <t xml:space="preserve">VELEZ MACIAS  KATHERINE ANGELI          </t>
  </si>
  <si>
    <t xml:space="preserve">VALAREZO GUZMAN SAUL DE JESUS           </t>
  </si>
  <si>
    <t xml:space="preserve">VIVANCO BALLESTEROS CARMEN JAN          </t>
  </si>
  <si>
    <t xml:space="preserve">SEGUNET SA                              </t>
  </si>
  <si>
    <t xml:space="preserve">GARCIA BAJANA NAYITH ALEJANDRO          </t>
  </si>
  <si>
    <t>at-3031</t>
  </si>
  <si>
    <t xml:space="preserve">ALFREDO GEOVANNY SANCHEZ BENAV          </t>
  </si>
  <si>
    <t xml:space="preserve">SANCHEZ EGAS LIZETH MARITZA             </t>
  </si>
  <si>
    <t xml:space="preserve">BRITO LAVAYEN BEATRIZ TERESA            </t>
  </si>
  <si>
    <t xml:space="preserve">ORELLANA ALVAREZ FRANKLIN NAPO          </t>
  </si>
  <si>
    <t xml:space="preserve">COMERCIALIZADORA DE PROUCTOS            </t>
  </si>
  <si>
    <t xml:space="preserve">MAZZINI RIVADENEIRA VALERIE GE          </t>
  </si>
  <si>
    <t xml:space="preserve">RICHARD EDUARDO DAVILA CABRERA          </t>
  </si>
  <si>
    <t xml:space="preserve">FEDERICO GUILLERMO VARAS CHIQU          </t>
  </si>
  <si>
    <t xml:space="preserve">QUIMI CABANILLA EDISON JERONIM          </t>
  </si>
  <si>
    <t xml:space="preserve">PASEABORDO SA                           </t>
  </si>
  <si>
    <t>at-3023</t>
  </si>
  <si>
    <t xml:space="preserve">ALBA REBECA BOHORQUEZ JACOME            </t>
  </si>
  <si>
    <t xml:space="preserve">BUSTAMANTE TORRES CAMILO EDUAR          </t>
  </si>
  <si>
    <t xml:space="preserve">NERY LILIANA OCHOA BAQUE                </t>
  </si>
  <si>
    <t xml:space="preserve">NIEVES RODRIGUEZ JORGE ELIECER          </t>
  </si>
  <si>
    <t xml:space="preserve">JOSE FRANCISCO  FERNANDEZ   ES          </t>
  </si>
  <si>
    <t xml:space="preserve">EDDIE ENRIQUE HERRERA MEDINA            </t>
  </si>
  <si>
    <t xml:space="preserve">ARAMBULO VINCES GEIVER YASMANY          </t>
  </si>
  <si>
    <t xml:space="preserve">LUIS ENRIQUE  MATIAS YEPEZ              </t>
  </si>
  <si>
    <t xml:space="preserve">JORGE ENRIQUE TRELLES MANTILLA          </t>
  </si>
  <si>
    <t xml:space="preserve">MONICA LORENA OROZCO AVILES             </t>
  </si>
  <si>
    <t xml:space="preserve">MENDIETA VILLALVA ROSA MARIA            </t>
  </si>
  <si>
    <t xml:space="preserve">ALEX ENRIQUE  MARTINEZ ESPINOZ          </t>
  </si>
  <si>
    <t xml:space="preserve">LUIS ENRIQUE APOLINARIO ROJAS           </t>
  </si>
  <si>
    <t xml:space="preserve">CAMPOS VELEZ HENRRY GONZALO             </t>
  </si>
  <si>
    <t xml:space="preserve">ARMIJOS SALAZAR ANA ISABEL              </t>
  </si>
  <si>
    <t xml:space="preserve">MARIA EUGENIA  HERBAS HERRERA           </t>
  </si>
  <si>
    <t xml:space="preserve">GABRIELA NATHALY GONZALEZ BANO          </t>
  </si>
  <si>
    <t xml:space="preserve">RUIZ UNDA ROBERTO ANTONIO               </t>
  </si>
  <si>
    <t xml:space="preserve">CHACON CALDERON SARITA MARIA D          </t>
  </si>
  <si>
    <t xml:space="preserve">WALTER ENRIQUE  BAJANA MEDINA           </t>
  </si>
  <si>
    <t xml:space="preserve">VELEZ VITERI LENIN ENRIQUE              </t>
  </si>
  <si>
    <t xml:space="preserve">PERALTA RUA JOSE LUIS                   </t>
  </si>
  <si>
    <t xml:space="preserve">MARIA DEL CARMEN VERA VALVERDE          </t>
  </si>
  <si>
    <t xml:space="preserve">GUTIERREZ CAJIAS ANDREA YOLAND          </t>
  </si>
  <si>
    <t xml:space="preserve">JUANA ISABEL MARMOL ESPINOZA            </t>
  </si>
  <si>
    <t xml:space="preserve">NORMA ELISA YEPEZ JIMENEZ               </t>
  </si>
  <si>
    <t xml:space="preserve">RAMOS MARCILLO CATHERINE LISSE          </t>
  </si>
  <si>
    <t xml:space="preserve">JIMENEZ BERNAL TANIA BEATRIZ            </t>
  </si>
  <si>
    <t xml:space="preserve">ROSA CONSUELO  FIGUEROA MACIAS          </t>
  </si>
  <si>
    <t xml:space="preserve">MONGE SCALDAFERRI ANDRES ALBER          </t>
  </si>
  <si>
    <t>at-3037</t>
  </si>
  <si>
    <t xml:space="preserve">RODRIGUEZ CARRASCO JOICCE MOIS          </t>
  </si>
  <si>
    <t xml:space="preserve">EVELYN ROSANGELA ARGUELLO JURA          </t>
  </si>
  <si>
    <t xml:space="preserve">MALDONADO CORDOVA SARA MARIELA          </t>
  </si>
  <si>
    <t xml:space="preserve">ALVAREZ MOLINA PAUL ALEJANDRO           </t>
  </si>
  <si>
    <t xml:space="preserve">BERNAL MORAN ALEX XAVIER                </t>
  </si>
  <si>
    <t xml:space="preserve">CESAR AUGUSTO BAQUERIZO AROSEM          </t>
  </si>
  <si>
    <t xml:space="preserve">MEDINA FLORES DANIEL FRANCISCO          </t>
  </si>
  <si>
    <t xml:space="preserve">HINOJOSA RABASCO OLGA MORAYMA           </t>
  </si>
  <si>
    <t xml:space="preserve">CATHERINE NICOLE RUGEL CARRERA          </t>
  </si>
  <si>
    <t xml:space="preserve">PABLO ENRIQUE GONZENBACH IGLES          </t>
  </si>
  <si>
    <t xml:space="preserve">DELGADO VINTIMILLA CARLOS FERN          </t>
  </si>
  <si>
    <t xml:space="preserve">INDUSTRIAL JUVENALIS SA                 </t>
  </si>
  <si>
    <t xml:space="preserve">CASTRO CASTILLO BYRON MANUEL            </t>
  </si>
  <si>
    <t xml:space="preserve">MARIO FABRICIO ZALAMAR GALDOS           </t>
  </si>
  <si>
    <t xml:space="preserve">SOLUCIONES SEGURAS SA                   </t>
  </si>
  <si>
    <t xml:space="preserve">ZHU ZHIPENG                             </t>
  </si>
  <si>
    <t xml:space="preserve">WAN CHEN ZULEIKA                        </t>
  </si>
  <si>
    <t xml:space="preserve">CASTILLO RIVERA RUTH NOEMI              </t>
  </si>
  <si>
    <t xml:space="preserve">PINO MAULME ENRIQUE GABRIEL             </t>
  </si>
  <si>
    <t xml:space="preserve">JEAN PAUL ESPINOZA CONSTANTE            </t>
  </si>
  <si>
    <t xml:space="preserve">ROSA MARGARITA  BARRIGA CANTOS          </t>
  </si>
  <si>
    <t xml:space="preserve">ALVEAR MUNOZ JUAN RAUL                  </t>
  </si>
  <si>
    <t xml:space="preserve">MARTILLO BUSTAMANTE JIMMY JAVI          </t>
  </si>
  <si>
    <t xml:space="preserve">MORA REYES JOSE FRANK                   </t>
  </si>
  <si>
    <t xml:space="preserve">MORAN PINCAY PATRICIA YOLANDA           </t>
  </si>
  <si>
    <t xml:space="preserve">SERVICIO DE OFICINA COMPUTARIZ          </t>
  </si>
  <si>
    <t xml:space="preserve">FLORES MARTINEZ RAQUEL VERONIC          </t>
  </si>
  <si>
    <t xml:space="preserve">VINUEZA GARCIA EDISON EDUARDO           </t>
  </si>
  <si>
    <t xml:space="preserve">LIGIA AZUCENA ARTEAGA VALENZUE          </t>
  </si>
  <si>
    <t xml:space="preserve">SERVICITY C A                           </t>
  </si>
  <si>
    <t xml:space="preserve">VALERO ZABALA  JULIA ELIZABETH          </t>
  </si>
  <si>
    <t xml:space="preserve">INFINITYGROUP SA                        </t>
  </si>
  <si>
    <t xml:space="preserve">MONTESDEOCA ZAMBRANO SILVIA MA          </t>
  </si>
  <si>
    <t>3900158</t>
  </si>
  <si>
    <t>3900149</t>
  </si>
  <si>
    <t>3909789</t>
  </si>
  <si>
    <t>3903544</t>
  </si>
  <si>
    <t>3960276</t>
  </si>
  <si>
    <t>3930235</t>
  </si>
  <si>
    <t xml:space="preserve">AIMARA RODRIGUEZ FERNANDEZ              </t>
  </si>
  <si>
    <t xml:space="preserve">GRACIELA GUADALUPE MEREJILDO V          </t>
  </si>
  <si>
    <t xml:space="preserve">JENNY FELICIA PERALTA HATI              </t>
  </si>
  <si>
    <t xml:space="preserve">CARLOS EDUARDO CARVAJAL LOOR            </t>
  </si>
  <si>
    <t xml:space="preserve">ROSA MARGARITA  FLOR ALTAFUYA           </t>
  </si>
  <si>
    <t xml:space="preserve">BENAVIDES QUIMI KAREN RUSHELL           </t>
  </si>
  <si>
    <t xml:space="preserve">CALLE VACA LORENA GICELLA               </t>
  </si>
  <si>
    <t xml:space="preserve">JORGE JOSE  TORBAY GONZALEZ             </t>
  </si>
  <si>
    <t xml:space="preserve">IGLESIA DE JESUCRISTO SUD               </t>
  </si>
  <si>
    <t xml:space="preserve">ALCIVAR MENDOZA MARIANA CONCEP          </t>
  </si>
  <si>
    <t xml:space="preserve">FLORES ORTEGA MERCEDES ROCIO            </t>
  </si>
  <si>
    <t xml:space="preserve">LAUDE SA LAUDESA ADMINISTRAD            </t>
  </si>
  <si>
    <t xml:space="preserve">MUNOZ CANTOS MARIA FERNANDA             </t>
  </si>
  <si>
    <t xml:space="preserve">ZAMBRANO MOREIRA LUIS ALFREDO           </t>
  </si>
  <si>
    <t xml:space="preserve">DOLMEN SA                               </t>
  </si>
  <si>
    <t xml:space="preserve">MORAN CABELLO JUSUETH WENSTLAN          </t>
  </si>
  <si>
    <t xml:space="preserve">MARTINEZ PUGA XAVIER ENRRIQUE           </t>
  </si>
  <si>
    <t xml:space="preserve">NESTOR AGUSTIN SIMANCAS PINTA           </t>
  </si>
  <si>
    <t xml:space="preserve">HAIRLOFT SA                             </t>
  </si>
  <si>
    <t xml:space="preserve">DE LA ROSA FIGUEROA GABRIELA T          </t>
  </si>
  <si>
    <t>at-3078</t>
  </si>
  <si>
    <t xml:space="preserve">RIOS ORELLANA INGRID DE LA CRU          </t>
  </si>
  <si>
    <t xml:space="preserve">DAGER PESANTES OMAR ALEJANDRO           </t>
  </si>
  <si>
    <t xml:space="preserve">PATRICIA ALEXANDRA  COBOS JARA          </t>
  </si>
  <si>
    <t xml:space="preserve">LAYANA FERNANDEZ GENESIS CRIST          </t>
  </si>
  <si>
    <t xml:space="preserve">GIOVANNY NARVAEZ PORTILLA               </t>
  </si>
  <si>
    <t xml:space="preserve">ADUANOVACORP SA                         </t>
  </si>
  <si>
    <t xml:space="preserve">AMAGUAYA CHUQUI ANGEL DANIEL            </t>
  </si>
  <si>
    <t xml:space="preserve">GUZMAN PONGUILLO MAYRA AZUCENA          </t>
  </si>
  <si>
    <t xml:space="preserve">DAVILA SOLORZANO DANIEL SIMON           </t>
  </si>
  <si>
    <t>3908160</t>
  </si>
  <si>
    <t>3902164</t>
  </si>
  <si>
    <t>3908129</t>
  </si>
  <si>
    <t>3900383</t>
  </si>
  <si>
    <t xml:space="preserve">PINO ARROBA ALVARO ERNESTO              </t>
  </si>
  <si>
    <t>3902947</t>
  </si>
  <si>
    <t>3908019</t>
  </si>
  <si>
    <t xml:space="preserve">VASQUEZ RESABALA CARLOS JESUS           </t>
  </si>
  <si>
    <t>3903855</t>
  </si>
  <si>
    <t xml:space="preserve">RISQUE RISK SA                          </t>
  </si>
  <si>
    <t>3903204</t>
  </si>
  <si>
    <t>3945114</t>
  </si>
  <si>
    <t xml:space="preserve">VILLACRES GONZALEZ GISSELLA CE          </t>
  </si>
  <si>
    <t xml:space="preserve">SORIANO SUAREZ GUILBERT SAUL            </t>
  </si>
  <si>
    <t xml:space="preserve">NEIRA PILLASAGUA ROSA DEL CARM          </t>
  </si>
  <si>
    <t>at-3085</t>
  </si>
  <si>
    <t xml:space="preserve">SALTOS MATA FILADELFO VLADIMIR          </t>
  </si>
  <si>
    <t>at-3084</t>
  </si>
  <si>
    <t xml:space="preserve">FABRICIO OLMEDO GRANDA QUESADA          </t>
  </si>
  <si>
    <t xml:space="preserve">PAN ZI                                  </t>
  </si>
  <si>
    <t xml:space="preserve">BARCO LOOR ALEXANDRA JACQUELIN          </t>
  </si>
  <si>
    <t xml:space="preserve">ASOCIACION DE PROPIETARIOS III          </t>
  </si>
  <si>
    <t xml:space="preserve">SOLEDISPA ACEBO MILTON ANTONIO          </t>
  </si>
  <si>
    <t xml:space="preserve">BOSQUEZ PINCAY LILIAN MARLENE           </t>
  </si>
  <si>
    <t xml:space="preserve">FERNANDO GABRIEL AVILES USCOCO          </t>
  </si>
  <si>
    <t xml:space="preserve">REIMBERG BADUY PETER PAUL               </t>
  </si>
  <si>
    <t>BCO PACIFICO MES DE AGOSTO</t>
  </si>
  <si>
    <t xml:space="preserve">PRADO FRANCO ANDREA JACQUELINE          </t>
  </si>
  <si>
    <t>at-3100</t>
  </si>
  <si>
    <t xml:space="preserve">ANGEL ALEX PASHMA GUADALUPE             </t>
  </si>
  <si>
    <t xml:space="preserve">SILVA ESPINOZA CARLOTA ELIZABE          </t>
  </si>
  <si>
    <t>3960269</t>
  </si>
  <si>
    <t xml:space="preserve">GABINO MIRANDA DAVID EDUARDO            </t>
  </si>
  <si>
    <t>3907386</t>
  </si>
  <si>
    <t xml:space="preserve">LUCIN DE LA A ANA GERTRUDIS             </t>
  </si>
  <si>
    <t xml:space="preserve">ELIAS CABRERA ANGELA MARIA              </t>
  </si>
  <si>
    <t xml:space="preserve">ITURRALDE TORRES EDUARDO ANIBA          </t>
  </si>
  <si>
    <t xml:space="preserve">ROMELIA JACOBA FERNANDEZ RAMIR          </t>
  </si>
  <si>
    <t xml:space="preserve">ADMINASES S A                           </t>
  </si>
  <si>
    <t xml:space="preserve">ANZULES LEMA JUAN GABRIEL               </t>
  </si>
  <si>
    <t>at-3117</t>
  </si>
  <si>
    <t xml:space="preserve">ROSO SANCHEZ JHONATAN ALFONSO           </t>
  </si>
  <si>
    <t xml:space="preserve">HAYDEE GANDIOSA  FALUGIANI MOR          </t>
  </si>
  <si>
    <t xml:space="preserve">CASTRO ESPINALES LUCELINA PRIM          </t>
  </si>
  <si>
    <t xml:space="preserve">VICENTE  IMAICELA ROSILLO               </t>
  </si>
  <si>
    <t xml:space="preserve">MARTHA CECILIA  SANTOS BERMUDE          </t>
  </si>
  <si>
    <t>at-3154</t>
  </si>
  <si>
    <t>at-3153</t>
  </si>
  <si>
    <t>at-3152</t>
  </si>
  <si>
    <t>at-3151</t>
  </si>
  <si>
    <t>at-3155</t>
  </si>
  <si>
    <t>at-3160</t>
  </si>
  <si>
    <t>at-3159</t>
  </si>
  <si>
    <t>at-3158</t>
  </si>
  <si>
    <t>at-3157</t>
  </si>
  <si>
    <t>at-3156</t>
  </si>
  <si>
    <t>at-3173</t>
  </si>
  <si>
    <t>at-3172</t>
  </si>
  <si>
    <t>at-3171</t>
  </si>
  <si>
    <t>at-3170</t>
  </si>
  <si>
    <t>at-3169</t>
  </si>
  <si>
    <t>at-3168</t>
  </si>
  <si>
    <t>at-3167</t>
  </si>
  <si>
    <t>at-3166</t>
  </si>
  <si>
    <t>at-3165</t>
  </si>
  <si>
    <t>at-3163</t>
  </si>
  <si>
    <t>at-3164</t>
  </si>
  <si>
    <t>at-3162</t>
  </si>
  <si>
    <t>at-3161</t>
  </si>
  <si>
    <t>at-3150</t>
  </si>
  <si>
    <t>at-3149</t>
  </si>
  <si>
    <t>at-3148</t>
  </si>
  <si>
    <t>at-3147</t>
  </si>
  <si>
    <t>at-3146</t>
  </si>
  <si>
    <t>at-3145</t>
  </si>
  <si>
    <t>at-3144</t>
  </si>
  <si>
    <t>at-3143</t>
  </si>
  <si>
    <t>at-3142</t>
  </si>
  <si>
    <t>at-3141</t>
  </si>
  <si>
    <t>at-3140</t>
  </si>
  <si>
    <t>at-3139</t>
  </si>
  <si>
    <t>at-3138</t>
  </si>
  <si>
    <t>at-3137</t>
  </si>
  <si>
    <t>at-3136</t>
  </si>
  <si>
    <t>at-3135</t>
  </si>
  <si>
    <t>at-3134</t>
  </si>
  <si>
    <t>at-3133</t>
  </si>
  <si>
    <t>at-3132</t>
  </si>
  <si>
    <t>at-3131</t>
  </si>
  <si>
    <t>at-3130</t>
  </si>
  <si>
    <t>at-3129</t>
  </si>
  <si>
    <t>0918036328</t>
  </si>
  <si>
    <t>3908248</t>
  </si>
  <si>
    <t>REC-3808-A3Z9-514657</t>
  </si>
  <si>
    <t>09:47:21</t>
  </si>
  <si>
    <t>20200229</t>
  </si>
  <si>
    <t>0103857546</t>
  </si>
  <si>
    <t>23923027</t>
  </si>
  <si>
    <t>REC-7196-RQ76-102</t>
  </si>
  <si>
    <t>10:18:21</t>
  </si>
  <si>
    <t>0925432734</t>
  </si>
  <si>
    <t>3906966</t>
  </si>
  <si>
    <t>REC-011-VD5Z-333294</t>
  </si>
  <si>
    <t>10:53:09</t>
  </si>
  <si>
    <t>0921202867</t>
  </si>
  <si>
    <t>3902948</t>
  </si>
  <si>
    <t>REC-518-RI6W-423172</t>
  </si>
  <si>
    <t>10:53:39</t>
  </si>
  <si>
    <t>REC-518-RI71-178924</t>
  </si>
  <si>
    <t>11:16:44</t>
  </si>
  <si>
    <t>REC-609-A1M3-306582</t>
  </si>
  <si>
    <t>11:46:52</t>
  </si>
  <si>
    <t>0920964715</t>
  </si>
  <si>
    <t>3908033</t>
  </si>
  <si>
    <t>REC-810-5CAY-413758</t>
  </si>
  <si>
    <t>11:51:06</t>
  </si>
  <si>
    <t>REC-011-VD5Z-333316</t>
  </si>
  <si>
    <t>11:52:05</t>
  </si>
  <si>
    <t>0907846745</t>
  </si>
  <si>
    <t>3945448</t>
  </si>
  <si>
    <t>REC-223-V7XD-252489</t>
  </si>
  <si>
    <t>12:01:46</t>
  </si>
  <si>
    <t>0926122946001</t>
  </si>
  <si>
    <t>3907362</t>
  </si>
  <si>
    <t>REC-4717-FRZ4-303055</t>
  </si>
  <si>
    <t>12:12:14</t>
  </si>
  <si>
    <t>0915446512</t>
  </si>
  <si>
    <t>3903513</t>
  </si>
  <si>
    <t>REC-011-VD5Z-333333</t>
  </si>
  <si>
    <t>12:29:46</t>
  </si>
  <si>
    <t>0926274234</t>
  </si>
  <si>
    <t>3902505</t>
  </si>
  <si>
    <t>REC-348-1R2Q-424861</t>
  </si>
  <si>
    <t>12:37:22</t>
  </si>
  <si>
    <t>REC-944-LRJ0-379618</t>
  </si>
  <si>
    <t>12:45:15</t>
  </si>
  <si>
    <t>0910929025</t>
  </si>
  <si>
    <t>3902650</t>
  </si>
  <si>
    <t>REC-3182-SS15-4857</t>
  </si>
  <si>
    <t>0916443310</t>
  </si>
  <si>
    <t>3908099</t>
  </si>
  <si>
    <t>REC-944-PR10-411955</t>
  </si>
  <si>
    <t>13:54:56</t>
  </si>
  <si>
    <t>REC-3175-A3LN-112983</t>
  </si>
  <si>
    <t>14:05:40</t>
  </si>
  <si>
    <t>0702092164</t>
  </si>
  <si>
    <t>3909798</t>
  </si>
  <si>
    <t>REC-4388-FRZ6-305466</t>
  </si>
  <si>
    <t>14:28:08</t>
  </si>
  <si>
    <t>0920043155</t>
  </si>
  <si>
    <t>3907747</t>
  </si>
  <si>
    <t>REC-3172-YIGY-264642</t>
  </si>
  <si>
    <t>14:31:22</t>
  </si>
  <si>
    <t>0927281923</t>
  </si>
  <si>
    <t>3906829</t>
  </si>
  <si>
    <t>REC-072-AJ3R-231941</t>
  </si>
  <si>
    <t>14:41:58</t>
  </si>
  <si>
    <t>REC-3371-LD0C-269454</t>
  </si>
  <si>
    <t>14:53:51</t>
  </si>
  <si>
    <t>REC-072-4PW8-192077</t>
  </si>
  <si>
    <t>16:01:25</t>
  </si>
  <si>
    <t>0908690795</t>
  </si>
  <si>
    <t>3909881</t>
  </si>
  <si>
    <t>REC-3422-A25Y-83755</t>
  </si>
  <si>
    <t>16:11:35</t>
  </si>
  <si>
    <t>0909029886</t>
  </si>
  <si>
    <t>3909093</t>
  </si>
  <si>
    <t>REC-3370-A6JI-234221</t>
  </si>
  <si>
    <t>16:45:50</t>
  </si>
  <si>
    <t>0924354244</t>
  </si>
  <si>
    <t>3900959</t>
  </si>
  <si>
    <t>REC-342-EBMO-259194</t>
  </si>
  <si>
    <t>16:58:04</t>
  </si>
  <si>
    <t>REC-226-B7CC-700020</t>
  </si>
  <si>
    <t>17:09:09</t>
  </si>
  <si>
    <t>3907365</t>
  </si>
  <si>
    <t>REC-3175-C8JC-292229</t>
  </si>
  <si>
    <t>17:10:18</t>
  </si>
  <si>
    <t>0917022733</t>
  </si>
  <si>
    <t>3902777</t>
  </si>
  <si>
    <t>REC-049-A2U2-38970</t>
  </si>
  <si>
    <t>17:45:01</t>
  </si>
  <si>
    <t>REC-4007-OIT2-283987</t>
  </si>
  <si>
    <t>10:10:53</t>
  </si>
  <si>
    <t>20200228</t>
  </si>
  <si>
    <t>REC-4960-A1QG-70551</t>
  </si>
  <si>
    <t>10:22:18</t>
  </si>
  <si>
    <t>1202804116</t>
  </si>
  <si>
    <t>3900927</t>
  </si>
  <si>
    <t>REC-3422-A3IU-616534</t>
  </si>
  <si>
    <t>REC-2004-CNH2-567118</t>
  </si>
  <si>
    <t>10:56:58</t>
  </si>
  <si>
    <t>REC-551-VOI8-592500</t>
  </si>
  <si>
    <t>11:14:37</t>
  </si>
  <si>
    <t>REC-4235-A1BQ-28315</t>
  </si>
  <si>
    <t>11:22:47</t>
  </si>
  <si>
    <t>REC-3412-PTE5-288361</t>
  </si>
  <si>
    <t>12:44:40</t>
  </si>
  <si>
    <t>0915716583</t>
  </si>
  <si>
    <t>3908055</t>
  </si>
  <si>
    <t>REC-4257-A221-107349</t>
  </si>
  <si>
    <t>13:07:26</t>
  </si>
  <si>
    <t>REC-4164-A1CB-112435</t>
  </si>
  <si>
    <t>13:12:41</t>
  </si>
  <si>
    <t>0926205600</t>
  </si>
  <si>
    <t>3902732</t>
  </si>
  <si>
    <t>REC-3143-AWFJ-318129</t>
  </si>
  <si>
    <t>13:51:24</t>
  </si>
  <si>
    <t>3902590</t>
  </si>
  <si>
    <t>REC-3143-AWFJ-318130</t>
  </si>
  <si>
    <t>13:52:24</t>
  </si>
  <si>
    <t>REC-226-B7CC-699748</t>
  </si>
  <si>
    <t>14:11:02</t>
  </si>
  <si>
    <t>REC-3172-YIGW-297135</t>
  </si>
  <si>
    <t>14:16:19</t>
  </si>
  <si>
    <t>REC-072-GPG1-208483</t>
  </si>
  <si>
    <t>14:31:41</t>
  </si>
  <si>
    <t>0917761041</t>
  </si>
  <si>
    <t>3903137</t>
  </si>
  <si>
    <t>REC-3172-YIGW-297146</t>
  </si>
  <si>
    <t>14:38:07</t>
  </si>
  <si>
    <t>REC-3371-LD0C-269274</t>
  </si>
  <si>
    <t>14:40:03</t>
  </si>
  <si>
    <t>REC-3301-CTQ4-291365</t>
  </si>
  <si>
    <t>14:44:32</t>
  </si>
  <si>
    <t>1707372924</t>
  </si>
  <si>
    <t>3901201</t>
  </si>
  <si>
    <t>REC-4278-IOI5-291535</t>
  </si>
  <si>
    <t>14:50:42</t>
  </si>
  <si>
    <t>REC-3029-M9QW-178811</t>
  </si>
  <si>
    <t>14:54:19</t>
  </si>
  <si>
    <t>0926523549</t>
  </si>
  <si>
    <t>3903265</t>
  </si>
  <si>
    <t>REC-3792-A39T-100370</t>
  </si>
  <si>
    <t>15:00:26</t>
  </si>
  <si>
    <t>REC-944-ZF9M-187726</t>
  </si>
  <si>
    <t>15:05:33</t>
  </si>
  <si>
    <t>0701116048</t>
  </si>
  <si>
    <t>3930280</t>
  </si>
  <si>
    <t>REC-3370-A6JI-233943</t>
  </si>
  <si>
    <t>15:08:40</t>
  </si>
  <si>
    <t>REC-4319-A1HZ-5737</t>
  </si>
  <si>
    <t>15:13:41</t>
  </si>
  <si>
    <t>REC-3510-A4F9-227928</t>
  </si>
  <si>
    <t>16:01:29</t>
  </si>
  <si>
    <t>1714674262001</t>
  </si>
  <si>
    <t>23923189</t>
  </si>
  <si>
    <t>REC-4329-A150-27436</t>
  </si>
  <si>
    <t>16:03:28</t>
  </si>
  <si>
    <t>REC-245-BEJI-642801</t>
  </si>
  <si>
    <t>16:14:30</t>
  </si>
  <si>
    <t>0923534234</t>
  </si>
  <si>
    <t>3900940</t>
  </si>
  <si>
    <t>REC-3175-A3LN-112844</t>
  </si>
  <si>
    <t>17:23:21</t>
  </si>
  <si>
    <t>REC-223-B7CD-553424</t>
  </si>
  <si>
    <t>17:25:21</t>
  </si>
  <si>
    <t>REC-048-AFEP-230562</t>
  </si>
  <si>
    <t>17:32:04</t>
  </si>
  <si>
    <t>0950018101</t>
  </si>
  <si>
    <t>3907596</t>
  </si>
  <si>
    <t>REC-3172-YIGY-264548</t>
  </si>
  <si>
    <t>20:54:46</t>
  </si>
  <si>
    <t>REC-4963-A3A0-298988</t>
  </si>
  <si>
    <t>22:29:48</t>
  </si>
  <si>
    <t>REC-3994-A5HO-37247</t>
  </si>
  <si>
    <t>09:04:17</t>
  </si>
  <si>
    <t>20200227</t>
  </si>
  <si>
    <t>REC-3994-A5HO-37248</t>
  </si>
  <si>
    <t>09:06:00</t>
  </si>
  <si>
    <t>REC-3994-A5HO-37249</t>
  </si>
  <si>
    <t>09:07:02</t>
  </si>
  <si>
    <t>REC-2004-CNH2-566915</t>
  </si>
  <si>
    <t>10:27:54</t>
  </si>
  <si>
    <t>REC-3640-AAG6-42826</t>
  </si>
  <si>
    <t>11:32:24</t>
  </si>
  <si>
    <t>REC-4319-1AH9-5108</t>
  </si>
  <si>
    <t>11:33:07</t>
  </si>
  <si>
    <t>REC-3172-YIHD-234729</t>
  </si>
  <si>
    <t>11:36:07</t>
  </si>
  <si>
    <t>REC-090-IRFP-562911</t>
  </si>
  <si>
    <t>12:04:05</t>
  </si>
  <si>
    <t>REC-3370-A6JI-233729</t>
  </si>
  <si>
    <t>12:16:35</t>
  </si>
  <si>
    <t>REC-4057-A495-6772</t>
  </si>
  <si>
    <t>12:51:07</t>
  </si>
  <si>
    <t>0916657695</t>
  </si>
  <si>
    <t>3907355</t>
  </si>
  <si>
    <t>REC-4717-FRZ4-271136</t>
  </si>
  <si>
    <t>12:51:48</t>
  </si>
  <si>
    <t>REC-028-AJSG-543577</t>
  </si>
  <si>
    <t>13:22:43</t>
  </si>
  <si>
    <t>REC-245-BEJI-642582</t>
  </si>
  <si>
    <t>14:01:22</t>
  </si>
  <si>
    <t>REC-3187-A2UE-30933</t>
  </si>
  <si>
    <t>14:26:09</t>
  </si>
  <si>
    <t>REC-3370-A6JI-233749</t>
  </si>
  <si>
    <t>14:43:40</t>
  </si>
  <si>
    <t>0705653566</t>
  </si>
  <si>
    <t>3900330</t>
  </si>
  <si>
    <t>REC-008-PB64-375622</t>
  </si>
  <si>
    <t>15:31:00</t>
  </si>
  <si>
    <t>REC-008-PB64-375626</t>
  </si>
  <si>
    <t>15:43:54</t>
  </si>
  <si>
    <t>REC-678-3V18-557740</t>
  </si>
  <si>
    <t>16:11:23</t>
  </si>
  <si>
    <t>REC-678-3V18-557741</t>
  </si>
  <si>
    <t>16:11:47</t>
  </si>
  <si>
    <t>REC-3295-1TWC-204846</t>
  </si>
  <si>
    <t>16:23:22</t>
  </si>
  <si>
    <t>0915800148001</t>
  </si>
  <si>
    <t>3907428</t>
  </si>
  <si>
    <t>REC-4235-A1BQ-28293</t>
  </si>
  <si>
    <t>16:25:07</t>
  </si>
  <si>
    <t>REC-3023-IZCF-559855</t>
  </si>
  <si>
    <t>16:30:03</t>
  </si>
  <si>
    <t>0914893714</t>
  </si>
  <si>
    <t>3908622</t>
  </si>
  <si>
    <t>REC-072-4PW8-191671</t>
  </si>
  <si>
    <t>16:32:12</t>
  </si>
  <si>
    <t>REC-3370-A6JI-233791</t>
  </si>
  <si>
    <t>16:40:28</t>
  </si>
  <si>
    <t>REC-223-V7XD-252214</t>
  </si>
  <si>
    <t>16:43:44</t>
  </si>
  <si>
    <t>REC-536-2GEZ-328372</t>
  </si>
  <si>
    <t>17:08:21</t>
  </si>
  <si>
    <t>REC-7180-RP32-278080</t>
  </si>
  <si>
    <t>17:14:29</t>
  </si>
  <si>
    <t>REC-097-AJSC-482255</t>
  </si>
  <si>
    <t>17:14:58</t>
  </si>
  <si>
    <t>REC-097-AJSC-482256</t>
  </si>
  <si>
    <t>17:15:36</t>
  </si>
  <si>
    <t>0920231735</t>
  </si>
  <si>
    <t>3930292</t>
  </si>
  <si>
    <t>REC-072-4PW8-191690</t>
  </si>
  <si>
    <t>17:23:16</t>
  </si>
  <si>
    <t>REC-072-TTF1-303587</t>
  </si>
  <si>
    <t>17:24:15</t>
  </si>
  <si>
    <t>0903881233</t>
  </si>
  <si>
    <t>3906002</t>
  </si>
  <si>
    <t>REC-3371-A1DS-217963</t>
  </si>
  <si>
    <t>18:10:45</t>
  </si>
  <si>
    <t>0922678800</t>
  </si>
  <si>
    <t>3908866</t>
  </si>
  <si>
    <t>REC-5635-A2YS-8899</t>
  </si>
  <si>
    <t>18:52:23</t>
  </si>
  <si>
    <t>1205049487</t>
  </si>
  <si>
    <t>3909097</t>
  </si>
  <si>
    <t>REC-3200-SAMB-494098</t>
  </si>
  <si>
    <t>18:53:32</t>
  </si>
  <si>
    <t>0703121079</t>
  </si>
  <si>
    <t>3903318</t>
  </si>
  <si>
    <t>REC-944-ZF9M-187654</t>
  </si>
  <si>
    <t>19:24:26</t>
  </si>
  <si>
    <t>REC-046-AFER-604479</t>
  </si>
  <si>
    <t>19:25:49</t>
  </si>
  <si>
    <t>REC-5635-A2YS-8908</t>
  </si>
  <si>
    <t>19:33:06</t>
  </si>
  <si>
    <t>0913234324</t>
  </si>
  <si>
    <t>3906286</t>
  </si>
  <si>
    <t>REC-342-EBMO-258816</t>
  </si>
  <si>
    <t>19:54:43</t>
  </si>
  <si>
    <t>REC-3187-YWS5-595145</t>
  </si>
  <si>
    <t>19:54:46</t>
  </si>
  <si>
    <t>REC-061-A3Y4-248102</t>
  </si>
  <si>
    <t>22:23:11</t>
  </si>
  <si>
    <t>REC-3095-T359-406498</t>
  </si>
  <si>
    <t>09:46:05</t>
  </si>
  <si>
    <t>20200226</t>
  </si>
  <si>
    <t>REC-045-VMU0-326411</t>
  </si>
  <si>
    <t>09:59:58</t>
  </si>
  <si>
    <t>REC-536-2GEZ-328144</t>
  </si>
  <si>
    <t>11:18:40</t>
  </si>
  <si>
    <t>0921616942</t>
  </si>
  <si>
    <t>3901464</t>
  </si>
  <si>
    <t>REC-3172-YIGW-296758</t>
  </si>
  <si>
    <t>11:21:53</t>
  </si>
  <si>
    <t>REC-3422-A25Y-83346</t>
  </si>
  <si>
    <t>11:33:28</t>
  </si>
  <si>
    <t>0923087787</t>
  </si>
  <si>
    <t>3901541</t>
  </si>
  <si>
    <t>REC-027-A40B-55499</t>
  </si>
  <si>
    <t>12:34:48</t>
  </si>
  <si>
    <t>REC-5219-A2EG-36402</t>
  </si>
  <si>
    <t>14:52:38</t>
  </si>
  <si>
    <t>REC-5219-A2EG-36403</t>
  </si>
  <si>
    <t>14:53:52</t>
  </si>
  <si>
    <t>0956039424</t>
  </si>
  <si>
    <t>3902637</t>
  </si>
  <si>
    <t>REC-678-3V18-557621</t>
  </si>
  <si>
    <t>16:29:29</t>
  </si>
  <si>
    <t>REC-4257-A219-146176</t>
  </si>
  <si>
    <t>17:48:04</t>
  </si>
  <si>
    <t>0925293797</t>
  </si>
  <si>
    <t>3909130</t>
  </si>
  <si>
    <t>REC-4010-LOP1-261129</t>
  </si>
  <si>
    <t>18:25:14</t>
  </si>
  <si>
    <t>REC-048-QNCI-615695</t>
  </si>
  <si>
    <t>11:17:44</t>
  </si>
  <si>
    <t>20200225</t>
  </si>
  <si>
    <t>0600026249</t>
  </si>
  <si>
    <t>3922130</t>
  </si>
  <si>
    <t>REC-3370-A6JI-233402</t>
  </si>
  <si>
    <t>11:55:08</t>
  </si>
  <si>
    <t>0914159561</t>
  </si>
  <si>
    <t>3906736</t>
  </si>
  <si>
    <t>REC-342-EBMO-258362</t>
  </si>
  <si>
    <t>14:27:28</t>
  </si>
  <si>
    <t>0917673048</t>
  </si>
  <si>
    <t>3901584</t>
  </si>
  <si>
    <t>REC-3187-A2UB-138025</t>
  </si>
  <si>
    <t>17:46:46</t>
  </si>
  <si>
    <t>REC-5585-A2XB-48830</t>
  </si>
  <si>
    <t>18:46:17</t>
  </si>
  <si>
    <t>1311445850</t>
  </si>
  <si>
    <t>3908149</t>
  </si>
  <si>
    <t>REC-944-KDUZ-237065</t>
  </si>
  <si>
    <t>10:16:58</t>
  </si>
  <si>
    <t>20200224</t>
  </si>
  <si>
    <t>REC-3792-A24Z-540519</t>
  </si>
  <si>
    <t>12:34:47</t>
  </si>
  <si>
    <t>0931136857</t>
  </si>
  <si>
    <t>3930321</t>
  </si>
  <si>
    <t>REC-4769-FSF1-236069</t>
  </si>
  <si>
    <t>15:08:41</t>
  </si>
  <si>
    <t>0801761891</t>
  </si>
  <si>
    <t>3908905</t>
  </si>
  <si>
    <t>REC-096-HG9K-295692</t>
  </si>
  <si>
    <t>19:24:34</t>
  </si>
  <si>
    <t>0919332569</t>
  </si>
  <si>
    <t>3901591</t>
  </si>
  <si>
    <t>REC-4143-WBU3-231052</t>
  </si>
  <si>
    <t>09:31:14</t>
  </si>
  <si>
    <t>20200223</t>
  </si>
  <si>
    <t>0910433895</t>
  </si>
  <si>
    <t>3907373</t>
  </si>
  <si>
    <t>REC-3187-YWS5-594621</t>
  </si>
  <si>
    <t>13:27:39</t>
  </si>
  <si>
    <t>REC-585-VR9E-492781</t>
  </si>
  <si>
    <t>13:55:37</t>
  </si>
  <si>
    <t>0915026041</t>
  </si>
  <si>
    <t>3900937</t>
  </si>
  <si>
    <t>REC-046-A3YA-94655</t>
  </si>
  <si>
    <t>14:21:31</t>
  </si>
  <si>
    <t>0913873535</t>
  </si>
  <si>
    <t>3903070</t>
  </si>
  <si>
    <t>REC-3371-LD0C-268692</t>
  </si>
  <si>
    <t>14:49:29</t>
  </si>
  <si>
    <t>0919922567</t>
  </si>
  <si>
    <t>3901328</t>
  </si>
  <si>
    <t>REC-096-DCIZ-443785</t>
  </si>
  <si>
    <t>14:56:19</t>
  </si>
  <si>
    <t>0921265468</t>
  </si>
  <si>
    <t>3902713</t>
  </si>
  <si>
    <t>REC-342-VEHD-449092</t>
  </si>
  <si>
    <t>09:46:59</t>
  </si>
  <si>
    <t>20200222</t>
  </si>
  <si>
    <t>REC-3371-LD0C-268595</t>
  </si>
  <si>
    <t>10:56:50</t>
  </si>
  <si>
    <t>0801554254</t>
  </si>
  <si>
    <t>3900582</t>
  </si>
  <si>
    <t>REC-7128-T179-226629</t>
  </si>
  <si>
    <t>11:17:29</t>
  </si>
  <si>
    <t>0102393352</t>
  </si>
  <si>
    <t>3907632</t>
  </si>
  <si>
    <t>REC-3422-A25Y-83142</t>
  </si>
  <si>
    <t>11:30:50</t>
  </si>
  <si>
    <t>0906850235</t>
  </si>
  <si>
    <t>3906792</t>
  </si>
  <si>
    <t>REC-344-AB8V-419788</t>
  </si>
  <si>
    <t>11:37:09</t>
  </si>
  <si>
    <t>0905894085</t>
  </si>
  <si>
    <t>3960261</t>
  </si>
  <si>
    <t>REC-008-PB65-365931</t>
  </si>
  <si>
    <t>11:44:34</t>
  </si>
  <si>
    <t>0802115733</t>
  </si>
  <si>
    <t>3907994</t>
  </si>
  <si>
    <t>REC-4313-IAI9-228478</t>
  </si>
  <si>
    <t>13:51:26</t>
  </si>
  <si>
    <t>REC-3371-EGEG-232961</t>
  </si>
  <si>
    <t>16:34:16</t>
  </si>
  <si>
    <t>REC-3808-A3Z9-514194</t>
  </si>
  <si>
    <t>18:50:05</t>
  </si>
  <si>
    <t>REC-4961-A24R-30847</t>
  </si>
  <si>
    <t>10:38:28</t>
  </si>
  <si>
    <t>20200221</t>
  </si>
  <si>
    <t>0912030939</t>
  </si>
  <si>
    <t>3960345</t>
  </si>
  <si>
    <t>REC-342-VEHD-448998</t>
  </si>
  <si>
    <t>11:28:32</t>
  </si>
  <si>
    <t>REC-048-QNCI-615465</t>
  </si>
  <si>
    <t>11:39:35</t>
  </si>
  <si>
    <t>REC-3520-A1CH-236796</t>
  </si>
  <si>
    <t>11:45:00</t>
  </si>
  <si>
    <t>0992559276001</t>
  </si>
  <si>
    <t>3900186</t>
  </si>
  <si>
    <t>REC-3187-A2UE-30330</t>
  </si>
  <si>
    <t>12:10:20</t>
  </si>
  <si>
    <t>0923993497</t>
  </si>
  <si>
    <t>3909204</t>
  </si>
  <si>
    <t>REC-3095-T359-406150</t>
  </si>
  <si>
    <t>12:31:51</t>
  </si>
  <si>
    <t>0917139354</t>
  </si>
  <si>
    <t>3901647</t>
  </si>
  <si>
    <t>REC-072-A6LX-188618</t>
  </si>
  <si>
    <t>13:31:48</t>
  </si>
  <si>
    <t>1708466501</t>
  </si>
  <si>
    <t>23920501</t>
  </si>
  <si>
    <t>REC-3033-M7YJ-82933</t>
  </si>
  <si>
    <t>13:48:21</t>
  </si>
  <si>
    <t>1750531160</t>
  </si>
  <si>
    <t>23923164</t>
  </si>
  <si>
    <t>REC-5915-PR20-690</t>
  </si>
  <si>
    <t>14:23:26</t>
  </si>
  <si>
    <t>REC-3214-A160-86551</t>
  </si>
  <si>
    <t>14:56:34</t>
  </si>
  <si>
    <t>REC-223-V7XD-251709</t>
  </si>
  <si>
    <t>15:08:36</t>
  </si>
  <si>
    <t>REC-3371-LD0C-268496</t>
  </si>
  <si>
    <t>15:19:15</t>
  </si>
  <si>
    <t>0924596166</t>
  </si>
  <si>
    <t>3903216</t>
  </si>
  <si>
    <t>REC-3095-T359-406188</t>
  </si>
  <si>
    <t>15:23:51</t>
  </si>
  <si>
    <t>0910397603</t>
  </si>
  <si>
    <t>3900416</t>
  </si>
  <si>
    <t>REC-223-V7XD-251721</t>
  </si>
  <si>
    <t>15:32:31</t>
  </si>
  <si>
    <t>REC-3578-ABC1-1425</t>
  </si>
  <si>
    <t>16:07:56</t>
  </si>
  <si>
    <t>at-3016</t>
  </si>
  <si>
    <t>REC-7314-A6GU-282</t>
  </si>
  <si>
    <t>16:23:24</t>
  </si>
  <si>
    <t>0912117314</t>
  </si>
  <si>
    <t>3909067</t>
  </si>
  <si>
    <t>REC-3172-LIO6-110023</t>
  </si>
  <si>
    <t>16:34:19</t>
  </si>
  <si>
    <t>REC-226-B7CC-698777</t>
  </si>
  <si>
    <t>17:01:18</t>
  </si>
  <si>
    <t>0907819627</t>
  </si>
  <si>
    <t>3930068</t>
  </si>
  <si>
    <t>REC-3422-A25Y-83070</t>
  </si>
  <si>
    <t>17:28:23</t>
  </si>
  <si>
    <t>REC-944-PR10-411558</t>
  </si>
  <si>
    <t>17:32:31</t>
  </si>
  <si>
    <t>REC-3175-C8JC-291361</t>
  </si>
  <si>
    <t>19:40:45</t>
  </si>
  <si>
    <t>0911066652</t>
  </si>
  <si>
    <t>3906848</t>
  </si>
  <si>
    <t>REC-5987-GFL4-192844</t>
  </si>
  <si>
    <t>08:30:48</t>
  </si>
  <si>
    <t>20200220</t>
  </si>
  <si>
    <t>REC-3533-CP5G-340132</t>
  </si>
  <si>
    <t>11:02:16</t>
  </si>
  <si>
    <t>0915189716</t>
  </si>
  <si>
    <t>3900238</t>
  </si>
  <si>
    <t>REC-3792-A39T-99779</t>
  </si>
  <si>
    <t>11:59:21</t>
  </si>
  <si>
    <t>1200603403001</t>
  </si>
  <si>
    <t>3903790</t>
  </si>
  <si>
    <t>REC-165-M8MT-638003</t>
  </si>
  <si>
    <t>12:44:12</t>
  </si>
  <si>
    <t>1714532973</t>
  </si>
  <si>
    <t>23923106</t>
  </si>
  <si>
    <t>REC-5632-Y012-4773</t>
  </si>
  <si>
    <t>13:30:24</t>
  </si>
  <si>
    <t>REC-620-VBI2-408182</t>
  </si>
  <si>
    <t>REC-3172-YIGW-296122</t>
  </si>
  <si>
    <t>14:12:55</t>
  </si>
  <si>
    <t>REC-5680-XTE2-1052</t>
  </si>
  <si>
    <t>14:19:20</t>
  </si>
  <si>
    <t>REC-3360-IPEN-213161</t>
  </si>
  <si>
    <t>15:31:21</t>
  </si>
  <si>
    <t>REC-3200-SAMB-493660</t>
  </si>
  <si>
    <t>16:38:56</t>
  </si>
  <si>
    <t>0901968701</t>
  </si>
  <si>
    <t>3960372</t>
  </si>
  <si>
    <t>REC-342-VEHD-448971</t>
  </si>
  <si>
    <t>0924795149</t>
  </si>
  <si>
    <t>3900399</t>
  </si>
  <si>
    <t>REC-095-AJSE-648240</t>
  </si>
  <si>
    <t>17:49:09</t>
  </si>
  <si>
    <t>REC-3200-SAMB-493681</t>
  </si>
  <si>
    <t>18:59:23</t>
  </si>
  <si>
    <t>REC-072-4PW8-190467</t>
  </si>
  <si>
    <t>08:14:50</t>
  </si>
  <si>
    <t>20200219</t>
  </si>
  <si>
    <t>0802384792</t>
  </si>
  <si>
    <t>3901759</t>
  </si>
  <si>
    <t>REC-678-3V18-556944</t>
  </si>
  <si>
    <t>09:37:08</t>
  </si>
  <si>
    <t>REC-5310-Z4YZ-179717</t>
  </si>
  <si>
    <t>10:53:45</t>
  </si>
  <si>
    <t>REC-390-BBF4-309807</t>
  </si>
  <si>
    <t>11:52:43</t>
  </si>
  <si>
    <t>REC-5680-XTE2-1037</t>
  </si>
  <si>
    <t>11:54:55</t>
  </si>
  <si>
    <t>0919741348</t>
  </si>
  <si>
    <t>3901178</t>
  </si>
  <si>
    <t>REC-3172-YIG8-298711</t>
  </si>
  <si>
    <t>13:05:03</t>
  </si>
  <si>
    <t>REC-2004-CNH2-566033</t>
  </si>
  <si>
    <t>13:37:56</t>
  </si>
  <si>
    <t>0907553267</t>
  </si>
  <si>
    <t>3901483</t>
  </si>
  <si>
    <t>REC-3182-YQG9-267700</t>
  </si>
  <si>
    <t>13:51:10</t>
  </si>
  <si>
    <t>REC-3182-YQG9-267709</t>
  </si>
  <si>
    <t>14:40:09</t>
  </si>
  <si>
    <t>REC-3161-KURB-412189</t>
  </si>
  <si>
    <t>15:14:41</t>
  </si>
  <si>
    <t>0930251681</t>
  </si>
  <si>
    <t>3909800</t>
  </si>
  <si>
    <t>REC-008-PB65-365587</t>
  </si>
  <si>
    <t>15:39:07</t>
  </si>
  <si>
    <t>REC-3187-YWS5-594167</t>
  </si>
  <si>
    <t>REC-3371-EFX5-161677</t>
  </si>
  <si>
    <t>16:28:04</t>
  </si>
  <si>
    <t>0917046534</t>
  </si>
  <si>
    <t>3906811</t>
  </si>
  <si>
    <t>REC-5645-A1034-7604</t>
  </si>
  <si>
    <t>18:09:53</t>
  </si>
  <si>
    <t>1203209190</t>
  </si>
  <si>
    <t>3907685</t>
  </si>
  <si>
    <t>REC-4960-A1QG-69693</t>
  </si>
  <si>
    <t>19:09:27</t>
  </si>
  <si>
    <t>REC-585-ZQVC-439325</t>
  </si>
  <si>
    <t>19:19:23</t>
  </si>
  <si>
    <t>0928317841</t>
  </si>
  <si>
    <t>3909795</t>
  </si>
  <si>
    <t>REC-3769-A26U-6570</t>
  </si>
  <si>
    <t>08:53:40</t>
  </si>
  <si>
    <t>20200218</t>
  </si>
  <si>
    <t>REC-4319-A12B-4900</t>
  </si>
  <si>
    <t>09:57:07</t>
  </si>
  <si>
    <t>0940995327</t>
  </si>
  <si>
    <t>3908685</t>
  </si>
  <si>
    <t>REC-4388-FRZ6-159237</t>
  </si>
  <si>
    <t>09:58:49</t>
  </si>
  <si>
    <t>REC-223-B7CD-551774</t>
  </si>
  <si>
    <t>10:48:04</t>
  </si>
  <si>
    <t>0905504791</t>
  </si>
  <si>
    <t>3907725</t>
  </si>
  <si>
    <t>REC-551-VOIB-533271</t>
  </si>
  <si>
    <t>11:25:38</t>
  </si>
  <si>
    <t>0907142814</t>
  </si>
  <si>
    <t>3908777</t>
  </si>
  <si>
    <t>REC-3295-1T8E-215556</t>
  </si>
  <si>
    <t>11:27:19</t>
  </si>
  <si>
    <t>REC-3170-YGVG-307036</t>
  </si>
  <si>
    <t>12:02:53</t>
  </si>
  <si>
    <t>0930840608</t>
  </si>
  <si>
    <t>3906870</t>
  </si>
  <si>
    <t>REC-3370-A6JI-232502</t>
  </si>
  <si>
    <t>12:34:54</t>
  </si>
  <si>
    <t>REC-3371-EGEG-232392</t>
  </si>
  <si>
    <t>13:54:21</t>
  </si>
  <si>
    <t>REC-4960-A1QG-69512</t>
  </si>
  <si>
    <t>14:42:41</t>
  </si>
  <si>
    <t>REC-4960-A1QG-69513</t>
  </si>
  <si>
    <t>14:43:37</t>
  </si>
  <si>
    <t>0940643943</t>
  </si>
  <si>
    <t>3908661</t>
  </si>
  <si>
    <t>REC-049-A518-1554820</t>
  </si>
  <si>
    <t>15:22:43</t>
  </si>
  <si>
    <t>REC-048-QNCI-615140</t>
  </si>
  <si>
    <t>15:44:12</t>
  </si>
  <si>
    <t>REC-944-PR10-411015</t>
  </si>
  <si>
    <t>16:37:48</t>
  </si>
  <si>
    <t>REC-3172-YIHD-233760</t>
  </si>
  <si>
    <t>17:19:04</t>
  </si>
  <si>
    <t>0909368169001</t>
  </si>
  <si>
    <t>3906097</t>
  </si>
  <si>
    <t>REC-6397-A5XK-5149</t>
  </si>
  <si>
    <t>17:38:28</t>
  </si>
  <si>
    <t>0917268773</t>
  </si>
  <si>
    <t>3906898</t>
  </si>
  <si>
    <t>REC-3175-A3LN-111882</t>
  </si>
  <si>
    <t>19:54:32</t>
  </si>
  <si>
    <t>REC-061-A1BW-67219</t>
  </si>
  <si>
    <t>09:58:58</t>
  </si>
  <si>
    <t>20200217</t>
  </si>
  <si>
    <t>100780327</t>
  </si>
  <si>
    <t>3909246</t>
  </si>
  <si>
    <t>REC-097-AJSC-481168</t>
  </si>
  <si>
    <t>10:22:23</t>
  </si>
  <si>
    <t>REC-096-HG9K-294867</t>
  </si>
  <si>
    <t>11:05:12</t>
  </si>
  <si>
    <t>1201488440</t>
  </si>
  <si>
    <t>3900563</t>
  </si>
  <si>
    <t>REC-226-B7CC-697912</t>
  </si>
  <si>
    <t>11:09:23</t>
  </si>
  <si>
    <t>REC-944-LRJW-279806</t>
  </si>
  <si>
    <t>11:38:29</t>
  </si>
  <si>
    <t>1301111660</t>
  </si>
  <si>
    <t>3901570</t>
  </si>
  <si>
    <t>REC-3172-YIGY-263597</t>
  </si>
  <si>
    <t>11:41:57</t>
  </si>
  <si>
    <t>REC-3175-A3LN-111646</t>
  </si>
  <si>
    <t>12:04:56</t>
  </si>
  <si>
    <t>0926622218</t>
  </si>
  <si>
    <t>3909858</t>
  </si>
  <si>
    <t>REC-4961-A24R-30486</t>
  </si>
  <si>
    <t>12:13:57</t>
  </si>
  <si>
    <t>3906837</t>
  </si>
  <si>
    <t>REC-4961-A24R-30487</t>
  </si>
  <si>
    <t>12:14:33</t>
  </si>
  <si>
    <t>REC-3370-A6JI-232307</t>
  </si>
  <si>
    <t>12:28:27</t>
  </si>
  <si>
    <t>REC-095-AJSE-647669</t>
  </si>
  <si>
    <t>12:38:30</t>
  </si>
  <si>
    <t>0908855059</t>
  </si>
  <si>
    <t>3907845</t>
  </si>
  <si>
    <t>REC-223-V7XD-251176</t>
  </si>
  <si>
    <t>12:51:55</t>
  </si>
  <si>
    <t>REC-3187-A2UE-29813</t>
  </si>
  <si>
    <t>12:52:30</t>
  </si>
  <si>
    <t>0923430078</t>
  </si>
  <si>
    <t>3900420</t>
  </si>
  <si>
    <t>REC-4209-A14Y-28560</t>
  </si>
  <si>
    <t>12:53:20</t>
  </si>
  <si>
    <t>0915478713</t>
  </si>
  <si>
    <t>3903944</t>
  </si>
  <si>
    <t>REC-536-2GEZ-327223</t>
  </si>
  <si>
    <t>13:27:57</t>
  </si>
  <si>
    <t>0900522046</t>
  </si>
  <si>
    <t>3906862</t>
  </si>
  <si>
    <t>REC-3187-A2UE-29840</t>
  </si>
  <si>
    <t>14:56:36</t>
  </si>
  <si>
    <t>REC-4313-IAI9-146702</t>
  </si>
  <si>
    <t>15:01:03</t>
  </si>
  <si>
    <t>0922633177</t>
  </si>
  <si>
    <t>3909078</t>
  </si>
  <si>
    <t>REC-072-A6LX-188122</t>
  </si>
  <si>
    <t>15:11:42</t>
  </si>
  <si>
    <t>REC-5243-A2DR-6965</t>
  </si>
  <si>
    <t>15:13:36</t>
  </si>
  <si>
    <t>0917830267</t>
  </si>
  <si>
    <t>3900692</t>
  </si>
  <si>
    <t>REC-096-LIO1-533634</t>
  </si>
  <si>
    <t>15:29:56</t>
  </si>
  <si>
    <t>0909834533</t>
  </si>
  <si>
    <t>3900634</t>
  </si>
  <si>
    <t>REC-072-KBN0-228088</t>
  </si>
  <si>
    <t>16:39:03</t>
  </si>
  <si>
    <t>REC-3295-1T8D-159947</t>
  </si>
  <si>
    <t>17:05:09</t>
  </si>
  <si>
    <t>0920966991</t>
  </si>
  <si>
    <t>3902734</t>
  </si>
  <si>
    <t>REC-348-1R2Q-423380</t>
  </si>
  <si>
    <t>17:12:58</t>
  </si>
  <si>
    <t>REC-3175-A3LN-111726</t>
  </si>
  <si>
    <t>17:26:12</t>
  </si>
  <si>
    <t>REC-008-PB64-374747</t>
  </si>
  <si>
    <t>18:50:44</t>
  </si>
  <si>
    <t>0908175953</t>
  </si>
  <si>
    <t>3909112</t>
  </si>
  <si>
    <t>REC-3175-C8JC-290851</t>
  </si>
  <si>
    <t>19:27:37</t>
  </si>
  <si>
    <t>1804322616</t>
  </si>
  <si>
    <t>23923142</t>
  </si>
  <si>
    <t>REC-7100-A70T-3540</t>
  </si>
  <si>
    <t>12:37:09</t>
  </si>
  <si>
    <t>20200216</t>
  </si>
  <si>
    <t>REC-4960-A1QG-69166</t>
  </si>
  <si>
    <t>14:57:58</t>
  </si>
  <si>
    <t>0913294781</t>
  </si>
  <si>
    <t>3903573</t>
  </si>
  <si>
    <t>REC-536-2GEZ-327123</t>
  </si>
  <si>
    <t>15:56:59</t>
  </si>
  <si>
    <t>0915105159001</t>
  </si>
  <si>
    <t>3902280</t>
  </si>
  <si>
    <t>REC-4164-A19P-139453</t>
  </si>
  <si>
    <t>18:47:53</t>
  </si>
  <si>
    <t>0912322997</t>
  </si>
  <si>
    <t>3903989</t>
  </si>
  <si>
    <t>REC-3095-T359-405218</t>
  </si>
  <si>
    <t>09:28:48</t>
  </si>
  <si>
    <t>20200215</t>
  </si>
  <si>
    <t>REC-4164-A19P-139340</t>
  </si>
  <si>
    <t>11:51:07</t>
  </si>
  <si>
    <t>1708055957001</t>
  </si>
  <si>
    <t>23923205</t>
  </si>
  <si>
    <t>REC-250-BEKM-447991</t>
  </si>
  <si>
    <t>12:10:21</t>
  </si>
  <si>
    <t>1204910630</t>
  </si>
  <si>
    <t>3903600</t>
  </si>
  <si>
    <t>REC-072-GPG1-207574</t>
  </si>
  <si>
    <t>12:11:09</t>
  </si>
  <si>
    <t>REC-090-IRFP-560938</t>
  </si>
  <si>
    <t>12:20:28</t>
  </si>
  <si>
    <t>0927189365</t>
  </si>
  <si>
    <t>3907955</t>
  </si>
  <si>
    <t>REC-072-KBN0-227745</t>
  </si>
  <si>
    <t>14:03:20</t>
  </si>
  <si>
    <t>0921722229</t>
  </si>
  <si>
    <t>3907445</t>
  </si>
  <si>
    <t>REC-3175-C8JC-290513</t>
  </si>
  <si>
    <t>14:56:48</t>
  </si>
  <si>
    <t>0917383960</t>
  </si>
  <si>
    <t>3900309</t>
  </si>
  <si>
    <t>REC-096-DCIZ-442923</t>
  </si>
  <si>
    <t>15:05:04</t>
  </si>
  <si>
    <t>0922770102</t>
  </si>
  <si>
    <t>3903218</t>
  </si>
  <si>
    <t>REC-3172-YIGY-263561</t>
  </si>
  <si>
    <t>15:15:00</t>
  </si>
  <si>
    <t>0922112966</t>
  </si>
  <si>
    <t>3901710</t>
  </si>
  <si>
    <t>REC-4395-DAB3-942279</t>
  </si>
  <si>
    <t>15:34:47</t>
  </si>
  <si>
    <t>0929308823</t>
  </si>
  <si>
    <t>3901943</t>
  </si>
  <si>
    <t>REC-678-3V18-556583</t>
  </si>
  <si>
    <t>16:38:53</t>
  </si>
  <si>
    <t>0913626230</t>
  </si>
  <si>
    <t>3909011</t>
  </si>
  <si>
    <t>REC-3371-EFX5-161163</t>
  </si>
  <si>
    <t>17:17:43</t>
  </si>
  <si>
    <t>REC-3295-1T8E-215198</t>
  </si>
  <si>
    <t>10:02:51</t>
  </si>
  <si>
    <t>20200214</t>
  </si>
  <si>
    <t>0922773478</t>
  </si>
  <si>
    <t>3907332</t>
  </si>
  <si>
    <t>REC-241-BEJD-557100</t>
  </si>
  <si>
    <t>10:24:30</t>
  </si>
  <si>
    <t>REC-3161-KURB-411290</t>
  </si>
  <si>
    <t>10:44:00</t>
  </si>
  <si>
    <t>0992977930001</t>
  </si>
  <si>
    <t>3907144</t>
  </si>
  <si>
    <t>REC-223-V7XD-250896</t>
  </si>
  <si>
    <t>12:10:50</t>
  </si>
  <si>
    <t>REC-3175-A3LN-111333</t>
  </si>
  <si>
    <t>12:15:36</t>
  </si>
  <si>
    <t>0919391235</t>
  </si>
  <si>
    <t>3900495</t>
  </si>
  <si>
    <t>REC-3422-A3IU-615094</t>
  </si>
  <si>
    <t>12:34:57</t>
  </si>
  <si>
    <t>REC-3187-A2UE-29475</t>
  </si>
  <si>
    <t>12:47:44</t>
  </si>
  <si>
    <t>REC-223-V7XD-250911</t>
  </si>
  <si>
    <t>12:56:11</t>
  </si>
  <si>
    <t>at-2988</t>
  </si>
  <si>
    <t>0909648164</t>
  </si>
  <si>
    <t>3930229</t>
  </si>
  <si>
    <t>REC-241-M1DC-328391</t>
  </si>
  <si>
    <t>13:54:29</t>
  </si>
  <si>
    <t>0920994175001</t>
  </si>
  <si>
    <t>3907530</t>
  </si>
  <si>
    <t>REC-3172-YIGW-295149</t>
  </si>
  <si>
    <t>14:18:49</t>
  </si>
  <si>
    <t>0927206490</t>
  </si>
  <si>
    <t>3900406</t>
  </si>
  <si>
    <t>REC-3170-YGVG-306637</t>
  </si>
  <si>
    <t>14:31:50</t>
  </si>
  <si>
    <t>0922025291</t>
  </si>
  <si>
    <t>3906945</t>
  </si>
  <si>
    <t>REC-3808-A3Z9-513380</t>
  </si>
  <si>
    <t>14:34:52</t>
  </si>
  <si>
    <t>0918147893</t>
  </si>
  <si>
    <t>3908097</t>
  </si>
  <si>
    <t>REC-4620-A1TY-115445</t>
  </si>
  <si>
    <t>14:39:46</t>
  </si>
  <si>
    <t>REC-4810-FSJ5-115505</t>
  </si>
  <si>
    <t>14:43:38</t>
  </si>
  <si>
    <t>0921888525</t>
  </si>
  <si>
    <t>3900662</t>
  </si>
  <si>
    <t>REC-3172-LIO3-61926</t>
  </si>
  <si>
    <t>14:53:22</t>
  </si>
  <si>
    <t>REC-223-V7XD-250947</t>
  </si>
  <si>
    <t>15:33:42</t>
  </si>
  <si>
    <t>REC-3295-1T8A-199932</t>
  </si>
  <si>
    <t>16:00:30</t>
  </si>
  <si>
    <t>0914130836</t>
  </si>
  <si>
    <t>3907863</t>
  </si>
  <si>
    <t>REC-3182-YQHD-251457</t>
  </si>
  <si>
    <t>16:30:00</t>
  </si>
  <si>
    <t>0913045977</t>
  </si>
  <si>
    <t>3907626</t>
  </si>
  <si>
    <t>REC-4351-A18N-8279</t>
  </si>
  <si>
    <t>17:06:03</t>
  </si>
  <si>
    <t>0943702142</t>
  </si>
  <si>
    <t>3901381</t>
  </si>
  <si>
    <t>REC-3412-PTE5-120515</t>
  </si>
  <si>
    <t>19:57:10</t>
  </si>
  <si>
    <t>0917667958</t>
  </si>
  <si>
    <t>3901266</t>
  </si>
  <si>
    <t>REC-5695-A2E3-7543</t>
  </si>
  <si>
    <t>10:27:55</t>
  </si>
  <si>
    <t>20200213</t>
  </si>
  <si>
    <t>REC-4202-A16N-7116</t>
  </si>
  <si>
    <t>10:28:09</t>
  </si>
  <si>
    <t>REC-223-B7CD-550876</t>
  </si>
  <si>
    <t>11:18:08</t>
  </si>
  <si>
    <t>1701919977</t>
  </si>
  <si>
    <t>23923167</t>
  </si>
  <si>
    <t>REC-3408-ARP0-3414</t>
  </si>
  <si>
    <t>11:38:13</t>
  </si>
  <si>
    <t>0928297183001</t>
  </si>
  <si>
    <t>3907196</t>
  </si>
  <si>
    <t>REC-223-B7CD-550911</t>
  </si>
  <si>
    <t>12:39:01</t>
  </si>
  <si>
    <t>0927591883</t>
  </si>
  <si>
    <t>3900667</t>
  </si>
  <si>
    <t>REC-518-RI71-177472</t>
  </si>
  <si>
    <t>12:44:09</t>
  </si>
  <si>
    <t>0962158077</t>
  </si>
  <si>
    <t>3902646</t>
  </si>
  <si>
    <t>REC-5635-A2YS-7883</t>
  </si>
  <si>
    <t>12:58:14</t>
  </si>
  <si>
    <t>0916405657</t>
  </si>
  <si>
    <t>3906798</t>
  </si>
  <si>
    <t>REC-3815-A3ZR-24138</t>
  </si>
  <si>
    <t>13:26:41</t>
  </si>
  <si>
    <t>0918289307</t>
  </si>
  <si>
    <t>3903584</t>
  </si>
  <si>
    <t>REC-3422-A25Y-82119</t>
  </si>
  <si>
    <t>13:59:32</t>
  </si>
  <si>
    <t>REC-3187-A2UB-136758</t>
  </si>
  <si>
    <t>14:08:10</t>
  </si>
  <si>
    <t>0952180586</t>
  </si>
  <si>
    <t>3906832</t>
  </si>
  <si>
    <t>REC-4319-A1HZ-5681</t>
  </si>
  <si>
    <t>14:40:05</t>
  </si>
  <si>
    <t>0913687653</t>
  </si>
  <si>
    <t>3907846</t>
  </si>
  <si>
    <t>REC-944-KDUZ-236169</t>
  </si>
  <si>
    <t>14:51:45</t>
  </si>
  <si>
    <t>REC-4164-A19P-139120</t>
  </si>
  <si>
    <t>15:30:38</t>
  </si>
  <si>
    <t>0920422201</t>
  </si>
  <si>
    <t>3906711</t>
  </si>
  <si>
    <t>REC-3201-Y46O-394439</t>
  </si>
  <si>
    <t>17:37:16</t>
  </si>
  <si>
    <t>REC-342-VEHD-447921</t>
  </si>
  <si>
    <t>17:55:11</t>
  </si>
  <si>
    <t>REC-5474-A871-930471</t>
  </si>
  <si>
    <t>18:38:12</t>
  </si>
  <si>
    <t>REC-5474-A871-930482</t>
  </si>
  <si>
    <t>18:39:16</t>
  </si>
  <si>
    <t>0918124710</t>
  </si>
  <si>
    <t>3908822</t>
  </si>
  <si>
    <t>REC-223-B7CD-550997</t>
  </si>
  <si>
    <t>19:26:45</t>
  </si>
  <si>
    <t>0909377897</t>
  </si>
  <si>
    <t>3901756</t>
  </si>
  <si>
    <t>REC-3182-YQHG-209101</t>
  </si>
  <si>
    <t>19:46:25</t>
  </si>
  <si>
    <t>REC-5310-Z4YZ-108377</t>
  </si>
  <si>
    <t>21:43:27</t>
  </si>
  <si>
    <t>0922954912</t>
  </si>
  <si>
    <t>3908676</t>
  </si>
  <si>
    <t>REC-4963-A3A0-108396</t>
  </si>
  <si>
    <t>21:48:36</t>
  </si>
  <si>
    <t>0952100220</t>
  </si>
  <si>
    <t>3908140</t>
  </si>
  <si>
    <t>REC-3172-LIO6-109563</t>
  </si>
  <si>
    <t>08:33:36</t>
  </si>
  <si>
    <t>20200212</t>
  </si>
  <si>
    <t>REC-3520-A1CH-235469</t>
  </si>
  <si>
    <t>09:40:59</t>
  </si>
  <si>
    <t>0917823445</t>
  </si>
  <si>
    <t>3907669</t>
  </si>
  <si>
    <t>REC-061-AEU1-182176</t>
  </si>
  <si>
    <t>10:37:30</t>
  </si>
  <si>
    <t>0925825440</t>
  </si>
  <si>
    <t>3908130</t>
  </si>
  <si>
    <t>REC-3175-C8JC-290125</t>
  </si>
  <si>
    <t>REC-3022-FNNL-522491</t>
  </si>
  <si>
    <t>11:32:56</t>
  </si>
  <si>
    <t>0916528326</t>
  </si>
  <si>
    <t>3907214</t>
  </si>
  <si>
    <t>REC-223-B7CD-550725</t>
  </si>
  <si>
    <t>12:12:09</t>
  </si>
  <si>
    <t>0918274804001</t>
  </si>
  <si>
    <t>3907397</t>
  </si>
  <si>
    <t>REC-3143-AWFJ-316566</t>
  </si>
  <si>
    <t>12:41:52</t>
  </si>
  <si>
    <t>0915898597</t>
  </si>
  <si>
    <t>3903830</t>
  </si>
  <si>
    <t>REC-4303-IAI3-86181</t>
  </si>
  <si>
    <t>13:07:53</t>
  </si>
  <si>
    <t>REC-4313-IAI9-86508</t>
  </si>
  <si>
    <t>13:24:43</t>
  </si>
  <si>
    <t>REC-3533-CP5G-339580</t>
  </si>
  <si>
    <t>13:38:51</t>
  </si>
  <si>
    <t>REC-5585-A2XB-47719</t>
  </si>
  <si>
    <t>14:25:09</t>
  </si>
  <si>
    <t>0925620486</t>
  </si>
  <si>
    <t>3900632</t>
  </si>
  <si>
    <t>REC-3172-YIG8-297873</t>
  </si>
  <si>
    <t>15:11:23</t>
  </si>
  <si>
    <t>REC-4717-FRZ4-90463</t>
  </si>
  <si>
    <t>16:24:44</t>
  </si>
  <si>
    <t>0959250796</t>
  </si>
  <si>
    <t>3903456</t>
  </si>
  <si>
    <t>REC-3172-YIGW-294873</t>
  </si>
  <si>
    <t>17:16:59</t>
  </si>
  <si>
    <t>3901298</t>
  </si>
  <si>
    <t>REC-3172-YIGW-294874</t>
  </si>
  <si>
    <t>17:17:17</t>
  </si>
  <si>
    <t>3907816</t>
  </si>
  <si>
    <t>REC-3172-YIGW-294875</t>
  </si>
  <si>
    <t>17:17:28</t>
  </si>
  <si>
    <t>REC-613-BK8R-415041</t>
  </si>
  <si>
    <t>17:51:27</t>
  </si>
  <si>
    <t>0929810034</t>
  </si>
  <si>
    <t>3909080</t>
  </si>
  <si>
    <t>REC-3520-A1CH-235607</t>
  </si>
  <si>
    <t>18:02:19</t>
  </si>
  <si>
    <t>REC-5219-A2EG-35052</t>
  </si>
  <si>
    <t>10:02:16</t>
  </si>
  <si>
    <t>20200211</t>
  </si>
  <si>
    <t>REC-3520-A1CH-235347</t>
  </si>
  <si>
    <t>10:02:56</t>
  </si>
  <si>
    <t>1312957853</t>
  </si>
  <si>
    <t>3909823</t>
  </si>
  <si>
    <t>REC-6397-A5XK-4810</t>
  </si>
  <si>
    <t>10:06:23</t>
  </si>
  <si>
    <t>1792994292001</t>
  </si>
  <si>
    <t>3900304</t>
  </si>
  <si>
    <t>REC-536-2GEZ-326439</t>
  </si>
  <si>
    <t>11:35:21</t>
  </si>
  <si>
    <t>1722847769</t>
  </si>
  <si>
    <t>3907387</t>
  </si>
  <si>
    <t>REC-3392-A39W-391785</t>
  </si>
  <si>
    <t>11:58:36</t>
  </si>
  <si>
    <t>0920389558</t>
  </si>
  <si>
    <t>3908116</t>
  </si>
  <si>
    <t>REC-072-4PW8-189156</t>
  </si>
  <si>
    <t>12:45:13</t>
  </si>
  <si>
    <t>1203821077</t>
  </si>
  <si>
    <t>3908137</t>
  </si>
  <si>
    <t>REC-090-IRFP-560137</t>
  </si>
  <si>
    <t>13:36:23</t>
  </si>
  <si>
    <t>0914315601</t>
  </si>
  <si>
    <t>3900519</t>
  </si>
  <si>
    <t>REC-5585-RQ83-1168</t>
  </si>
  <si>
    <t>0800569329</t>
  </si>
  <si>
    <t>REC-223-V7XD-250438</t>
  </si>
  <si>
    <t>14:13:57</t>
  </si>
  <si>
    <t>0921596136</t>
  </si>
  <si>
    <t>3930363</t>
  </si>
  <si>
    <t>REC-3172-YIGW-294690</t>
  </si>
  <si>
    <t>14:32:26</t>
  </si>
  <si>
    <t>0913404984001</t>
  </si>
  <si>
    <t>23923227</t>
  </si>
  <si>
    <t>REC-663-1R5N-1477205</t>
  </si>
  <si>
    <t>14:36:00</t>
  </si>
  <si>
    <t>REC-663-1R5N-1477206</t>
  </si>
  <si>
    <t>14:36:21</t>
  </si>
  <si>
    <t>1301094288</t>
  </si>
  <si>
    <t>3907856</t>
  </si>
  <si>
    <t>REC-245-BEJI-640533</t>
  </si>
  <si>
    <t>14:45:30</t>
  </si>
  <si>
    <t>REC-4235-A1BQ-28109</t>
  </si>
  <si>
    <t>15:32:09</t>
  </si>
  <si>
    <t>1803062189</t>
  </si>
  <si>
    <t>3907982</t>
  </si>
  <si>
    <t>REC-3187-A2UB-136573</t>
  </si>
  <si>
    <t>15:46:28</t>
  </si>
  <si>
    <t>1204497844</t>
  </si>
  <si>
    <t>3901721</t>
  </si>
  <si>
    <t>REC-049-A518-1554192</t>
  </si>
  <si>
    <t>16:17:09</t>
  </si>
  <si>
    <t>0902350875</t>
  </si>
  <si>
    <t>3902061</t>
  </si>
  <si>
    <t>REC-810-5CAY-411592</t>
  </si>
  <si>
    <t>17:25:13</t>
  </si>
  <si>
    <t>0924894298001</t>
  </si>
  <si>
    <t>3930395</t>
  </si>
  <si>
    <t>REC-061-A6S4-143376</t>
  </si>
  <si>
    <t>17:46:31</t>
  </si>
  <si>
    <t>REC-3370-A6JI-231646</t>
  </si>
  <si>
    <t>18:24:42</t>
  </si>
  <si>
    <t>0907008726</t>
  </si>
  <si>
    <t>3906838</t>
  </si>
  <si>
    <t>REC-5585-A2XB-47669</t>
  </si>
  <si>
    <t>18:41:03</t>
  </si>
  <si>
    <t>0929555753</t>
  </si>
  <si>
    <t>3901475</t>
  </si>
  <si>
    <t>REC-4737-FSB3-43036</t>
  </si>
  <si>
    <t>09:04:11</t>
  </si>
  <si>
    <t>20200210</t>
  </si>
  <si>
    <t>0914918982001</t>
  </si>
  <si>
    <t>3902611</t>
  </si>
  <si>
    <t>REC-4388-DAT1-43602</t>
  </si>
  <si>
    <t>09:26:47</t>
  </si>
  <si>
    <t>REC-3187-A2UB-136395</t>
  </si>
  <si>
    <t>10:19:06</t>
  </si>
  <si>
    <t>0924995780</t>
  </si>
  <si>
    <t>3909181</t>
  </si>
  <si>
    <t>REC-4815-FSK1-45972</t>
  </si>
  <si>
    <t>10:36:16</t>
  </si>
  <si>
    <t>0903202992</t>
  </si>
  <si>
    <t>3900592</t>
  </si>
  <si>
    <t>REC-3360-IPEN-211998</t>
  </si>
  <si>
    <t>10:43:24</t>
  </si>
  <si>
    <t>REC-890-7RO5-544241</t>
  </si>
  <si>
    <t>11:28:09</t>
  </si>
  <si>
    <t>REC-609-A1M3-304845</t>
  </si>
  <si>
    <t>11:38:31</t>
  </si>
  <si>
    <t>REC-5688-A5XD-11303</t>
  </si>
  <si>
    <t>12:16:54</t>
  </si>
  <si>
    <t>0924226772</t>
  </si>
  <si>
    <t>3906039</t>
  </si>
  <si>
    <t>REC-049-A518-1554051</t>
  </si>
  <si>
    <t>12:21:25</t>
  </si>
  <si>
    <t>REC-4007-OIT2-50643</t>
  </si>
  <si>
    <t>12:50:58</t>
  </si>
  <si>
    <t>REC-5585-RQ83-1087</t>
  </si>
  <si>
    <t>13:51:44</t>
  </si>
  <si>
    <t>3900398</t>
  </si>
  <si>
    <t>REC-049-A2U2-37500</t>
  </si>
  <si>
    <t>14:19:33</t>
  </si>
  <si>
    <t>0912089778</t>
  </si>
  <si>
    <t>3900220</t>
  </si>
  <si>
    <t>REC-096-DCIZ-442282</t>
  </si>
  <si>
    <t>14:30:26</t>
  </si>
  <si>
    <t>0901244285</t>
  </si>
  <si>
    <t>3907372</t>
  </si>
  <si>
    <t>REC-072-A6LX-187539</t>
  </si>
  <si>
    <t>14:46:21</t>
  </si>
  <si>
    <t>0955629290</t>
  </si>
  <si>
    <t>3900537</t>
  </si>
  <si>
    <t>REC-5671-VER1-54225</t>
  </si>
  <si>
    <t>14:54:08</t>
  </si>
  <si>
    <t>0923450969</t>
  </si>
  <si>
    <t>3903234</t>
  </si>
  <si>
    <t>REC-944-LRJW-279227</t>
  </si>
  <si>
    <t>14:58:39</t>
  </si>
  <si>
    <t>REC-3172-YIGW-294436</t>
  </si>
  <si>
    <t>15:09:46</t>
  </si>
  <si>
    <t>0923348940</t>
  </si>
  <si>
    <t>3906813</t>
  </si>
  <si>
    <t>REC-4771-FSF3-55086</t>
  </si>
  <si>
    <t>15:20:44</t>
  </si>
  <si>
    <t>REC-3554-PTY2-55739</t>
  </si>
  <si>
    <t>15:42:45</t>
  </si>
  <si>
    <t>0701472508</t>
  </si>
  <si>
    <t>3907708</t>
  </si>
  <si>
    <t>REC-3095-T359-404502</t>
  </si>
  <si>
    <t>15:50:19</t>
  </si>
  <si>
    <t>0914623897</t>
  </si>
  <si>
    <t>3930081</t>
  </si>
  <si>
    <t>REC-3577-A26V-510439</t>
  </si>
  <si>
    <t>16:04:26</t>
  </si>
  <si>
    <t>0910660984</t>
  </si>
  <si>
    <t>3900497</t>
  </si>
  <si>
    <t>REC-3187-A2UB-136463</t>
  </si>
  <si>
    <t>16:10:56</t>
  </si>
  <si>
    <t>3900466</t>
  </si>
  <si>
    <t>REC-3187-A2UB-136464</t>
  </si>
  <si>
    <t>16:11:28</t>
  </si>
  <si>
    <t>0960856649</t>
  </si>
  <si>
    <t>3903340</t>
  </si>
  <si>
    <t>REC-5635-A2YS-7759</t>
  </si>
  <si>
    <t>17:57:13</t>
  </si>
  <si>
    <t>0923216790</t>
  </si>
  <si>
    <t>3906756</t>
  </si>
  <si>
    <t>REC-3187-A2UE-29086</t>
  </si>
  <si>
    <t>18:36:47</t>
  </si>
  <si>
    <t>0925129900</t>
  </si>
  <si>
    <t>3908649</t>
  </si>
  <si>
    <t>REC-4963-A3A0-61291</t>
  </si>
  <si>
    <t>19:40:26</t>
  </si>
  <si>
    <t>1205782442</t>
  </si>
  <si>
    <t>3909786</t>
  </si>
  <si>
    <t>REC-7316-RQ67-174</t>
  </si>
  <si>
    <t>20:30:02</t>
  </si>
  <si>
    <t>0923359541001</t>
  </si>
  <si>
    <t>3900455</t>
  </si>
  <si>
    <t>REC-4963-A3A0-61759</t>
  </si>
  <si>
    <t>20:32:26</t>
  </si>
  <si>
    <t>1102770516</t>
  </si>
  <si>
    <t>3900641</t>
  </si>
  <si>
    <t>REC-536-2GEZ-326146</t>
  </si>
  <si>
    <t>10:16:05</t>
  </si>
  <si>
    <t>20200209</t>
  </si>
  <si>
    <t>REC-048-QNCI-614079</t>
  </si>
  <si>
    <t>11:31:47</t>
  </si>
  <si>
    <t>REC-090-ULDN-571756</t>
  </si>
  <si>
    <t>14:33:44</t>
  </si>
  <si>
    <t>0930882394</t>
  </si>
  <si>
    <t>3930239</t>
  </si>
  <si>
    <t>REC-090-ULDN-571761</t>
  </si>
  <si>
    <t>15:21:43</t>
  </si>
  <si>
    <t>0962338281</t>
  </si>
  <si>
    <t>3909785</t>
  </si>
  <si>
    <t>REC-3187-YWS5-593378</t>
  </si>
  <si>
    <t>17:28:50</t>
  </si>
  <si>
    <t>1203296858</t>
  </si>
  <si>
    <t>3901223</t>
  </si>
  <si>
    <t>REC-3303-CTQ6-28796</t>
  </si>
  <si>
    <t>06:45:39</t>
  </si>
  <si>
    <t>20200208</t>
  </si>
  <si>
    <t>23923173</t>
  </si>
  <si>
    <t>REC-3809-A3ZD-15748</t>
  </si>
  <si>
    <t>10:01:12</t>
  </si>
  <si>
    <t>REC-3809-A3ZD-15749</t>
  </si>
  <si>
    <t>10:01:26</t>
  </si>
  <si>
    <t>REC-4963-A3A0-30846</t>
  </si>
  <si>
    <t>10:26:31</t>
  </si>
  <si>
    <t>REC-3422-A3IU-614546</t>
  </si>
  <si>
    <t>10:42:28</t>
  </si>
  <si>
    <t>REC-609-A3AI-72168</t>
  </si>
  <si>
    <t>10:43:17</t>
  </si>
  <si>
    <t>0919013102</t>
  </si>
  <si>
    <t>3902753</t>
  </si>
  <si>
    <t>REC-3172-YIGW-294151</t>
  </si>
  <si>
    <t>11:16:18</t>
  </si>
  <si>
    <t>0906559877</t>
  </si>
  <si>
    <t>3903871</t>
  </si>
  <si>
    <t>REC-2004-CNH2-564501</t>
  </si>
  <si>
    <t>11:23:05</t>
  </si>
  <si>
    <t>0941714065</t>
  </si>
  <si>
    <t>3900228</t>
  </si>
  <si>
    <t>REC-3421-A2OB-421334</t>
  </si>
  <si>
    <t>12:30:32</t>
  </si>
  <si>
    <t>REC-4164-A1LY-118667</t>
  </si>
  <si>
    <t>12:40:58</t>
  </si>
  <si>
    <t>0907054282</t>
  </si>
  <si>
    <t>3902776</t>
  </si>
  <si>
    <t>REC-4164-A1LY-118671</t>
  </si>
  <si>
    <t>13:12:58</t>
  </si>
  <si>
    <t>REC-4164-A19X-143104</t>
  </si>
  <si>
    <t>13:27:54</t>
  </si>
  <si>
    <t>0691722449001</t>
  </si>
  <si>
    <t>3901238</t>
  </si>
  <si>
    <t>REC-3295-1T8D-159247</t>
  </si>
  <si>
    <t>14:04:12</t>
  </si>
  <si>
    <t>0911754224</t>
  </si>
  <si>
    <t>3907383</t>
  </si>
  <si>
    <t>REC-4164-A19X-143110</t>
  </si>
  <si>
    <t>14:08:48</t>
  </si>
  <si>
    <t>0918418179</t>
  </si>
  <si>
    <t>3901459</t>
  </si>
  <si>
    <t>REC-072-KBN0-226579</t>
  </si>
  <si>
    <t>15:53:08</t>
  </si>
  <si>
    <t>REC-3187-A2UE-28930</t>
  </si>
  <si>
    <t>17:44:21</t>
  </si>
  <si>
    <t>0909794273</t>
  </si>
  <si>
    <t>3902003</t>
  </si>
  <si>
    <t>REC-3555-PTY3-12465</t>
  </si>
  <si>
    <t>09:10:09</t>
  </si>
  <si>
    <t>20200207</t>
  </si>
  <si>
    <t>0923903579</t>
  </si>
  <si>
    <t>3901498</t>
  </si>
  <si>
    <t>REC-3784-ATA2-164175</t>
  </si>
  <si>
    <t>09:42:16</t>
  </si>
  <si>
    <t>1102491774</t>
  </si>
  <si>
    <t>3906267</t>
  </si>
  <si>
    <t>REC-072-4PW8-188467</t>
  </si>
  <si>
    <t>10:32:19</t>
  </si>
  <si>
    <t>3906279</t>
  </si>
  <si>
    <t>REC-072-4PW8-188468</t>
  </si>
  <si>
    <t>10:32:34</t>
  </si>
  <si>
    <t>REC-3033-M7YF-76123</t>
  </si>
  <si>
    <t>10:35:00</t>
  </si>
  <si>
    <t>REC-4966-A3Z7-15237</t>
  </si>
  <si>
    <t>0924510159</t>
  </si>
  <si>
    <t>3903490</t>
  </si>
  <si>
    <t>REC-4352-A194-36365</t>
  </si>
  <si>
    <t>11:23:10</t>
  </si>
  <si>
    <t>0958075848</t>
  </si>
  <si>
    <t>3903851</t>
  </si>
  <si>
    <t>REC-3182-YQHE-223640</t>
  </si>
  <si>
    <t>11:59:00</t>
  </si>
  <si>
    <t>1204407132</t>
  </si>
  <si>
    <t>3907292</t>
  </si>
  <si>
    <t>REC-3182-YQG9-266225</t>
  </si>
  <si>
    <t>12:02:33</t>
  </si>
  <si>
    <t>REC-048-QNCI-613945</t>
  </si>
  <si>
    <t>12:27:43</t>
  </si>
  <si>
    <t>1310794910</t>
  </si>
  <si>
    <t>3900008</t>
  </si>
  <si>
    <t>REC-3182-YQG9-266234</t>
  </si>
  <si>
    <t>0904212453</t>
  </si>
  <si>
    <t>3907288</t>
  </si>
  <si>
    <t>REC-944-ZF9M-185792</t>
  </si>
  <si>
    <t>13:19:36</t>
  </si>
  <si>
    <t>0961332483</t>
  </si>
  <si>
    <t>3901935</t>
  </si>
  <si>
    <t>REC-944-LRJW-278928</t>
  </si>
  <si>
    <t>13:58:55</t>
  </si>
  <si>
    <t>REC-072-AJ3R-229874</t>
  </si>
  <si>
    <t>16:15:09</t>
  </si>
  <si>
    <t>REC-3187-A2UB-136179</t>
  </si>
  <si>
    <t>16:26:34</t>
  </si>
  <si>
    <t>0903285179</t>
  </si>
  <si>
    <t>3960382</t>
  </si>
  <si>
    <t>REC-072-KBN0-226396</t>
  </si>
  <si>
    <t>17:14:43</t>
  </si>
  <si>
    <t>REC-536-TDSM-127449</t>
  </si>
  <si>
    <t>18:12:55</t>
  </si>
  <si>
    <t>REC-5310-Z4YZ-26644</t>
  </si>
  <si>
    <t>18:18:53</t>
  </si>
  <si>
    <t>REC-5310-Z4YZ-26680</t>
  </si>
  <si>
    <t>18:20:34</t>
  </si>
  <si>
    <t>0915846984</t>
  </si>
  <si>
    <t>3907408</t>
  </si>
  <si>
    <t>REC-090-IRFP-559563</t>
  </si>
  <si>
    <t>18:25:16</t>
  </si>
  <si>
    <t>0950893503</t>
  </si>
  <si>
    <t>3908958</t>
  </si>
  <si>
    <t>REC-3172-YIGW-294105</t>
  </si>
  <si>
    <t>18:30:31</t>
  </si>
  <si>
    <t>REC-3371-A1DS-215543</t>
  </si>
  <si>
    <t>18:55:19</t>
  </si>
  <si>
    <t>0925694275</t>
  </si>
  <si>
    <t>3900560</t>
  </si>
  <si>
    <t>REC-3172-YIGW-294126</t>
  </si>
  <si>
    <t>19:48:48</t>
  </si>
  <si>
    <t>0915696587</t>
  </si>
  <si>
    <t>3909982</t>
  </si>
  <si>
    <t>REC-3172-LIO6-109307</t>
  </si>
  <si>
    <t>20:35:21</t>
  </si>
  <si>
    <t>REC-4301-IAI1-991519</t>
  </si>
  <si>
    <t>08:06:04</t>
  </si>
  <si>
    <t>20200206</t>
  </si>
  <si>
    <t>REC-3187-A2UB-135936</t>
  </si>
  <si>
    <t>09:22:23</t>
  </si>
  <si>
    <t>0907103238</t>
  </si>
  <si>
    <t>3907965</t>
  </si>
  <si>
    <t>REC-901-7ZYF-387192</t>
  </si>
  <si>
    <t>09:57:57</t>
  </si>
  <si>
    <t>0917183550</t>
  </si>
  <si>
    <t>3908830</t>
  </si>
  <si>
    <t>REC-048-AFEP-228828</t>
  </si>
  <si>
    <t>10:05:44</t>
  </si>
  <si>
    <t>REC-223-B7CD-549766</t>
  </si>
  <si>
    <t>10:10:41</t>
  </si>
  <si>
    <t>0928318179</t>
  </si>
  <si>
    <t>3908635</t>
  </si>
  <si>
    <t>REC-4339-A164-5188</t>
  </si>
  <si>
    <t>10:19:52</t>
  </si>
  <si>
    <t>REC-611-J4ZN-485569</t>
  </si>
  <si>
    <t>10:34:14</t>
  </si>
  <si>
    <t>0102779592</t>
  </si>
  <si>
    <t>3930137</t>
  </si>
  <si>
    <t>REC-3370-A6JI-231010</t>
  </si>
  <si>
    <t>10:42:22</t>
  </si>
  <si>
    <t>1207105204</t>
  </si>
  <si>
    <t>3901936</t>
  </si>
  <si>
    <t>REC-072-4PW8-188280</t>
  </si>
  <si>
    <t>11:38:51</t>
  </si>
  <si>
    <t>REC-585-VR9E-491384</t>
  </si>
  <si>
    <t>12:02:12</t>
  </si>
  <si>
    <t>0918004367</t>
  </si>
  <si>
    <t>3907287</t>
  </si>
  <si>
    <t>REC-3557-PTY5-999460</t>
  </si>
  <si>
    <t>12:11:20</t>
  </si>
  <si>
    <t>0924955966001</t>
  </si>
  <si>
    <t>3903662</t>
  </si>
  <si>
    <t>REC-072-4PW8-188308</t>
  </si>
  <si>
    <t>12:29:45</t>
  </si>
  <si>
    <t>1721152732</t>
  </si>
  <si>
    <t>23923010</t>
  </si>
  <si>
    <t>REC-3809-A3ZD-15626</t>
  </si>
  <si>
    <t>13:08:18</t>
  </si>
  <si>
    <t>REC-5915-PR20-410</t>
  </si>
  <si>
    <t>14:22:39</t>
  </si>
  <si>
    <t>0940441165</t>
  </si>
  <si>
    <t>3900605</t>
  </si>
  <si>
    <t>REC-3295-1TWC-202687</t>
  </si>
  <si>
    <t>14:47:41</t>
  </si>
  <si>
    <t>0801932948</t>
  </si>
  <si>
    <t>3900221</t>
  </si>
  <si>
    <t>REC-3172-YIHD-232084</t>
  </si>
  <si>
    <t>15:02:17</t>
  </si>
  <si>
    <t>REC-4963-A3A0-4344</t>
  </si>
  <si>
    <t>15:24:36</t>
  </si>
  <si>
    <t>0915101885</t>
  </si>
  <si>
    <t>3901623</t>
  </si>
  <si>
    <t>REC-3371-LD0C-266447</t>
  </si>
  <si>
    <t>0911609568</t>
  </si>
  <si>
    <t>3902778</t>
  </si>
  <si>
    <t>REC-3095-T359-404099</t>
  </si>
  <si>
    <t>17:43:52</t>
  </si>
  <si>
    <t>REC-008-PB65-364068</t>
  </si>
  <si>
    <t>18:45:10</t>
  </si>
  <si>
    <t>REC-3370-A6JI-231136</t>
  </si>
  <si>
    <t>REC-7178-RP30-10227</t>
  </si>
  <si>
    <t>19:38:51</t>
  </si>
  <si>
    <t>REC-008-PB65-364098</t>
  </si>
  <si>
    <t>20:45:08</t>
  </si>
  <si>
    <t>0909246902</t>
  </si>
  <si>
    <t>3906914</t>
  </si>
  <si>
    <t>REC-4963-A3A0-972253</t>
  </si>
  <si>
    <t>08:46:46</t>
  </si>
  <si>
    <t>20200205</t>
  </si>
  <si>
    <t>0901747089</t>
  </si>
  <si>
    <t>3960295</t>
  </si>
  <si>
    <t>REC-165-LOA2-138979</t>
  </si>
  <si>
    <t>10:02:15</t>
  </si>
  <si>
    <t>REC-944-ZF9M-185349</t>
  </si>
  <si>
    <t>10:36:03</t>
  </si>
  <si>
    <t>0917965840</t>
  </si>
  <si>
    <t>3902729</t>
  </si>
  <si>
    <t>REC-3412-PTE5-976577</t>
  </si>
  <si>
    <t>REC-3175-C8JC-289438</t>
  </si>
  <si>
    <t>11:23:15</t>
  </si>
  <si>
    <t>0911187052</t>
  </si>
  <si>
    <t>3907712</t>
  </si>
  <si>
    <t>REC-096-DCIZ-441522</t>
  </si>
  <si>
    <t>11:28:16</t>
  </si>
  <si>
    <t>0924919368</t>
  </si>
  <si>
    <t>3907554</t>
  </si>
  <si>
    <t>REC-5762-FE91-977369</t>
  </si>
  <si>
    <t>11:28:33</t>
  </si>
  <si>
    <t>REC-536-2GEZ-325593</t>
  </si>
  <si>
    <t>11:35:12</t>
  </si>
  <si>
    <t>REC-536-2GEZ-325594</t>
  </si>
  <si>
    <t>11:35:54</t>
  </si>
  <si>
    <t>0702433665</t>
  </si>
  <si>
    <t>3902576</t>
  </si>
  <si>
    <t>REC-4640-NES4-1670</t>
  </si>
  <si>
    <t>11:37:52</t>
  </si>
  <si>
    <t>0941459471</t>
  </si>
  <si>
    <t>3900319</t>
  </si>
  <si>
    <t>REC-3808-A3Z9-512321</t>
  </si>
  <si>
    <t>11:49:15</t>
  </si>
  <si>
    <t>REC-3170-YGVG-305443</t>
  </si>
  <si>
    <t>11:58:45</t>
  </si>
  <si>
    <t>0926045998</t>
  </si>
  <si>
    <t>3900917</t>
  </si>
  <si>
    <t>REC-5989-GFL6-978491</t>
  </si>
  <si>
    <t>12:06:18</t>
  </si>
  <si>
    <t>REC-4257-A219-144349</t>
  </si>
  <si>
    <t>12:19:38</t>
  </si>
  <si>
    <t>0926629544</t>
  </si>
  <si>
    <t>3906892</t>
  </si>
  <si>
    <t>REC-3422-A25Y-81193</t>
  </si>
  <si>
    <t>12:41:05</t>
  </si>
  <si>
    <t>1754751582001</t>
  </si>
  <si>
    <t>3908177</t>
  </si>
  <si>
    <t>REC-223-B7CD-549635</t>
  </si>
  <si>
    <t>12:42:31</t>
  </si>
  <si>
    <t>3908176</t>
  </si>
  <si>
    <t>REC-223-B7CD-549636</t>
  </si>
  <si>
    <t>12:43:10</t>
  </si>
  <si>
    <t>0918733783</t>
  </si>
  <si>
    <t>3903865</t>
  </si>
  <si>
    <t>REC-4164-A19X-142631</t>
  </si>
  <si>
    <t>12:45:36</t>
  </si>
  <si>
    <t>0926121864</t>
  </si>
  <si>
    <t>3906000</t>
  </si>
  <si>
    <t>REC-3095-T359-403904</t>
  </si>
  <si>
    <t>13:02:18</t>
  </si>
  <si>
    <t>0905309886</t>
  </si>
  <si>
    <t>3960253</t>
  </si>
  <si>
    <t>REC-611-J4ZN-485450</t>
  </si>
  <si>
    <t>13:45:07</t>
  </si>
  <si>
    <t>REC-3172-YIGY-262303</t>
  </si>
  <si>
    <t>13:45:32</t>
  </si>
  <si>
    <t>REC-3392-A39W-391060</t>
  </si>
  <si>
    <t>14:17:22</t>
  </si>
  <si>
    <t>0902693001</t>
  </si>
  <si>
    <t>3960233</t>
  </si>
  <si>
    <t>REC-245-BEJI-639641</t>
  </si>
  <si>
    <t>14:19:24</t>
  </si>
  <si>
    <t>REC-609-A1M3-304317</t>
  </si>
  <si>
    <t>14:21:22</t>
  </si>
  <si>
    <t>0950615690</t>
  </si>
  <si>
    <t>3907565</t>
  </si>
  <si>
    <t>REC-348-1R2Q-421607</t>
  </si>
  <si>
    <t>14:26:12</t>
  </si>
  <si>
    <t>REC-095-AJSE-645935</t>
  </si>
  <si>
    <t>14:26:19</t>
  </si>
  <si>
    <t>0902952761</t>
  </si>
  <si>
    <t>3945055</t>
  </si>
  <si>
    <t>REC-011-JVA0-496592</t>
  </si>
  <si>
    <t>14:41:54</t>
  </si>
  <si>
    <t>1717056558</t>
  </si>
  <si>
    <t>23923046</t>
  </si>
  <si>
    <t>REC-3190-YXMV-1465340</t>
  </si>
  <si>
    <t>14:50:17</t>
  </si>
  <si>
    <t>1715942510</t>
  </si>
  <si>
    <t>3906093</t>
  </si>
  <si>
    <t>REC-348-AB9D-119173</t>
  </si>
  <si>
    <t>14:54:30</t>
  </si>
  <si>
    <t>0911594117</t>
  </si>
  <si>
    <t>3909004</t>
  </si>
  <si>
    <t>REC-3295-1T8A-199155</t>
  </si>
  <si>
    <t>15:14:49</t>
  </si>
  <si>
    <t>0923855787</t>
  </si>
  <si>
    <t>3907744</t>
  </si>
  <si>
    <t>REC-3808-A3Z9-512356</t>
  </si>
  <si>
    <t>15:28:12</t>
  </si>
  <si>
    <t>0603728445</t>
  </si>
  <si>
    <t>3908047</t>
  </si>
  <si>
    <t>REC-3172-YIGY-262356</t>
  </si>
  <si>
    <t>15:38:48</t>
  </si>
  <si>
    <t>REC-944-PR10-409340</t>
  </si>
  <si>
    <t>15:57:11</t>
  </si>
  <si>
    <t>REC-543-U5H7-547782</t>
  </si>
  <si>
    <t>16:07:08</t>
  </si>
  <si>
    <t>0961310190</t>
  </si>
  <si>
    <t>3901576</t>
  </si>
  <si>
    <t>REC-3187-A2UB-135884</t>
  </si>
  <si>
    <t>16:16:38</t>
  </si>
  <si>
    <t>0924367907</t>
  </si>
  <si>
    <t>3908125</t>
  </si>
  <si>
    <t>REC-027-A40B-53539</t>
  </si>
  <si>
    <t>16:21:03</t>
  </si>
  <si>
    <t>REC-4278-IOI5-986115</t>
  </si>
  <si>
    <t>16:26:04</t>
  </si>
  <si>
    <t>1718059122</t>
  </si>
  <si>
    <t>3909878</t>
  </si>
  <si>
    <t>REC-3520-A1CH-234678</t>
  </si>
  <si>
    <t>16:35:26</t>
  </si>
  <si>
    <t>REC-7276-RQ45-986899</t>
  </si>
  <si>
    <t>16:51:16</t>
  </si>
  <si>
    <t>REC-944-KDUZ-235193</t>
  </si>
  <si>
    <t>17:13:29</t>
  </si>
  <si>
    <t>1704955598</t>
  </si>
  <si>
    <t>23923042</t>
  </si>
  <si>
    <t>REC-3029-M9QW-177577</t>
  </si>
  <si>
    <t>17:16:39</t>
  </si>
  <si>
    <t>REC-5635-A2YS-7579</t>
  </si>
  <si>
    <t>18:06:43</t>
  </si>
  <si>
    <t>REC-348-1R2Q-421691</t>
  </si>
  <si>
    <t>18:14:33</t>
  </si>
  <si>
    <t>REC-049-A518-1553812</t>
  </si>
  <si>
    <t>18:21:02</t>
  </si>
  <si>
    <t>0923038012</t>
  </si>
  <si>
    <t>3902167</t>
  </si>
  <si>
    <t>REC-3189-YWSY-151523</t>
  </si>
  <si>
    <t>18:51:45</t>
  </si>
  <si>
    <t>0919451443</t>
  </si>
  <si>
    <t>3906769</t>
  </si>
  <si>
    <t>REC-3172-YIG8-296983</t>
  </si>
  <si>
    <t>19:07:10</t>
  </si>
  <si>
    <t>0961545613</t>
  </si>
  <si>
    <t>3907625</t>
  </si>
  <si>
    <t>REC-3295-1T8D-159099</t>
  </si>
  <si>
    <t>19:21:06</t>
  </si>
  <si>
    <t>REC-008-PB65-363878</t>
  </si>
  <si>
    <t>19:46:56</t>
  </si>
  <si>
    <t>REC-008-PB65-363879</t>
  </si>
  <si>
    <t>19:47:46</t>
  </si>
  <si>
    <t>0953541505</t>
  </si>
  <si>
    <t>3903579</t>
  </si>
  <si>
    <t>REC-4164-A1LY-118447</t>
  </si>
  <si>
    <t>19:53:21</t>
  </si>
  <si>
    <t>REC-4878-A1X4-15406</t>
  </si>
  <si>
    <t>09:12:26</t>
  </si>
  <si>
    <t>20200204</t>
  </si>
  <si>
    <t>0992993928001</t>
  </si>
  <si>
    <t>3900235</t>
  </si>
  <si>
    <t>REC-223-B7CD-549398</t>
  </si>
  <si>
    <t>09:45:15</t>
  </si>
  <si>
    <t>1202983647</t>
  </si>
  <si>
    <t>3901615</t>
  </si>
  <si>
    <t>REC-048-QNCI-613531</t>
  </si>
  <si>
    <t>09:47:45</t>
  </si>
  <si>
    <t>REC-3022-A364-108711</t>
  </si>
  <si>
    <t>09:52:29</t>
  </si>
  <si>
    <t>0926714700</t>
  </si>
  <si>
    <t>3906780</t>
  </si>
  <si>
    <t>REC-4235-A1BQ-27927</t>
  </si>
  <si>
    <t>10:06:24</t>
  </si>
  <si>
    <t>REC-3792-A39T-97648</t>
  </si>
  <si>
    <t>10:14:55</t>
  </si>
  <si>
    <t>REC-613-BK8R-414404</t>
  </si>
  <si>
    <t>10:26:42</t>
  </si>
  <si>
    <t>REC-3412-PTE5-955091</t>
  </si>
  <si>
    <t>10:59:57</t>
  </si>
  <si>
    <t>REC-4963-A3A0-955155</t>
  </si>
  <si>
    <t>11:01:47</t>
  </si>
  <si>
    <t>REC-3520-A1CH-234326</t>
  </si>
  <si>
    <t>11:03:23</t>
  </si>
  <si>
    <t>0915147268</t>
  </si>
  <si>
    <t>3903338</t>
  </si>
  <si>
    <t>REC-3187-A2UE-28476</t>
  </si>
  <si>
    <t>11:18:55</t>
  </si>
  <si>
    <t>REC-536-2GEZ-325448</t>
  </si>
  <si>
    <t>11:45:36</t>
  </si>
  <si>
    <t>REC-536-2GEZ-325449</t>
  </si>
  <si>
    <t>11:46:11</t>
  </si>
  <si>
    <t>REC-536-2GEZ-325450</t>
  </si>
  <si>
    <t>11:46:35</t>
  </si>
  <si>
    <t>0912747391</t>
  </si>
  <si>
    <t>3903475</t>
  </si>
  <si>
    <t>REC-3187-A2UE-28492</t>
  </si>
  <si>
    <t>12:25:04</t>
  </si>
  <si>
    <t>REC-3187-A2UE-28501</t>
  </si>
  <si>
    <t>13:09:00</t>
  </si>
  <si>
    <t>1312872227</t>
  </si>
  <si>
    <t>3902254</t>
  </si>
  <si>
    <t>REC-096-LIO1-533000</t>
  </si>
  <si>
    <t>13:46:33</t>
  </si>
  <si>
    <t>0912030475001</t>
  </si>
  <si>
    <t>3906043</t>
  </si>
  <si>
    <t>REC-348-1R2Q-421374</t>
  </si>
  <si>
    <t>13:52:36</t>
  </si>
  <si>
    <t>REC-3371-LD0C-265957</t>
  </si>
  <si>
    <t>14:04:00</t>
  </si>
  <si>
    <t>REC-4128-WBT4-961599</t>
  </si>
  <si>
    <t>14:12:09</t>
  </si>
  <si>
    <t>REC-028-A3ZW-55650</t>
  </si>
  <si>
    <t>14:13:08</t>
  </si>
  <si>
    <t>REC-3784-ATA2-163782</t>
  </si>
  <si>
    <t>14:13:13</t>
  </si>
  <si>
    <t>REC-3422-A3IU-614121</t>
  </si>
  <si>
    <t>14:33:57</t>
  </si>
  <si>
    <t>0908948573</t>
  </si>
  <si>
    <t>3960352</t>
  </si>
  <si>
    <t>REC-4313-IAI9-963358</t>
  </si>
  <si>
    <t>15:11:44</t>
  </si>
  <si>
    <t>REC-049-A2U2-36929</t>
  </si>
  <si>
    <t>15:13:38</t>
  </si>
  <si>
    <t>REC-3182-YQG9-265975</t>
  </si>
  <si>
    <t>15:49:42</t>
  </si>
  <si>
    <t>REC-3182-YQHE-223378</t>
  </si>
  <si>
    <t>16:33:46</t>
  </si>
  <si>
    <t>0910611987</t>
  </si>
  <si>
    <t>3903476</t>
  </si>
  <si>
    <t>REC-3510-A4F9-225172</t>
  </si>
  <si>
    <t>16:40:56</t>
  </si>
  <si>
    <t>REC-045-VMU0-323879</t>
  </si>
  <si>
    <t>16:44:11</t>
  </si>
  <si>
    <t>REC-045-VMU0-323880</t>
  </si>
  <si>
    <t>16:44:49</t>
  </si>
  <si>
    <t>REC-3214-H8Z8-324928</t>
  </si>
  <si>
    <t>17:31:21</t>
  </si>
  <si>
    <t>REC-4770-FSF2-968000</t>
  </si>
  <si>
    <t>17:48:46</t>
  </si>
  <si>
    <t>0932593775001</t>
  </si>
  <si>
    <t>3900508</t>
  </si>
  <si>
    <t>REC-4794-FSH7-968331</t>
  </si>
  <si>
    <t>18:02:06</t>
  </si>
  <si>
    <t>0922617394</t>
  </si>
  <si>
    <t>3907971</t>
  </si>
  <si>
    <t>REC-3187-YWS5-592917</t>
  </si>
  <si>
    <t>18:39:01</t>
  </si>
  <si>
    <t>0917040057</t>
  </si>
  <si>
    <t>3930170</t>
  </si>
  <si>
    <t>REC-3784-ATA2-163846</t>
  </si>
  <si>
    <t>19:50:05</t>
  </si>
  <si>
    <t>REC-072-AJ3R-229349</t>
  </si>
  <si>
    <t>10:11:36</t>
  </si>
  <si>
    <t>20200203</t>
  </si>
  <si>
    <t>REC-569-YXPK-1462238</t>
  </si>
  <si>
    <t>10:43:40</t>
  </si>
  <si>
    <t>0911667764</t>
  </si>
  <si>
    <t>3903440</t>
  </si>
  <si>
    <t>REC-4164-A1LY-118005</t>
  </si>
  <si>
    <t>11:04:42</t>
  </si>
  <si>
    <t>REC-609-A1M3-303900</t>
  </si>
  <si>
    <t>11:13:03</t>
  </si>
  <si>
    <t>0801758434</t>
  </si>
  <si>
    <t>3906905</t>
  </si>
  <si>
    <t>REC-3187-A2UB-135580</t>
  </si>
  <si>
    <t>11:36:28</t>
  </si>
  <si>
    <t>0912478450</t>
  </si>
  <si>
    <t>3909970</t>
  </si>
  <si>
    <t>REC-027-A40B-53221</t>
  </si>
  <si>
    <t>11:38:49</t>
  </si>
  <si>
    <t>REC-3029-M9QW-177393</t>
  </si>
  <si>
    <t>11:43:28</t>
  </si>
  <si>
    <t>0920095361</t>
  </si>
  <si>
    <t>3906026</t>
  </si>
  <si>
    <t>REC-3201-Y46O-392434</t>
  </si>
  <si>
    <t>11:45:37</t>
  </si>
  <si>
    <t>0915086839</t>
  </si>
  <si>
    <t>3903293</t>
  </si>
  <si>
    <t>REC-061-A13Z-40941</t>
  </si>
  <si>
    <t>11:58:38</t>
  </si>
  <si>
    <t>REC-061-AF82-267726</t>
  </si>
  <si>
    <t>12:38:06</t>
  </si>
  <si>
    <t>0915356125</t>
  </si>
  <si>
    <t>3901139</t>
  </si>
  <si>
    <t>REC-4960-A1QG-67394</t>
  </si>
  <si>
    <t>12:43:45</t>
  </si>
  <si>
    <t>0202301404</t>
  </si>
  <si>
    <t>3902042</t>
  </si>
  <si>
    <t>REC-3295-1T8D-158739</t>
  </si>
  <si>
    <t>13:17:24</t>
  </si>
  <si>
    <t>0929008621</t>
  </si>
  <si>
    <t>3909096</t>
  </si>
  <si>
    <t>REC-048-QNCI-613468</t>
  </si>
  <si>
    <t>13:30:30</t>
  </si>
  <si>
    <t>REC-4164-A1LY-118055</t>
  </si>
  <si>
    <t>14:08:09</t>
  </si>
  <si>
    <t>REC-609-A3AI-71531</t>
  </si>
  <si>
    <t>14:13:05</t>
  </si>
  <si>
    <t>REC-3022-FNNL-521137</t>
  </si>
  <si>
    <t>14:14:22</t>
  </si>
  <si>
    <t>0913777900</t>
  </si>
  <si>
    <t>3907515</t>
  </si>
  <si>
    <t>REC-165-LOA2-138750</t>
  </si>
  <si>
    <t>14:56:21</t>
  </si>
  <si>
    <t>1706802582</t>
  </si>
  <si>
    <t>3907361</t>
  </si>
  <si>
    <t>REC-3022-FNNL-521154</t>
  </si>
  <si>
    <t>14:57:45</t>
  </si>
  <si>
    <t>1710976042</t>
  </si>
  <si>
    <t>3908772</t>
  </si>
  <si>
    <t>REC-5635-A2YS-7464</t>
  </si>
  <si>
    <t>15:42:36</t>
  </si>
  <si>
    <t>3900172</t>
  </si>
  <si>
    <t>REC-5635-A2YS-7465</t>
  </si>
  <si>
    <t>15:42:53</t>
  </si>
  <si>
    <t>REC-5635-A2YS-7466</t>
  </si>
  <si>
    <t>15:52:17</t>
  </si>
  <si>
    <t>0928457944</t>
  </si>
  <si>
    <t>3909125</t>
  </si>
  <si>
    <t>REC-4273-PRO8-7778</t>
  </si>
  <si>
    <t>15:59:55</t>
  </si>
  <si>
    <t>0601690043</t>
  </si>
  <si>
    <t>23923080</t>
  </si>
  <si>
    <t>REC-4190-A11N-1457810</t>
  </si>
  <si>
    <t>16:09:25</t>
  </si>
  <si>
    <t>REC-5342-A13Y-65</t>
  </si>
  <si>
    <t>16:09:38</t>
  </si>
  <si>
    <t>REC-061-A6S3-202867</t>
  </si>
  <si>
    <t>16:13:20</t>
  </si>
  <si>
    <t>0916384449</t>
  </si>
  <si>
    <t>3908749</t>
  </si>
  <si>
    <t>REC-165-M8MT-635720</t>
  </si>
  <si>
    <t>16:25:36</t>
  </si>
  <si>
    <t>REC-678-3V18-555325</t>
  </si>
  <si>
    <t>16:34:46</t>
  </si>
  <si>
    <t>0919175778</t>
  </si>
  <si>
    <t>3930287</t>
  </si>
  <si>
    <t>REC-096-HG9K-293117</t>
  </si>
  <si>
    <t>17:43:17</t>
  </si>
  <si>
    <t>3900652</t>
  </si>
  <si>
    <t>REC-536-TDSM-126976</t>
  </si>
  <si>
    <t>17:53:28</t>
  </si>
  <si>
    <t>REC-536-TDSM-126981</t>
  </si>
  <si>
    <t>18:05:21</t>
  </si>
  <si>
    <t>REC-3614-AAD4-833234</t>
  </si>
  <si>
    <t>19:24:52</t>
  </si>
  <si>
    <t>REC-3614-AAD4-833261</t>
  </si>
  <si>
    <t>0914420708</t>
  </si>
  <si>
    <t>3907354</t>
  </si>
  <si>
    <t>REC-3371-EFX5-159939</t>
  </si>
  <si>
    <t>20:47:45</t>
  </si>
  <si>
    <t>REC-518-RI70-182110</t>
  </si>
  <si>
    <t>09:47:46</t>
  </si>
  <si>
    <t>20200202</t>
  </si>
  <si>
    <t>REC-3295-1T8E-213853</t>
  </si>
  <si>
    <t>11:11:09</t>
  </si>
  <si>
    <t>0917968091</t>
  </si>
  <si>
    <t>3903860</t>
  </si>
  <si>
    <t>REC-390-SB17-581101</t>
  </si>
  <si>
    <t>12:50:08</t>
  </si>
  <si>
    <t>0930638754</t>
  </si>
  <si>
    <t>3903472</t>
  </si>
  <si>
    <t>REC-3295-1T8E-213876</t>
  </si>
  <si>
    <t>13:03:46</t>
  </si>
  <si>
    <t>0907145742</t>
  </si>
  <si>
    <t>3907937</t>
  </si>
  <si>
    <t>REC-008-PB64-372909</t>
  </si>
  <si>
    <t>13:04:31</t>
  </si>
  <si>
    <t>0916678725</t>
  </si>
  <si>
    <t>3908714</t>
  </si>
  <si>
    <t>REC-3371-EGEG-230402</t>
  </si>
  <si>
    <t>13:39:23</t>
  </si>
  <si>
    <t>0200612737</t>
  </si>
  <si>
    <t>3902647</t>
  </si>
  <si>
    <t>REC-3187-A2UE-28298</t>
  </si>
  <si>
    <t>14:24:32</t>
  </si>
  <si>
    <t>0902200047</t>
  </si>
  <si>
    <t>3902731</t>
  </si>
  <si>
    <t>REC-3371-EGEG-230497</t>
  </si>
  <si>
    <t>18:30:02</t>
  </si>
  <si>
    <t>REC-678-3V18-555108</t>
  </si>
  <si>
    <t>09:06:09</t>
  </si>
  <si>
    <t>20200201</t>
  </si>
  <si>
    <t>0930643457</t>
  </si>
  <si>
    <t>3903886</t>
  </si>
  <si>
    <t>REC-3792-A24Z-537807</t>
  </si>
  <si>
    <t>10:07:21</t>
  </si>
  <si>
    <t>0916918378001</t>
  </si>
  <si>
    <t>3907299</t>
  </si>
  <si>
    <t>REC-4888-A1Y8-1495</t>
  </si>
  <si>
    <t>10:35:42</t>
  </si>
  <si>
    <t>1205701327</t>
  </si>
  <si>
    <t>3906872</t>
  </si>
  <si>
    <t>REC-3172-YIGW-293174</t>
  </si>
  <si>
    <t>11:07:45</t>
  </si>
  <si>
    <t>0910434687</t>
  </si>
  <si>
    <t>3900436</t>
  </si>
  <si>
    <t>REC-008-PB64-372791</t>
  </si>
  <si>
    <t>11:30:43</t>
  </si>
  <si>
    <t>REC-3371-LD0C-265349</t>
  </si>
  <si>
    <t>12:04:00</t>
  </si>
  <si>
    <t>0913599437</t>
  </si>
  <si>
    <t>3901340</t>
  </si>
  <si>
    <t>REC-3182-YQG9-265400</t>
  </si>
  <si>
    <t>13:29:47</t>
  </si>
  <si>
    <t>REC-5762-FE91-913908</t>
  </si>
  <si>
    <t>14:59:14</t>
  </si>
  <si>
    <t>REC-3371-A1DS-214806</t>
  </si>
  <si>
    <t>16:05:54</t>
  </si>
  <si>
    <t>REC-3371-EFX5-159832</t>
  </si>
  <si>
    <t>0910644608</t>
  </si>
  <si>
    <t>3903581</t>
  </si>
  <si>
    <t>REC-3295-1T8A-198750</t>
  </si>
  <si>
    <t>16:43:39</t>
  </si>
  <si>
    <t>REC-3370-A6JI-230283</t>
  </si>
  <si>
    <t>16:59:24</t>
  </si>
  <si>
    <t>0905765467</t>
  </si>
  <si>
    <t>3945100</t>
  </si>
  <si>
    <t>REC-3187-YWS5-592621</t>
  </si>
  <si>
    <t>17:25:25</t>
  </si>
  <si>
    <t>0917744286</t>
  </si>
  <si>
    <t>3907950</t>
  </si>
  <si>
    <t>REC-3187-YWS5-592638</t>
  </si>
  <si>
    <t>19:45:24</t>
  </si>
  <si>
    <t>REC-096-HG9K-292875</t>
  </si>
  <si>
    <t>21:15:32</t>
  </si>
  <si>
    <t>0925079998</t>
  </si>
  <si>
    <t>3903191</t>
  </si>
  <si>
    <t>REC-3175-C8JC-295078</t>
  </si>
  <si>
    <t>10:53:01</t>
  </si>
  <si>
    <t>20200331</t>
  </si>
  <si>
    <t>REC-4963-A3A0-610817</t>
  </si>
  <si>
    <t>17:12:21</t>
  </si>
  <si>
    <t>REC-551-VOI8-594614</t>
  </si>
  <si>
    <t>09:09:34</t>
  </si>
  <si>
    <t>20200330</t>
  </si>
  <si>
    <t>REC-3360-IPEN-216106</t>
  </si>
  <si>
    <t>09:17:34</t>
  </si>
  <si>
    <t>REC-678-3V18-560184</t>
  </si>
  <si>
    <t>10:22:37</t>
  </si>
  <si>
    <t>REC-678-3V18-560185</t>
  </si>
  <si>
    <t>10:23:11</t>
  </si>
  <si>
    <t>0931903561</t>
  </si>
  <si>
    <t>3908257</t>
  </si>
  <si>
    <t>REC-011-VD5Z-336563</t>
  </si>
  <si>
    <t>10:04:32</t>
  </si>
  <si>
    <t>20200329</t>
  </si>
  <si>
    <t>REC-011-VD5Z-336578</t>
  </si>
  <si>
    <t>11:00:39</t>
  </si>
  <si>
    <t>REC-609-A1M3-308882</t>
  </si>
  <si>
    <t>09:38:39</t>
  </si>
  <si>
    <t>20200327</t>
  </si>
  <si>
    <t>0904324373</t>
  </si>
  <si>
    <t>3908143</t>
  </si>
  <si>
    <t>REC-3187-A2UB-140360</t>
  </si>
  <si>
    <t>10:51:59</t>
  </si>
  <si>
    <t>1304404278</t>
  </si>
  <si>
    <t>3903535</t>
  </si>
  <si>
    <t>REC-2004-CNH2-570363</t>
  </si>
  <si>
    <t>11:02:11</t>
  </si>
  <si>
    <t>0907755029001</t>
  </si>
  <si>
    <t>3909041</t>
  </si>
  <si>
    <t>REC-4164-A1LY-122374</t>
  </si>
  <si>
    <t>11:15:03</t>
  </si>
  <si>
    <t>0923404024</t>
  </si>
  <si>
    <t>3900694</t>
  </si>
  <si>
    <t>REC-4202-A16N-7588</t>
  </si>
  <si>
    <t>09:34:27</t>
  </si>
  <si>
    <t>20200326</t>
  </si>
  <si>
    <t>0924588007</t>
  </si>
  <si>
    <t>3900369</t>
  </si>
  <si>
    <t>REC-3392-A39W-396561</t>
  </si>
  <si>
    <t>09:37:49</t>
  </si>
  <si>
    <t>0915588305</t>
  </si>
  <si>
    <t>3908162</t>
  </si>
  <si>
    <t>REC-536-2GEZ-331626</t>
  </si>
  <si>
    <t>10:57:04</t>
  </si>
  <si>
    <t>REC-5310-Z4YZ-597468</t>
  </si>
  <si>
    <t>17:07:11</t>
  </si>
  <si>
    <t>0910675214</t>
  </si>
  <si>
    <t>3909928</t>
  </si>
  <si>
    <t>REC-3295-1TWC-207606</t>
  </si>
  <si>
    <t>11:45:38</t>
  </si>
  <si>
    <t>20200320</t>
  </si>
  <si>
    <t>REC-944-LRJ0-383098</t>
  </si>
  <si>
    <t>12:15:43</t>
  </si>
  <si>
    <t>0915524458</t>
  </si>
  <si>
    <t>3930331</t>
  </si>
  <si>
    <t>REC-348-1R2Q-427936</t>
  </si>
  <si>
    <t>12:46:13</t>
  </si>
  <si>
    <t>0909351025</t>
  </si>
  <si>
    <t>3900659</t>
  </si>
  <si>
    <t>REC-5652-GFL1-236291</t>
  </si>
  <si>
    <t>09:14:58</t>
  </si>
  <si>
    <t>20200319</t>
  </si>
  <si>
    <t>REC-7366-Y05Q-1346</t>
  </si>
  <si>
    <t>09:24:35</t>
  </si>
  <si>
    <t>0917048076</t>
  </si>
  <si>
    <t>3907379</t>
  </si>
  <si>
    <t>REC-3520-A1CH-240772</t>
  </si>
  <si>
    <t>09:51:22</t>
  </si>
  <si>
    <t>REC-3808-A3Z9-516618</t>
  </si>
  <si>
    <t>10:03:36</t>
  </si>
  <si>
    <t>REC-536-2GEZ-331186</t>
  </si>
  <si>
    <t>11:44:28</t>
  </si>
  <si>
    <t>REC-678-3V18-559883</t>
  </si>
  <si>
    <t>11:54:36</t>
  </si>
  <si>
    <t>0912513496</t>
  </si>
  <si>
    <t>3903530</t>
  </si>
  <si>
    <t>REC-5635-A2YS-10102</t>
  </si>
  <si>
    <t>09:22:54</t>
  </si>
  <si>
    <t>20200318</t>
  </si>
  <si>
    <t>REC-5635-A2YS-10108</t>
  </si>
  <si>
    <t>10:14:31</t>
  </si>
  <si>
    <t>REC-048-QNCI-617792</t>
  </si>
  <si>
    <t>10:31:41</t>
  </si>
  <si>
    <t>REC-3187-A2UB-140137</t>
  </si>
  <si>
    <t>13:34:04</t>
  </si>
  <si>
    <t>REC-3784-ATA2-168062</t>
  </si>
  <si>
    <t>14:05:04</t>
  </si>
  <si>
    <t>REC-3175-A3LN-115537</t>
  </si>
  <si>
    <t>09:41:09</t>
  </si>
  <si>
    <t>20200317</t>
  </si>
  <si>
    <t>REC-3370-A6JI-236669</t>
  </si>
  <si>
    <t>10:47:26</t>
  </si>
  <si>
    <t>REC-048-QNCI-617718</t>
  </si>
  <si>
    <t>11:15:20</t>
  </si>
  <si>
    <t>0924319411001</t>
  </si>
  <si>
    <t>3900498</t>
  </si>
  <si>
    <t>REC-223-B7CD-556353</t>
  </si>
  <si>
    <t>12:10:03</t>
  </si>
  <si>
    <t>REC-3187-YWS5-597237</t>
  </si>
  <si>
    <t>12:38:50</t>
  </si>
  <si>
    <t>1790898954001</t>
  </si>
  <si>
    <t>3945066</t>
  </si>
  <si>
    <t>REC-4164-A1CB-114138</t>
  </si>
  <si>
    <t>14:13:39</t>
  </si>
  <si>
    <t>REC-3371-A1DS-220776</t>
  </si>
  <si>
    <t>14:37:28</t>
  </si>
  <si>
    <t>REC-3422-A25Y-85395</t>
  </si>
  <si>
    <t>14:43:16</t>
  </si>
  <si>
    <t>REC-342-EBMO-261888</t>
  </si>
  <si>
    <t>15:05:18</t>
  </si>
  <si>
    <t>REC-3370-A6JI-236770</t>
  </si>
  <si>
    <t>16:46:39</t>
  </si>
  <si>
    <t>REC-611-J4ZN-490254</t>
  </si>
  <si>
    <t>09:27:52</t>
  </si>
  <si>
    <t>20200316</t>
  </si>
  <si>
    <t>0922032719</t>
  </si>
  <si>
    <t>3908031</t>
  </si>
  <si>
    <t>REC-3022-FNNL-526456</t>
  </si>
  <si>
    <t>09:40:35</t>
  </si>
  <si>
    <t>0910190552</t>
  </si>
  <si>
    <t>3903868</t>
  </si>
  <si>
    <t>REC-3557-PTY5-544745</t>
  </si>
  <si>
    <t>10:01:47</t>
  </si>
  <si>
    <t>REC-4810-FSJ5-544950</t>
  </si>
  <si>
    <t>10:07:04</t>
  </si>
  <si>
    <t>REC-3175-A3LN-115368</t>
  </si>
  <si>
    <t>10:10:36</t>
  </si>
  <si>
    <t>REC-4303-IAI3-545775</t>
  </si>
  <si>
    <t>10:29:50</t>
  </si>
  <si>
    <t>0929812485</t>
  </si>
  <si>
    <t>3908740</t>
  </si>
  <si>
    <t>REC-390-SB17-585016</t>
  </si>
  <si>
    <t>11:00:35</t>
  </si>
  <si>
    <t>REC-3022-FNNL-526509</t>
  </si>
  <si>
    <t>11:30:30</t>
  </si>
  <si>
    <t>REC-3022-FNNL-526510</t>
  </si>
  <si>
    <t>11:30:41</t>
  </si>
  <si>
    <t>REC-3182-YQHD-254860</t>
  </si>
  <si>
    <t>12:32:40</t>
  </si>
  <si>
    <t>REC-3182-YQHD-254861</t>
  </si>
  <si>
    <t>12:33:37</t>
  </si>
  <si>
    <t>REC-3370-A6JI-236562</t>
  </si>
  <si>
    <t>12:36:57</t>
  </si>
  <si>
    <t>REC-061-A6S4-145193</t>
  </si>
  <si>
    <t>13:14:10</t>
  </si>
  <si>
    <t>0910823053</t>
  </si>
  <si>
    <t>3945476</t>
  </si>
  <si>
    <t>REC-3187-YWS5-597101</t>
  </si>
  <si>
    <t>13:53:30</t>
  </si>
  <si>
    <t>REC-3095-T359-409077</t>
  </si>
  <si>
    <t>14:21:17</t>
  </si>
  <si>
    <t>0959856592</t>
  </si>
  <si>
    <t>3907883</t>
  </si>
  <si>
    <t>REC-3295-1T8E-218467</t>
  </si>
  <si>
    <t>14:50:14</t>
  </si>
  <si>
    <t>REC-5585-RQ83-4799</t>
  </si>
  <si>
    <t>15:17:12</t>
  </si>
  <si>
    <t>REC-223-B7CD-556220</t>
  </si>
  <si>
    <t>15:25:09</t>
  </si>
  <si>
    <t>REC-7314-A6GU-2120</t>
  </si>
  <si>
    <t>16:03:17</t>
  </si>
  <si>
    <t>0914753199</t>
  </si>
  <si>
    <t>3900891</t>
  </si>
  <si>
    <t>REC-3175-A3LN-115464</t>
  </si>
  <si>
    <t>16:48:43</t>
  </si>
  <si>
    <t>REC-096-ZU7N-242030</t>
  </si>
  <si>
    <t>17:07:53</t>
  </si>
  <si>
    <t>REC-008-PB64-377773</t>
  </si>
  <si>
    <t>17:11:23</t>
  </si>
  <si>
    <t>0924258312</t>
  </si>
  <si>
    <t>3906999</t>
  </si>
  <si>
    <t>REC-028-AJSG-545619</t>
  </si>
  <si>
    <t>17:26:16</t>
  </si>
  <si>
    <t>REC-3161-KURB-415622</t>
  </si>
  <si>
    <t>17:27:57</t>
  </si>
  <si>
    <t>AT-3035</t>
  </si>
  <si>
    <t>REC-4313-IAI9-559197</t>
  </si>
  <si>
    <t>17:51:23</t>
  </si>
  <si>
    <t>REC-3023-IZCF-561927</t>
  </si>
  <si>
    <t>17:57:40</t>
  </si>
  <si>
    <t>REC-3095-T359-408898</t>
  </si>
  <si>
    <t>10:18:53</t>
  </si>
  <si>
    <t>20200315</t>
  </si>
  <si>
    <t>REC-3808-A3Z9-516301</t>
  </si>
  <si>
    <t>10:25:09</t>
  </si>
  <si>
    <t>REC-3187-A2UE-32694</t>
  </si>
  <si>
    <t>12:07:10</t>
  </si>
  <si>
    <t>REC-3295-1T8E-218359</t>
  </si>
  <si>
    <t>12:54:02</t>
  </si>
  <si>
    <t>REC-3200-SAMK-213385</t>
  </si>
  <si>
    <t>13:48:25</t>
  </si>
  <si>
    <t>REC-096-DCIZ-446612</t>
  </si>
  <si>
    <t>14:08:30</t>
  </si>
  <si>
    <t>REC-096-HG9K-298249</t>
  </si>
  <si>
    <t>16:06:57</t>
  </si>
  <si>
    <t>0953633773</t>
  </si>
  <si>
    <t>3900274</t>
  </si>
  <si>
    <t>REC-048-QNCI-617581</t>
  </si>
  <si>
    <t>0906523055</t>
  </si>
  <si>
    <t>3907357</t>
  </si>
  <si>
    <t>REC-3577-A1IU-135967</t>
  </si>
  <si>
    <t>17:29:28</t>
  </si>
  <si>
    <t>REC-7304-RQ49-509</t>
  </si>
  <si>
    <t>10:52:06</t>
  </si>
  <si>
    <t>20200314</t>
  </si>
  <si>
    <t>REC-3371-EFX5-164108</t>
  </si>
  <si>
    <t>11:50:16</t>
  </si>
  <si>
    <t>0930994025</t>
  </si>
  <si>
    <t>3906024</t>
  </si>
  <si>
    <t>REC-4810-FSJ5-532929</t>
  </si>
  <si>
    <t>12:09:47</t>
  </si>
  <si>
    <t>REC-3615-AAD5-209041</t>
  </si>
  <si>
    <t>12:57:49</t>
  </si>
  <si>
    <t>REC-355-J4YM-652256</t>
  </si>
  <si>
    <t>13:24:31</t>
  </si>
  <si>
    <t>0917214330</t>
  </si>
  <si>
    <t>3900993</t>
  </si>
  <si>
    <t>REC-3371-EFX5-164130</t>
  </si>
  <si>
    <t>13:26:48</t>
  </si>
  <si>
    <t>REC-944-ZF9M-189695</t>
  </si>
  <si>
    <t>14:41:37</t>
  </si>
  <si>
    <t>REC-5251-A2FO-9576</t>
  </si>
  <si>
    <t>16:17:08</t>
  </si>
  <si>
    <t>REC-3792-A39T-102415</t>
  </si>
  <si>
    <t>17:05:11</t>
  </si>
  <si>
    <t>at-3034</t>
  </si>
  <si>
    <t>REC-3172-YIGW-300533</t>
  </si>
  <si>
    <t>18:53:06</t>
  </si>
  <si>
    <t>at-3033</t>
  </si>
  <si>
    <t>REC-061-A6S4-145087</t>
  </si>
  <si>
    <t>09:22:58</t>
  </si>
  <si>
    <t>20200313</t>
  </si>
  <si>
    <t>REC-3371-LD0C-271609</t>
  </si>
  <si>
    <t>10:02:10</t>
  </si>
  <si>
    <t>REC-3421-A2OB-425555</t>
  </si>
  <si>
    <t>10:19:33</t>
  </si>
  <si>
    <t>REC-3175-C8JC-294199</t>
  </si>
  <si>
    <t>11:35:55</t>
  </si>
  <si>
    <t>REC-613-BK8R-416980</t>
  </si>
  <si>
    <t>11:37:51</t>
  </si>
  <si>
    <t>REC-3200-SAMD-265721</t>
  </si>
  <si>
    <t>11:48:08</t>
  </si>
  <si>
    <t>0922057633</t>
  </si>
  <si>
    <t>3902642</t>
  </si>
  <si>
    <t>REC-3371-LD0C-271671</t>
  </si>
  <si>
    <t>11:58:27</t>
  </si>
  <si>
    <t>REC-5989-GFL6-518950</t>
  </si>
  <si>
    <t>12:04:35</t>
  </si>
  <si>
    <t>0914416227</t>
  </si>
  <si>
    <t>3930326</t>
  </si>
  <si>
    <t>REC-072-TTF1-304984</t>
  </si>
  <si>
    <t>12:22:23</t>
  </si>
  <si>
    <t>0913707022</t>
  </si>
  <si>
    <t>3902504</t>
  </si>
  <si>
    <t>REC-7314-A6GU-1876</t>
  </si>
  <si>
    <t>12:43:48</t>
  </si>
  <si>
    <t>REC-061-A1AW-49364</t>
  </si>
  <si>
    <t>13:20:13</t>
  </si>
  <si>
    <t>REC-090-ULDN-575913</t>
  </si>
  <si>
    <t>13:37:54</t>
  </si>
  <si>
    <t>0926074998</t>
  </si>
  <si>
    <t>3908915</t>
  </si>
  <si>
    <t>REC-342-EBMO-261408</t>
  </si>
  <si>
    <t>REC-3023-IZCF-561628</t>
  </si>
  <si>
    <t>14:20:34</t>
  </si>
  <si>
    <t>0917305187001</t>
  </si>
  <si>
    <t>3901478</t>
  </si>
  <si>
    <t>REC-342-EBMO-261410</t>
  </si>
  <si>
    <t>14:23:41</t>
  </si>
  <si>
    <t>REC-536-TDSM-131423</t>
  </si>
  <si>
    <t>15:42:17</t>
  </si>
  <si>
    <t>0992869518001</t>
  </si>
  <si>
    <t>3909062</t>
  </si>
  <si>
    <t>REC-3022-A364-113173</t>
  </si>
  <si>
    <t>15:45:49</t>
  </si>
  <si>
    <t>0930776562</t>
  </si>
  <si>
    <t>3907690</t>
  </si>
  <si>
    <t>REC-011-JVA0-500335</t>
  </si>
  <si>
    <t>15:57:16</t>
  </si>
  <si>
    <t>0921227179</t>
  </si>
  <si>
    <t>3907666</t>
  </si>
  <si>
    <t>REC-3172-YIGW-300270</t>
  </si>
  <si>
    <t>16:11:22</t>
  </si>
  <si>
    <t>0920994571</t>
  </si>
  <si>
    <t>3906048</t>
  </si>
  <si>
    <t>REC-609-A3AI-75429</t>
  </si>
  <si>
    <t>16:12:57</t>
  </si>
  <si>
    <t>at-3032</t>
  </si>
  <si>
    <t>REC-061-ZGFI-92891</t>
  </si>
  <si>
    <t>16:14:19</t>
  </si>
  <si>
    <t>REC-3182-SS15-6106</t>
  </si>
  <si>
    <t>16:21:23</t>
  </si>
  <si>
    <t>REC-3371-A1DS-220424</t>
  </si>
  <si>
    <t>0916581739</t>
  </si>
  <si>
    <t>3908084</t>
  </si>
  <si>
    <t>REC-3219-CSE4-525143</t>
  </si>
  <si>
    <t>16:22:44</t>
  </si>
  <si>
    <t>0992282010001</t>
  </si>
  <si>
    <t>3901153</t>
  </si>
  <si>
    <t>REC-3219-CSE4-525172</t>
  </si>
  <si>
    <t>16:23:45</t>
  </si>
  <si>
    <t>REC-3161-KURB-415177</t>
  </si>
  <si>
    <t>16:51:00</t>
  </si>
  <si>
    <t>REC-3095-T359-408745</t>
  </si>
  <si>
    <t>16:58:21</t>
  </si>
  <si>
    <t>REC-3093-T2A8-437686</t>
  </si>
  <si>
    <t>16:58:25</t>
  </si>
  <si>
    <t>REC-245-BEJI-645161</t>
  </si>
  <si>
    <t>18:02:39</t>
  </si>
  <si>
    <t>0914382015</t>
  </si>
  <si>
    <t>3901357</t>
  </si>
  <si>
    <t>REC-390-SB17-584800</t>
  </si>
  <si>
    <t>18:25:48</t>
  </si>
  <si>
    <t>0603365115001</t>
  </si>
  <si>
    <t>3909148</t>
  </si>
  <si>
    <t>REC-3371-EGEG-235630</t>
  </si>
  <si>
    <t>18:58:07</t>
  </si>
  <si>
    <t>REC-3371-EGEG-235638</t>
  </si>
  <si>
    <t>19:08:57</t>
  </si>
  <si>
    <t>0917740979</t>
  </si>
  <si>
    <t>3909248</t>
  </si>
  <si>
    <t>REC-3371-EGEG-235639</t>
  </si>
  <si>
    <t>19:09:52</t>
  </si>
  <si>
    <t>0907305106</t>
  </si>
  <si>
    <t>3903899</t>
  </si>
  <si>
    <t>REC-4926-A21K-498847</t>
  </si>
  <si>
    <t>09:06:11</t>
  </si>
  <si>
    <t>20200312</t>
  </si>
  <si>
    <t>REC-5310-Z4YZ-499939</t>
  </si>
  <si>
    <t>10:01:31</t>
  </si>
  <si>
    <t>REC-390-BBF4-311155</t>
  </si>
  <si>
    <t>10:34:46</t>
  </si>
  <si>
    <t>REC-569-YXPK-1465902</t>
  </si>
  <si>
    <t>10:56:59</t>
  </si>
  <si>
    <t>REC-3533-CP5G-341705</t>
  </si>
  <si>
    <t>11:28:50</t>
  </si>
  <si>
    <t>REC-4007-OIT2-502709</t>
  </si>
  <si>
    <t>11:36:47</t>
  </si>
  <si>
    <t>0952564664</t>
  </si>
  <si>
    <t>REC-678-3V18-559128</t>
  </si>
  <si>
    <t>11:43:11</t>
  </si>
  <si>
    <t>REC-3172-YIGY-265911</t>
  </si>
  <si>
    <t>11:56:55</t>
  </si>
  <si>
    <t>0915198758</t>
  </si>
  <si>
    <t>3900595</t>
  </si>
  <si>
    <t>REC-3201-Y46O-398979</t>
  </si>
  <si>
    <t>12:08:10</t>
  </si>
  <si>
    <t>REC-028-A3ZW-58457</t>
  </si>
  <si>
    <t>12:44:35</t>
  </si>
  <si>
    <t>REC-348-AB9D-123054</t>
  </si>
  <si>
    <t>REC-678-3V18-559175</t>
  </si>
  <si>
    <t>14:16:37</t>
  </si>
  <si>
    <t>0926777681</t>
  </si>
  <si>
    <t>3907841</t>
  </si>
  <si>
    <t>REC-536-TDSM-131228</t>
  </si>
  <si>
    <t>14:56:47</t>
  </si>
  <si>
    <t>0958145195</t>
  </si>
  <si>
    <t>3901222</t>
  </si>
  <si>
    <t>REC-536-TDSM-131235</t>
  </si>
  <si>
    <t>15:06:35</t>
  </si>
  <si>
    <t>REC-5635-A2YS-9723</t>
  </si>
  <si>
    <t>15:33:48</t>
  </si>
  <si>
    <t>REC-096-DCIZ-446291</t>
  </si>
  <si>
    <t>16:21:32</t>
  </si>
  <si>
    <t>0927007260001</t>
  </si>
  <si>
    <t>3902698</t>
  </si>
  <si>
    <t>REC-3187-A2UB-139620</t>
  </si>
  <si>
    <t>16:34:30</t>
  </si>
  <si>
    <t>REC-3200-SAMD-265641</t>
  </si>
  <si>
    <t>16:43:34</t>
  </si>
  <si>
    <t>REC-355-N45U-543925</t>
  </si>
  <si>
    <t>16:44:20</t>
  </si>
  <si>
    <t>REC-3187-YWS5-596697</t>
  </si>
  <si>
    <t>REC-3370-A6JI-236145</t>
  </si>
  <si>
    <t>17:15:30</t>
  </si>
  <si>
    <t>0915679401</t>
  </si>
  <si>
    <t>3907977</t>
  </si>
  <si>
    <t>REC-536-2GEZ-330365</t>
  </si>
  <si>
    <t>17:24:38</t>
  </si>
  <si>
    <t>REC-536-2GEZ-330370</t>
  </si>
  <si>
    <t>17:35:26</t>
  </si>
  <si>
    <t>0926950742</t>
  </si>
  <si>
    <t>3907384</t>
  </si>
  <si>
    <t>REC-3143-AWFJ-319575</t>
  </si>
  <si>
    <t>18:16:14</t>
  </si>
  <si>
    <t>0925762726</t>
  </si>
  <si>
    <t>3902653</t>
  </si>
  <si>
    <t>REC-4963-A3A0-511802</t>
  </si>
  <si>
    <t>18:45:40</t>
  </si>
  <si>
    <t>0920067576</t>
  </si>
  <si>
    <t>3930209</t>
  </si>
  <si>
    <t>REC-944-ZF9M-189495</t>
  </si>
  <si>
    <t>18:54:10</t>
  </si>
  <si>
    <t>0930336367</t>
  </si>
  <si>
    <t>3902746</t>
  </si>
  <si>
    <t>REC-3182-YQHD-254454</t>
  </si>
  <si>
    <t>19:21:24</t>
  </si>
  <si>
    <t>REC-3172-LIO4-225702</t>
  </si>
  <si>
    <t>19:24:24</t>
  </si>
  <si>
    <t>REC-223-B7CD-555253</t>
  </si>
  <si>
    <t>09:15:29</t>
  </si>
  <si>
    <t>20200311</t>
  </si>
  <si>
    <t>0903190395</t>
  </si>
  <si>
    <t>3908631</t>
  </si>
  <si>
    <t>REC-3370-A6JI-235957</t>
  </si>
  <si>
    <t>10:09:37</t>
  </si>
  <si>
    <t>0929184299</t>
  </si>
  <si>
    <t>3908212</t>
  </si>
  <si>
    <t>REC-609-A1M3-307980</t>
  </si>
  <si>
    <t>10:31:22</t>
  </si>
  <si>
    <t>REC-3295-1T8A-201709</t>
  </si>
  <si>
    <t>10:52:28</t>
  </si>
  <si>
    <t>0901860726</t>
  </si>
  <si>
    <t>REC-3175-C8JC-293863</t>
  </si>
  <si>
    <t>11:16:02</t>
  </si>
  <si>
    <t>REC-3175-C8JC-293864</t>
  </si>
  <si>
    <t>11:16:35</t>
  </si>
  <si>
    <t>REC-4870-A1XD-14559</t>
  </si>
  <si>
    <t>11:28:29</t>
  </si>
  <si>
    <t>REC-4235-A1BQ-28460</t>
  </si>
  <si>
    <t>13:07:24</t>
  </si>
  <si>
    <t>REC-3301-CTQ4-490363</t>
  </si>
  <si>
    <t>13:33:03</t>
  </si>
  <si>
    <t>0919738658</t>
  </si>
  <si>
    <t>3909187</t>
  </si>
  <si>
    <t>REC-390-SB17-584596</t>
  </si>
  <si>
    <t>13:35:50</t>
  </si>
  <si>
    <t>REC-5310-Z4YZ-490833</t>
  </si>
  <si>
    <t>13:57:49</t>
  </si>
  <si>
    <t>REC-061-A6S3-205195</t>
  </si>
  <si>
    <t>15:27:34</t>
  </si>
  <si>
    <t>1307576437</t>
  </si>
  <si>
    <t>3906724</t>
  </si>
  <si>
    <t>REC-3422-A25Y-84825</t>
  </si>
  <si>
    <t>15:37:09</t>
  </si>
  <si>
    <t>REC-348-AB9D-122970</t>
  </si>
  <si>
    <t>16:17:49</t>
  </si>
  <si>
    <t>REC-3554-PTY2-494309</t>
  </si>
  <si>
    <t>16:32:16</t>
  </si>
  <si>
    <t>1313147678</t>
  </si>
  <si>
    <t>3903190</t>
  </si>
  <si>
    <t>REC-096-DCIZ-446189</t>
  </si>
  <si>
    <t>0916651052</t>
  </si>
  <si>
    <t>3901737</t>
  </si>
  <si>
    <t>REC-072-GPG1-209689</t>
  </si>
  <si>
    <t>17:10:37</t>
  </si>
  <si>
    <t>REC-3022-FNNL-525897</t>
  </si>
  <si>
    <t>17:30:18</t>
  </si>
  <si>
    <t>REC-011-JVA0-500079</t>
  </si>
  <si>
    <t>17:42:02</t>
  </si>
  <si>
    <t>REC-011-JVA0-500081</t>
  </si>
  <si>
    <t>17:44:53</t>
  </si>
  <si>
    <t>REC-4532-A12H-16823</t>
  </si>
  <si>
    <t>17:52:20</t>
  </si>
  <si>
    <t>1207267574</t>
  </si>
  <si>
    <t>3907375</t>
  </si>
  <si>
    <t>REC-4208-A14N-51638</t>
  </si>
  <si>
    <t>18:26:09</t>
  </si>
  <si>
    <t>REC-7178-RP30-497201</t>
  </si>
  <si>
    <t>19:14:00</t>
  </si>
  <si>
    <t>1790016846001</t>
  </si>
  <si>
    <t>3901477</t>
  </si>
  <si>
    <t>REC-011-VD5Z-334814</t>
  </si>
  <si>
    <t>10:25:32</t>
  </si>
  <si>
    <t>20200310</t>
  </si>
  <si>
    <t>REC-4313-IAI9-468285</t>
  </si>
  <si>
    <t>10:28:20</t>
  </si>
  <si>
    <t>REC-536-TDSM-130975</t>
  </si>
  <si>
    <t>10:30:00</t>
  </si>
  <si>
    <t>REC-5310-Z4YZ-468563</t>
  </si>
  <si>
    <t>10:36:49</t>
  </si>
  <si>
    <t>REC-3187-A2UE-32129</t>
  </si>
  <si>
    <t>10:44:36</t>
  </si>
  <si>
    <t>REC-3187-A2UE-32130</t>
  </si>
  <si>
    <t>10:44:55</t>
  </si>
  <si>
    <t>REC-3095-T359-408139</t>
  </si>
  <si>
    <t>11:00:01</t>
  </si>
  <si>
    <t>REC-7197-RP49-999</t>
  </si>
  <si>
    <t>11:04:38</t>
  </si>
  <si>
    <t>REC-011-JVA0-499893</t>
  </si>
  <si>
    <t>12:17:42</t>
  </si>
  <si>
    <t>REC-7277-RQ46-471708</t>
  </si>
  <si>
    <t>12:18:40</t>
  </si>
  <si>
    <t>0917333809</t>
  </si>
  <si>
    <t>3903595</t>
  </si>
  <si>
    <t>REC-072-A6LX-189994</t>
  </si>
  <si>
    <t>12:24:13</t>
  </si>
  <si>
    <t>REC-3371-LD0C-271218</t>
  </si>
  <si>
    <t>12:25:33</t>
  </si>
  <si>
    <t>REC-3808-A3Z9-515788</t>
  </si>
  <si>
    <t>12:53:14</t>
  </si>
  <si>
    <t>REC-3022-A364-112839</t>
  </si>
  <si>
    <t>13:10:12</t>
  </si>
  <si>
    <t>REC-223-V7XD-253661</t>
  </si>
  <si>
    <t>13:33:19</t>
  </si>
  <si>
    <t>REC-223-V7XD-253662</t>
  </si>
  <si>
    <t>13:34:35</t>
  </si>
  <si>
    <t>0927226803</t>
  </si>
  <si>
    <t>3907476</t>
  </si>
  <si>
    <t>REC-3510-A4F9-229075</t>
  </si>
  <si>
    <t>15:04:46</t>
  </si>
  <si>
    <t>REC-3182-YQHG-211477</t>
  </si>
  <si>
    <t>15:08:46</t>
  </si>
  <si>
    <t>REC-3095-T359-408214</t>
  </si>
  <si>
    <t>15:18:24</t>
  </si>
  <si>
    <t>REC-4164-A19X-147212</t>
  </si>
  <si>
    <t>15:31:27</t>
  </si>
  <si>
    <t>2100330543</t>
  </si>
  <si>
    <t>3930330</t>
  </si>
  <si>
    <t>REC-390-SB17-584506</t>
  </si>
  <si>
    <t>16:01:38</t>
  </si>
  <si>
    <t>REC-543-U5H7-551812</t>
  </si>
  <si>
    <t>16:30:59</t>
  </si>
  <si>
    <t>1754718342</t>
  </si>
  <si>
    <t>23923155</t>
  </si>
  <si>
    <t>REC-4167-WDE2-479199</t>
  </si>
  <si>
    <t>17:00:06</t>
  </si>
  <si>
    <t>REC-072-TTF1-304750</t>
  </si>
  <si>
    <t>18:04:58</t>
  </si>
  <si>
    <t>REC-5585-RQ83-4190</t>
  </si>
  <si>
    <t>18:19:17</t>
  </si>
  <si>
    <t>REC-008-PB65-368028</t>
  </si>
  <si>
    <t>18:24:30</t>
  </si>
  <si>
    <t>REC-3187-A2UE-32225</t>
  </si>
  <si>
    <t>18:47:59</t>
  </si>
  <si>
    <t>0960077154</t>
  </si>
  <si>
    <t>3907860</t>
  </si>
  <si>
    <t>REC-5585-RQ83-4211</t>
  </si>
  <si>
    <t>19:17:31</t>
  </si>
  <si>
    <t>REC-342-EBMO-260989</t>
  </si>
  <si>
    <t>19:38:49</t>
  </si>
  <si>
    <t>REC-5635-A2YS-9645</t>
  </si>
  <si>
    <t>19:48:44</t>
  </si>
  <si>
    <t>REC-223-V7XD-253448</t>
  </si>
  <si>
    <t>09:41:46</t>
  </si>
  <si>
    <t>20200309</t>
  </si>
  <si>
    <t>0915510028</t>
  </si>
  <si>
    <t>3945227</t>
  </si>
  <si>
    <t>REC-4961-A24R-31819</t>
  </si>
  <si>
    <t>10:18:57</t>
  </si>
  <si>
    <t>REC-7150-T293-447118</t>
  </si>
  <si>
    <t>10:31:32</t>
  </si>
  <si>
    <t>REC-223-V7XD-253465</t>
  </si>
  <si>
    <t>10:33:30</t>
  </si>
  <si>
    <t>REC-3520-A1CH-239489</t>
  </si>
  <si>
    <t>10:52:48</t>
  </si>
  <si>
    <t>REC-3187-YWS5-596301</t>
  </si>
  <si>
    <t>10:55:31</t>
  </si>
  <si>
    <t>REC-3200-SAMB-495429</t>
  </si>
  <si>
    <t>11:11:34</t>
  </si>
  <si>
    <t>0704295435</t>
  </si>
  <si>
    <t>3930278</t>
  </si>
  <si>
    <t>REC-4202-A16N-7457</t>
  </si>
  <si>
    <t>11:19:45</t>
  </si>
  <si>
    <t>REC-4235-A1BQ-28436</t>
  </si>
  <si>
    <t>13:09:47</t>
  </si>
  <si>
    <t>0951368265</t>
  </si>
  <si>
    <t>3907674</t>
  </si>
  <si>
    <t>REC-3022-FNNL-525673</t>
  </si>
  <si>
    <t>13:47:57</t>
  </si>
  <si>
    <t>0924106289</t>
  </si>
  <si>
    <t>3909126</t>
  </si>
  <si>
    <t>REC-7383-RR36-165989</t>
  </si>
  <si>
    <t>0918644808</t>
  </si>
  <si>
    <t>3930362</t>
  </si>
  <si>
    <t>REC-3109-TTH2-671298</t>
  </si>
  <si>
    <t>14:14:31</t>
  </si>
  <si>
    <t>0919832030</t>
  </si>
  <si>
    <t>3901243</t>
  </si>
  <si>
    <t>REC-4910-A22F-20873</t>
  </si>
  <si>
    <t>14:28:34</t>
  </si>
  <si>
    <t>0917729949</t>
  </si>
  <si>
    <t>3909956</t>
  </si>
  <si>
    <t>REC-3370-A6JI-235749</t>
  </si>
  <si>
    <t>16:07:54</t>
  </si>
  <si>
    <t>REC-609-A3AI-74967</t>
  </si>
  <si>
    <t>16:22:34</t>
  </si>
  <si>
    <t>REC-4388-DAT1-460255</t>
  </si>
  <si>
    <t>16:52:18</t>
  </si>
  <si>
    <t>0923377683</t>
  </si>
  <si>
    <t>3906783</t>
  </si>
  <si>
    <t>REC-4164-A19X-147091</t>
  </si>
  <si>
    <t>16:55:25</t>
  </si>
  <si>
    <t>REC-4535-A1SZ-29697</t>
  </si>
  <si>
    <t>17:54:33</t>
  </si>
  <si>
    <t>0915602023</t>
  </si>
  <si>
    <t>3950338</t>
  </si>
  <si>
    <t>REC-3615-AAD5-169837</t>
  </si>
  <si>
    <t>18:05:06</t>
  </si>
  <si>
    <t>REC-3172-YIG8-300841</t>
  </si>
  <si>
    <t>18:27:27</t>
  </si>
  <si>
    <t>REC-3182-YQHG-211418</t>
  </si>
  <si>
    <t>19:19:44</t>
  </si>
  <si>
    <t>0914648761</t>
  </si>
  <si>
    <t>3900179</t>
  </si>
  <si>
    <t>REC-3370-A6JI-235827</t>
  </si>
  <si>
    <t>19:35:38</t>
  </si>
  <si>
    <t>0915392070</t>
  </si>
  <si>
    <t>3909000</t>
  </si>
  <si>
    <t>REC-4779-FSG2-464649</t>
  </si>
  <si>
    <t>21:57:59</t>
  </si>
  <si>
    <t>REC-5987-GFL4-437915</t>
  </si>
  <si>
    <t>10:30:34</t>
  </si>
  <si>
    <t>20200308</t>
  </si>
  <si>
    <t>REC-3187-A2UE-31967</t>
  </si>
  <si>
    <t>11:24:58</t>
  </si>
  <si>
    <t>REC-4963-A3A0-438479</t>
  </si>
  <si>
    <t>11:37:49</t>
  </si>
  <si>
    <t>REC-3158-KURJ-193823</t>
  </si>
  <si>
    <t>12:35:02</t>
  </si>
  <si>
    <t>0925768228</t>
  </si>
  <si>
    <t>3908754</t>
  </si>
  <si>
    <t>REC-3182-YQHE-225988</t>
  </si>
  <si>
    <t>12:37:21</t>
  </si>
  <si>
    <t>0913721742</t>
  </si>
  <si>
    <t>3907805</t>
  </si>
  <si>
    <t>REC-3182-YQHE-225989</t>
  </si>
  <si>
    <t>12:38:21</t>
  </si>
  <si>
    <t>REC-3371-LD0C-270907</t>
  </si>
  <si>
    <t>13:37:04</t>
  </si>
  <si>
    <t>REC-3422-A3IU-617493</t>
  </si>
  <si>
    <t>14:30:08</t>
  </si>
  <si>
    <t>REC-3370-A6JI-235621</t>
  </si>
  <si>
    <t>15:08:03</t>
  </si>
  <si>
    <t>REC-3187-A2UB-139268</t>
  </si>
  <si>
    <t>15:39:29</t>
  </si>
  <si>
    <t>REC-3187-A2UB-139271</t>
  </si>
  <si>
    <t>15:54:24</t>
  </si>
  <si>
    <t>REC-3187-YWS5-596260</t>
  </si>
  <si>
    <t>16:40:07</t>
  </si>
  <si>
    <t>REC-3295-1T8E-217436</t>
  </si>
  <si>
    <t>17:28:59</t>
  </si>
  <si>
    <t>REC-072-KBN0-231563</t>
  </si>
  <si>
    <t>18:23:10</t>
  </si>
  <si>
    <t>REC-4179-LOE1-426416</t>
  </si>
  <si>
    <t>09:17:30</t>
  </si>
  <si>
    <t>20200307</t>
  </si>
  <si>
    <t>REC-355-J4YM-651621</t>
  </si>
  <si>
    <t>09:57:39</t>
  </si>
  <si>
    <t>REC-3187-A2UB-139156</t>
  </si>
  <si>
    <t>10:05:41</t>
  </si>
  <si>
    <t>1712286432</t>
  </si>
  <si>
    <t>23923156</t>
  </si>
  <si>
    <t>REC-4878-A1X5-1409664</t>
  </si>
  <si>
    <t>10:17:04</t>
  </si>
  <si>
    <t>REC-3175-A3LN-114200</t>
  </si>
  <si>
    <t>10:27:31</t>
  </si>
  <si>
    <t>REC-008-PB65-367632</t>
  </si>
  <si>
    <t>10:37:03</t>
  </si>
  <si>
    <t>0909800070</t>
  </si>
  <si>
    <t>3907019</t>
  </si>
  <si>
    <t>REC-3172-LIO4-224887</t>
  </si>
  <si>
    <t>10:38:39</t>
  </si>
  <si>
    <t>0927632778</t>
  </si>
  <si>
    <t>3907401</t>
  </si>
  <si>
    <t>REC-061-AF82-270313</t>
  </si>
  <si>
    <t>11:29:56</t>
  </si>
  <si>
    <t>REC-3808-A3Z9-515510</t>
  </si>
  <si>
    <t>12:30:39</t>
  </si>
  <si>
    <t>REC-3769-A26U-6875</t>
  </si>
  <si>
    <t>12:44:49</t>
  </si>
  <si>
    <t>REC-355-J4YM-651666</t>
  </si>
  <si>
    <t>12:46:26</t>
  </si>
  <si>
    <t>0926091596</t>
  </si>
  <si>
    <t>3930254</t>
  </si>
  <si>
    <t>REC-7130-T188-431799</t>
  </si>
  <si>
    <t>13:07:33</t>
  </si>
  <si>
    <t>0925778771</t>
  </si>
  <si>
    <t>3909108</t>
  </si>
  <si>
    <t>REC-3187-A2UB-139176</t>
  </si>
  <si>
    <t>13:15:35</t>
  </si>
  <si>
    <t>0904399870</t>
  </si>
  <si>
    <t>3908848</t>
  </si>
  <si>
    <t>REC-3370-A6JI-235538</t>
  </si>
  <si>
    <t>14:55:46</t>
  </si>
  <si>
    <t>REC-245-BEJI-644177</t>
  </si>
  <si>
    <t>14:59:16</t>
  </si>
  <si>
    <t>REC-3360-IPEN-214564</t>
  </si>
  <si>
    <t>15:15:09</t>
  </si>
  <si>
    <t>REC-072-KBN0-231424</t>
  </si>
  <si>
    <t>15:24:18</t>
  </si>
  <si>
    <t>0925838633</t>
  </si>
  <si>
    <t>3902221</t>
  </si>
  <si>
    <t>REC-609-A1M3-307610</t>
  </si>
  <si>
    <t>16:10:06</t>
  </si>
  <si>
    <t>1201242524</t>
  </si>
  <si>
    <t>3908165</t>
  </si>
  <si>
    <t>REC-3187-A2UB-139206</t>
  </si>
  <si>
    <t>16:41:33</t>
  </si>
  <si>
    <t>0951828110</t>
  </si>
  <si>
    <t>3900542</t>
  </si>
  <si>
    <t>REC-3109-TTH2-671151</t>
  </si>
  <si>
    <t>16:52:52</t>
  </si>
  <si>
    <t>REC-3214-H62C-431402</t>
  </si>
  <si>
    <t>17:53:19</t>
  </si>
  <si>
    <t>0922975149</t>
  </si>
  <si>
    <t>3908191</t>
  </si>
  <si>
    <t>REC-5585-RQ83-3903</t>
  </si>
  <si>
    <t>19:04:03</t>
  </si>
  <si>
    <t>REC-011-VD5Z-334294</t>
  </si>
  <si>
    <t>10:20:30</t>
  </si>
  <si>
    <t>20200306</t>
  </si>
  <si>
    <t>REC-4319-A12B-5010</t>
  </si>
  <si>
    <t>10:20:32</t>
  </si>
  <si>
    <t>REC-3422-A3IU-617253</t>
  </si>
  <si>
    <t>10:26:14</t>
  </si>
  <si>
    <t>0992487631001</t>
  </si>
  <si>
    <t>3960393</t>
  </si>
  <si>
    <t>REC-3370-A6JI-235278</t>
  </si>
  <si>
    <t>10:32:28</t>
  </si>
  <si>
    <t>REC-090-IRFP-564571</t>
  </si>
  <si>
    <t>10:53:21</t>
  </si>
  <si>
    <t>REC-4313-IAI9-410971</t>
  </si>
  <si>
    <t>REC-3520-A1CH-239198</t>
  </si>
  <si>
    <t>11:45:18</t>
  </si>
  <si>
    <t>REC-355-N45U-542926</t>
  </si>
  <si>
    <t>12:27:18</t>
  </si>
  <si>
    <t>0910870013001</t>
  </si>
  <si>
    <t>3900245</t>
  </si>
  <si>
    <t>REC-008-PB64-376651</t>
  </si>
  <si>
    <t>12:32:17</t>
  </si>
  <si>
    <t>REC-3187-A2UE-31796</t>
  </si>
  <si>
    <t>12:34:27</t>
  </si>
  <si>
    <t>REC-944-KDUZ-238155</t>
  </si>
  <si>
    <t>12:46:30</t>
  </si>
  <si>
    <t>0902055060</t>
  </si>
  <si>
    <t>3909169</t>
  </si>
  <si>
    <t>REC-4010-LOP1-413723</t>
  </si>
  <si>
    <t>0926967753</t>
  </si>
  <si>
    <t>3903355</t>
  </si>
  <si>
    <t>REC-061-AEU1-183645</t>
  </si>
  <si>
    <t>12:56:07</t>
  </si>
  <si>
    <t>0922127295</t>
  </si>
  <si>
    <t>3902741</t>
  </si>
  <si>
    <t>REC-3295-1T8E-217170</t>
  </si>
  <si>
    <t>13:49:26</t>
  </si>
  <si>
    <t>at-3028</t>
  </si>
  <si>
    <t>REC-061-A6S4-144724</t>
  </si>
  <si>
    <t>14:18:12</t>
  </si>
  <si>
    <t>REC-061-A6S4-144725</t>
  </si>
  <si>
    <t>14:19:16</t>
  </si>
  <si>
    <t>REC-4128-WBT4-416980</t>
  </si>
  <si>
    <t>14:37:18</t>
  </si>
  <si>
    <t>0906529722</t>
  </si>
  <si>
    <t>3902318</t>
  </si>
  <si>
    <t>REC-3172-LIO6-110804</t>
  </si>
  <si>
    <t>14:37:20</t>
  </si>
  <si>
    <t>REC-3792-A39T-101261</t>
  </si>
  <si>
    <t>14:50:22</t>
  </si>
  <si>
    <t>0917949091</t>
  </si>
  <si>
    <t>3903065</t>
  </si>
  <si>
    <t>REC-4823-FSK9-418238</t>
  </si>
  <si>
    <t>15:20:23</t>
  </si>
  <si>
    <t>REC-3412-PTE5-419079</t>
  </si>
  <si>
    <t>15:47:08</t>
  </si>
  <si>
    <t>0920161098</t>
  </si>
  <si>
    <t>3908221</t>
  </si>
  <si>
    <t>REC-3295-1T8D-161752</t>
  </si>
  <si>
    <t>15:53:28</t>
  </si>
  <si>
    <t>REC-678-3V18-558548</t>
  </si>
  <si>
    <t>16:05:13</t>
  </si>
  <si>
    <t>REC-027-A40B-56571</t>
  </si>
  <si>
    <t>17:37:27</t>
  </si>
  <si>
    <t>REC-4313-IAI9-422648</t>
  </si>
  <si>
    <t>17:44:37</t>
  </si>
  <si>
    <t>REC-4313-IAI9-422669</t>
  </si>
  <si>
    <t>17:46:53</t>
  </si>
  <si>
    <t>REC-3187-A2UB-139118</t>
  </si>
  <si>
    <t>18:07:58</t>
  </si>
  <si>
    <t>REC-008-PB65-367616</t>
  </si>
  <si>
    <t>18:35:11</t>
  </si>
  <si>
    <t>REC-008-PB65-367617</t>
  </si>
  <si>
    <t>18:36:50</t>
  </si>
  <si>
    <t>REC-5762-FE91-425025</t>
  </si>
  <si>
    <t>20:18:00</t>
  </si>
  <si>
    <t>0931392955</t>
  </si>
  <si>
    <t>3900661</t>
  </si>
  <si>
    <t>REC-096-HG9K-297076</t>
  </si>
  <si>
    <t>21:12:53</t>
  </si>
  <si>
    <t>REC-3371-LD0C-270339</t>
  </si>
  <si>
    <t>20200305</t>
  </si>
  <si>
    <t>REC-090-9SKJ-424773</t>
  </si>
  <si>
    <t>10:46:08</t>
  </si>
  <si>
    <t>REC-4202-A16N-7417</t>
  </si>
  <si>
    <t>10:46:45</t>
  </si>
  <si>
    <t>3900620</t>
  </si>
  <si>
    <t>REC-090-9SKJ-424774</t>
  </si>
  <si>
    <t>10:46:57</t>
  </si>
  <si>
    <t>REC-3158-KURJ-193507</t>
  </si>
  <si>
    <t>10:51:35</t>
  </si>
  <si>
    <t>REC-4901-A1YH-6786</t>
  </si>
  <si>
    <t>10:53:22</t>
  </si>
  <si>
    <t>at-3026</t>
  </si>
  <si>
    <t>REC-944-LRJ0-380685</t>
  </si>
  <si>
    <t>10:59:11</t>
  </si>
  <si>
    <t>REC-536-TDSM-130347</t>
  </si>
  <si>
    <t>11:18:15</t>
  </si>
  <si>
    <t>REC-048-QNCI-616542</t>
  </si>
  <si>
    <t>11:40:43</t>
  </si>
  <si>
    <t>0930163563</t>
  </si>
  <si>
    <t>3930180</t>
  </si>
  <si>
    <t>REC-011-VD5Z-334146</t>
  </si>
  <si>
    <t>12:24:28</t>
  </si>
  <si>
    <t>REC-223-V7XD-253027</t>
  </si>
  <si>
    <t>12:42:37</t>
  </si>
  <si>
    <t>REC-072-AJ3R-232544</t>
  </si>
  <si>
    <t>14:05:30</t>
  </si>
  <si>
    <t>REC-3172-LIO5-85692</t>
  </si>
  <si>
    <t>14:23:20</t>
  </si>
  <si>
    <t>REC-4045-A2LO-308188</t>
  </si>
  <si>
    <t>14:35:35</t>
  </si>
  <si>
    <t>at-3025</t>
  </si>
  <si>
    <t>REC-3577-A1IU-134349</t>
  </si>
  <si>
    <t>14:50:08</t>
  </si>
  <si>
    <t>0918916446</t>
  </si>
  <si>
    <t>3930037</t>
  </si>
  <si>
    <t>REC-3295-1TWC-206119</t>
  </si>
  <si>
    <t>15:18:02</t>
  </si>
  <si>
    <t>REC-5424-A30D-398543</t>
  </si>
  <si>
    <t>15:18:36</t>
  </si>
  <si>
    <t>REC-3189-YWSY-153879</t>
  </si>
  <si>
    <t>15:26:36</t>
  </si>
  <si>
    <t>0909125056</t>
  </si>
  <si>
    <t>3960234</t>
  </si>
  <si>
    <t>REC-3370-A6JI-235178</t>
  </si>
  <si>
    <t>15:36:19</t>
  </si>
  <si>
    <t>REC-072-A6LX-189704</t>
  </si>
  <si>
    <t>15:47:15</t>
  </si>
  <si>
    <t>1201514070</t>
  </si>
  <si>
    <t>3900484</t>
  </si>
  <si>
    <t>REC-096-ZU7N-241136</t>
  </si>
  <si>
    <t>15:47:54</t>
  </si>
  <si>
    <t>0911957660</t>
  </si>
  <si>
    <t>3906723</t>
  </si>
  <si>
    <t>REC-3295-1T8D-161627</t>
  </si>
  <si>
    <t>15:50:06</t>
  </si>
  <si>
    <t>REC-3370-A6JI-235182</t>
  </si>
  <si>
    <t>15:55:41</t>
  </si>
  <si>
    <t>0926604190</t>
  </si>
  <si>
    <t>3900487</t>
  </si>
  <si>
    <t>REC-3172-YIGW-298818</t>
  </si>
  <si>
    <t>17:02:03</t>
  </si>
  <si>
    <t>REC-536-TDSM-130443</t>
  </si>
  <si>
    <t>17:04:26</t>
  </si>
  <si>
    <t>REC-3392-A39W-394584</t>
  </si>
  <si>
    <t>17:12:47</t>
  </si>
  <si>
    <t>0918378316</t>
  </si>
  <si>
    <t>3903829</t>
  </si>
  <si>
    <t>REC-072-4PW8-193040</t>
  </si>
  <si>
    <t>17:37:35</t>
  </si>
  <si>
    <t>0914404710</t>
  </si>
  <si>
    <t>3908071</t>
  </si>
  <si>
    <t>REC-223-V7XD-253158</t>
  </si>
  <si>
    <t>17:59:07</t>
  </si>
  <si>
    <t>REC-023-P4U6-457165</t>
  </si>
  <si>
    <t>18:10:10</t>
  </si>
  <si>
    <t>0915580393</t>
  </si>
  <si>
    <t>3908667</t>
  </si>
  <si>
    <t>REC-3512-A4FC-257495</t>
  </si>
  <si>
    <t>18:23:23</t>
  </si>
  <si>
    <t>0913528295</t>
  </si>
  <si>
    <t>3900324</t>
  </si>
  <si>
    <t>REC-072-AJ3R-232625</t>
  </si>
  <si>
    <t>19:29:27</t>
  </si>
  <si>
    <t>0914463112</t>
  </si>
  <si>
    <t>3906833</t>
  </si>
  <si>
    <t>REC-072-4PW8-192698</t>
  </si>
  <si>
    <t>08:18:50</t>
  </si>
  <si>
    <t>20200304</t>
  </si>
  <si>
    <t>0931049266</t>
  </si>
  <si>
    <t>3902420</t>
  </si>
  <si>
    <t>REC-3421-A2OB-424415</t>
  </si>
  <si>
    <t>09:09:08</t>
  </si>
  <si>
    <t>REC-678-3V18-558266</t>
  </si>
  <si>
    <t>09:13:18</t>
  </si>
  <si>
    <t>0927113969</t>
  </si>
  <si>
    <t>3908215</t>
  </si>
  <si>
    <t>REC-3161-KURB-413775</t>
  </si>
  <si>
    <t>09:18:23</t>
  </si>
  <si>
    <t>REC-4301-IAI1-367091</t>
  </si>
  <si>
    <t>09:54:12</t>
  </si>
  <si>
    <t>REC-5987-GFL4-367564</t>
  </si>
  <si>
    <t>10:05:09</t>
  </si>
  <si>
    <t>0908268493</t>
  </si>
  <si>
    <t>3907017</t>
  </si>
  <si>
    <t>REC-342-VEHD-450311</t>
  </si>
  <si>
    <t>10:12:42</t>
  </si>
  <si>
    <t>0914735782</t>
  </si>
  <si>
    <t>3907290</t>
  </si>
  <si>
    <t>REC-223-B7CD-554176</t>
  </si>
  <si>
    <t>10:18:15</t>
  </si>
  <si>
    <t>REC-3792-A24Z-541337</t>
  </si>
  <si>
    <t>10:21:08</t>
  </si>
  <si>
    <t>0802436659</t>
  </si>
  <si>
    <t>3908192</t>
  </si>
  <si>
    <t>REC-678-3V18-558287</t>
  </si>
  <si>
    <t>10:27:59</t>
  </si>
  <si>
    <t>0930416243001</t>
  </si>
  <si>
    <t>3908073</t>
  </si>
  <si>
    <t>REC-543-U5H7-550915</t>
  </si>
  <si>
    <t>10:43:41</t>
  </si>
  <si>
    <t>0910855337</t>
  </si>
  <si>
    <t>3908157</t>
  </si>
  <si>
    <t>REC-348-1R2Q-425700</t>
  </si>
  <si>
    <t>10:57:07</t>
  </si>
  <si>
    <t>REC-944-LRJW-280810</t>
  </si>
  <si>
    <t>10:58:24</t>
  </si>
  <si>
    <t>REC-061-ZT95-81827</t>
  </si>
  <si>
    <t>11:16:15</t>
  </si>
  <si>
    <t>REC-342-VEHD-450347</t>
  </si>
  <si>
    <t>11:25:23</t>
  </si>
  <si>
    <t>REC-3301-CTQ4-371269</t>
  </si>
  <si>
    <t>0802312884</t>
  </si>
  <si>
    <t>3908232</t>
  </si>
  <si>
    <t>REC-096-LIO1-534869</t>
  </si>
  <si>
    <t>11:40:40</t>
  </si>
  <si>
    <t>REC-3109-TTH2-670750</t>
  </si>
  <si>
    <t>12:29:29</t>
  </si>
  <si>
    <t>0924235286</t>
  </si>
  <si>
    <t>3901413</t>
  </si>
  <si>
    <t>REC-3392-A39W-394421</t>
  </si>
  <si>
    <t>12:32:36</t>
  </si>
  <si>
    <t>REC-5466-A1J4-7608</t>
  </si>
  <si>
    <t>12:43:30</t>
  </si>
  <si>
    <t>REC-5611-A2YL-2162</t>
  </si>
  <si>
    <t>12:50:33</t>
  </si>
  <si>
    <t>REC-3172-LIO5-85592</t>
  </si>
  <si>
    <t>13:04:12</t>
  </si>
  <si>
    <t>REC-008-PB65-367183</t>
  </si>
  <si>
    <t>13:06:30</t>
  </si>
  <si>
    <t>REC-3022-FNNL-524917</t>
  </si>
  <si>
    <t>13:19:42</t>
  </si>
  <si>
    <t>at-3024</t>
  </si>
  <si>
    <t>0918128257</t>
  </si>
  <si>
    <t>3901590</t>
  </si>
  <si>
    <t>REC-5310-Z4YZ-375478</t>
  </si>
  <si>
    <t>13:32:19</t>
  </si>
  <si>
    <t>REC-4164-A19P-141634</t>
  </si>
  <si>
    <t>14:44:08</t>
  </si>
  <si>
    <t>1313343954</t>
  </si>
  <si>
    <t>3903080</t>
  </si>
  <si>
    <t>REC-3182-YQHD-253678</t>
  </si>
  <si>
    <t>14:58:33</t>
  </si>
  <si>
    <t>REC-6471-KF11-1247</t>
  </si>
  <si>
    <t>REC-3140-V8BE-491225</t>
  </si>
  <si>
    <t>15:35:24</t>
  </si>
  <si>
    <t>REC-165-LOA2-141824</t>
  </si>
  <si>
    <t>16:01:00</t>
  </si>
  <si>
    <t>0917421661</t>
  </si>
  <si>
    <t>3907448</t>
  </si>
  <si>
    <t>REC-5310-Z4YZ-380566</t>
  </si>
  <si>
    <t>16:11:29</t>
  </si>
  <si>
    <t>REC-3187-A2UB-138892</t>
  </si>
  <si>
    <t>16:13:18</t>
  </si>
  <si>
    <t>REC-5917-PRA7-118649</t>
  </si>
  <si>
    <t>16:31:50</t>
  </si>
  <si>
    <t>REC-072-AJ3R-232448</t>
  </si>
  <si>
    <t>16:49:55</t>
  </si>
  <si>
    <t>REC-3371-EGEG-234407</t>
  </si>
  <si>
    <t>17:38:30</t>
  </si>
  <si>
    <t>REC-4976-A25U-6026</t>
  </si>
  <si>
    <t>1719905596001</t>
  </si>
  <si>
    <t>3901639</t>
  </si>
  <si>
    <t>REC-4976-A25U-6027</t>
  </si>
  <si>
    <t>17:51:17</t>
  </si>
  <si>
    <t>1102832894</t>
  </si>
  <si>
    <t>3902692</t>
  </si>
  <si>
    <t>REC-5474-A871-120012</t>
  </si>
  <si>
    <t>17:54:46</t>
  </si>
  <si>
    <t>REC-4301-IAI1-384076</t>
  </si>
  <si>
    <t>17:59:06</t>
  </si>
  <si>
    <t>REC-3577-A26V-512502</t>
  </si>
  <si>
    <t>09:55:24</t>
  </si>
  <si>
    <t>20200303</t>
  </si>
  <si>
    <t>REC-536-TDSM-129928</t>
  </si>
  <si>
    <t>0914011481</t>
  </si>
  <si>
    <t>3900559</t>
  </si>
  <si>
    <t>REC-3175-C8JC-292764</t>
  </si>
  <si>
    <t>10:16:55</t>
  </si>
  <si>
    <t>REC-3370-A6JI-234702</t>
  </si>
  <si>
    <t>10:19:10</t>
  </si>
  <si>
    <t>REC-3520-A1CH-238497</t>
  </si>
  <si>
    <t>10:25:42</t>
  </si>
  <si>
    <t>REC-4257-A219-146742</t>
  </si>
  <si>
    <t>10:49:19</t>
  </si>
  <si>
    <t>REC-4963-A3A0-346633</t>
  </si>
  <si>
    <t>10:57:50</t>
  </si>
  <si>
    <t>REC-3360-IPEN-214121</t>
  </si>
  <si>
    <t>11:01:32</t>
  </si>
  <si>
    <t>REC-011-VD5Z-333872</t>
  </si>
  <si>
    <t>11:07:29</t>
  </si>
  <si>
    <t>REC-049-A2U2-39207</t>
  </si>
  <si>
    <t>11:07:48</t>
  </si>
  <si>
    <t>REC-5206-A2D9-9688</t>
  </si>
  <si>
    <t>11:10:19</t>
  </si>
  <si>
    <t>REC-3370-A6JI-234720</t>
  </si>
  <si>
    <t>11:24:16</t>
  </si>
  <si>
    <t>0908200280</t>
  </si>
  <si>
    <t>3907213</t>
  </si>
  <si>
    <t>REC-061-A13Z-41786</t>
  </si>
  <si>
    <t>11:34:58</t>
  </si>
  <si>
    <t>REC-7314-A6GU-930</t>
  </si>
  <si>
    <t>11:50:22</t>
  </si>
  <si>
    <t>1704018694</t>
  </si>
  <si>
    <t>3902714</t>
  </si>
  <si>
    <t>REC-4906-A21Q-3863</t>
  </si>
  <si>
    <t>0908774367</t>
  </si>
  <si>
    <t>3940186</t>
  </si>
  <si>
    <t>REC-4164-A19X-145973</t>
  </si>
  <si>
    <t>11:54:26</t>
  </si>
  <si>
    <t>0905840963</t>
  </si>
  <si>
    <t>3900311</t>
  </si>
  <si>
    <t>REC-4278-IOI5-349358</t>
  </si>
  <si>
    <t>12:03:07</t>
  </si>
  <si>
    <t>REC-3301-CTQ4-349849</t>
  </si>
  <si>
    <t>12:15:23</t>
  </si>
  <si>
    <t>REC-5585-RQ83-3254</t>
  </si>
  <si>
    <t>12:31:47</t>
  </si>
  <si>
    <t>0917020265</t>
  </si>
  <si>
    <t>3907502</t>
  </si>
  <si>
    <t>REC-342-EBMO-259642</t>
  </si>
  <si>
    <t>12:39:35</t>
  </si>
  <si>
    <t>1003251756</t>
  </si>
  <si>
    <t>3908186</t>
  </si>
  <si>
    <t>REC-3709-AAP6-102009</t>
  </si>
  <si>
    <t>13:08:07</t>
  </si>
  <si>
    <t>REC-3792-A39T-100820</t>
  </si>
  <si>
    <t>13:17:03</t>
  </si>
  <si>
    <t>REC-245-BEJI-643355</t>
  </si>
  <si>
    <t>13:50:42</t>
  </si>
  <si>
    <t>REC-3187-YWS5-595661</t>
  </si>
  <si>
    <t>13:51:47</t>
  </si>
  <si>
    <t>0908005846</t>
  </si>
  <si>
    <t>3945510</t>
  </si>
  <si>
    <t>REC-4164-A19P-141426</t>
  </si>
  <si>
    <t>13:53:41</t>
  </si>
  <si>
    <t>3945511</t>
  </si>
  <si>
    <t>REC-4164-A19P-141427</t>
  </si>
  <si>
    <t>13:54:24</t>
  </si>
  <si>
    <t>REC-543-U5H7-550764</t>
  </si>
  <si>
    <t>13:59:01</t>
  </si>
  <si>
    <t>0909515868</t>
  </si>
  <si>
    <t>3960280</t>
  </si>
  <si>
    <t>REC-4164-A19P-141433</t>
  </si>
  <si>
    <t>13:59:17</t>
  </si>
  <si>
    <t>0906615489</t>
  </si>
  <si>
    <t>3907836</t>
  </si>
  <si>
    <t>REC-3792-A24Z-541242</t>
  </si>
  <si>
    <t>14:15:19</t>
  </si>
  <si>
    <t>REC-3175-C8JC-292839</t>
  </si>
  <si>
    <t>14:16:05</t>
  </si>
  <si>
    <t>REC-3170-YGVG-308359</t>
  </si>
  <si>
    <t>14:26:34</t>
  </si>
  <si>
    <t>REC-5237-A2DE-7213</t>
  </si>
  <si>
    <t>14:37:21</t>
  </si>
  <si>
    <t>0924795065</t>
  </si>
  <si>
    <t>3901926</t>
  </si>
  <si>
    <t>REC-3421-A2OB-424344</t>
  </si>
  <si>
    <t>14:49:26</t>
  </si>
  <si>
    <t>REC-355-N45U-542429</t>
  </si>
  <si>
    <t>14:57:57</t>
  </si>
  <si>
    <t>0960303469</t>
  </si>
  <si>
    <t>3900202</t>
  </si>
  <si>
    <t>REC-3422-A25Y-84020</t>
  </si>
  <si>
    <t>14:59:47</t>
  </si>
  <si>
    <t>REC-3370-A6JI-234808</t>
  </si>
  <si>
    <t>15:06:52</t>
  </si>
  <si>
    <t>REC-5328-A640-355831</t>
  </si>
  <si>
    <t>15:18:15</t>
  </si>
  <si>
    <t>REC-045-VMU0-327263</t>
  </si>
  <si>
    <t>15:30:03</t>
  </si>
  <si>
    <t>REC-090-9SKJ-424535</t>
  </si>
  <si>
    <t>15:38:25</t>
  </si>
  <si>
    <t>REC-090-9SKJ-424536</t>
  </si>
  <si>
    <t>15:39:05</t>
  </si>
  <si>
    <t>REC-3510-A4F9-228313</t>
  </si>
  <si>
    <t>16:03:27</t>
  </si>
  <si>
    <t>REC-3792-A24Z-541278</t>
  </si>
  <si>
    <t>16:30:09</t>
  </si>
  <si>
    <t>REC-3029-M9QX-190914</t>
  </si>
  <si>
    <t>16:31:12</t>
  </si>
  <si>
    <t>REC-514-IQRV-548015</t>
  </si>
  <si>
    <t>16:34:39</t>
  </si>
  <si>
    <t>REC-3182-YQHD-253530</t>
  </si>
  <si>
    <t>16:48:26</t>
  </si>
  <si>
    <t>0953936739</t>
  </si>
  <si>
    <t>3907540</t>
  </si>
  <si>
    <t>REC-4319-A1I3-26128</t>
  </si>
  <si>
    <t>17:03:04</t>
  </si>
  <si>
    <t>0959206657</t>
  </si>
  <si>
    <t>3900161</t>
  </si>
  <si>
    <t>REC-061-AF82-269951</t>
  </si>
  <si>
    <t>17:08:47</t>
  </si>
  <si>
    <t>0928314764</t>
  </si>
  <si>
    <t>3909060</t>
  </si>
  <si>
    <t>REC-3774-ABA2-360061</t>
  </si>
  <si>
    <t>17:22:31</t>
  </si>
  <si>
    <t>REC-3161-KURB-413745</t>
  </si>
  <si>
    <t>17:23:39</t>
  </si>
  <si>
    <t>REC-008-PB65-367071</t>
  </si>
  <si>
    <t>17:37:29</t>
  </si>
  <si>
    <t>REC-518-RI70-184633</t>
  </si>
  <si>
    <t>17:53:10</t>
  </si>
  <si>
    <t>REC-3751-AAT5-107485</t>
  </si>
  <si>
    <t>18:01:15</t>
  </si>
  <si>
    <t>REC-3370-A6JI-234882</t>
  </si>
  <si>
    <t>18:41:27</t>
  </si>
  <si>
    <t>REC-3295-1T8D-161418</t>
  </si>
  <si>
    <t>18:41:41</t>
  </si>
  <si>
    <t>REC-3520-A1CH-238701</t>
  </si>
  <si>
    <t>18:59:20</t>
  </si>
  <si>
    <t>REC-3371-EFX5-162807</t>
  </si>
  <si>
    <t>19:06:04</t>
  </si>
  <si>
    <t>REC-3370-A6JI-234914</t>
  </si>
  <si>
    <t>19:37:59</t>
  </si>
  <si>
    <t>REC-518-RI71-179325</t>
  </si>
  <si>
    <t>19:52:29</t>
  </si>
  <si>
    <t>0925313611</t>
  </si>
  <si>
    <t>3906018</t>
  </si>
  <si>
    <t>REC-5311-A2GH-13711</t>
  </si>
  <si>
    <t>20:22:25</t>
  </si>
  <si>
    <t>REC-4963-A3A0-314441</t>
  </si>
  <si>
    <t>08:21:02</t>
  </si>
  <si>
    <t>20200302</t>
  </si>
  <si>
    <t>REC-3170-YGVG-308113</t>
  </si>
  <si>
    <t>09:05:59</t>
  </si>
  <si>
    <t>0910931856</t>
  </si>
  <si>
    <t>3903365</t>
  </si>
  <si>
    <t>REC-004-KA8J-584289</t>
  </si>
  <si>
    <t>09:09:14</t>
  </si>
  <si>
    <t>REC-551-B2PQ-290311</t>
  </si>
  <si>
    <t>09:37:46</t>
  </si>
  <si>
    <t>1706787288</t>
  </si>
  <si>
    <t>3907771</t>
  </si>
  <si>
    <t>REC-4319-A1I3-26068</t>
  </si>
  <si>
    <t>09:43:40</t>
  </si>
  <si>
    <t>0944302801</t>
  </si>
  <si>
    <t>3930010</t>
  </si>
  <si>
    <t>REC-3422-A25Y-83820</t>
  </si>
  <si>
    <t>09:57:02</t>
  </si>
  <si>
    <t>REC-3182-YQG9-268297</t>
  </si>
  <si>
    <t>REC-245-BEJI-643053</t>
  </si>
  <si>
    <t>10:11:40</t>
  </si>
  <si>
    <t>0924610041</t>
  </si>
  <si>
    <t>3907699</t>
  </si>
  <si>
    <t>REC-7305-RQ50-733</t>
  </si>
  <si>
    <t>10:42:20</t>
  </si>
  <si>
    <t>REC-3371-EFX5-162538</t>
  </si>
  <si>
    <t>11:00:59</t>
  </si>
  <si>
    <t>0914036835</t>
  </si>
  <si>
    <t>3900317</t>
  </si>
  <si>
    <t>REC-3520-A1CH-238206</t>
  </si>
  <si>
    <t>11:09:42</t>
  </si>
  <si>
    <t>REC-4301-IAI1-319940</t>
  </si>
  <si>
    <t>11:12:58</t>
  </si>
  <si>
    <t>0917404840</t>
  </si>
  <si>
    <t>3930315</t>
  </si>
  <si>
    <t>REC-3370-A6JI-234472</t>
  </si>
  <si>
    <t>11:16:40</t>
  </si>
  <si>
    <t>REC-609-A1M3-306886</t>
  </si>
  <si>
    <t>11:21:17</t>
  </si>
  <si>
    <t>REC-3097-T5OZ-1463559</t>
  </si>
  <si>
    <t>11:33:44</t>
  </si>
  <si>
    <t>REC-3022-A364-111551</t>
  </si>
  <si>
    <t>11:35:19</t>
  </si>
  <si>
    <t>REC-3808-A3Z9-514886</t>
  </si>
  <si>
    <t>11:35:50</t>
  </si>
  <si>
    <t>REC-390-SB17-583577</t>
  </si>
  <si>
    <t>11:47:00</t>
  </si>
  <si>
    <t>REC-3371-A1DS-218520</t>
  </si>
  <si>
    <t>12:44:34</t>
  </si>
  <si>
    <t>0992494050001</t>
  </si>
  <si>
    <t>3960241</t>
  </si>
  <si>
    <t>REC-342-VEHD-450060</t>
  </si>
  <si>
    <t>12:45:32</t>
  </si>
  <si>
    <t>REC-4313-IAI9-324186</t>
  </si>
  <si>
    <t>12:49:44</t>
  </si>
  <si>
    <t>REC-536-2GEZ-328914</t>
  </si>
  <si>
    <t>13:17:01</t>
  </si>
  <si>
    <t>REC-3182-YQHG-210379</t>
  </si>
  <si>
    <t>13:19:59</t>
  </si>
  <si>
    <t>0962445037</t>
  </si>
  <si>
    <t>3930368</t>
  </si>
  <si>
    <t>REC-4209-A14Y-29022</t>
  </si>
  <si>
    <t>13:30:23</t>
  </si>
  <si>
    <t>REC-3421-A2OB-424169</t>
  </si>
  <si>
    <t>13:50:17</t>
  </si>
  <si>
    <t>0922696224</t>
  </si>
  <si>
    <t>3930183</t>
  </si>
  <si>
    <t>REC-3095-T359-407208</t>
  </si>
  <si>
    <t>14:04:18</t>
  </si>
  <si>
    <t>REC-3022-A364-111629</t>
  </si>
  <si>
    <t>14:12:03</t>
  </si>
  <si>
    <t>REC-3187-YWS5-595521</t>
  </si>
  <si>
    <t>15:13:23</t>
  </si>
  <si>
    <t>at-3021</t>
  </si>
  <si>
    <t>REC-061-SPOX-298950</t>
  </si>
  <si>
    <t>15:13:51</t>
  </si>
  <si>
    <t>0910810647</t>
  </si>
  <si>
    <t>3900338</t>
  </si>
  <si>
    <t>REC-241-BEJD-558876</t>
  </si>
  <si>
    <t>15:15:36</t>
  </si>
  <si>
    <t>0922063623</t>
  </si>
  <si>
    <t>3907374</t>
  </si>
  <si>
    <t>REC-4319-A1I3-26080</t>
  </si>
  <si>
    <t>15:27:16</t>
  </si>
  <si>
    <t>REC-3187-YWS5-595529</t>
  </si>
  <si>
    <t>15:34:38</t>
  </si>
  <si>
    <t>REC-5762-FE91-331262</t>
  </si>
  <si>
    <t>15:41:45</t>
  </si>
  <si>
    <t>REC-3029-M9QW-178976</t>
  </si>
  <si>
    <t>REC-3577-A1IU-133747</t>
  </si>
  <si>
    <t>16:31:24</t>
  </si>
  <si>
    <t>0923142889</t>
  </si>
  <si>
    <t>3901649</t>
  </si>
  <si>
    <t>REC-944-PR10-412201</t>
  </si>
  <si>
    <t>17:01:26</t>
  </si>
  <si>
    <t>REC-3371-A1DS-218653</t>
  </si>
  <si>
    <t>17:09:47</t>
  </si>
  <si>
    <t>REC-4352-A194-37732</t>
  </si>
  <si>
    <t>17:17:06</t>
  </si>
  <si>
    <t>REC-3510-A4F9-228194</t>
  </si>
  <si>
    <t>17:33:42</t>
  </si>
  <si>
    <t>at-3020</t>
  </si>
  <si>
    <t>REC-245-BEJI-643222</t>
  </si>
  <si>
    <t>17:35:06</t>
  </si>
  <si>
    <t>REC-3370-A6JI-234630</t>
  </si>
  <si>
    <t>18:08:22</t>
  </si>
  <si>
    <t>REC-072-4PW8-192409</t>
  </si>
  <si>
    <t>18:42:11</t>
  </si>
  <si>
    <t>REC-3187-YWS5-595601</t>
  </si>
  <si>
    <t>19:02:38</t>
  </si>
  <si>
    <t>REC-944-LRJ0-380171</t>
  </si>
  <si>
    <t>19:28:31</t>
  </si>
  <si>
    <t>REC-3295-1T8E-216537</t>
  </si>
  <si>
    <t>20:06:48</t>
  </si>
  <si>
    <t>0927411074</t>
  </si>
  <si>
    <t>3900243</t>
  </si>
  <si>
    <t>REC-4164-A19X-145605</t>
  </si>
  <si>
    <t>13:02:38</t>
  </si>
  <si>
    <t>20200301</t>
  </si>
  <si>
    <t>0904747284</t>
  </si>
  <si>
    <t>3906825</t>
  </si>
  <si>
    <t>REC-4164-A19X-145616</t>
  </si>
  <si>
    <t>0702485293</t>
  </si>
  <si>
    <t>3901133</t>
  </si>
  <si>
    <t>REC-3170-YGVG-308108</t>
  </si>
  <si>
    <t>13:42:16</t>
  </si>
  <si>
    <t>0916407547</t>
  </si>
  <si>
    <t>3901600</t>
  </si>
  <si>
    <t>REC-944-ZF9M-187965</t>
  </si>
  <si>
    <t>13:57:09</t>
  </si>
  <si>
    <t>0927164020</t>
  </si>
  <si>
    <t>3907787</t>
  </si>
  <si>
    <t>REC-4960-A1QG-71017</t>
  </si>
  <si>
    <t>0913306700</t>
  </si>
  <si>
    <t>3900764</t>
  </si>
  <si>
    <t>REC-5652-GFL1-75859</t>
  </si>
  <si>
    <t>14:40:12</t>
  </si>
  <si>
    <t>0919166348</t>
  </si>
  <si>
    <t>3903565</t>
  </si>
  <si>
    <t>REC-3172-LIO4-223798</t>
  </si>
  <si>
    <t>14:54:52</t>
  </si>
  <si>
    <t>REC-678-3V18-558008</t>
  </si>
  <si>
    <t>15:20:02</t>
  </si>
  <si>
    <t>REC-944-LRJ0-379833</t>
  </si>
  <si>
    <t>0908330426</t>
  </si>
  <si>
    <t>3903233</t>
  </si>
  <si>
    <t>REC-3187-YWS5-595422</t>
  </si>
  <si>
    <t>17:23:29</t>
  </si>
  <si>
    <t>REC-3295-1TWC-205403</t>
  </si>
  <si>
    <t>REC-3187-A2UE-31313</t>
  </si>
  <si>
    <t>19:56:08</t>
  </si>
  <si>
    <t>REC-3614-AAD4-384282</t>
  </si>
  <si>
    <t>07:41:05</t>
  </si>
  <si>
    <t>20200430</t>
  </si>
  <si>
    <t>REC-3392-A39W-398435</t>
  </si>
  <si>
    <t>08:02:17</t>
  </si>
  <si>
    <t>0930149695</t>
  </si>
  <si>
    <t>3902779</t>
  </si>
  <si>
    <t>REC-3568-A1M7-464518</t>
  </si>
  <si>
    <t>09:06:49</t>
  </si>
  <si>
    <t>REC-049-A2U2-41736</t>
  </si>
  <si>
    <t>09:18:22</t>
  </si>
  <si>
    <t>REC-810-5CAY-417939</t>
  </si>
  <si>
    <t>09:28:20</t>
  </si>
  <si>
    <t>REC-3295-1TWC-208217</t>
  </si>
  <si>
    <t>09:34:13</t>
  </si>
  <si>
    <t>REC-048-QNCI-619109</t>
  </si>
  <si>
    <t>REC-048-QNCI-619110</t>
  </si>
  <si>
    <t>09:49:24</t>
  </si>
  <si>
    <t>REC-3512-A4FC-260117</t>
  </si>
  <si>
    <t>10:53:48</t>
  </si>
  <si>
    <t>REC-4717-FRZ4-844018</t>
  </si>
  <si>
    <t>11:16:12</t>
  </si>
  <si>
    <t>REC-3769-A26U-7163</t>
  </si>
  <si>
    <t>11:32:13</t>
  </si>
  <si>
    <t>REC-3769-A26U-7164</t>
  </si>
  <si>
    <t>11:35:40</t>
  </si>
  <si>
    <t>REC-072-KBN0-233820</t>
  </si>
  <si>
    <t>11:42:42</t>
  </si>
  <si>
    <t>REC-061-A6S3-207086</t>
  </si>
  <si>
    <t>12:09:20</t>
  </si>
  <si>
    <t>REC-3022-FNNL-527403</t>
  </si>
  <si>
    <t>08:11:00</t>
  </si>
  <si>
    <t>20200429</t>
  </si>
  <si>
    <t>REC-536-2GEZ-332548</t>
  </si>
  <si>
    <t>08:24:19</t>
  </si>
  <si>
    <t>REC-048-QNCI-619027</t>
  </si>
  <si>
    <t>08:29:58</t>
  </si>
  <si>
    <t>REC-5568-A20P-26800</t>
  </si>
  <si>
    <t>09:42:10</t>
  </si>
  <si>
    <t>REC-543-U5H7-554163</t>
  </si>
  <si>
    <t>09:43:12</t>
  </si>
  <si>
    <t>REC-678-3V18-561275</t>
  </si>
  <si>
    <t>09:53:44</t>
  </si>
  <si>
    <t>REC-3109-TTH2-674071</t>
  </si>
  <si>
    <t>09:54:10</t>
  </si>
  <si>
    <t>REC-944-KDUZ-240161</t>
  </si>
  <si>
    <t>09:54:42</t>
  </si>
  <si>
    <t>REC-390-BBF4-312295</t>
  </si>
  <si>
    <t>10:14:53</t>
  </si>
  <si>
    <t>REC-7316-RQ67-974</t>
  </si>
  <si>
    <t>10:22:40</t>
  </si>
  <si>
    <t>REC-3370-A6JI-238729</t>
  </si>
  <si>
    <t>10:23:10</t>
  </si>
  <si>
    <t>REC-072-AJ3R-235812</t>
  </si>
  <si>
    <t>10:26:30</t>
  </si>
  <si>
    <t>REC-5635-A2YS-11808</t>
  </si>
  <si>
    <t>11:22:09</t>
  </si>
  <si>
    <t>REC-3172-YIGW-303085</t>
  </si>
  <si>
    <t>11:33:20</t>
  </si>
  <si>
    <t>REC-613-BK8R-418514</t>
  </si>
  <si>
    <t>11:34:57</t>
  </si>
  <si>
    <t>REC-3412-PTE5-834176</t>
  </si>
  <si>
    <t>11:38:55</t>
  </si>
  <si>
    <t>REC-543-U5H7-554208</t>
  </si>
  <si>
    <t>11:54:39</t>
  </si>
  <si>
    <t>0914934120</t>
  </si>
  <si>
    <t>3907867</t>
  </si>
  <si>
    <t>REC-944-PR10-415767</t>
  </si>
  <si>
    <t>07:43:19</t>
  </si>
  <si>
    <t>20200428</t>
  </si>
  <si>
    <t>REC-4303-IAI3-818070</t>
  </si>
  <si>
    <t>08:51:13</t>
  </si>
  <si>
    <t>REC-3371-A1DS-222212</t>
  </si>
  <si>
    <t>09:05:30</t>
  </si>
  <si>
    <t>REC-355-N45U-547160</t>
  </si>
  <si>
    <t>09:18:43</t>
  </si>
  <si>
    <t>REC-551-B2PQ-294065</t>
  </si>
  <si>
    <t>09:29:51</t>
  </si>
  <si>
    <t>REC-095-AJSE-653904</t>
  </si>
  <si>
    <t>09:30:33</t>
  </si>
  <si>
    <t>REC-551-VOI8-595920</t>
  </si>
  <si>
    <t>09:36:07</t>
  </si>
  <si>
    <t>REC-4870-PRO7-2531</t>
  </si>
  <si>
    <t>REC-5310-Z4YZ-819929</t>
  </si>
  <si>
    <t>09:53:38</t>
  </si>
  <si>
    <t>REC-3170-YGVG-311802</t>
  </si>
  <si>
    <t>10:04:17</t>
  </si>
  <si>
    <t>0905011763</t>
  </si>
  <si>
    <t>3908698</t>
  </si>
  <si>
    <t>REC-061-ZGFI-94426</t>
  </si>
  <si>
    <t>10:07:19</t>
  </si>
  <si>
    <t>0918200668</t>
  </si>
  <si>
    <t>3901359</t>
  </si>
  <si>
    <t>REC-5568-A20P-26720</t>
  </si>
  <si>
    <t>10:31:38</t>
  </si>
  <si>
    <t>REC-4164-A19P-144026</t>
  </si>
  <si>
    <t>11:18:48</t>
  </si>
  <si>
    <t>0907520977</t>
  </si>
  <si>
    <t>3945417</t>
  </si>
  <si>
    <t>REC-3187-A2UE-33824</t>
  </si>
  <si>
    <t>11:29:45</t>
  </si>
  <si>
    <t>REC-3809-A2FM-121358</t>
  </si>
  <si>
    <t>12:10:48</t>
  </si>
  <si>
    <t>0913935417</t>
  </si>
  <si>
    <t>3909958</t>
  </si>
  <si>
    <t>REC-4810-FSJ5-778986</t>
  </si>
  <si>
    <t>09:18:15</t>
  </si>
  <si>
    <t>20200423</t>
  </si>
  <si>
    <t>0910282573</t>
  </si>
  <si>
    <t>3906810</t>
  </si>
  <si>
    <t>REC-7372-RR25-766974</t>
  </si>
  <si>
    <t>08:41:14</t>
  </si>
  <si>
    <t>20200422</t>
  </si>
  <si>
    <t>0919541037</t>
  </si>
  <si>
    <t>3930131</t>
  </si>
  <si>
    <t>REC-241-M1DC-332335</t>
  </si>
  <si>
    <t>10:11:29</t>
  </si>
  <si>
    <t>20200421</t>
  </si>
  <si>
    <t>REC-5243-A2DR-7640</t>
  </si>
  <si>
    <t>07:59:38</t>
  </si>
  <si>
    <t>20200420</t>
  </si>
  <si>
    <t>REC-551-VOIB-537361</t>
  </si>
  <si>
    <t>08:27:10</t>
  </si>
  <si>
    <t>0901358747</t>
  </si>
  <si>
    <t>3907835</t>
  </si>
  <si>
    <t>REC-072-A6LX-192099</t>
  </si>
  <si>
    <t>10:43:48</t>
  </si>
  <si>
    <t>0909668337</t>
  </si>
  <si>
    <t>3907973</t>
  </si>
  <si>
    <t>REC-3792-A24Z-544504</t>
  </si>
  <si>
    <t>10:59:02</t>
  </si>
  <si>
    <t>REC-3172-YIG8-302876</t>
  </si>
  <si>
    <t>11:25:56</t>
  </si>
  <si>
    <t>REC-228-BBMQ-281819</t>
  </si>
  <si>
    <t>11:43:15</t>
  </si>
  <si>
    <t>REC-3520-A1CH-241684</t>
  </si>
  <si>
    <t>11:43:48</t>
  </si>
  <si>
    <t>REC-2004-CNH2-571598</t>
  </si>
  <si>
    <t>12:02:03</t>
  </si>
  <si>
    <t>REC-3783-ACA1-347721</t>
  </si>
  <si>
    <t>12:23:47</t>
  </si>
  <si>
    <t>REC-3200-SAMD-267281</t>
  </si>
  <si>
    <t>12:45:26</t>
  </si>
  <si>
    <t>REC-3170-YGVG-311243</t>
  </si>
  <si>
    <t>10:30:02</t>
  </si>
  <si>
    <t>20200419</t>
  </si>
  <si>
    <t>REC-3095-T359-410704</t>
  </si>
  <si>
    <t>11:00:32</t>
  </si>
  <si>
    <t>0928900711</t>
  </si>
  <si>
    <t>3901507</t>
  </si>
  <si>
    <t>REC-7137-T205-740914</t>
  </si>
  <si>
    <t>12:55:52</t>
  </si>
  <si>
    <t>REC-4963-A3A0-741217</t>
  </si>
  <si>
    <t>14:54:20</t>
  </si>
  <si>
    <t>REC-3707-AAP4-338972</t>
  </si>
  <si>
    <t>09:47:54</t>
  </si>
  <si>
    <t>20200418</t>
  </si>
  <si>
    <t>REC-3095-T359-410636</t>
  </si>
  <si>
    <t>10:51:50</t>
  </si>
  <si>
    <t>0918270745</t>
  </si>
  <si>
    <t>3907219</t>
  </si>
  <si>
    <t>REC-3622-AAE5-332368</t>
  </si>
  <si>
    <t>07:44:18</t>
  </si>
  <si>
    <t>20200417</t>
  </si>
  <si>
    <t>REC-5987-GFL4-722555</t>
  </si>
  <si>
    <t>09:19:15</t>
  </si>
  <si>
    <t>REC-241-BEJD-561368</t>
  </si>
  <si>
    <t>10:25:48</t>
  </si>
  <si>
    <t>REC-944-LRJ0-384460</t>
  </si>
  <si>
    <t>10:37:01</t>
  </si>
  <si>
    <t>REC-3182-SS15-6873</t>
  </si>
  <si>
    <t>10:51:37</t>
  </si>
  <si>
    <t>REC-3370-A6JI-238075</t>
  </si>
  <si>
    <t>11:03:28</t>
  </si>
  <si>
    <t>REC-4976-A25U-6094</t>
  </si>
  <si>
    <t>11:23:42</t>
  </si>
  <si>
    <t>REC-4976-A25U-6095</t>
  </si>
  <si>
    <t>11:25:01</t>
  </si>
  <si>
    <t>0920401577</t>
  </si>
  <si>
    <t>3906046</t>
  </si>
  <si>
    <t>REC-3747-BBT1-729637</t>
  </si>
  <si>
    <t>12:09:22</t>
  </si>
  <si>
    <t>REC-5552-A944-729718</t>
  </si>
  <si>
    <t>12:11:15</t>
  </si>
  <si>
    <t>REC-364-NKDD-362956</t>
  </si>
  <si>
    <t>07:57:21</t>
  </si>
  <si>
    <t>20200416</t>
  </si>
  <si>
    <t>0914370994</t>
  </si>
  <si>
    <t>3903524</t>
  </si>
  <si>
    <t>REC-3172-YIG8-302724</t>
  </si>
  <si>
    <t>08:44:47</t>
  </si>
  <si>
    <t>REC-810-5CAY-417114</t>
  </si>
  <si>
    <t>09:52:09</t>
  </si>
  <si>
    <t>REC-569-YXPK-1468282</t>
  </si>
  <si>
    <t>10:42:52</t>
  </si>
  <si>
    <t>REC-678-3V18-560752</t>
  </si>
  <si>
    <t>10:46:41</t>
  </si>
  <si>
    <t>REC-678-3V18-560753</t>
  </si>
  <si>
    <t>10:47:40</t>
  </si>
  <si>
    <t>REC-4960-A1QG-74943</t>
  </si>
  <si>
    <t>11:38:53</t>
  </si>
  <si>
    <t>REC-3172-LIO3-64044</t>
  </si>
  <si>
    <t>11:50:34</t>
  </si>
  <si>
    <t>0953501244</t>
  </si>
  <si>
    <t>3907932</t>
  </si>
  <si>
    <t>REC-4963-A3A0-716947</t>
  </si>
  <si>
    <t>12:18:56</t>
  </si>
  <si>
    <t>REC-028-A3ZW-59324</t>
  </si>
  <si>
    <t>08:37:23</t>
  </si>
  <si>
    <t>20200415</t>
  </si>
  <si>
    <t>REC-3161-KURB-416842</t>
  </si>
  <si>
    <t>09:14:40</t>
  </si>
  <si>
    <t>REC-3370-A6JI-237825</t>
  </si>
  <si>
    <t>09:32:06</t>
  </si>
  <si>
    <t>0702262122</t>
  </si>
  <si>
    <t>3900192</t>
  </si>
  <si>
    <t>REC-611-J4ZN-491419</t>
  </si>
  <si>
    <t>11:06:02</t>
  </si>
  <si>
    <t>REC-048-AFEP-233041</t>
  </si>
  <si>
    <t>11:32:28</t>
  </si>
  <si>
    <t>REC-4395-DAB3-326161</t>
  </si>
  <si>
    <t>11:50:01</t>
  </si>
  <si>
    <t>REC-3707-AAP4-326833</t>
  </si>
  <si>
    <t>12:53:57</t>
  </si>
  <si>
    <t>REC-011-VD5Z-337037</t>
  </si>
  <si>
    <t>08:44:31</t>
  </si>
  <si>
    <t>20200414</t>
  </si>
  <si>
    <t>REC-3422-A3IU-619488</t>
  </si>
  <si>
    <t>10:20:46</t>
  </si>
  <si>
    <t>REC-3422-A3IU-619489</t>
  </si>
  <si>
    <t>10:21:35</t>
  </si>
  <si>
    <t>1302180748</t>
  </si>
  <si>
    <t>3950128</t>
  </si>
  <si>
    <t>REC-3175-A3LN-116859</t>
  </si>
  <si>
    <t>10:56:40</t>
  </si>
  <si>
    <t>0915761050</t>
  </si>
  <si>
    <t>3903196</t>
  </si>
  <si>
    <t>REC-3022-FNNL-526980</t>
  </si>
  <si>
    <t>11:05:04</t>
  </si>
  <si>
    <t>REC-3295-1TWC-207715</t>
  </si>
  <si>
    <t>11:11:14</t>
  </si>
  <si>
    <t>REC-096-HG9K-299428</t>
  </si>
  <si>
    <t>11:26:37</t>
  </si>
  <si>
    <t>REC-810-5CAY-416879</t>
  </si>
  <si>
    <t>09:23:11</t>
  </si>
  <si>
    <t>20200413</t>
  </si>
  <si>
    <t>REC-342-VEHD-452528</t>
  </si>
  <si>
    <t>09:34:06</t>
  </si>
  <si>
    <t>REC-390-SB17-586309</t>
  </si>
  <si>
    <t>11:22:29</t>
  </si>
  <si>
    <t>REC-4190-A11N-1461386</t>
  </si>
  <si>
    <t>REC-3360-IPEN-216443</t>
  </si>
  <si>
    <t>12:15:26</t>
  </si>
  <si>
    <t>REC-048-AFEP-232912</t>
  </si>
  <si>
    <t>09:38:36</t>
  </si>
  <si>
    <t>20200411</t>
  </si>
  <si>
    <t>REC-3022-FNNL-526899</t>
  </si>
  <si>
    <t>08:16:14</t>
  </si>
  <si>
    <t>20200410</t>
  </si>
  <si>
    <t>REC-090-IRFP-567672</t>
  </si>
  <si>
    <t>09:08:32</t>
  </si>
  <si>
    <t>0916095854</t>
  </si>
  <si>
    <t>3930126</t>
  </si>
  <si>
    <t>REC-810-5CAY-416858</t>
  </si>
  <si>
    <t>11:17:24</t>
  </si>
  <si>
    <t>REC-3022-A364-113983</t>
  </si>
  <si>
    <t>11:29:52</t>
  </si>
  <si>
    <t>1708072838</t>
  </si>
  <si>
    <t>23923163</t>
  </si>
  <si>
    <t>REC-7057-A66Z-1327</t>
  </si>
  <si>
    <t>08:02:14</t>
  </si>
  <si>
    <t>20200409</t>
  </si>
  <si>
    <t>REC-3510-A4F9-230713</t>
  </si>
  <si>
    <t>09:07:32</t>
  </si>
  <si>
    <t>0900713280</t>
  </si>
  <si>
    <t>3903951</t>
  </si>
  <si>
    <t>REC-3370-A6JI-237593</t>
  </si>
  <si>
    <t>10:01:20</t>
  </si>
  <si>
    <t>REC-609-A1M3-309500</t>
  </si>
  <si>
    <t>11:14:28</t>
  </si>
  <si>
    <t>0925579997</t>
  </si>
  <si>
    <t>3930240</t>
  </si>
  <si>
    <t>REC-5523-A920-662293</t>
  </si>
  <si>
    <t>11:18:30</t>
  </si>
  <si>
    <t>REC-609-A3AI-76266</t>
  </si>
  <si>
    <t>11:42:34</t>
  </si>
  <si>
    <t>0922729504</t>
  </si>
  <si>
    <t>3901916</t>
  </si>
  <si>
    <t>REC-3161-KURB-416622</t>
  </si>
  <si>
    <t>10:01:33</t>
  </si>
  <si>
    <t>20200408</t>
  </si>
  <si>
    <t>REC-3614-AAD4-301537</t>
  </si>
  <si>
    <t>10:57:32</t>
  </si>
  <si>
    <t>0905994489</t>
  </si>
  <si>
    <t>3908188</t>
  </si>
  <si>
    <t>REC-342-EBMO-262700</t>
  </si>
  <si>
    <t>11:19:23</t>
  </si>
  <si>
    <t>REC-3098-T7CF-437411</t>
  </si>
  <si>
    <t>20200407</t>
  </si>
  <si>
    <t>REC-342-EBMO-262626</t>
  </si>
  <si>
    <t>11:10:50</t>
  </si>
  <si>
    <t>REC-4717-FRZ4-634804</t>
  </si>
  <si>
    <t>09:34:52</t>
  </si>
  <si>
    <t>20200406</t>
  </si>
  <si>
    <t>REC-3370-A6JI-237420</t>
  </si>
  <si>
    <t>09:59:52</t>
  </si>
  <si>
    <t>REC-613-BK8R-417648</t>
  </si>
  <si>
    <t>10:07:11</t>
  </si>
  <si>
    <t>REC-3022-FNNL-526794</t>
  </si>
  <si>
    <t>08:29:29</t>
  </si>
  <si>
    <t>20200405</t>
  </si>
  <si>
    <t>REC-810-5CAY-416653</t>
  </si>
  <si>
    <t>08:38:28</t>
  </si>
  <si>
    <t>REC-3175-A3LN-116475</t>
  </si>
  <si>
    <t>10:40:51</t>
  </si>
  <si>
    <t>REC-3392-A39W-396943</t>
  </si>
  <si>
    <t>11:11:03</t>
  </si>
  <si>
    <t>REC-536-TDSM-132372</t>
  </si>
  <si>
    <t>11:30:52</t>
  </si>
  <si>
    <t>REC-355-J4YM-653356</t>
  </si>
  <si>
    <t>10:46:46</t>
  </si>
  <si>
    <t>20200404</t>
  </si>
  <si>
    <t>REC-355-N45U-545937</t>
  </si>
  <si>
    <t>08:17:53</t>
  </si>
  <si>
    <t>20200403</t>
  </si>
  <si>
    <t>REC-072-TTF1-305394</t>
  </si>
  <si>
    <t>09:20:49</t>
  </si>
  <si>
    <t>0930577267</t>
  </si>
  <si>
    <t>3900316</t>
  </si>
  <si>
    <t>REC-5695-A2E3-9631</t>
  </si>
  <si>
    <t>10:48:31</t>
  </si>
  <si>
    <t>REC-3809-A3ZD-19164</t>
  </si>
  <si>
    <t>11:16:25</t>
  </si>
  <si>
    <t>REC-3360-IPEN-216213</t>
  </si>
  <si>
    <t>11:35:53</t>
  </si>
  <si>
    <t>0910311992</t>
  </si>
  <si>
    <t>3908178</t>
  </si>
  <si>
    <t>REC-944-LRJW-281871</t>
  </si>
  <si>
    <t>11:41:04</t>
  </si>
  <si>
    <t>REC-3182-YQHE-227025</t>
  </si>
  <si>
    <t>20200402</t>
  </si>
  <si>
    <t>REC-4303-IAI3-617960</t>
  </si>
  <si>
    <t>11:07:58</t>
  </si>
  <si>
    <t>REC-5762-FE91-618010</t>
  </si>
  <si>
    <t>11:11:32</t>
  </si>
  <si>
    <t>REC-674-3K2R-1464676</t>
  </si>
  <si>
    <t>10:05:02</t>
  </si>
  <si>
    <t>20200401</t>
  </si>
  <si>
    <t>1203546641</t>
  </si>
  <si>
    <t>3903877</t>
  </si>
  <si>
    <t>REC-3371-LD0C-272697</t>
  </si>
  <si>
    <t>10:05:19</t>
  </si>
  <si>
    <t>REC-3392-A39W-396757</t>
  </si>
  <si>
    <t>10:48:35</t>
  </si>
  <si>
    <t>REC-543-U5H7-553317</t>
  </si>
  <si>
    <t>10:56:27</t>
  </si>
  <si>
    <t>WESTERN UNION MES DE ABRIL</t>
  </si>
  <si>
    <t>REC-609-A1M3-312506</t>
  </si>
  <si>
    <t>09:12:51</t>
  </si>
  <si>
    <t>20200531</t>
  </si>
  <si>
    <t>REC-3161-KURB-419848</t>
  </si>
  <si>
    <t>10:30:58</t>
  </si>
  <si>
    <t>REC-4960-A1QG-78784</t>
  </si>
  <si>
    <t>12:56:09</t>
  </si>
  <si>
    <t>0911575306</t>
  </si>
  <si>
    <t>3908945</t>
  </si>
  <si>
    <t>REC-944-PR10-417599</t>
  </si>
  <si>
    <t>14:53:48</t>
  </si>
  <si>
    <t>REC-241-M1DC-333882</t>
  </si>
  <si>
    <t>15:52:47</t>
  </si>
  <si>
    <t>REC-3295-1T8E-220489</t>
  </si>
  <si>
    <t>09:51:57</t>
  </si>
  <si>
    <t>20200530</t>
  </si>
  <si>
    <t>REC-4184-A1VM-37286</t>
  </si>
  <si>
    <t>10:53:25</t>
  </si>
  <si>
    <t>REC-944-LRJW-283458</t>
  </si>
  <si>
    <t>11:38:21</t>
  </si>
  <si>
    <t>REC-4620-A1TY-234839</t>
  </si>
  <si>
    <t>12:02:14</t>
  </si>
  <si>
    <t>REC-609-A1M3-312442</t>
  </si>
  <si>
    <t>12:02:56</t>
  </si>
  <si>
    <t>1307794998</t>
  </si>
  <si>
    <t>3930288</t>
  </si>
  <si>
    <t>REC-096-HG9K-301041</t>
  </si>
  <si>
    <t>12:14:53</t>
  </si>
  <si>
    <t>0914893433</t>
  </si>
  <si>
    <t>3903264</t>
  </si>
  <si>
    <t>REC-3175-A3LN-120200</t>
  </si>
  <si>
    <t>12:16:15</t>
  </si>
  <si>
    <t>REC-3022-A364-117182</t>
  </si>
  <si>
    <t>12:30:59</t>
  </si>
  <si>
    <t>REC-3295-1TWC-209440</t>
  </si>
  <si>
    <t>14:06:53</t>
  </si>
  <si>
    <t>REC-3792-A39T-106321</t>
  </si>
  <si>
    <t>15:11:50</t>
  </si>
  <si>
    <t>REC-072-KBN0-236010</t>
  </si>
  <si>
    <t>15:14:39</t>
  </si>
  <si>
    <t>REC-3422-A25Y-87766</t>
  </si>
  <si>
    <t>16:35:07</t>
  </si>
  <si>
    <t>REC-3172-YIGY-269818</t>
  </si>
  <si>
    <t>17:46:22</t>
  </si>
  <si>
    <t>REC-4963-A3A0-238148</t>
  </si>
  <si>
    <t>19:25:43</t>
  </si>
  <si>
    <t>REC-678-3V18-562678</t>
  </si>
  <si>
    <t>09:22:46</t>
  </si>
  <si>
    <t>20200529</t>
  </si>
  <si>
    <t>REC-4960-A1QG-78570</t>
  </si>
  <si>
    <t>09:37:06</t>
  </si>
  <si>
    <t>REC-4209-A14Y-30728</t>
  </si>
  <si>
    <t>09:38:18</t>
  </si>
  <si>
    <t>REC-3172-YIGW-305127</t>
  </si>
  <si>
    <t>09:54:29</t>
  </si>
  <si>
    <t>REC-3200-SAMB-500322</t>
  </si>
  <si>
    <t>10:02:55</t>
  </si>
  <si>
    <t>1309165957</t>
  </si>
  <si>
    <t>3930140</t>
  </si>
  <si>
    <t>REC-543-U5H7-555615</t>
  </si>
  <si>
    <t>10:24:51</t>
  </si>
  <si>
    <t>REC-3022-A364-116995</t>
  </si>
  <si>
    <t>10:51:11</t>
  </si>
  <si>
    <t>0916187099</t>
  </si>
  <si>
    <t>3901920</t>
  </si>
  <si>
    <t>REC-348-AB9D-125754</t>
  </si>
  <si>
    <t>12:05:48</t>
  </si>
  <si>
    <t>REC-008-PB65-369264</t>
  </si>
  <si>
    <t>12:12:11</t>
  </si>
  <si>
    <t>REC-4190-A11N-1463605</t>
  </si>
  <si>
    <t>12:22:45</t>
  </si>
  <si>
    <t>REC-7366-Y05Q-4426</t>
  </si>
  <si>
    <t>12:45:10</t>
  </si>
  <si>
    <t>REC-5585-A2XB-54984</t>
  </si>
  <si>
    <t>13:13:58</t>
  </si>
  <si>
    <t>REC-223-V7XD-257945</t>
  </si>
  <si>
    <t>13:35:57</t>
  </si>
  <si>
    <t>REC-551-B2PQ-296265</t>
  </si>
  <si>
    <t>14:22:10</t>
  </si>
  <si>
    <t>REC-090-IRFP-572570</t>
  </si>
  <si>
    <t>14:34:22</t>
  </si>
  <si>
    <t>REC-342-EBMO-265149</t>
  </si>
  <si>
    <t>14:59:03</t>
  </si>
  <si>
    <t>0908663610</t>
  </si>
  <si>
    <t>3960381</t>
  </si>
  <si>
    <t>REC-3370-A6JI-240998</t>
  </si>
  <si>
    <t>15:08:51</t>
  </si>
  <si>
    <t>0914387378</t>
  </si>
  <si>
    <t>3903071</t>
  </si>
  <si>
    <t>REC-4209-A14Y-30747</t>
  </si>
  <si>
    <t>15:43:29</t>
  </si>
  <si>
    <t>REC-678-3V18-562736</t>
  </si>
  <si>
    <t>15:53:15</t>
  </si>
  <si>
    <t>REC-944-ZF9M-192850</t>
  </si>
  <si>
    <t>16:27:04</t>
  </si>
  <si>
    <t>REC-3172-LIO4-230206</t>
  </si>
  <si>
    <t>16:54:52</t>
  </si>
  <si>
    <t>REC-4395-DAB3-537354</t>
  </si>
  <si>
    <t>17:49:37</t>
  </si>
  <si>
    <t>REC-3175-C8JC-299557</t>
  </si>
  <si>
    <t>17:55:27</t>
  </si>
  <si>
    <t>0923102065</t>
  </si>
  <si>
    <t>3907934</t>
  </si>
  <si>
    <t>REC-5610-A2YJ-7783</t>
  </si>
  <si>
    <t>REC-3784-ATA2-171198</t>
  </si>
  <si>
    <t>18:51:08</t>
  </si>
  <si>
    <t>1301799704</t>
  </si>
  <si>
    <t>3907562</t>
  </si>
  <si>
    <t>REC-004-P4FN-80215</t>
  </si>
  <si>
    <t>08:16:12</t>
  </si>
  <si>
    <t>20200528</t>
  </si>
  <si>
    <t>REC-5585-A2XB-54837</t>
  </si>
  <si>
    <t>08:40:33</t>
  </si>
  <si>
    <t>REC-3172-LIO7-107492</t>
  </si>
  <si>
    <t>08:45:46</t>
  </si>
  <si>
    <t>REC-090-9SKJ-428748</t>
  </si>
  <si>
    <t>09:30:13</t>
  </si>
  <si>
    <t>REC-3295-1T8A-202779</t>
  </si>
  <si>
    <t>10:25:50</t>
  </si>
  <si>
    <t>REC-342-VEHD-455437</t>
  </si>
  <si>
    <t>10:38:21</t>
  </si>
  <si>
    <t>REC-3371-EFX5-165182</t>
  </si>
  <si>
    <t>10:43:19</t>
  </si>
  <si>
    <t>REC-3784-ATA2-171105</t>
  </si>
  <si>
    <t>10:58:14</t>
  </si>
  <si>
    <t>REC-569-YXPK-1472065</t>
  </si>
  <si>
    <t>11:38:15</t>
  </si>
  <si>
    <t>0908006349</t>
  </si>
  <si>
    <t>3902228</t>
  </si>
  <si>
    <t>REC-3187-YWS5-599166</t>
  </si>
  <si>
    <t>12:00:50</t>
  </si>
  <si>
    <t>REC-3371-EGEG-238578</t>
  </si>
  <si>
    <t>REC-3161-KURB-419596</t>
  </si>
  <si>
    <t>12:02:13</t>
  </si>
  <si>
    <t>REC-3371-LD0C-276534</t>
  </si>
  <si>
    <t>12:07:26</t>
  </si>
  <si>
    <t>REC-4960-A1QG-78525</t>
  </si>
  <si>
    <t>12:09:00</t>
  </si>
  <si>
    <t>REC-5770-A3HH-1569330</t>
  </si>
  <si>
    <t>12:25:32</t>
  </si>
  <si>
    <t>REC-5310-Z4YZ-211741</t>
  </si>
  <si>
    <t>12:37:15</t>
  </si>
  <si>
    <t>REC-3172-LIO6-114103</t>
  </si>
  <si>
    <t>14:49:35</t>
  </si>
  <si>
    <t>0913436200001</t>
  </si>
  <si>
    <t>3900198</t>
  </si>
  <si>
    <t>REC-3371-EFX5-165205</t>
  </si>
  <si>
    <t>15:26:08</t>
  </si>
  <si>
    <t>REC-3371-LD0C-276580</t>
  </si>
  <si>
    <t>15:29:01</t>
  </si>
  <si>
    <t>REC-3182-YQHE-230576</t>
  </si>
  <si>
    <t>17:40:07</t>
  </si>
  <si>
    <t>REC-4164-A19P-145955</t>
  </si>
  <si>
    <t>18:23:50</t>
  </si>
  <si>
    <t>0921434239</t>
  </si>
  <si>
    <t>3907827</t>
  </si>
  <si>
    <t>REC-3510-A4F9-232983</t>
  </si>
  <si>
    <t>09:21:48</t>
  </si>
  <si>
    <t>20200527</t>
  </si>
  <si>
    <t>0914107222</t>
  </si>
  <si>
    <t>3960002</t>
  </si>
  <si>
    <t>REC-3371-EGEG-238439</t>
  </si>
  <si>
    <t>REC-3109-TTH2-675801</t>
  </si>
  <si>
    <t>09:45:32</t>
  </si>
  <si>
    <t>0911805554</t>
  </si>
  <si>
    <t>3902634</t>
  </si>
  <si>
    <t>REC-5585-RQ83-8086</t>
  </si>
  <si>
    <t>10:13:25</t>
  </si>
  <si>
    <t>REC-3200-SAMB-500070</t>
  </si>
  <si>
    <t>10:28:37</t>
  </si>
  <si>
    <t>REC-7277-RQ46-194225</t>
  </si>
  <si>
    <t>10:59:45</t>
  </si>
  <si>
    <t>REC-3808-A3Z9-520264</t>
  </si>
  <si>
    <t>11:10:26</t>
  </si>
  <si>
    <t>REC-342-EBMO-265004</t>
  </si>
  <si>
    <t>11:18:41</t>
  </si>
  <si>
    <t>0914450887</t>
  </si>
  <si>
    <t>3908267</t>
  </si>
  <si>
    <t>REC-4164-A1LY-125026</t>
  </si>
  <si>
    <t>0101363463</t>
  </si>
  <si>
    <t>3907378</t>
  </si>
  <si>
    <t>REC-3371-LD0C-276471</t>
  </si>
  <si>
    <t>13:18:14</t>
  </si>
  <si>
    <t>REC-5585-RQ83-8120</t>
  </si>
  <si>
    <t>14:45:22</t>
  </si>
  <si>
    <t>0910365022</t>
  </si>
  <si>
    <t>3902247</t>
  </si>
  <si>
    <t>REC-3370-A6JI-240831</t>
  </si>
  <si>
    <t>16:00:35</t>
  </si>
  <si>
    <t>REC-3187-A2UE-35386</t>
  </si>
  <si>
    <t>16:13:46</t>
  </si>
  <si>
    <t>0992996927001</t>
  </si>
  <si>
    <t>3930155</t>
  </si>
  <si>
    <t>REC-3371-EGEG-238533</t>
  </si>
  <si>
    <t>16:35:30</t>
  </si>
  <si>
    <t>REC-5635-A2YS-14097</t>
  </si>
  <si>
    <t>17:01:34</t>
  </si>
  <si>
    <t>0905058772</t>
  </si>
  <si>
    <t>3906378</t>
  </si>
  <si>
    <t>REC-342-VEHD-455382</t>
  </si>
  <si>
    <t>17:15:57</t>
  </si>
  <si>
    <t>0923126205</t>
  </si>
  <si>
    <t>3907899</t>
  </si>
  <si>
    <t>REC-3792-A24Z-547003</t>
  </si>
  <si>
    <t>REC-223-B7CD-559007</t>
  </si>
  <si>
    <t>18:05:39</t>
  </si>
  <si>
    <t>0923716112</t>
  </si>
  <si>
    <t>3900329</t>
  </si>
  <si>
    <t>REC-4779-FSG2-203089</t>
  </si>
  <si>
    <t>19:52:33</t>
  </si>
  <si>
    <t>REC-609-A3AI-77979</t>
  </si>
  <si>
    <t>08:11:22</t>
  </si>
  <si>
    <t>20200526</t>
  </si>
  <si>
    <t>REC-3370-A6JI-240648</t>
  </si>
  <si>
    <t>08:18:56</t>
  </si>
  <si>
    <t>REC-028-AJSG-550013</t>
  </si>
  <si>
    <t>08:59:25</t>
  </si>
  <si>
    <t>REC-7305-RQ50-1492</t>
  </si>
  <si>
    <t>09:44:23</t>
  </si>
  <si>
    <t>REC-3510-A4F9-232908</t>
  </si>
  <si>
    <t>09:44:40</t>
  </si>
  <si>
    <t>0924283815</t>
  </si>
  <si>
    <t>3903619</t>
  </si>
  <si>
    <t>REC-4209-A14Y-30650</t>
  </si>
  <si>
    <t>09:55:32</t>
  </si>
  <si>
    <t>REC-049-A518-1559816</t>
  </si>
  <si>
    <t>10:14:33</t>
  </si>
  <si>
    <t>REC-2004-CNH2-574955</t>
  </si>
  <si>
    <t>10:35:11</t>
  </si>
  <si>
    <t>REC-5474-A871-519534</t>
  </si>
  <si>
    <t>11:04:17</t>
  </si>
  <si>
    <t>REC-5635-A2YS-13956</t>
  </si>
  <si>
    <t>11:04:33</t>
  </si>
  <si>
    <t>REC-072-4PW8-197166</t>
  </si>
  <si>
    <t>11:22:57</t>
  </si>
  <si>
    <t>REC-3510-A4F9-232923</t>
  </si>
  <si>
    <t>11:30:03</t>
  </si>
  <si>
    <t>0924367733</t>
  </si>
  <si>
    <t>3930354</t>
  </si>
  <si>
    <t>REC-3161-KURB-419456</t>
  </si>
  <si>
    <t>12:17:48</t>
  </si>
  <si>
    <t>REC-3175-C8JC-299218</t>
  </si>
  <si>
    <t>12:30:13</t>
  </si>
  <si>
    <t>REC-3710-AAP7-521031</t>
  </si>
  <si>
    <t>13:08:13</t>
  </si>
  <si>
    <t>REC-245-BEJI-650074</t>
  </si>
  <si>
    <t>13:37:49</t>
  </si>
  <si>
    <t>REC-223-B7CD-558851</t>
  </si>
  <si>
    <t>14:24:03</t>
  </si>
  <si>
    <t>REC-901-7ZYF-396417</t>
  </si>
  <si>
    <t>14:46:12</t>
  </si>
  <si>
    <t>REC-901-7ZYF-396418</t>
  </si>
  <si>
    <t>14:46:43</t>
  </si>
  <si>
    <t>REC-3370-A6JI-240728</t>
  </si>
  <si>
    <t>15:20:00</t>
  </si>
  <si>
    <t>REC-3412-PTE5-185279</t>
  </si>
  <si>
    <t>15:24:34</t>
  </si>
  <si>
    <t>0992705272001</t>
  </si>
  <si>
    <t>3904173</t>
  </si>
  <si>
    <t>REC-944-ZF9M-192615</t>
  </si>
  <si>
    <t>15:52:11</t>
  </si>
  <si>
    <t>REC-096-DCIZ-450226</t>
  </si>
  <si>
    <t>16:50:24</t>
  </si>
  <si>
    <t>REC-3187-A2UB-144642</t>
  </si>
  <si>
    <t>18:03:38</t>
  </si>
  <si>
    <t>REC-3187-A2UB-144484</t>
  </si>
  <si>
    <t>08:43:47</t>
  </si>
  <si>
    <t>20200525</t>
  </si>
  <si>
    <t>REC-4007-OIT2-158220</t>
  </si>
  <si>
    <t>09:11:26</t>
  </si>
  <si>
    <t>AT-3060</t>
  </si>
  <si>
    <t>0918844408</t>
  </si>
  <si>
    <t>3909214</t>
  </si>
  <si>
    <t>REC-4301-IAI1-158316</t>
  </si>
  <si>
    <t>09:14:44</t>
  </si>
  <si>
    <t>REC-3095-T359-413634</t>
  </si>
  <si>
    <t>09:18:29</t>
  </si>
  <si>
    <t>REC-3422-A25Y-87382</t>
  </si>
  <si>
    <t>10:01:58</t>
  </si>
  <si>
    <t>REC-3769-A26U-7428</t>
  </si>
  <si>
    <t>10:04:01</t>
  </si>
  <si>
    <t>REC-5310-Z4YZ-161641</t>
  </si>
  <si>
    <t>10:29:35</t>
  </si>
  <si>
    <t>REC-4319-1AH9-5338</t>
  </si>
  <si>
    <t>11:26:47</t>
  </si>
  <si>
    <t>0904402575</t>
  </si>
  <si>
    <t>3909840</t>
  </si>
  <si>
    <t>REC-3143-AWFJ-322104</t>
  </si>
  <si>
    <t>11:28:04</t>
  </si>
  <si>
    <t>REC-072-TTF1-308066</t>
  </si>
  <si>
    <t>11:29:02</t>
  </si>
  <si>
    <t>REC-3370-A6JI-240565</t>
  </si>
  <si>
    <t>11:45:55</t>
  </si>
  <si>
    <t>REC-3182-SS15-8562</t>
  </si>
  <si>
    <t>11:50:33</t>
  </si>
  <si>
    <t>REC-4257-A219-149872</t>
  </si>
  <si>
    <t>12:18:10</t>
  </si>
  <si>
    <t>REC-342-EBMO-264883</t>
  </si>
  <si>
    <t>12:52:18</t>
  </si>
  <si>
    <t>1202135677</t>
  </si>
  <si>
    <t>3906900</t>
  </si>
  <si>
    <t>REC-072-KBN0-235398</t>
  </si>
  <si>
    <t>13:10:18</t>
  </si>
  <si>
    <t>REC-4164-A1CB-114610</t>
  </si>
  <si>
    <t>14:01:19</t>
  </si>
  <si>
    <t>REC-008-PB64-378273</t>
  </si>
  <si>
    <t>14:10:43</t>
  </si>
  <si>
    <t>REC-4779-FSG2-169435</t>
  </si>
  <si>
    <t>REC-342-EBMO-264912</t>
  </si>
  <si>
    <t>16:42:32</t>
  </si>
  <si>
    <t>REC-390-SB17-588482</t>
  </si>
  <si>
    <t>08:00:36</t>
  </si>
  <si>
    <t>20200524</t>
  </si>
  <si>
    <t>REC-390-SB17-588497</t>
  </si>
  <si>
    <t>09:46:17</t>
  </si>
  <si>
    <t>REC-096-DCIZ-450004</t>
  </si>
  <si>
    <t>13:42:35</t>
  </si>
  <si>
    <t>REC-3392-A39W-400398</t>
  </si>
  <si>
    <t>13:58:17</t>
  </si>
  <si>
    <t>REC-7352-RR03-145412</t>
  </si>
  <si>
    <t>07:45:15</t>
  </si>
  <si>
    <t>20200523</t>
  </si>
  <si>
    <t>0908043441</t>
  </si>
  <si>
    <t>3906379</t>
  </si>
  <si>
    <t>REC-810-5CAY-419356</t>
  </si>
  <si>
    <t>08:21:22</t>
  </si>
  <si>
    <t>REC-3370-A6JI-240391</t>
  </si>
  <si>
    <t>08:52:26</t>
  </si>
  <si>
    <t>REC-3670-AAK2-505531</t>
  </si>
  <si>
    <t>09:19:29</t>
  </si>
  <si>
    <t>REC-3022-FNNL-528559</t>
  </si>
  <si>
    <t>09:28:38</t>
  </si>
  <si>
    <t>REC-5310-Z4YZ-146685</t>
  </si>
  <si>
    <t>09:34:32</t>
  </si>
  <si>
    <t>REC-609-A3AI-77868</t>
  </si>
  <si>
    <t>09:40:18</t>
  </si>
  <si>
    <t>REC-223-B7CD-558670</t>
  </si>
  <si>
    <t>11:19:07</t>
  </si>
  <si>
    <t>REC-7305-RQ50-1480</t>
  </si>
  <si>
    <t>12:02:45</t>
  </si>
  <si>
    <t>REC-5643-AA10-150101</t>
  </si>
  <si>
    <t>12:21:58</t>
  </si>
  <si>
    <t>0919398388</t>
  </si>
  <si>
    <t>3908719</t>
  </si>
  <si>
    <t>REC-245-BEJI-649784</t>
  </si>
  <si>
    <t>12:38:45</t>
  </si>
  <si>
    <t>REC-5635-A2YS-13817</t>
  </si>
  <si>
    <t>13:14:51</t>
  </si>
  <si>
    <t>0928481712001</t>
  </si>
  <si>
    <t>3900485</t>
  </si>
  <si>
    <t>REC-045-VMU0-332954</t>
  </si>
  <si>
    <t>13:36:25</t>
  </si>
  <si>
    <t>0917360315</t>
  </si>
  <si>
    <t>3901616</t>
  </si>
  <si>
    <t>REC-3370-A6JI-240457</t>
  </si>
  <si>
    <t>14:05:32</t>
  </si>
  <si>
    <t>REC-536-TDSM-136884</t>
  </si>
  <si>
    <t>14:50:58</t>
  </si>
  <si>
    <t>0916190150</t>
  </si>
  <si>
    <t>3907947</t>
  </si>
  <si>
    <t>REC-3187-A2UB-144448</t>
  </si>
  <si>
    <t>15:36:53</t>
  </si>
  <si>
    <t>REC-3412-PTE5-151867</t>
  </si>
  <si>
    <t>16:09:10</t>
  </si>
  <si>
    <t>REC-061-A3Y4-250070</t>
  </si>
  <si>
    <t>16:29:07</t>
  </si>
  <si>
    <t>REC-5688-A5XD-16198</t>
  </si>
  <si>
    <t>08:27:49</t>
  </si>
  <si>
    <t>20200522</t>
  </si>
  <si>
    <t>REC-223-V7XD-257259</t>
  </si>
  <si>
    <t>08:59:15</t>
  </si>
  <si>
    <t>REC-3670-AAK2-500016</t>
  </si>
  <si>
    <t>09:34:14</t>
  </si>
  <si>
    <t>REC-4301-IAI1-132657</t>
  </si>
  <si>
    <t>09:44:39</t>
  </si>
  <si>
    <t>0913307724</t>
  </si>
  <si>
    <t>3960354</t>
  </si>
  <si>
    <t>REC-4013-A5NS-24848</t>
  </si>
  <si>
    <t>09:57:06</t>
  </si>
  <si>
    <t>REC-5585-RQ83-7720</t>
  </si>
  <si>
    <t>09:59:11</t>
  </si>
  <si>
    <t>1100364817</t>
  </si>
  <si>
    <t>3950022</t>
  </si>
  <si>
    <t>REC-061-AF82-273030</t>
  </si>
  <si>
    <t>10:15:03</t>
  </si>
  <si>
    <t>3907854</t>
  </si>
  <si>
    <t>REC-7366-Y05Q-4119</t>
  </si>
  <si>
    <t>10:40:04</t>
  </si>
  <si>
    <t>REC-3095-T359-413448</t>
  </si>
  <si>
    <t>11:13:23</t>
  </si>
  <si>
    <t>REC-3187-YWS5-598909</t>
  </si>
  <si>
    <t>11:19:35</t>
  </si>
  <si>
    <t>REC-061-AEU1-186188</t>
  </si>
  <si>
    <t>REC-5635-A2YS-13703</t>
  </si>
  <si>
    <t>12:36:30</t>
  </si>
  <si>
    <t>REC-4960-A1QG-77996</t>
  </si>
  <si>
    <t>13:35:09</t>
  </si>
  <si>
    <t>REC-090-ULDN-580721</t>
  </si>
  <si>
    <t>14:00:43</t>
  </si>
  <si>
    <t>REC-3360-IPEN-218846</t>
  </si>
  <si>
    <t>15:01:15</t>
  </si>
  <si>
    <t>0919805911</t>
  </si>
  <si>
    <t>3903133</t>
  </si>
  <si>
    <t>REC-3510-A4F9-232679</t>
  </si>
  <si>
    <t>15:52:03</t>
  </si>
  <si>
    <t>REC-4963-A3A0-143913</t>
  </si>
  <si>
    <t>REC-3747-BBT1-144999</t>
  </si>
  <si>
    <t>19:49:23</t>
  </si>
  <si>
    <t>REC-3187-YWS5-598789</t>
  </si>
  <si>
    <t>10:18:46</t>
  </si>
  <si>
    <t>20200521</t>
  </si>
  <si>
    <t>REC-3370-A6JI-240153</t>
  </si>
  <si>
    <t>10:26:47</t>
  </si>
  <si>
    <t>REC-072-KBN0-235050</t>
  </si>
  <si>
    <t>10:38:30</t>
  </si>
  <si>
    <t>0916386535</t>
  </si>
  <si>
    <t>3900252</t>
  </si>
  <si>
    <t>REC-3187-YWS5-598801</t>
  </si>
  <si>
    <t>10:46:36</t>
  </si>
  <si>
    <t>3903522</t>
  </si>
  <si>
    <t>REC-3187-YWS5-598802</t>
  </si>
  <si>
    <t>10:46:56</t>
  </si>
  <si>
    <t>0919908848</t>
  </si>
  <si>
    <t>3909919</t>
  </si>
  <si>
    <t>REC-4721-A1WI-8279</t>
  </si>
  <si>
    <t>10:50:01</t>
  </si>
  <si>
    <t>REC-3175-C8JC-298699</t>
  </si>
  <si>
    <t>10:53:38</t>
  </si>
  <si>
    <t>REC-027-AJSJ-549325</t>
  </si>
  <si>
    <t>11:58:44</t>
  </si>
  <si>
    <t>at-3059</t>
  </si>
  <si>
    <t>REC-008-PB64-378047</t>
  </si>
  <si>
    <t>12:13:18</t>
  </si>
  <si>
    <t>REC-008-PB64-378048</t>
  </si>
  <si>
    <t>12:14:04</t>
  </si>
  <si>
    <t>REC-3189-YWSY-156514</t>
  </si>
  <si>
    <t>16:07:44</t>
  </si>
  <si>
    <t>1301149447</t>
  </si>
  <si>
    <t>3903480</t>
  </si>
  <si>
    <t>REC-3371-EGEG-237734</t>
  </si>
  <si>
    <t>09:28:04</t>
  </si>
  <si>
    <t>20200520</t>
  </si>
  <si>
    <t>REC-5466-RP69-303</t>
  </si>
  <si>
    <t>09:47:34</t>
  </si>
  <si>
    <t>REC-3769-A26U-7380</t>
  </si>
  <si>
    <t>09:50:42</t>
  </si>
  <si>
    <t>REC-3696-AAO2-486677</t>
  </si>
  <si>
    <t>10:01:03</t>
  </si>
  <si>
    <t>0800929267</t>
  </si>
  <si>
    <t>3906897</t>
  </si>
  <si>
    <t>REC-3520-A1CH-243968</t>
  </si>
  <si>
    <t>10:01:45</t>
  </si>
  <si>
    <t>0923381529</t>
  </si>
  <si>
    <t>3945480</t>
  </si>
  <si>
    <t>REC-223-V7XD-256987</t>
  </si>
  <si>
    <t>10:27:36</t>
  </si>
  <si>
    <t>REC-3172-LIO6-113316</t>
  </si>
  <si>
    <t>10:29:42</t>
  </si>
  <si>
    <t>REC-6397-A5XK-8903</t>
  </si>
  <si>
    <t>REC-048-QNCI-620127</t>
  </si>
  <si>
    <t>11:04:07</t>
  </si>
  <si>
    <t>REC-944-LRJW-283048</t>
  </si>
  <si>
    <t>11:06:03</t>
  </si>
  <si>
    <t>REC-3370-A6JI-240036</t>
  </si>
  <si>
    <t>12:24:08</t>
  </si>
  <si>
    <t>REC-3172-YIGW-304387</t>
  </si>
  <si>
    <t>13:20:38</t>
  </si>
  <si>
    <t>0917431504</t>
  </si>
  <si>
    <t>3902372</t>
  </si>
  <si>
    <t>REC-3520-A1CH-244061</t>
  </si>
  <si>
    <t>15:37:07</t>
  </si>
  <si>
    <t>0908973928</t>
  </si>
  <si>
    <t>REC-3422-A3IU-622110</t>
  </si>
  <si>
    <t>16:21:55</t>
  </si>
  <si>
    <t>REC-3187-A2UB-144226</t>
  </si>
  <si>
    <t>16:32:20</t>
  </si>
  <si>
    <t>REC-008-PB64-378021</t>
  </si>
  <si>
    <t>16:33:10</t>
  </si>
  <si>
    <t>0962630323</t>
  </si>
  <si>
    <t>3908158</t>
  </si>
  <si>
    <t>REC-3412-PTE5-111000</t>
  </si>
  <si>
    <t>16:49:03</t>
  </si>
  <si>
    <t>REC-3022-A364-116174</t>
  </si>
  <si>
    <t>18:17:56</t>
  </si>
  <si>
    <t>REC-049-A2U2-43161</t>
  </si>
  <si>
    <t>09:43:35</t>
  </si>
  <si>
    <t>20200519</t>
  </si>
  <si>
    <t>0905116588</t>
  </si>
  <si>
    <t>3907527</t>
  </si>
  <si>
    <t>REC-165-LOA2-144344</t>
  </si>
  <si>
    <t>10:00:11</t>
  </si>
  <si>
    <t>REC-4963-A3A0-84816</t>
  </si>
  <si>
    <t>10:17:08</t>
  </si>
  <si>
    <t>REC-609-A1M3-311700</t>
  </si>
  <si>
    <t>10:37:15</t>
  </si>
  <si>
    <t>REC-342-VEHD-454803</t>
  </si>
  <si>
    <t>12:35:07</t>
  </si>
  <si>
    <t>REC-5310-Z4YZ-91377</t>
  </si>
  <si>
    <t>12:48:20</t>
  </si>
  <si>
    <t>REC-3809-A2FM-122419</t>
  </si>
  <si>
    <t>08:11:55</t>
  </si>
  <si>
    <t>20200518</t>
  </si>
  <si>
    <t>at-3042</t>
  </si>
  <si>
    <t>REC-342-VEHD-454636</t>
  </si>
  <si>
    <t>08:14:18</t>
  </si>
  <si>
    <t>REC-096-ZU7N-244147</t>
  </si>
  <si>
    <t>08:32:52</t>
  </si>
  <si>
    <t>REC-3414-PTE7-67206</t>
  </si>
  <si>
    <t>10:03:15</t>
  </si>
  <si>
    <t>REC-390-BBF4-313443</t>
  </si>
  <si>
    <t>10:07:54</t>
  </si>
  <si>
    <t>REC-223-V7XD-256789</t>
  </si>
  <si>
    <t>10:49:13</t>
  </si>
  <si>
    <t>0922310339</t>
  </si>
  <si>
    <t>3907671</t>
  </si>
  <si>
    <t>REC-046-A3YA-100913</t>
  </si>
  <si>
    <t>11:09:25</t>
  </si>
  <si>
    <t>0105049258</t>
  </si>
  <si>
    <t>3908289</t>
  </si>
  <si>
    <t>REC-3175-C8JC-298371</t>
  </si>
  <si>
    <t>11:10:40</t>
  </si>
  <si>
    <t>REC-944-KDUZ-240634</t>
  </si>
  <si>
    <t>11:14:14</t>
  </si>
  <si>
    <t>REC-551-VOI9-557309</t>
  </si>
  <si>
    <t>11:37:44</t>
  </si>
  <si>
    <t>REC-678-3V18-562106</t>
  </si>
  <si>
    <t>12:02:09</t>
  </si>
  <si>
    <t>REC-3520-A1CH-243837</t>
  </si>
  <si>
    <t>12:36:08</t>
  </si>
  <si>
    <t>REC-027-A40B-60502</t>
  </si>
  <si>
    <t>12:46:16</t>
  </si>
  <si>
    <t>REC-3187-A2UE-34767</t>
  </si>
  <si>
    <t>14:36:33</t>
  </si>
  <si>
    <t>REC-5645-A1034-11837</t>
  </si>
  <si>
    <t>09:52:56</t>
  </si>
  <si>
    <t>20200517</t>
  </si>
  <si>
    <t>0919181149</t>
  </si>
  <si>
    <t>3903138</t>
  </si>
  <si>
    <t>REC-5310-Z4YZ-60752</t>
  </si>
  <si>
    <t>11:20:23</t>
  </si>
  <si>
    <t>REC-3187-A2UB-143706</t>
  </si>
  <si>
    <t>20200516</t>
  </si>
  <si>
    <t>REC-5610-A2YJ-7471</t>
  </si>
  <si>
    <t>10:36:09</t>
  </si>
  <si>
    <t>0930270673</t>
  </si>
  <si>
    <t>3906720</t>
  </si>
  <si>
    <t>REC-3392-A39W-399708</t>
  </si>
  <si>
    <t>10:55:35</t>
  </si>
  <si>
    <t>REC-3200-SAMK-216452</t>
  </si>
  <si>
    <t>11:15:27</t>
  </si>
  <si>
    <t>REC-5243-A2DR-8440</t>
  </si>
  <si>
    <t>11:22:15</t>
  </si>
  <si>
    <t>REC-611-J4ZN-493287</t>
  </si>
  <si>
    <t>11:45:32</t>
  </si>
  <si>
    <t>REC-048-QNCI-619984</t>
  </si>
  <si>
    <t>12:29:19</t>
  </si>
  <si>
    <t>REC-3187-A2UB-143759</t>
  </si>
  <si>
    <t>13:05:40</t>
  </si>
  <si>
    <t>REC-4777-FSF9-33474</t>
  </si>
  <si>
    <t>07:59:16</t>
  </si>
  <si>
    <t>20200515</t>
  </si>
  <si>
    <t>REC-5762-FE91-33894</t>
  </si>
  <si>
    <t>08:22:40</t>
  </si>
  <si>
    <t>0909373318</t>
  </si>
  <si>
    <t>3902224</t>
  </si>
  <si>
    <t>REC-5585-A2XB-53851</t>
  </si>
  <si>
    <t>08:43:13</t>
  </si>
  <si>
    <t>REC-3392-A39W-399595</t>
  </si>
  <si>
    <t>09:18:32</t>
  </si>
  <si>
    <t>REC-609-A1M3-311420</t>
  </si>
  <si>
    <t>09:47:52</t>
  </si>
  <si>
    <t>REC-3774-ABA2-38622</t>
  </si>
  <si>
    <t>10:22:26</t>
  </si>
  <si>
    <t>REC-3774-ABA2-38689</t>
  </si>
  <si>
    <t>10:23:33</t>
  </si>
  <si>
    <t>REC-342-VEHD-454552</t>
  </si>
  <si>
    <t>REC-3022-FNNL-528173</t>
  </si>
  <si>
    <t>10:37:55</t>
  </si>
  <si>
    <t>REC-3175-A3LN-119192</t>
  </si>
  <si>
    <t>11:25:44</t>
  </si>
  <si>
    <t>0916280662</t>
  </si>
  <si>
    <t>3907376</t>
  </si>
  <si>
    <t>REC-3370-A6JI-239810</t>
  </si>
  <si>
    <t>11:58:37</t>
  </si>
  <si>
    <t>REC-4976-A25U-6353</t>
  </si>
  <si>
    <t>13:53:08</t>
  </si>
  <si>
    <t>REC-4976-A25U-6354</t>
  </si>
  <si>
    <t>13:54:37</t>
  </si>
  <si>
    <t>0914954003</t>
  </si>
  <si>
    <t>3908023</t>
  </si>
  <si>
    <t>REC-072-TTF1-307287</t>
  </si>
  <si>
    <t>07:36:42</t>
  </si>
  <si>
    <t>20200514</t>
  </si>
  <si>
    <t>REC-3161-KURB-418403</t>
  </si>
  <si>
    <t>08:13:20</t>
  </si>
  <si>
    <t>REC-536-TDSM-135864</t>
  </si>
  <si>
    <t>08:21:37</t>
  </si>
  <si>
    <t>0922017751</t>
  </si>
  <si>
    <t>3907801</t>
  </si>
  <si>
    <t>REC-090-ULDN-579802</t>
  </si>
  <si>
    <t>08:39:03</t>
  </si>
  <si>
    <t>REC-5635-A2YS-12793</t>
  </si>
  <si>
    <t>08:39:43</t>
  </si>
  <si>
    <t>REC-4273-PRO8-10266</t>
  </si>
  <si>
    <t>10:28:17</t>
  </si>
  <si>
    <t>REC-355-N45U-548575</t>
  </si>
  <si>
    <t>11:42:09</t>
  </si>
  <si>
    <t>REC-355-N45U-548576</t>
  </si>
  <si>
    <t>11:42:32</t>
  </si>
  <si>
    <t>REC-3422-A3IU-621453</t>
  </si>
  <si>
    <t>11:43:05</t>
  </si>
  <si>
    <t>REC-3422-A3IU-621454</t>
  </si>
  <si>
    <t>11:44:30</t>
  </si>
  <si>
    <t>0913797981001</t>
  </si>
  <si>
    <t>3906658</t>
  </si>
  <si>
    <t>REC-049-A518-1559212</t>
  </si>
  <si>
    <t>11:46:51</t>
  </si>
  <si>
    <t>REC-3792-A24Z-545866</t>
  </si>
  <si>
    <t>12:43:25</t>
  </si>
  <si>
    <t>REC-5635-A2YS-12904</t>
  </si>
  <si>
    <t>14:00:42</t>
  </si>
  <si>
    <t>REC-3422-A3IU-621504</t>
  </si>
  <si>
    <t>15:32:40</t>
  </si>
  <si>
    <t>REC-3023-IZCF-564297</t>
  </si>
  <si>
    <t>08:06:52</t>
  </si>
  <si>
    <t>20200513</t>
  </si>
  <si>
    <t>REC-3182-YQHD-255939</t>
  </si>
  <si>
    <t>09:24:05</t>
  </si>
  <si>
    <t>REC-609-A1M3-311239</t>
  </si>
  <si>
    <t>09:26:50</t>
  </si>
  <si>
    <t>REC-5687-PRA5-196</t>
  </si>
  <si>
    <t>09:54:43</t>
  </si>
  <si>
    <t>REC-3360-IPEN-218105</t>
  </si>
  <si>
    <t>10:29:03</t>
  </si>
  <si>
    <t>REC-5585-RQ83-7153</t>
  </si>
  <si>
    <t>10:49:57</t>
  </si>
  <si>
    <t>0916235922</t>
  </si>
  <si>
    <t>3903888</t>
  </si>
  <si>
    <t>REC-4814-FSJ9-8940</t>
  </si>
  <si>
    <t>10:54:21</t>
  </si>
  <si>
    <t>REC-090-IRFP-570431</t>
  </si>
  <si>
    <t>10:55:37</t>
  </si>
  <si>
    <t>0912214467</t>
  </si>
  <si>
    <t>3907391</t>
  </si>
  <si>
    <t>REC-4257-A221-112395</t>
  </si>
  <si>
    <t>11:06:29</t>
  </si>
  <si>
    <t>0910385038</t>
  </si>
  <si>
    <t>3903320</t>
  </si>
  <si>
    <t>REC-4216-A16B-23029</t>
  </si>
  <si>
    <t>11:24:50</t>
  </si>
  <si>
    <t>REC-4316-IOU4-11777</t>
  </si>
  <si>
    <t>11:49:43</t>
  </si>
  <si>
    <t>REC-3172-LIO7-106626</t>
  </si>
  <si>
    <t>11:57:43</t>
  </si>
  <si>
    <t>REC-3808-A3Z9-519306</t>
  </si>
  <si>
    <t>12:01:21</t>
  </si>
  <si>
    <t>REC-4966-A3Z7-12351</t>
  </si>
  <si>
    <t>12:06:11</t>
  </si>
  <si>
    <t>REC-072-TTF1-307282</t>
  </si>
  <si>
    <t>12:13:21</t>
  </si>
  <si>
    <t>REC-3172-YIGW-303898</t>
  </si>
  <si>
    <t>12:26:27</t>
  </si>
  <si>
    <t>REC-3630-AAF4-452876</t>
  </si>
  <si>
    <t>12:28:52</t>
  </si>
  <si>
    <t>REC-5635-A2YS-12780</t>
  </si>
  <si>
    <t>16:07:58</t>
  </si>
  <si>
    <t>REC-7057-A66Z-3319</t>
  </si>
  <si>
    <t>07:38:17</t>
  </si>
  <si>
    <t>20200512</t>
  </si>
  <si>
    <t>REC-3670-AAK2-442268</t>
  </si>
  <si>
    <t>07:38:39</t>
  </si>
  <si>
    <t>0501380851</t>
  </si>
  <si>
    <t>23923267</t>
  </si>
  <si>
    <t>REC-4190-A13K-379337</t>
  </si>
  <si>
    <t>10:44:06</t>
  </si>
  <si>
    <t>0914659388</t>
  </si>
  <si>
    <t>3900529</t>
  </si>
  <si>
    <t>REC-061-AEU1-185800</t>
  </si>
  <si>
    <t>11:02:57</t>
  </si>
  <si>
    <t>REC-536-TDSM-135698</t>
  </si>
  <si>
    <t>11:04:54</t>
  </si>
  <si>
    <t>REC-3747-BBT1-991916</t>
  </si>
  <si>
    <t>11:09:39</t>
  </si>
  <si>
    <t>REC-4164-A1LY-123917</t>
  </si>
  <si>
    <t>11:51:02</t>
  </si>
  <si>
    <t>0909804619</t>
  </si>
  <si>
    <t>3908093</t>
  </si>
  <si>
    <t>REC-5001-A1C1-8526</t>
  </si>
  <si>
    <t>12:05:12</t>
  </si>
  <si>
    <t>REC-5635-A2YS-12639</t>
  </si>
  <si>
    <t>12:13:07</t>
  </si>
  <si>
    <t>REC-4963-A3A0-997193</t>
  </si>
  <si>
    <t>13:01:17</t>
  </si>
  <si>
    <t>REC-3792-A24Z-545658</t>
  </si>
  <si>
    <t>16:18:33</t>
  </si>
  <si>
    <t>REC-342-VEHD-454181</t>
  </si>
  <si>
    <t>08:40:25</t>
  </si>
  <si>
    <t>20200511</t>
  </si>
  <si>
    <t>0905630836</t>
  </si>
  <si>
    <t>3901717</t>
  </si>
  <si>
    <t>REC-3697-AAO3-437888</t>
  </si>
  <si>
    <t>09:08:58</t>
  </si>
  <si>
    <t>REC-4301-IAI1-971863</t>
  </si>
  <si>
    <t>10:06:10</t>
  </si>
  <si>
    <t>REC-3172-LIO4-228761</t>
  </si>
  <si>
    <t>10:58:26</t>
  </si>
  <si>
    <t>0912944006</t>
  </si>
  <si>
    <t>3903867</t>
  </si>
  <si>
    <t>REC-027-A40B-59942</t>
  </si>
  <si>
    <t>12:27:57</t>
  </si>
  <si>
    <t>REC-5134-A2B5-3388</t>
  </si>
  <si>
    <t>13:39:27</t>
  </si>
  <si>
    <t>REC-3170-YGVG-312641</t>
  </si>
  <si>
    <t>10:58:29</t>
  </si>
  <si>
    <t>20200510</t>
  </si>
  <si>
    <t>REC-3422-A3IU-621119</t>
  </si>
  <si>
    <t>12:12:07</t>
  </si>
  <si>
    <t>REC-390-BBF4-312944</t>
  </si>
  <si>
    <t>08:47:13</t>
  </si>
  <si>
    <t>20200509</t>
  </si>
  <si>
    <t>REC-3175-C8JC-297747</t>
  </si>
  <si>
    <t>10:46:33</t>
  </si>
  <si>
    <t>0925301442</t>
  </si>
  <si>
    <t>3930242</t>
  </si>
  <si>
    <t>REC-4963-A3A0-962682</t>
  </si>
  <si>
    <t>12:31:42</t>
  </si>
  <si>
    <t>REC-3187-YWS5-598012</t>
  </si>
  <si>
    <t>08:51:00</t>
  </si>
  <si>
    <t>20200508</t>
  </si>
  <si>
    <t>0909216574</t>
  </si>
  <si>
    <t>3909883</t>
  </si>
  <si>
    <t>REC-901-7ZYF-394838</t>
  </si>
  <si>
    <t>09:28:50</t>
  </si>
  <si>
    <t>0924945298</t>
  </si>
  <si>
    <t>3907589</t>
  </si>
  <si>
    <t>REC-5310-Z4YZ-945652</t>
  </si>
  <si>
    <t>09:40:40</t>
  </si>
  <si>
    <t>0910653443</t>
  </si>
  <si>
    <t>3901529</t>
  </si>
  <si>
    <t>REC-3371-EGEG-237048</t>
  </si>
  <si>
    <t>09:42:11</t>
  </si>
  <si>
    <t>3901528</t>
  </si>
  <si>
    <t>REC-3371-EGEG-237049</t>
  </si>
  <si>
    <t>09:42:43</t>
  </si>
  <si>
    <t>0914617279</t>
  </si>
  <si>
    <t>3908826</t>
  </si>
  <si>
    <t>REC-3200-SAMB-498589</t>
  </si>
  <si>
    <t>11:14:00</t>
  </si>
  <si>
    <t>0912221249</t>
  </si>
  <si>
    <t>3930190</t>
  </si>
  <si>
    <t>REC-5620-A1012-951029</t>
  </si>
  <si>
    <t>11:42:03</t>
  </si>
  <si>
    <t>REC-061-ZGFI-95083</t>
  </si>
  <si>
    <t>12:11:47</t>
  </si>
  <si>
    <t>REC-3022-A364-115404</t>
  </si>
  <si>
    <t>12:27:29</t>
  </si>
  <si>
    <t>REC-5585-A2XB-53481</t>
  </si>
  <si>
    <t>12:56:27</t>
  </si>
  <si>
    <t>REC-090-IRFP-569631</t>
  </si>
  <si>
    <t>07:01:47</t>
  </si>
  <si>
    <t>20200507</t>
  </si>
  <si>
    <t>REC-245-BEJI-648230</t>
  </si>
  <si>
    <t>08:17:26</t>
  </si>
  <si>
    <t>REC-3175-C8JC-297477</t>
  </si>
  <si>
    <t>08:20:02</t>
  </si>
  <si>
    <t>0911251619</t>
  </si>
  <si>
    <t>3903525</t>
  </si>
  <si>
    <t>REC-5635-A2YS-12304</t>
  </si>
  <si>
    <t>08:36:59</t>
  </si>
  <si>
    <t>REC-4257-A219-148913</t>
  </si>
  <si>
    <t>09:24:12</t>
  </si>
  <si>
    <t>0921550141</t>
  </si>
  <si>
    <t>3900359</t>
  </si>
  <si>
    <t>REC-3182-SS15-7600</t>
  </si>
  <si>
    <t>10:01:09</t>
  </si>
  <si>
    <t>REC-095-AJSE-654897</t>
  </si>
  <si>
    <t>10:19:53</t>
  </si>
  <si>
    <t>0992391766001</t>
  </si>
  <si>
    <t>3930276</t>
  </si>
  <si>
    <t>REC-048-QNCI-619411</t>
  </si>
  <si>
    <t>10:39:35</t>
  </si>
  <si>
    <t>REC-3792-A39T-104481</t>
  </si>
  <si>
    <t>11:22:53</t>
  </si>
  <si>
    <t>REC-3808-A3Z9-518884</t>
  </si>
  <si>
    <t>11:53:02</t>
  </si>
  <si>
    <t>REC-165-M8MT-642204</t>
  </si>
  <si>
    <t>11:55:56</t>
  </si>
  <si>
    <t>0908790538</t>
  </si>
  <si>
    <t>3901235</t>
  </si>
  <si>
    <t>REC-5474-A871-425037</t>
  </si>
  <si>
    <t>11:59:31</t>
  </si>
  <si>
    <t>REC-4352-A194-39436</t>
  </si>
  <si>
    <t>12:41:25</t>
  </si>
  <si>
    <t>REC-3303-CTQ6-938161</t>
  </si>
  <si>
    <t>12:49:38</t>
  </si>
  <si>
    <t>REC-4960-A1QG-76338</t>
  </si>
  <si>
    <t>08:17:10</t>
  </si>
  <si>
    <t>20200506</t>
  </si>
  <si>
    <t>REC-011-JVA0-502428</t>
  </si>
  <si>
    <t>08:47:23</t>
  </si>
  <si>
    <t>REC-223-B7CD-557735</t>
  </si>
  <si>
    <t>08:50:16</t>
  </si>
  <si>
    <t>REC-5310-Z4YZ-910052</t>
  </si>
  <si>
    <t>09:33:57</t>
  </si>
  <si>
    <t>REC-678-3V18-561538</t>
  </si>
  <si>
    <t>REC-678-3V18-561539</t>
  </si>
  <si>
    <t>09:34:38</t>
  </si>
  <si>
    <t>REC-609-A3AI-77091</t>
  </si>
  <si>
    <t>09:37:11</t>
  </si>
  <si>
    <t>REC-613-BK8R-418762</t>
  </si>
  <si>
    <t>09:54:49</t>
  </si>
  <si>
    <t>REC-011-VD5Z-338545</t>
  </si>
  <si>
    <t>10:02:12</t>
  </si>
  <si>
    <t>REC-5635-A2YS-12239</t>
  </si>
  <si>
    <t>REC-3792-A39T-104389</t>
  </si>
  <si>
    <t>10:21:07</t>
  </si>
  <si>
    <t>REC-5770-A3HH-1568560</t>
  </si>
  <si>
    <t>10:39:32</t>
  </si>
  <si>
    <t>REC-3371-EGEG-236875</t>
  </si>
  <si>
    <t>10:55:56</t>
  </si>
  <si>
    <t>REC-3172-LIO3-64992</t>
  </si>
  <si>
    <t>11:05:50</t>
  </si>
  <si>
    <t>REC-072-GPG1-211734</t>
  </si>
  <si>
    <t>11:07:03</t>
  </si>
  <si>
    <t>REC-7131-T189-920501</t>
  </si>
  <si>
    <t>12:47:25</t>
  </si>
  <si>
    <t>REC-072-4PW8-195445</t>
  </si>
  <si>
    <t>07:55:53</t>
  </si>
  <si>
    <t>20200505</t>
  </si>
  <si>
    <t>0918822602</t>
  </si>
  <si>
    <t>3900410</t>
  </si>
  <si>
    <t>REC-072-A6LX-193274</t>
  </si>
  <si>
    <t>07:56:19</t>
  </si>
  <si>
    <t>REC-3520-A1CH-242658</t>
  </si>
  <si>
    <t>08:31:26</t>
  </si>
  <si>
    <t>REC-7122-T165-888738</t>
  </si>
  <si>
    <t>08:42:59</t>
  </si>
  <si>
    <t>REC-7107-T093-890139</t>
  </si>
  <si>
    <t>09:19:13</t>
  </si>
  <si>
    <t>REC-3295-1T8E-219561</t>
  </si>
  <si>
    <t>09:23:21</t>
  </si>
  <si>
    <t>REC-4164-A19P-144285</t>
  </si>
  <si>
    <t>09:27:11</t>
  </si>
  <si>
    <t>REC-536-TDSM-135029</t>
  </si>
  <si>
    <t>REC-3187-A2UB-142532</t>
  </si>
  <si>
    <t>10:20:53</t>
  </si>
  <si>
    <t>REC-5552-A944-894356</t>
  </si>
  <si>
    <t>10:30:52</t>
  </si>
  <si>
    <t>REC-3175-C8JC-297330</t>
  </si>
  <si>
    <t>11:12:32</t>
  </si>
  <si>
    <t>REC-4870-PRO7-2806</t>
  </si>
  <si>
    <t>11:18:29</t>
  </si>
  <si>
    <t>REC-072-4PW8-195516</t>
  </si>
  <si>
    <t>11:34:48</t>
  </si>
  <si>
    <t>REC-4963-A3A0-900088</t>
  </si>
  <si>
    <t>REC-944-KDUZ-240472</t>
  </si>
  <si>
    <t>12:12:36</t>
  </si>
  <si>
    <t>REC-5466-RP69-111</t>
  </si>
  <si>
    <t>12:31:06</t>
  </si>
  <si>
    <t>0927869339</t>
  </si>
  <si>
    <t>3907388</t>
  </si>
  <si>
    <t>REC-5310-Z4YZ-901396</t>
  </si>
  <si>
    <t>REC-4007-OIT2-903673</t>
  </si>
  <si>
    <t>14:59:32</t>
  </si>
  <si>
    <t>REC-355-J4YM-655666</t>
  </si>
  <si>
    <t>07:41:29</t>
  </si>
  <si>
    <t>20200504</t>
  </si>
  <si>
    <t>REC-3792-A24Z-545091</t>
  </si>
  <si>
    <t>08:02:29</t>
  </si>
  <si>
    <t>REC-678-3V18-561429</t>
  </si>
  <si>
    <t>08:07:45</t>
  </si>
  <si>
    <t>REC-678-3V18-561430</t>
  </si>
  <si>
    <t>08:08:06</t>
  </si>
  <si>
    <t>REC-3022-FNNL-527600</t>
  </si>
  <si>
    <t>09:08:20</t>
  </si>
  <si>
    <t>REC-3710-AAP7-401984</t>
  </si>
  <si>
    <t>09:35:23</t>
  </si>
  <si>
    <t>REC-342-EBMO-263465</t>
  </si>
  <si>
    <t>09:40:22</t>
  </si>
  <si>
    <t>REC-3182-YQHD-255601</t>
  </si>
  <si>
    <t>09:40:33</t>
  </si>
  <si>
    <t>REC-536-TDSM-134859</t>
  </si>
  <si>
    <t>09:54:14</t>
  </si>
  <si>
    <t>REC-3172-LIO7-106107</t>
  </si>
  <si>
    <t>REC-3520-A1CH-242597</t>
  </si>
  <si>
    <t>09:56:13</t>
  </si>
  <si>
    <t>REC-5433-A835-402596</t>
  </si>
  <si>
    <t>10:03:32</t>
  </si>
  <si>
    <t>REC-7305-RQ50-933</t>
  </si>
  <si>
    <t>10:13:47</t>
  </si>
  <si>
    <t>0908652324</t>
  </si>
  <si>
    <t>3908040</t>
  </si>
  <si>
    <t>REC-072-KBN0-233952</t>
  </si>
  <si>
    <t>10:35:04</t>
  </si>
  <si>
    <t>REC-4190-A13K-378828</t>
  </si>
  <si>
    <t>10:43:52</t>
  </si>
  <si>
    <t>REC-3187-YWS5-597744</t>
  </si>
  <si>
    <t>10:45:27</t>
  </si>
  <si>
    <t>REC-3577-A26V-515620</t>
  </si>
  <si>
    <t>11:48:47</t>
  </si>
  <si>
    <t>REC-5008-A28V-74005</t>
  </si>
  <si>
    <t>12:15:08</t>
  </si>
  <si>
    <t>REC-5310-Z4YZ-883382</t>
  </si>
  <si>
    <t>13:22:07</t>
  </si>
  <si>
    <t>REC-4963-A3A0-886665</t>
  </si>
  <si>
    <t>19:55:36</t>
  </si>
  <si>
    <t>1204090441</t>
  </si>
  <si>
    <t>3906743</t>
  </si>
  <si>
    <t>REC-011-VD5Z-338300</t>
  </si>
  <si>
    <t>09:31:42</t>
  </si>
  <si>
    <t>20200503</t>
  </si>
  <si>
    <t>REC-4721-A1WI-7951</t>
  </si>
  <si>
    <t>12:16:22</t>
  </si>
  <si>
    <t>REC-3710-AAP7-393596</t>
  </si>
  <si>
    <t>08:23:02</t>
  </si>
  <si>
    <t>20200502</t>
  </si>
  <si>
    <t>REC-3808-A3Z9-518478</t>
  </si>
  <si>
    <t>09:01:26</t>
  </si>
  <si>
    <t>0918953662</t>
  </si>
  <si>
    <t>3900616</t>
  </si>
  <si>
    <t>REC-4395-DAB3-395500</t>
  </si>
  <si>
    <t>10:53:16</t>
  </si>
  <si>
    <t>REC-5762-FE91-862662</t>
  </si>
  <si>
    <t>11:07:24</t>
  </si>
  <si>
    <t>REC-5987-GFL4-863051</t>
  </si>
  <si>
    <t>11:26:30</t>
  </si>
  <si>
    <t>0941711897</t>
  </si>
  <si>
    <t>3900320</t>
  </si>
  <si>
    <t>REC-3095-T359-411753</t>
  </si>
  <si>
    <t>12:09:52</t>
  </si>
  <si>
    <t>REC-3291-CTY9-863973</t>
  </si>
  <si>
    <t>12:19:05</t>
  </si>
  <si>
    <t>REC-5152-A440-865025</t>
  </si>
  <si>
    <t>13:57:29</t>
  </si>
  <si>
    <t>0918773938</t>
  </si>
  <si>
    <t>3908642</t>
  </si>
  <si>
    <t>REC-3109-TTH2-674189</t>
  </si>
  <si>
    <t>08:13:42</t>
  </si>
  <si>
    <t>20200501</t>
  </si>
  <si>
    <t>REC-4316-IOU4-849455</t>
  </si>
  <si>
    <t>08:22:02</t>
  </si>
  <si>
    <t>REC-011-VD5Z-338152</t>
  </si>
  <si>
    <t>09:17:23</t>
  </si>
  <si>
    <t>REC-5688-A5XD-15009</t>
  </si>
  <si>
    <t>09:24:10</t>
  </si>
  <si>
    <t>1307096394</t>
  </si>
  <si>
    <t>3900968</t>
  </si>
  <si>
    <t>REC-3421-A2OB-428577</t>
  </si>
  <si>
    <t>09:37:45</t>
  </si>
  <si>
    <t>REC-3371-EFX5-164416</t>
  </si>
  <si>
    <t>REC-5635-A2YS-11944</t>
  </si>
  <si>
    <t>09:55:41</t>
  </si>
  <si>
    <t>REC-678-3V18-561401</t>
  </si>
  <si>
    <t>10:09:39</t>
  </si>
  <si>
    <t>REC-3172-LIO3-64768</t>
  </si>
  <si>
    <t>10:11:19</t>
  </si>
  <si>
    <t>REC-048-AFEP-233461</t>
  </si>
  <si>
    <t>10:47:50</t>
  </si>
  <si>
    <t>REC-3161-KURB-417783</t>
  </si>
  <si>
    <t>11:20:30</t>
  </si>
  <si>
    <t>REC-3182-YQHE-228397</t>
  </si>
  <si>
    <t>0927174532</t>
  </si>
  <si>
    <t>3903633</t>
  </si>
  <si>
    <t>REC-4164-A1LY-123433</t>
  </si>
  <si>
    <t>11:31:06</t>
  </si>
  <si>
    <t>0915847073</t>
  </si>
  <si>
    <t>3908739</t>
  </si>
  <si>
    <t>REC-390-BBF4-312461</t>
  </si>
  <si>
    <t>11:37:07</t>
  </si>
  <si>
    <t>REC-3187-A2UB-142295</t>
  </si>
  <si>
    <t>12:01:34</t>
  </si>
  <si>
    <t>REC-072-4PW8-195355</t>
  </si>
  <si>
    <t>12:16:03</t>
  </si>
  <si>
    <t>REC-678-3V18-564729</t>
  </si>
  <si>
    <t>20200630</t>
  </si>
  <si>
    <t>REC-3422-A3IU-625201</t>
  </si>
  <si>
    <t>10:47:02</t>
  </si>
  <si>
    <t>REC-4164-A1LY-127799</t>
  </si>
  <si>
    <t>10:58:00</t>
  </si>
  <si>
    <t>REC-3170-YGVG-316120</t>
  </si>
  <si>
    <t>11:00:05</t>
  </si>
  <si>
    <t>REC-3172-YIGY-271859</t>
  </si>
  <si>
    <t>11:02:35</t>
  </si>
  <si>
    <t>REC-944-KDUZ-244355</t>
  </si>
  <si>
    <t>11:28:59</t>
  </si>
  <si>
    <t>REC-3577-A26V-519470</t>
  </si>
  <si>
    <t>11:37:05</t>
  </si>
  <si>
    <t>REC-072-KBN0-239399</t>
  </si>
  <si>
    <t>11:59:03</t>
  </si>
  <si>
    <t>REC-4339-A164-7198</t>
  </si>
  <si>
    <t>12:51:03</t>
  </si>
  <si>
    <t>REC-3370-A6JI-244055</t>
  </si>
  <si>
    <t>13:23:03</t>
  </si>
  <si>
    <t>REC-5310-Z4YZ-649303</t>
  </si>
  <si>
    <t>13:31:23</t>
  </si>
  <si>
    <t>REC-3510-A4F9-235535</t>
  </si>
  <si>
    <t>13:34:07</t>
  </si>
  <si>
    <t>REC-3022-FNNL-531266</t>
  </si>
  <si>
    <t>13:49:08</t>
  </si>
  <si>
    <t>REC-011-VD5Z-343456</t>
  </si>
  <si>
    <t>14:08:55</t>
  </si>
  <si>
    <t>0909025611</t>
  </si>
  <si>
    <t>3903060</t>
  </si>
  <si>
    <t>REC-045-AFEZ-557181</t>
  </si>
  <si>
    <t>14:41:52</t>
  </si>
  <si>
    <t>REC-3301-CTQ4-651562</t>
  </si>
  <si>
    <t>15:05:36</t>
  </si>
  <si>
    <t>REC-3172-LIO7-109695</t>
  </si>
  <si>
    <t>15:22:18</t>
  </si>
  <si>
    <t>REC-3172-LIO4-232848</t>
  </si>
  <si>
    <t>16:20:30</t>
  </si>
  <si>
    <t>REC-536-2GEZ-337147</t>
  </si>
  <si>
    <t>16:39:22</t>
  </si>
  <si>
    <t>REC-072-4PW8-200230</t>
  </si>
  <si>
    <t>16:40:20</t>
  </si>
  <si>
    <t>REC-3422-A3IU-625250</t>
  </si>
  <si>
    <t>18:34:53</t>
  </si>
  <si>
    <t>REC-5643-AA10-656360</t>
  </si>
  <si>
    <t>19:13:55</t>
  </si>
  <si>
    <t>REC-096-DCIZ-453057</t>
  </si>
  <si>
    <t>19:45:41</t>
  </si>
  <si>
    <t>REC-4717-FRZ4-631928</t>
  </si>
  <si>
    <t>12:19:11</t>
  </si>
  <si>
    <t>20200629</t>
  </si>
  <si>
    <t>REC-3422-A25Y-89609</t>
  </si>
  <si>
    <t>12:20:33</t>
  </si>
  <si>
    <t>REC-072-GPG1-214890</t>
  </si>
  <si>
    <t>12:52:19</t>
  </si>
  <si>
    <t>REC-4235-A1BQ-28689</t>
  </si>
  <si>
    <t>12:57:34</t>
  </si>
  <si>
    <t>REC-3200-SAMD-271153</t>
  </si>
  <si>
    <t>14:43:39</t>
  </si>
  <si>
    <t>REC-2004-CNH2-577981</t>
  </si>
  <si>
    <t>14:54:44</t>
  </si>
  <si>
    <t>REC-3371-EGEG-241883</t>
  </si>
  <si>
    <t>15:05:57</t>
  </si>
  <si>
    <t>REC-3422-A25Y-89633</t>
  </si>
  <si>
    <t>15:15:41</t>
  </si>
  <si>
    <t>REC-3520-A1CH-248374</t>
  </si>
  <si>
    <t>15:27:07</t>
  </si>
  <si>
    <t>REC-072-GPG1-214919</t>
  </si>
  <si>
    <t>15:43:52</t>
  </si>
  <si>
    <t>REC-2004-CNH2-577991</t>
  </si>
  <si>
    <t>15:49:24</t>
  </si>
  <si>
    <t>REC-5635-A2YS-16341</t>
  </si>
  <si>
    <t>15:51:43</t>
  </si>
  <si>
    <t>REC-3187-A2UB-147498</t>
  </si>
  <si>
    <t>15:54:50</t>
  </si>
  <si>
    <t>REC-551-B2PQ-298759</t>
  </si>
  <si>
    <t>16:27:33</t>
  </si>
  <si>
    <t>0913330890</t>
  </si>
  <si>
    <t>3909098</t>
  </si>
  <si>
    <t>REC-090-ULDN-585768</t>
  </si>
  <si>
    <t>17:30:19</t>
  </si>
  <si>
    <t>REC-048-QNCI-622578</t>
  </si>
  <si>
    <t>11:14:40</t>
  </si>
  <si>
    <t>20200628</t>
  </si>
  <si>
    <t>REC-342-VEHD-458084</t>
  </si>
  <si>
    <t>12:33:24</t>
  </si>
  <si>
    <t>REC-4301-IAI1-623562</t>
  </si>
  <si>
    <t>13:37:31</t>
  </si>
  <si>
    <t>REC-568-YXPM-425271</t>
  </si>
  <si>
    <t>09:30:19</t>
  </si>
  <si>
    <t>20200627</t>
  </si>
  <si>
    <t>1307954543</t>
  </si>
  <si>
    <t>3900938</t>
  </si>
  <si>
    <t>REC-096-ZU7N-247223</t>
  </si>
  <si>
    <t>REC-2004-CNH2-577869</t>
  </si>
  <si>
    <t>11:50:23</t>
  </si>
  <si>
    <t>REC-3170-YGVG-316012</t>
  </si>
  <si>
    <t>11:59:26</t>
  </si>
  <si>
    <t>REC-4164-A1CB-116619</t>
  </si>
  <si>
    <t>12:16:59</t>
  </si>
  <si>
    <t>REC-223-B7CD-561919</t>
  </si>
  <si>
    <t>13:00:15</t>
  </si>
  <si>
    <t>REC-536-TDSM-140359</t>
  </si>
  <si>
    <t>14:11:20</t>
  </si>
  <si>
    <t>REC-3022-FNNL-531100</t>
  </si>
  <si>
    <t>16:33:52</t>
  </si>
  <si>
    <t>REC-072-TTF1-310913</t>
  </si>
  <si>
    <t>17:08:40</t>
  </si>
  <si>
    <t>REC-223-B7CD-561962</t>
  </si>
  <si>
    <t>17:13:46</t>
  </si>
  <si>
    <t>REC-4209-A14Y-31408</t>
  </si>
  <si>
    <t>08:50:28</t>
  </si>
  <si>
    <t>20200626</t>
  </si>
  <si>
    <t>REC-3371-EFX5-167646</t>
  </si>
  <si>
    <t>REC-3172-LIO4-232568</t>
  </si>
  <si>
    <t>10:37:36</t>
  </si>
  <si>
    <t>REC-5310-Z4YZ-606989</t>
  </si>
  <si>
    <t>10:38:13</t>
  </si>
  <si>
    <t>REC-223-B7CD-561808</t>
  </si>
  <si>
    <t>11:14:45</t>
  </si>
  <si>
    <t>REC-5585-RQ83-10370</t>
  </si>
  <si>
    <t>11:21:25</t>
  </si>
  <si>
    <t>REC-3808-A3Z9-522568</t>
  </si>
  <si>
    <t>11:29:28</t>
  </si>
  <si>
    <t>REC-4007-OIT2-608738</t>
  </si>
  <si>
    <t>11:52:44</t>
  </si>
  <si>
    <t>0900122722</t>
  </si>
  <si>
    <t>3906390</t>
  </si>
  <si>
    <t>REC-3370-A6JI-243747</t>
  </si>
  <si>
    <t>12:39:23</t>
  </si>
  <si>
    <t>REC-678-3V18-564610</t>
  </si>
  <si>
    <t>REC-678-3V18-564611</t>
  </si>
  <si>
    <t>16:04:31</t>
  </si>
  <si>
    <t>0912637543</t>
  </si>
  <si>
    <t>3902116</t>
  </si>
  <si>
    <t>REC-3421-A2OB-433188</t>
  </si>
  <si>
    <t>16:48:52</t>
  </si>
  <si>
    <t>REC-3370-A6JI-243788</t>
  </si>
  <si>
    <t>16:58:59</t>
  </si>
  <si>
    <t>REC-342-EBMO-267621</t>
  </si>
  <si>
    <t>17:52:25</t>
  </si>
  <si>
    <t>REC-3172-LIO7-109462</t>
  </si>
  <si>
    <t>10:56:12</t>
  </si>
  <si>
    <t>20200625</t>
  </si>
  <si>
    <t>REC-3143-AWFJ-324644</t>
  </si>
  <si>
    <t>11:10:10</t>
  </si>
  <si>
    <t>REC-3371-LD0C-279114</t>
  </si>
  <si>
    <t>11:25:36</t>
  </si>
  <si>
    <t>REC-3187-YWS5-601211</t>
  </si>
  <si>
    <t>11:41:37</t>
  </si>
  <si>
    <t>REC-3370-A6JI-243652</t>
  </si>
  <si>
    <t>REC-072-A6LX-198161</t>
  </si>
  <si>
    <t>12:25:28</t>
  </si>
  <si>
    <t>REC-944-PR10-419639</t>
  </si>
  <si>
    <t>12:55:28</t>
  </si>
  <si>
    <t>REC-3412-PTE5-597381</t>
  </si>
  <si>
    <t>13:08:11</t>
  </si>
  <si>
    <t>REC-048-QNCI-622482</t>
  </si>
  <si>
    <t>13:55:55</t>
  </si>
  <si>
    <t>REC-2004-CNH2-577773</t>
  </si>
  <si>
    <t>14:06:19</t>
  </si>
  <si>
    <t>REC-3792-A24Z-549699</t>
  </si>
  <si>
    <t>17:01:45</t>
  </si>
  <si>
    <t>REC-7449-PR47-678638</t>
  </si>
  <si>
    <t>17:44:34</t>
  </si>
  <si>
    <t>REC-585-ZQVC-446470</t>
  </si>
  <si>
    <t>18:09:29</t>
  </si>
  <si>
    <t>REC-011-VD5Z-343154</t>
  </si>
  <si>
    <t>18:56:27</t>
  </si>
  <si>
    <t>REC-4164-A1LY-127371</t>
  </si>
  <si>
    <t>10:36:12</t>
  </si>
  <si>
    <t>20200624</t>
  </si>
  <si>
    <t>0993034460001</t>
  </si>
  <si>
    <t>3902960</t>
  </si>
  <si>
    <t>REC-095-AJSE-659692</t>
  </si>
  <si>
    <t>10:48:20</t>
  </si>
  <si>
    <t>3902950</t>
  </si>
  <si>
    <t>REC-095-AJSE-659693</t>
  </si>
  <si>
    <t>10:49:07</t>
  </si>
  <si>
    <t>0993031410001</t>
  </si>
  <si>
    <t>3908785</t>
  </si>
  <si>
    <t>REC-3371-LD0C-279031</t>
  </si>
  <si>
    <t>REC-223-B7CD-561560</t>
  </si>
  <si>
    <t>11:08:59</t>
  </si>
  <si>
    <t>0930845367</t>
  </si>
  <si>
    <t>3900473</t>
  </si>
  <si>
    <t>REC-5310-Z4YZ-581881</t>
  </si>
  <si>
    <t>11:24:28</t>
  </si>
  <si>
    <t>REC-3295-1TWC-211670</t>
  </si>
  <si>
    <t>11:46:45</t>
  </si>
  <si>
    <t>REC-3792-A39T-108530</t>
  </si>
  <si>
    <t>12:10:53</t>
  </si>
  <si>
    <t>0926538034</t>
  </si>
  <si>
    <t>3902680</t>
  </si>
  <si>
    <t>REC-011-VD5Z-343005</t>
  </si>
  <si>
    <t>12:15:15</t>
  </si>
  <si>
    <t>REC-3370-A6JI-243550</t>
  </si>
  <si>
    <t>12:20:05</t>
  </si>
  <si>
    <t>REC-3182-YQG9-274046</t>
  </si>
  <si>
    <t>13:05:10</t>
  </si>
  <si>
    <t>REC-223-B7CD-561590</t>
  </si>
  <si>
    <t>13:21:21</t>
  </si>
  <si>
    <t>REC-3172-LIO5-563463</t>
  </si>
  <si>
    <t>13:34:54</t>
  </si>
  <si>
    <t>0102341765</t>
  </si>
  <si>
    <t>3908891</t>
  </si>
  <si>
    <t>REC-536-TDSM-140224</t>
  </si>
  <si>
    <t>14:05:14</t>
  </si>
  <si>
    <t>REC-3370-A6JI-243611</t>
  </si>
  <si>
    <t>18:00:05</t>
  </si>
  <si>
    <t>0910770403</t>
  </si>
  <si>
    <t>3902498</t>
  </si>
  <si>
    <t>REC-3175-A3LN-122653</t>
  </si>
  <si>
    <t>18:31:06</t>
  </si>
  <si>
    <t>REC-4164-A1LY-127437</t>
  </si>
  <si>
    <t>18:33:28</t>
  </si>
  <si>
    <t>REC-3140-V8BE-496687</t>
  </si>
  <si>
    <t>18:38:31</t>
  </si>
  <si>
    <t>0918827064</t>
  </si>
  <si>
    <t>3903620</t>
  </si>
  <si>
    <t>REC-7455-PR51-569583</t>
  </si>
  <si>
    <t>13:21:13</t>
  </si>
  <si>
    <t>20200623</t>
  </si>
  <si>
    <t>0962146189</t>
  </si>
  <si>
    <t>3901614</t>
  </si>
  <si>
    <t>REC-095-AJSE-659532</t>
  </si>
  <si>
    <t>14:44:38</t>
  </si>
  <si>
    <t>20200622</t>
  </si>
  <si>
    <t>REC-011-VD5Z-342580</t>
  </si>
  <si>
    <t>09:49:40</t>
  </si>
  <si>
    <t>20200620</t>
  </si>
  <si>
    <t>0919379719</t>
  </si>
  <si>
    <t>3903931</t>
  </si>
  <si>
    <t>REC-3370-A6JI-243175</t>
  </si>
  <si>
    <t>09:57:14</t>
  </si>
  <si>
    <t>REC-355-J4YM-660786</t>
  </si>
  <si>
    <t>11:10:37</t>
  </si>
  <si>
    <t>at-3074</t>
  </si>
  <si>
    <t>REC-5310-Z4YZ-534049</t>
  </si>
  <si>
    <t>11:35:18</t>
  </si>
  <si>
    <t>REC-342-VEHD-457567</t>
  </si>
  <si>
    <t>13:20:57</t>
  </si>
  <si>
    <t>0919750810</t>
  </si>
  <si>
    <t>3909157</t>
  </si>
  <si>
    <t>REC-3520-A1CH-247623</t>
  </si>
  <si>
    <t>16:09:56</t>
  </si>
  <si>
    <t>REC-4278-IOI5-520300</t>
  </si>
  <si>
    <t>20200619</t>
  </si>
  <si>
    <t>REC-3022-FNNL-530552</t>
  </si>
  <si>
    <t>11:06:36</t>
  </si>
  <si>
    <t>REC-3520-A1CH-247516</t>
  </si>
  <si>
    <t>11:42:20</t>
  </si>
  <si>
    <t>REC-3187-A2UE-37080</t>
  </si>
  <si>
    <t>12:53:03</t>
  </si>
  <si>
    <t>REC-342-VEHD-457455</t>
  </si>
  <si>
    <t>0914064175</t>
  </si>
  <si>
    <t>3930085</t>
  </si>
  <si>
    <t>REC-3808-A3Z9-522107</t>
  </si>
  <si>
    <t>14:11:51</t>
  </si>
  <si>
    <t>REC-008-PB64-379520</t>
  </si>
  <si>
    <t>15:07:25</t>
  </si>
  <si>
    <t>0915837462</t>
  </si>
  <si>
    <t>3900607</t>
  </si>
  <si>
    <t>REC-5310-Z4YZ-527218</t>
  </si>
  <si>
    <t>15:46:05</t>
  </si>
  <si>
    <t>REC-944-ZF9M-193951</t>
  </si>
  <si>
    <t>15:48:36</t>
  </si>
  <si>
    <t>REC-072-AJ3R-240428</t>
  </si>
  <si>
    <t>15:52:09</t>
  </si>
  <si>
    <t>REC-3371-EGEG-241057</t>
  </si>
  <si>
    <t>15:53:43</t>
  </si>
  <si>
    <t>REC-4963-A3A0-529882</t>
  </si>
  <si>
    <t>18:28:02</t>
  </si>
  <si>
    <t>REC-165-LOA2-146690</t>
  </si>
  <si>
    <t>09:43:07</t>
  </si>
  <si>
    <t>20200618</t>
  </si>
  <si>
    <t>REC-165-LOA2-146693</t>
  </si>
  <si>
    <t>09:55:36</t>
  </si>
  <si>
    <t>REC-3520-A1CH-247389</t>
  </si>
  <si>
    <t>10:32:11</t>
  </si>
  <si>
    <t>REC-3520-A1CH-247397</t>
  </si>
  <si>
    <t>10:53:17</t>
  </si>
  <si>
    <t>REC-543-U5H7-557247</t>
  </si>
  <si>
    <t>11:10:22</t>
  </si>
  <si>
    <t>REC-072-TTF1-310352</t>
  </si>
  <si>
    <t>12:07:59</t>
  </si>
  <si>
    <t>REC-3172-LIO4-231930</t>
  </si>
  <si>
    <t>13:05:23</t>
  </si>
  <si>
    <t>0993238155001</t>
  </si>
  <si>
    <t>3903497</t>
  </si>
  <si>
    <t>REC-611-J4ZN-495847</t>
  </si>
  <si>
    <t>13:10:40</t>
  </si>
  <si>
    <t>REC-4963-A3A0-508523</t>
  </si>
  <si>
    <t>13:22:19</t>
  </si>
  <si>
    <t>REC-944-LRJ0-389648</t>
  </si>
  <si>
    <t>14:42:46</t>
  </si>
  <si>
    <t>REC-3172-LIO6-115933</t>
  </si>
  <si>
    <t>15:18:13</t>
  </si>
  <si>
    <t>0903277895</t>
  </si>
  <si>
    <t>3945202</t>
  </si>
  <si>
    <t>REC-072-4PW8-199304</t>
  </si>
  <si>
    <t>15:23:30</t>
  </si>
  <si>
    <t>REC-090-ULDN-584667</t>
  </si>
  <si>
    <t>16:35:32</t>
  </si>
  <si>
    <t>REC-5117-A283-4665</t>
  </si>
  <si>
    <t>20200617</t>
  </si>
  <si>
    <t>REC-3392-A39W-402410</t>
  </si>
  <si>
    <t>09:52:18</t>
  </si>
  <si>
    <t>REC-342-EBMO-266772</t>
  </si>
  <si>
    <t>13:16:57</t>
  </si>
  <si>
    <t>REC-551-B2PQ-297841</t>
  </si>
  <si>
    <t>15:45:50</t>
  </si>
  <si>
    <t>0903877868</t>
  </si>
  <si>
    <t>3908286</t>
  </si>
  <si>
    <t>REC-3201-Y46O-408593</t>
  </si>
  <si>
    <t>16:00:45</t>
  </si>
  <si>
    <t>0907311021</t>
  </si>
  <si>
    <t>3930256</t>
  </si>
  <si>
    <t>REC-348-AB9D-128184</t>
  </si>
  <si>
    <t>16:25:42</t>
  </si>
  <si>
    <t>0913506283</t>
  </si>
  <si>
    <t>3907938</t>
  </si>
  <si>
    <t>REC-348-AB9D-128185</t>
  </si>
  <si>
    <t>16:26:36</t>
  </si>
  <si>
    <t>REC-5243-A2DR-9447</t>
  </si>
  <si>
    <t>17:12:59</t>
  </si>
  <si>
    <t>REC-342-VEHD-457313</t>
  </si>
  <si>
    <t>18:17:20</t>
  </si>
  <si>
    <t>0918858671</t>
  </si>
  <si>
    <t>3906888</t>
  </si>
  <si>
    <t>REC-048-QNCI-622050</t>
  </si>
  <si>
    <t>18:20:07</t>
  </si>
  <si>
    <t>REC-3187-YWS5-600784</t>
  </si>
  <si>
    <t>18:55:54</t>
  </si>
  <si>
    <t>REC-4303-IAI3-467106</t>
  </si>
  <si>
    <t>09:17:05</t>
  </si>
  <si>
    <t>20200616</t>
  </si>
  <si>
    <t>REC-3095-T359-415985</t>
  </si>
  <si>
    <t>09:18:57</t>
  </si>
  <si>
    <t>REC-3809-A2FM-124081</t>
  </si>
  <si>
    <t>10:07:35</t>
  </si>
  <si>
    <t>1202555536</t>
  </si>
  <si>
    <t>3901739</t>
  </si>
  <si>
    <t>REC-061-A6S3-209778</t>
  </si>
  <si>
    <t>10:27:04</t>
  </si>
  <si>
    <t>REC-049-A2U2-44899</t>
  </si>
  <si>
    <t>10:54:49</t>
  </si>
  <si>
    <t>REC-004-KA8J-587539</t>
  </si>
  <si>
    <t>12:18:39</t>
  </si>
  <si>
    <t>REC-004-KA8J-587540</t>
  </si>
  <si>
    <t>12:19:28</t>
  </si>
  <si>
    <t>0907844088</t>
  </si>
  <si>
    <t>3908874</t>
  </si>
  <si>
    <t>REC-3370-A6JI-242776</t>
  </si>
  <si>
    <t>12:41:21</t>
  </si>
  <si>
    <t>REC-3370-A6JI-242777</t>
  </si>
  <si>
    <t>12:41:57</t>
  </si>
  <si>
    <t>REC-3182-YQHG-214581</t>
  </si>
  <si>
    <t>12:44:11</t>
  </si>
  <si>
    <t>REC-7349-RR00-476184</t>
  </si>
  <si>
    <t>14:58:05</t>
  </si>
  <si>
    <t>REC-342-VEHD-457195</t>
  </si>
  <si>
    <t>17:12:48</t>
  </si>
  <si>
    <t>REC-5635-A2YS-15592</t>
  </si>
  <si>
    <t>17:53:43</t>
  </si>
  <si>
    <t>0920331600</t>
  </si>
  <si>
    <t>3906836</t>
  </si>
  <si>
    <t>REC-944-LRJ0-389150</t>
  </si>
  <si>
    <t>09:02:07</t>
  </si>
  <si>
    <t>20200615</t>
  </si>
  <si>
    <t>REC-613-BK8R-420438</t>
  </si>
  <si>
    <t>09:36:14</t>
  </si>
  <si>
    <t>REC-4319-A1I3-26637</t>
  </si>
  <si>
    <t>09:44:49</t>
  </si>
  <si>
    <t>REC-5433-A835-624294</t>
  </si>
  <si>
    <t>10:22:39</t>
  </si>
  <si>
    <t>REC-072-TTF1-310016</t>
  </si>
  <si>
    <t>11:09:36</t>
  </si>
  <si>
    <t>0905198925</t>
  </si>
  <si>
    <t>3907618</t>
  </si>
  <si>
    <t>REC-4164-A1LY-126547</t>
  </si>
  <si>
    <t>0931138135</t>
  </si>
  <si>
    <t>3906889</t>
  </si>
  <si>
    <t>REC-226-B7CC-708262</t>
  </si>
  <si>
    <t>11:46:38</t>
  </si>
  <si>
    <t>REC-678-3V18-563819</t>
  </si>
  <si>
    <t>11:49:32</t>
  </si>
  <si>
    <t>REC-049-A518-1560923</t>
  </si>
  <si>
    <t>12:31:01</t>
  </si>
  <si>
    <t>REC-049-A518-1560924</t>
  </si>
  <si>
    <t>12:31:11</t>
  </si>
  <si>
    <t>REC-3187-YWS5-600559</t>
  </si>
  <si>
    <t>15:24:52</t>
  </si>
  <si>
    <t>0923613582</t>
  </si>
  <si>
    <t>3907833</t>
  </si>
  <si>
    <t>REC-3172-YIGW-306689</t>
  </si>
  <si>
    <t>15:33:51</t>
  </si>
  <si>
    <t>REC-536-2GEZ-335950</t>
  </si>
  <si>
    <t>15:43:06</t>
  </si>
  <si>
    <t>1200748711</t>
  </si>
  <si>
    <t>3945165</t>
  </si>
  <si>
    <t>REC-3175-C8JC-301113</t>
  </si>
  <si>
    <t>15:45:42</t>
  </si>
  <si>
    <t>REC-3161-KURB-421316</t>
  </si>
  <si>
    <t>15:50:37</t>
  </si>
  <si>
    <t>0917142572</t>
  </si>
  <si>
    <t>3907812</t>
  </si>
  <si>
    <t>REC-072-A6LX-197217</t>
  </si>
  <si>
    <t>16:15:39</t>
  </si>
  <si>
    <t>0905417184</t>
  </si>
  <si>
    <t>3908307</t>
  </si>
  <si>
    <t>REC-3421-A2OB-432068</t>
  </si>
  <si>
    <t>17:18:02</t>
  </si>
  <si>
    <t>1714057393</t>
  </si>
  <si>
    <t>3900479</t>
  </si>
  <si>
    <t>REC-3978-LUO2-462825</t>
  </si>
  <si>
    <t>17:21:38</t>
  </si>
  <si>
    <t>REC-096-HG9K-302806</t>
  </si>
  <si>
    <t>17:21:48</t>
  </si>
  <si>
    <t>REC-5310-Z4YZ-439209</t>
  </si>
  <si>
    <t>08:55:06</t>
  </si>
  <si>
    <t>20200614</t>
  </si>
  <si>
    <t>REC-3170-YGVG-315137</t>
  </si>
  <si>
    <t>12:12:52</t>
  </si>
  <si>
    <t>REC-090-ULDN-584012</t>
  </si>
  <si>
    <t>15:28:23</t>
  </si>
  <si>
    <t>REC-3187-A2UE-36624</t>
  </si>
  <si>
    <t>11:15:13</t>
  </si>
  <si>
    <t>20200613</t>
  </si>
  <si>
    <t>REC-7100-A69T-6081</t>
  </si>
  <si>
    <t>11:28:01</t>
  </si>
  <si>
    <t>REC-3792-A24Z-548714</t>
  </si>
  <si>
    <t>12:37:42</t>
  </si>
  <si>
    <t>REC-543-U5H7-556888</t>
  </si>
  <si>
    <t>13:04:32</t>
  </si>
  <si>
    <t>REC-3109-TTH2-677211</t>
  </si>
  <si>
    <t>14:15:57</t>
  </si>
  <si>
    <t>REC-072-4PW8-198782</t>
  </si>
  <si>
    <t>15:06:30</t>
  </si>
  <si>
    <t>0918012972</t>
  </si>
  <si>
    <t>3901179</t>
  </si>
  <si>
    <t>REC-061-A3Y4-250411</t>
  </si>
  <si>
    <t>18:51:32</t>
  </si>
  <si>
    <t>0922554555</t>
  </si>
  <si>
    <t>3903451</t>
  </si>
  <si>
    <t>REC-049-A2U2-44646</t>
  </si>
  <si>
    <t>09:25:14</t>
  </si>
  <si>
    <t>20200612</t>
  </si>
  <si>
    <t>REC-3520-A1CH-246780</t>
  </si>
  <si>
    <t>12:30:10</t>
  </si>
  <si>
    <t>REC-3023-IZCF-566669</t>
  </si>
  <si>
    <t>12:58:26</t>
  </si>
  <si>
    <t>REC-348-1R2Q-433404</t>
  </si>
  <si>
    <t>13:18:20</t>
  </si>
  <si>
    <t>REC-348-1R2Q-433405</t>
  </si>
  <si>
    <t>13:19:45</t>
  </si>
  <si>
    <t>REC-072-TTF1-309858</t>
  </si>
  <si>
    <t>13:30:05</t>
  </si>
  <si>
    <t>REC-3172-LIO6-115413</t>
  </si>
  <si>
    <t>14:58:56</t>
  </si>
  <si>
    <t>REC-3172-YIGW-306487</t>
  </si>
  <si>
    <t>15:53:55</t>
  </si>
  <si>
    <t>REC-046-AFER-611991</t>
  </si>
  <si>
    <t>16:39:11</t>
  </si>
  <si>
    <t>REC-7212-RP62-428052</t>
  </si>
  <si>
    <t>17:15:42</t>
  </si>
  <si>
    <t>REC-4319-A1I3-26599</t>
  </si>
  <si>
    <t>20200611</t>
  </si>
  <si>
    <t>REC-3808-A3Z9-521471</t>
  </si>
  <si>
    <t>10:30:17</t>
  </si>
  <si>
    <t>REC-4960-A1QG-80044</t>
  </si>
  <si>
    <t>10:42:37</t>
  </si>
  <si>
    <t>REC-3371-EFX5-166439</t>
  </si>
  <si>
    <t>11:17:30</t>
  </si>
  <si>
    <t>REC-3143-AWFJ-323533</t>
  </si>
  <si>
    <t>11:34:01</t>
  </si>
  <si>
    <t>REC-072-4PW8-198574</t>
  </si>
  <si>
    <t>13:13:18</t>
  </si>
  <si>
    <t>REC-355-N45U-551462</t>
  </si>
  <si>
    <t>13:30:01</t>
  </si>
  <si>
    <t>REC-3200-SAMK-219113</t>
  </si>
  <si>
    <t>14:17:40</t>
  </si>
  <si>
    <t>0914099312</t>
  </si>
  <si>
    <t>3900195</t>
  </si>
  <si>
    <t>REC-4273-PRO8-10822</t>
  </si>
  <si>
    <t>at-3068</t>
  </si>
  <si>
    <t>REC-218-B6EC-355606</t>
  </si>
  <si>
    <t>16:13:08</t>
  </si>
  <si>
    <t>REC-364-14ZM-1421904</t>
  </si>
  <si>
    <t>16:48:44</t>
  </si>
  <si>
    <t>REC-5635-A2YS-15143</t>
  </si>
  <si>
    <t>17:33:30</t>
  </si>
  <si>
    <t>0917102634</t>
  </si>
  <si>
    <t>3901747</t>
  </si>
  <si>
    <t>REC-3784-ATA2-172117</t>
  </si>
  <si>
    <t>19:42:31</t>
  </si>
  <si>
    <t>REC-4319-1AH9-5425</t>
  </si>
  <si>
    <t>09:17:15</t>
  </si>
  <si>
    <t>20200610</t>
  </si>
  <si>
    <t>REC-4167-WDE2-383354</t>
  </si>
  <si>
    <t>09:36:40</t>
  </si>
  <si>
    <t>0916254691</t>
  </si>
  <si>
    <t>3901068</t>
  </si>
  <si>
    <t>REC-611-HYM3-92677</t>
  </si>
  <si>
    <t>09:54:21</t>
  </si>
  <si>
    <t>3903125</t>
  </si>
  <si>
    <t>REC-611-HYM3-92678</t>
  </si>
  <si>
    <t>09:54:33</t>
  </si>
  <si>
    <t>3902103</t>
  </si>
  <si>
    <t>REC-611-HYM3-92679</t>
  </si>
  <si>
    <t>0930476551</t>
  </si>
  <si>
    <t>3901624</t>
  </si>
  <si>
    <t>REC-609-A1M3-313488</t>
  </si>
  <si>
    <t>REC-090-ULDN-583289</t>
  </si>
  <si>
    <t>09:59:20</t>
  </si>
  <si>
    <t>REC-944-KDUZ-242593</t>
  </si>
  <si>
    <t>10:00:51</t>
  </si>
  <si>
    <t>REC-5585-RQ83-9224</t>
  </si>
  <si>
    <t>10:05:15</t>
  </si>
  <si>
    <t>REC-3295-1T8A-203483</t>
  </si>
  <si>
    <t>11:37:36</t>
  </si>
  <si>
    <t>REC-5762-FE91-388149</t>
  </si>
  <si>
    <t>11:44:45</t>
  </si>
  <si>
    <t>REC-3520-A1CH-246528</t>
  </si>
  <si>
    <t>12:10:46</t>
  </si>
  <si>
    <t>REC-5310-Z4YZ-389369</t>
  </si>
  <si>
    <t>12:22:34</t>
  </si>
  <si>
    <t>REC-3370-A6JI-242169</t>
  </si>
  <si>
    <t>12:39:31</t>
  </si>
  <si>
    <t>REC-3422-A25Y-88494</t>
  </si>
  <si>
    <t>12:58:50</t>
  </si>
  <si>
    <t>REC-072-AJ3R-239445</t>
  </si>
  <si>
    <t>13:14:17</t>
  </si>
  <si>
    <t>0914665708</t>
  </si>
  <si>
    <t>3902721</t>
  </si>
  <si>
    <t>REC-551-VOI8-598710</t>
  </si>
  <si>
    <t>14:24:55</t>
  </si>
  <si>
    <t>REC-3676-AAK8-603065</t>
  </si>
  <si>
    <t>15:52:23</t>
  </si>
  <si>
    <t>REC-3187-A2UE-36423</t>
  </si>
  <si>
    <t>16:20:38</t>
  </si>
  <si>
    <t>0921233532</t>
  </si>
  <si>
    <t>3903288</t>
  </si>
  <si>
    <t>REC-390-SB17-589765</t>
  </si>
  <si>
    <t>18:08:41</t>
  </si>
  <si>
    <t>REC-3172-YIGW-306093</t>
  </si>
  <si>
    <t>09:27:59</t>
  </si>
  <si>
    <t>20200609</t>
  </si>
  <si>
    <t>REC-223-B7CD-560095</t>
  </si>
  <si>
    <t>10:21:14</t>
  </si>
  <si>
    <t>0914685177</t>
  </si>
  <si>
    <t>3909870</t>
  </si>
  <si>
    <t>REC-241-M1DC-334481</t>
  </si>
  <si>
    <t>11:35:22</t>
  </si>
  <si>
    <t>REC-551-VOI8-598597</t>
  </si>
  <si>
    <t>12:04:04</t>
  </si>
  <si>
    <t>REC-096-HG9K-302097</t>
  </si>
  <si>
    <t>12:37:38</t>
  </si>
  <si>
    <t>REC-7057-A66Z-4940</t>
  </si>
  <si>
    <t>12:40:32</t>
  </si>
  <si>
    <t>REC-5310-Z4YZ-374013</t>
  </si>
  <si>
    <t>13:30:52</t>
  </si>
  <si>
    <t>REC-223-V7XD-258688</t>
  </si>
  <si>
    <t>13:38:41</t>
  </si>
  <si>
    <t>REC-3182-SS15-9978</t>
  </si>
  <si>
    <t>13:57:17</t>
  </si>
  <si>
    <t>REC-3182-YQHG-214048</t>
  </si>
  <si>
    <t>14:23:34</t>
  </si>
  <si>
    <t>REC-3371-EFX5-166335</t>
  </si>
  <si>
    <t>15:45:13</t>
  </si>
  <si>
    <t>REC-678-3V18-563458</t>
  </si>
  <si>
    <t>15:49:13</t>
  </si>
  <si>
    <t>0923215925</t>
  </si>
  <si>
    <t>3902422</t>
  </si>
  <si>
    <t>REC-072-A6LX-196780</t>
  </si>
  <si>
    <t>15:51:02</t>
  </si>
  <si>
    <t>REC-3182-YQHD-257000</t>
  </si>
  <si>
    <t>15:51:23</t>
  </si>
  <si>
    <t>REC-008-PB64-378973</t>
  </si>
  <si>
    <t>17:14:51</t>
  </si>
  <si>
    <t>REC-008-PB64-378974</t>
  </si>
  <si>
    <t>17:16:08</t>
  </si>
  <si>
    <t>3908226</t>
  </si>
  <si>
    <t>REC-008-PB64-378975</t>
  </si>
  <si>
    <t>17:16:40</t>
  </si>
  <si>
    <t>REC-3422-A3IU-623799</t>
  </si>
  <si>
    <t>17:56:27</t>
  </si>
  <si>
    <t>REC-241-BEJD-564052</t>
  </si>
  <si>
    <t>08:45:54</t>
  </si>
  <si>
    <t>20200608</t>
  </si>
  <si>
    <t>REC-5687-PRA5-457</t>
  </si>
  <si>
    <t>09:43:58</t>
  </si>
  <si>
    <t>REC-4966-A3Z7-347736</t>
  </si>
  <si>
    <t>10:23:03</t>
  </si>
  <si>
    <t>REC-355-J4YM-659433</t>
  </si>
  <si>
    <t>11:19:56</t>
  </si>
  <si>
    <t>REC-3022-A364-117997</t>
  </si>
  <si>
    <t>REC-061-AF82-273940</t>
  </si>
  <si>
    <t>12:08:11</t>
  </si>
  <si>
    <t>REC-5310-Z4YZ-353603</t>
  </si>
  <si>
    <t>12:29:00</t>
  </si>
  <si>
    <t>REC-245-BEJI-651997</t>
  </si>
  <si>
    <t>12:46:44</t>
  </si>
  <si>
    <t>REC-3187-A2UB-145748</t>
  </si>
  <si>
    <t>13:22:11</t>
  </si>
  <si>
    <t>REC-072-4PW8-198284</t>
  </si>
  <si>
    <t>13:53:09</t>
  </si>
  <si>
    <t>REC-008-PB64-378918</t>
  </si>
  <si>
    <t>14:05:24</t>
  </si>
  <si>
    <t>REC-3554-PTY2-357136</t>
  </si>
  <si>
    <t>14:24:05</t>
  </si>
  <si>
    <t>REC-355-J4YM-659473</t>
  </si>
  <si>
    <t>14:48:21</t>
  </si>
  <si>
    <t>0924219447001</t>
  </si>
  <si>
    <t>3930293</t>
  </si>
  <si>
    <t>REC-4963-A3A0-358402</t>
  </si>
  <si>
    <t>15:02:28</t>
  </si>
  <si>
    <t>0915634547001</t>
  </si>
  <si>
    <t>3907221</t>
  </si>
  <si>
    <t>REC-536-2GEZ-335245</t>
  </si>
  <si>
    <t>15:11:00</t>
  </si>
  <si>
    <t>3907220</t>
  </si>
  <si>
    <t>REC-536-2GEZ-335246</t>
  </si>
  <si>
    <t>15:11:51</t>
  </si>
  <si>
    <t>REC-4164-A1LY-126039</t>
  </si>
  <si>
    <t>16:15:54</t>
  </si>
  <si>
    <t>REC-3783-ACA1-592404</t>
  </si>
  <si>
    <t>1708599012</t>
  </si>
  <si>
    <t>23923047</t>
  </si>
  <si>
    <t>REC-5310-Z4YZ-361512</t>
  </si>
  <si>
    <t>17:09:26</t>
  </si>
  <si>
    <t>REC-944-KDUZ-242490</t>
  </si>
  <si>
    <t>17:43:14</t>
  </si>
  <si>
    <t>REC-3187-A2UB-145679</t>
  </si>
  <si>
    <t>18:49:49</t>
  </si>
  <si>
    <t>20200607</t>
  </si>
  <si>
    <t>at-3065</t>
  </si>
  <si>
    <t>REC-2004-CNH2-575932</t>
  </si>
  <si>
    <t>08:46:17</t>
  </si>
  <si>
    <t>20200606</t>
  </si>
  <si>
    <t>REC-613-BK8R-420033</t>
  </si>
  <si>
    <t>10:15:49</t>
  </si>
  <si>
    <t>REC-536-2GEZ-335168</t>
  </si>
  <si>
    <t>10:19:04</t>
  </si>
  <si>
    <t>REC-011-JVA0-504534</t>
  </si>
  <si>
    <t>11:42:54</t>
  </si>
  <si>
    <t>REC-072-A6LX-196464</t>
  </si>
  <si>
    <t>11:48:18</t>
  </si>
  <si>
    <t>REC-3187-YWS5-599922</t>
  </si>
  <si>
    <t>12:50:11</t>
  </si>
  <si>
    <t>REC-3422-A3IU-623529</t>
  </si>
  <si>
    <t>13:24:45</t>
  </si>
  <si>
    <t>REC-3370-A6JI-241817</t>
  </si>
  <si>
    <t>14:18:58</t>
  </si>
  <si>
    <t>REC-355-N45U-551052</t>
  </si>
  <si>
    <t>14:26:06</t>
  </si>
  <si>
    <t>REC-4395-DAB3-582348</t>
  </si>
  <si>
    <t>14:44:37</t>
  </si>
  <si>
    <t>REC-518-RI6X-422422</t>
  </si>
  <si>
    <t>15:32:25</t>
  </si>
  <si>
    <t>REC-3175-C8JC-300399</t>
  </si>
  <si>
    <t>15:44:14</t>
  </si>
  <si>
    <t>REC-3422-A3IU-623557</t>
  </si>
  <si>
    <t>16:45:06</t>
  </si>
  <si>
    <t>REC-3422-A3IU-623559</t>
  </si>
  <si>
    <t>16:57:01</t>
  </si>
  <si>
    <t>REC-061-A3Y4-250325</t>
  </si>
  <si>
    <t>19:53:00</t>
  </si>
  <si>
    <t>REC-3172-LIO4-230777</t>
  </si>
  <si>
    <t>10:34:06</t>
  </si>
  <si>
    <t>20200605</t>
  </si>
  <si>
    <t>0908668379</t>
  </si>
  <si>
    <t>3903286</t>
  </si>
  <si>
    <t>REC-4257-A221-114063</t>
  </si>
  <si>
    <t>11:18:39</t>
  </si>
  <si>
    <t>REC-4010-LOP1-320543</t>
  </si>
  <si>
    <t>11:48:00</t>
  </si>
  <si>
    <t>REC-3140-V8BE-495584</t>
  </si>
  <si>
    <t>12:33:31</t>
  </si>
  <si>
    <t>REC-536-2GEZ-335053</t>
  </si>
  <si>
    <t>12:53:38</t>
  </si>
  <si>
    <t>REC-2004-CNH2-575874</t>
  </si>
  <si>
    <t>12:54:39</t>
  </si>
  <si>
    <t>REC-4819-FSK5-323503</t>
  </si>
  <si>
    <t>13:20:37</t>
  </si>
  <si>
    <t>REC-342-VEHD-456333</t>
  </si>
  <si>
    <t>13:41:19</t>
  </si>
  <si>
    <t>REC-390-BBF4-314496</t>
  </si>
  <si>
    <t>13:53:36</t>
  </si>
  <si>
    <t>0992234148001</t>
  </si>
  <si>
    <t>3901310</t>
  </si>
  <si>
    <t>REC-3187-YWS5-599842</t>
  </si>
  <si>
    <t>15:27:14</t>
  </si>
  <si>
    <t>REC-3200-SAMD-269862</t>
  </si>
  <si>
    <t>15:46:08</t>
  </si>
  <si>
    <t>REC-3182-YQHD-256716</t>
  </si>
  <si>
    <t>16:16:40</t>
  </si>
  <si>
    <t>0913886818</t>
  </si>
  <si>
    <t>3908061</t>
  </si>
  <si>
    <t>REC-3187-YWS5-599858</t>
  </si>
  <si>
    <t>16:39:32</t>
  </si>
  <si>
    <t>REC-3370-A6JI-241749</t>
  </si>
  <si>
    <t>16:54:43</t>
  </si>
  <si>
    <t>REC-3412-PTE5-329184</t>
  </si>
  <si>
    <t>18:36:40</t>
  </si>
  <si>
    <t>REC-810-5CAY-420436</t>
  </si>
  <si>
    <t>08:56:09</t>
  </si>
  <si>
    <t>20200604</t>
  </si>
  <si>
    <t>REC-4963-A3A0-298252</t>
  </si>
  <si>
    <t>09:34:57</t>
  </si>
  <si>
    <t>REC-5585-RQ83-8701</t>
  </si>
  <si>
    <t>10:37:33</t>
  </si>
  <si>
    <t>1311205544</t>
  </si>
  <si>
    <t>3900193</t>
  </si>
  <si>
    <t>REC-3161-KURB-420272</t>
  </si>
  <si>
    <t>10:41:57</t>
  </si>
  <si>
    <t>REC-4960-A1QG-79255</t>
  </si>
  <si>
    <t>10:48:07</t>
  </si>
  <si>
    <t>REC-3370-A6JI-241565</t>
  </si>
  <si>
    <t>11:17:05</t>
  </si>
  <si>
    <t>REC-810-5CAY-420463</t>
  </si>
  <si>
    <t>11:30:36</t>
  </si>
  <si>
    <t>0992560649001</t>
  </si>
  <si>
    <t>3901401</t>
  </si>
  <si>
    <t>REC-049-A2U2-44172</t>
  </si>
  <si>
    <t>11:40:36</t>
  </si>
  <si>
    <t>3901458</t>
  </si>
  <si>
    <t>REC-049-A2U2-44173</t>
  </si>
  <si>
    <t>11:42:38</t>
  </si>
  <si>
    <t>REC-3029-M9QX-191748</t>
  </si>
  <si>
    <t>11:48:01</t>
  </si>
  <si>
    <t>REC-3187-A2UB-145325</t>
  </si>
  <si>
    <t>11:55:19</t>
  </si>
  <si>
    <t>REC-3187-A2UB-145329</t>
  </si>
  <si>
    <t>12:27:32</t>
  </si>
  <si>
    <t>REC-543-U5H7-556174</t>
  </si>
  <si>
    <t>12:32:21</t>
  </si>
  <si>
    <t>REC-3170-YGVG-314305</t>
  </si>
  <si>
    <t>14:05:56</t>
  </si>
  <si>
    <t>REC-4352-A194-40804</t>
  </si>
  <si>
    <t>14:53:10</t>
  </si>
  <si>
    <t>REC-3022-A364-117669</t>
  </si>
  <si>
    <t>15:01:29</t>
  </si>
  <si>
    <t>REC-3520-A1CH-245932</t>
  </si>
  <si>
    <t>15:44:06</t>
  </si>
  <si>
    <t>REC-4216-A16B-24031</t>
  </si>
  <si>
    <t>16:08:11</t>
  </si>
  <si>
    <t>REC-3143-AWFJ-322969</t>
  </si>
  <si>
    <t>16:12:10</t>
  </si>
  <si>
    <t>REC-4963-A3A0-311445</t>
  </si>
  <si>
    <t>17:33:24</t>
  </si>
  <si>
    <t>REC-3200-SAMK-218061</t>
  </si>
  <si>
    <t>08:42:43</t>
  </si>
  <si>
    <t>20200603</t>
  </si>
  <si>
    <t>1206000513</t>
  </si>
  <si>
    <t>3907949</t>
  </si>
  <si>
    <t>REC-072-4PW8-197799</t>
  </si>
  <si>
    <t>10:05:30</t>
  </si>
  <si>
    <t>REC-3784-ATA2-171490</t>
  </si>
  <si>
    <t>10:09:08</t>
  </si>
  <si>
    <t>REC-4717-FRZ4-282863</t>
  </si>
  <si>
    <t>10:39:43</t>
  </si>
  <si>
    <t>REC-3172-LIO5-562170</t>
  </si>
  <si>
    <t>10:42:58</t>
  </si>
  <si>
    <t>0930346341001</t>
  </si>
  <si>
    <t>3900251</t>
  </si>
  <si>
    <t>REC-3421-A2OB-431005</t>
  </si>
  <si>
    <t>10:52:04</t>
  </si>
  <si>
    <t>REC-4179-LOE1-283365</t>
  </si>
  <si>
    <t>10:54:23</t>
  </si>
  <si>
    <t>REC-609-A1M3-312880</t>
  </si>
  <si>
    <t>11:18:26</t>
  </si>
  <si>
    <t>REC-3371-EFX5-165692</t>
  </si>
  <si>
    <t>11:19:53</t>
  </si>
  <si>
    <t>REC-3371-EFX5-165693</t>
  </si>
  <si>
    <t>11:20:19</t>
  </si>
  <si>
    <t>REC-4164-A1LY-125552</t>
  </si>
  <si>
    <t>11:50:55</t>
  </si>
  <si>
    <t>REC-4164-A1LY-125553</t>
  </si>
  <si>
    <t>11:51:16</t>
  </si>
  <si>
    <t>REC-4301-IAI1-285549</t>
  </si>
  <si>
    <t>11:51:52</t>
  </si>
  <si>
    <t>REC-5695-A2E3-13253</t>
  </si>
  <si>
    <t>12:01:36</t>
  </si>
  <si>
    <t>REC-072-KBN0-236345</t>
  </si>
  <si>
    <t>12:22:21</t>
  </si>
  <si>
    <t>REC-678-3V18-563040</t>
  </si>
  <si>
    <t>12:37:05</t>
  </si>
  <si>
    <t>REC-3172-LIO3-66497</t>
  </si>
  <si>
    <t>13:19:37</t>
  </si>
  <si>
    <t>REC-3187-A2UE-35866</t>
  </si>
  <si>
    <t>13:28:32</t>
  </si>
  <si>
    <t>0921917118</t>
  </si>
  <si>
    <t>3900562</t>
  </si>
  <si>
    <t>REC-096-HG9K-301399</t>
  </si>
  <si>
    <t>13:35:40</t>
  </si>
  <si>
    <t>REC-3370-A6JI-241476</t>
  </si>
  <si>
    <t>13:52:25</t>
  </si>
  <si>
    <t>1720392248</t>
  </si>
  <si>
    <t>3909179</t>
  </si>
  <si>
    <t>REC-4319-A1H6-20404</t>
  </si>
  <si>
    <t>14:41:06</t>
  </si>
  <si>
    <t>REC-3371-EFX5-165757</t>
  </si>
  <si>
    <t>14:46:52</t>
  </si>
  <si>
    <t>REC-223-B7CD-559619</t>
  </si>
  <si>
    <t>14:57:11</t>
  </si>
  <si>
    <t>REC-3295-1TWC-209855</t>
  </si>
  <si>
    <t>15:10:54</t>
  </si>
  <si>
    <t>0921483830</t>
  </si>
  <si>
    <t>3907427</t>
  </si>
  <si>
    <t>REC-241-M1DC-334130</t>
  </si>
  <si>
    <t>15:37:40</t>
  </si>
  <si>
    <t>3907426</t>
  </si>
  <si>
    <t>REC-241-M1DC-334131</t>
  </si>
  <si>
    <t>REC-3109-TTH2-676388</t>
  </si>
  <si>
    <t>15:39:46</t>
  </si>
  <si>
    <t>REC-4164-A1CB-115165</t>
  </si>
  <si>
    <t>15:50:52</t>
  </si>
  <si>
    <t>REC-3187-A2UE-35914</t>
  </si>
  <si>
    <t>16:48:16</t>
  </si>
  <si>
    <t>REC-223-V7XD-258234</t>
  </si>
  <si>
    <t>17:18:17</t>
  </si>
  <si>
    <t>0911626760</t>
  </si>
  <si>
    <t>3901730</t>
  </si>
  <si>
    <t>REC-3577-A1IU-140546</t>
  </si>
  <si>
    <t>09:27:22</t>
  </si>
  <si>
    <t>20200602</t>
  </si>
  <si>
    <t>REC-678-3V18-562912</t>
  </si>
  <si>
    <t>10:16:18</t>
  </si>
  <si>
    <t>REC-011-JVA0-504134</t>
  </si>
  <si>
    <t>10:30:16</t>
  </si>
  <si>
    <t>REC-3175-C8JC-299877</t>
  </si>
  <si>
    <t>10:33:10</t>
  </si>
  <si>
    <t>0925337503</t>
  </si>
  <si>
    <t>3908935</t>
  </si>
  <si>
    <t>REC-551-VOI9-558544</t>
  </si>
  <si>
    <t>10:45:08</t>
  </si>
  <si>
    <t>REC-3023-IZCF-565732</t>
  </si>
  <si>
    <t>11:44:15</t>
  </si>
  <si>
    <t>REC-090-IRFP-573115</t>
  </si>
  <si>
    <t>11:57:57</t>
  </si>
  <si>
    <t>REC-008-PB65-369482</t>
  </si>
  <si>
    <t>12:03:38</t>
  </si>
  <si>
    <t>REC-3371-A1DS-223826</t>
  </si>
  <si>
    <t>12:45:35</t>
  </si>
  <si>
    <t>2000025854</t>
  </si>
  <si>
    <t>3901102</t>
  </si>
  <si>
    <t>REC-045-AFEZ-554551</t>
  </si>
  <si>
    <t>13:39:12</t>
  </si>
  <si>
    <t>REC-3182-YQG9-272014</t>
  </si>
  <si>
    <t>13:58:49</t>
  </si>
  <si>
    <t>REC-342-VEHD-455948</t>
  </si>
  <si>
    <t>14:00:22</t>
  </si>
  <si>
    <t>0912873825001</t>
  </si>
  <si>
    <t>REC-090-ULDN-582064</t>
  </si>
  <si>
    <t>14:00:37</t>
  </si>
  <si>
    <t>REC-3577-A1IU-140633</t>
  </si>
  <si>
    <t>14:07:13</t>
  </si>
  <si>
    <t>AT-3063</t>
  </si>
  <si>
    <t>REC-061-AEU1-186673</t>
  </si>
  <si>
    <t>14:39:10</t>
  </si>
  <si>
    <t>REC-3792-A39T-106520</t>
  </si>
  <si>
    <t>14:49:18</t>
  </si>
  <si>
    <t>REC-342-EBMO-265390</t>
  </si>
  <si>
    <t>14:49:39</t>
  </si>
  <si>
    <t>REC-3172-LIO7-107857</t>
  </si>
  <si>
    <t>15:06:49</t>
  </si>
  <si>
    <t>REC-3834-A4T5-92348</t>
  </si>
  <si>
    <t>15:09:52</t>
  </si>
  <si>
    <t>REC-061-A6S4-147964</t>
  </si>
  <si>
    <t>16:08:12</t>
  </si>
  <si>
    <t>REC-061-ZT95-83461</t>
  </si>
  <si>
    <t>16:11:20</t>
  </si>
  <si>
    <t>REC-3422-A25Y-87785</t>
  </si>
  <si>
    <t>08:42:46</t>
  </si>
  <si>
    <t>20200601</t>
  </si>
  <si>
    <t>REC-3520-A1CH-245317</t>
  </si>
  <si>
    <t>09:12:50</t>
  </si>
  <si>
    <t>REC-3200-SAMK-217777</t>
  </si>
  <si>
    <t>09:14:07</t>
  </si>
  <si>
    <t>REC-904-KZH3-404289</t>
  </si>
  <si>
    <t>09:27:50</t>
  </si>
  <si>
    <t>REC-5695-A2E3-13029</t>
  </si>
  <si>
    <t>09:57:45</t>
  </si>
  <si>
    <t>REC-4963-A3A0-246718</t>
  </si>
  <si>
    <t>10:24:56</t>
  </si>
  <si>
    <t>REC-3201-Y46O-406385</t>
  </si>
  <si>
    <t>11:42:28</t>
  </si>
  <si>
    <t>REC-095-AJSE-657268</t>
  </si>
  <si>
    <t>11:45:54</t>
  </si>
  <si>
    <t>REC-3371-EFX5-165461</t>
  </si>
  <si>
    <t>11:50:09</t>
  </si>
  <si>
    <t>REC-245-BEJI-650836</t>
  </si>
  <si>
    <t>REC-3182-YQHE-231019</t>
  </si>
  <si>
    <t>13:56:52</t>
  </si>
  <si>
    <t>0802222935</t>
  </si>
  <si>
    <t>REC-241-M1DC-333939</t>
  </si>
  <si>
    <t>14:10:11</t>
  </si>
  <si>
    <t>0907634257</t>
  </si>
  <si>
    <t>3901742</t>
  </si>
  <si>
    <t>REC-944-KDUZ-241598</t>
  </si>
  <si>
    <t>14:35:36</t>
  </si>
  <si>
    <t>0915049290</t>
  </si>
  <si>
    <t>3901476</t>
  </si>
  <si>
    <t>REC-4184-A1VM-37321</t>
  </si>
  <si>
    <t>14:37:50</t>
  </si>
  <si>
    <t>REC-4007-OIT2-255164</t>
  </si>
  <si>
    <t>14:38:50</t>
  </si>
  <si>
    <t>0961083250001</t>
  </si>
  <si>
    <t>3908074</t>
  </si>
  <si>
    <t>REC-3422-A3IU-623074</t>
  </si>
  <si>
    <t>14:46:22</t>
  </si>
  <si>
    <t>REC-3170-YGVG-314046</t>
  </si>
  <si>
    <t>14:52:58</t>
  </si>
  <si>
    <t>REC-3370-A6JI-241222</t>
  </si>
  <si>
    <t>15:27:35</t>
  </si>
  <si>
    <t>0909444531</t>
  </si>
  <si>
    <t>3908229</t>
  </si>
  <si>
    <t>REC-3201-Y46O-406453</t>
  </si>
  <si>
    <t>15:30:22</t>
  </si>
  <si>
    <t>REC-5221-A543-256247</t>
  </si>
  <si>
    <t>15:30:55</t>
  </si>
  <si>
    <t>REC-3592-ACC7-551891</t>
  </si>
  <si>
    <t>16:17:02</t>
  </si>
  <si>
    <t>REC-4313-IAI9-257313</t>
  </si>
  <si>
    <t>16:20:31</t>
  </si>
  <si>
    <t>REC-342-EBMO-265327</t>
  </si>
  <si>
    <t>17:14:57</t>
  </si>
  <si>
    <t>REC-810-5CAY-420182</t>
  </si>
  <si>
    <t>18:06:13</t>
  </si>
  <si>
    <t>0992846836001</t>
  </si>
  <si>
    <t>3930167</t>
  </si>
  <si>
    <t>REC-611-HYM3-95732</t>
  </si>
  <si>
    <t>10:30:41</t>
  </si>
  <si>
    <t>20200731</t>
  </si>
  <si>
    <t>REC-3201-Y46O-413106</t>
  </si>
  <si>
    <t>11:11:43</t>
  </si>
  <si>
    <t>REC-944-KDUZ-246444</t>
  </si>
  <si>
    <t>11:38:20</t>
  </si>
  <si>
    <t>REC-3023-IZCF-570059</t>
  </si>
  <si>
    <t>12:31:19</t>
  </si>
  <si>
    <t>REC-5001-A1C1-10102</t>
  </si>
  <si>
    <t>13:13:52</t>
  </si>
  <si>
    <t>REC-3172-YIGY-273901</t>
  </si>
  <si>
    <t>15:27:17</t>
  </si>
  <si>
    <t>REC-4319-A1I3-26806</t>
  </si>
  <si>
    <t>16:04:07</t>
  </si>
  <si>
    <t>REC-095-AJSE-663122</t>
  </si>
  <si>
    <t>16:16:02</t>
  </si>
  <si>
    <t>REC-3187-A2UE-39428</t>
  </si>
  <si>
    <t>REC-097-AJSC-493375</t>
  </si>
  <si>
    <t>16:48:29</t>
  </si>
  <si>
    <t>REC-4303-IAI3-71640</t>
  </si>
  <si>
    <t>09:28:35</t>
  </si>
  <si>
    <t>20200730</t>
  </si>
  <si>
    <t>REC-3295-1T8D-169118</t>
  </si>
  <si>
    <t>10:14:25</t>
  </si>
  <si>
    <t>REC-049-A2U2-47285</t>
  </si>
  <si>
    <t>REC-3172-LIO5-565013</t>
  </si>
  <si>
    <t>11:09:06</t>
  </si>
  <si>
    <t>0906919519</t>
  </si>
  <si>
    <t>3908677</t>
  </si>
  <si>
    <t>REC-3371-EFX5-170537</t>
  </si>
  <si>
    <t>11:38:41</t>
  </si>
  <si>
    <t>REC-072-AJ3R-244121</t>
  </si>
  <si>
    <t>12:41:29</t>
  </si>
  <si>
    <t>0913490397</t>
  </si>
  <si>
    <t>3903074</t>
  </si>
  <si>
    <t>REC-3520-A1CH-251619</t>
  </si>
  <si>
    <t>13:30:17</t>
  </si>
  <si>
    <t>REC-3422-A25Y-91653</t>
  </si>
  <si>
    <t>13:34:28</t>
  </si>
  <si>
    <t>REC-061-AEU1-188725</t>
  </si>
  <si>
    <t>14:17:31</t>
  </si>
  <si>
    <t>REC-3187-A2UB-150126</t>
  </si>
  <si>
    <t>15:07:50</t>
  </si>
  <si>
    <t>REC-7276-RQ45-79956</t>
  </si>
  <si>
    <t>15:20:15</t>
  </si>
  <si>
    <t>REC-3172-LIO7-111424</t>
  </si>
  <si>
    <t>16:18:15</t>
  </si>
  <si>
    <t>REC-348-1R2Q-437290</t>
  </si>
  <si>
    <t>16:27:54</t>
  </si>
  <si>
    <t>REC-3170-YGVG-318322</t>
  </si>
  <si>
    <t>16:35:31</t>
  </si>
  <si>
    <t>REC-4164-A19X-152025</t>
  </si>
  <si>
    <t>17:40:29</t>
  </si>
  <si>
    <t>REC-3370-A6JI-246901</t>
  </si>
  <si>
    <t>19:02:22</t>
  </si>
  <si>
    <t>REC-3187-A2UB-150154</t>
  </si>
  <si>
    <t>19:22:04</t>
  </si>
  <si>
    <t>REC-5310-Z4YZ-54393</t>
  </si>
  <si>
    <t>07:56:33</t>
  </si>
  <si>
    <t>20200729</t>
  </si>
  <si>
    <t>REC-5695-A2E3-16214</t>
  </si>
  <si>
    <t>10:04:28</t>
  </si>
  <si>
    <t>REC-3301-CTQ4-57315</t>
  </si>
  <si>
    <t>10:18:48</t>
  </si>
  <si>
    <t>REC-5585-A2XB-59726</t>
  </si>
  <si>
    <t>10:29:45</t>
  </si>
  <si>
    <t>REC-364-NKDD-366613</t>
  </si>
  <si>
    <t>10:32:01</t>
  </si>
  <si>
    <t>REC-072-A6LX-200883</t>
  </si>
  <si>
    <t>10:56:43</t>
  </si>
  <si>
    <t>REC-3172-LIO5-564962</t>
  </si>
  <si>
    <t>11:04:50</t>
  </si>
  <si>
    <t>REC-3414-PTE7-59303</t>
  </si>
  <si>
    <t>11:19:03</t>
  </si>
  <si>
    <t>0905503223</t>
  </si>
  <si>
    <t>3960302</t>
  </si>
  <si>
    <t>REC-3789-ACA8-59361</t>
  </si>
  <si>
    <t>REC-072-GPG1-216192</t>
  </si>
  <si>
    <t>11:59:19</t>
  </si>
  <si>
    <t>REC-223-V7XD-263347</t>
  </si>
  <si>
    <t>12:13:45</t>
  </si>
  <si>
    <t>0951991066</t>
  </si>
  <si>
    <t>3908204</t>
  </si>
  <si>
    <t>REC-5585-A2XB-59753</t>
  </si>
  <si>
    <t>13:35:10</t>
  </si>
  <si>
    <t>0905198214</t>
  </si>
  <si>
    <t>3945208</t>
  </si>
  <si>
    <t>REC-4319-A1H6-21105</t>
  </si>
  <si>
    <t>14:13:32</t>
  </si>
  <si>
    <t>REC-2004-CNH2-580726</t>
  </si>
  <si>
    <t>14:37:49</t>
  </si>
  <si>
    <t>REC-072-KBN0-243216</t>
  </si>
  <si>
    <t>14:41:55</t>
  </si>
  <si>
    <t>AT959164</t>
  </si>
  <si>
    <t>3908063</t>
  </si>
  <si>
    <t>REC-027-A40B-66890</t>
  </si>
  <si>
    <t>0914895941</t>
  </si>
  <si>
    <t>3908184</t>
  </si>
  <si>
    <t>REC-3201-Y46O-412981</t>
  </si>
  <si>
    <t>REC-3520-A1CH-251565</t>
  </si>
  <si>
    <t>18:21:29</t>
  </si>
  <si>
    <t>REC-342-EBMO-270773</t>
  </si>
  <si>
    <t>18:21:48</t>
  </si>
  <si>
    <t>REC-4209-A14Y-32009</t>
  </si>
  <si>
    <t>08:27:14</t>
  </si>
  <si>
    <t>20200728</t>
  </si>
  <si>
    <t>REC-3022-FNNL-533227</t>
  </si>
  <si>
    <t>09:22:37</t>
  </si>
  <si>
    <t>REC-3109-TTH2-680434</t>
  </si>
  <si>
    <t>09:45:05</t>
  </si>
  <si>
    <t>REC-551-VOIB-543703</t>
  </si>
  <si>
    <t>09:49:33</t>
  </si>
  <si>
    <t>0919452714</t>
  </si>
  <si>
    <t>3900350</t>
  </si>
  <si>
    <t>REC-4202-A16N-8040</t>
  </si>
  <si>
    <t>09:56:55</t>
  </si>
  <si>
    <t>REC-3808-A3Z9-524775</t>
  </si>
  <si>
    <t>10:30:56</t>
  </si>
  <si>
    <t>REC-3200-SAMK-222610</t>
  </si>
  <si>
    <t>10:36:27</t>
  </si>
  <si>
    <t>REC-3512-A4FC-267178</t>
  </si>
  <si>
    <t>10:44:29</t>
  </si>
  <si>
    <t>REC-4319-1AH9-5818</t>
  </si>
  <si>
    <t>REC-678-3V18-566475</t>
  </si>
  <si>
    <t>11:29:08</t>
  </si>
  <si>
    <t>REC-223-V7XD-263253</t>
  </si>
  <si>
    <t>11:48:24</t>
  </si>
  <si>
    <t>REC-3295-1T8D-169039</t>
  </si>
  <si>
    <t>12:24:56</t>
  </si>
  <si>
    <t>1756920896</t>
  </si>
  <si>
    <t>3903531</t>
  </si>
  <si>
    <t>REC-3370-A6JI-246638</t>
  </si>
  <si>
    <t>13:32:36</t>
  </si>
  <si>
    <t>REC-3095-T359-420075</t>
  </si>
  <si>
    <t>REC-3421-A2OB-435749</t>
  </si>
  <si>
    <t>REC-3187-YWS5-603259</t>
  </si>
  <si>
    <t>14:25:29</t>
  </si>
  <si>
    <t>REC-061-AF82-276076</t>
  </si>
  <si>
    <t>15:16:35</t>
  </si>
  <si>
    <t>REC-3792-A39T-111053</t>
  </si>
  <si>
    <t>15:21:06</t>
  </si>
  <si>
    <t>0908754930</t>
  </si>
  <si>
    <t>3960532</t>
  </si>
  <si>
    <t>REC-3161-KURB-425114</t>
  </si>
  <si>
    <t>15:37:34</t>
  </si>
  <si>
    <t>REC-944-PR10-421777</t>
  </si>
  <si>
    <t>REC-3422-A3IU-627273</t>
  </si>
  <si>
    <t>16:22:33</t>
  </si>
  <si>
    <t>REC-3577-A26V-521625</t>
  </si>
  <si>
    <t>17:34:47</t>
  </si>
  <si>
    <t>REC-4717-FRZ4-52091</t>
  </si>
  <si>
    <t>17:52:56</t>
  </si>
  <si>
    <t>0921458246</t>
  </si>
  <si>
    <t>3930006</t>
  </si>
  <si>
    <t>REC-3808-A3Z9-524817</t>
  </si>
  <si>
    <t>18:39:21</t>
  </si>
  <si>
    <t>0912721586</t>
  </si>
  <si>
    <t>3907667</t>
  </si>
  <si>
    <t>REC-3808-A3Z9-524818</t>
  </si>
  <si>
    <t>18:40:50</t>
  </si>
  <si>
    <t>0931201594</t>
  </si>
  <si>
    <t>3907022</t>
  </si>
  <si>
    <t>REC-3808-A3Z9-524712</t>
  </si>
  <si>
    <t>09:17:41</t>
  </si>
  <si>
    <t>20200727</t>
  </si>
  <si>
    <t>REC-5310-Z4YZ-19420</t>
  </si>
  <si>
    <t>10:14:16</t>
  </si>
  <si>
    <t>REC-4164-A19X-151769</t>
  </si>
  <si>
    <t>REC-090-ULDN-588363</t>
  </si>
  <si>
    <t>10:45:52</t>
  </si>
  <si>
    <t>REC-2004-CNH2-580472</t>
  </si>
  <si>
    <t>10:48:45</t>
  </si>
  <si>
    <t>REC-3182-YQHE-234100</t>
  </si>
  <si>
    <t>11:17:49</t>
  </si>
  <si>
    <t>REC-072-AJ3R-243966</t>
  </si>
  <si>
    <t>12:05:40</t>
  </si>
  <si>
    <t>REC-4179-LOE1-25240</t>
  </si>
  <si>
    <t>12:34:21</t>
  </si>
  <si>
    <t>REC-049-A518-1563185</t>
  </si>
  <si>
    <t>12:55:03</t>
  </si>
  <si>
    <t>REC-3187-YWS5-603207</t>
  </si>
  <si>
    <t>REC-061-A1BW-72413</t>
  </si>
  <si>
    <t>REC-061-A1BW-72414</t>
  </si>
  <si>
    <t>13:38:08</t>
  </si>
  <si>
    <t>REC-3187-A2UB-149923</t>
  </si>
  <si>
    <t>13:49:52</t>
  </si>
  <si>
    <t>REC-072-AJ3R-243992</t>
  </si>
  <si>
    <t>16:11:56</t>
  </si>
  <si>
    <t>REC-3422-A25Y-91494</t>
  </si>
  <si>
    <t>17:07:32</t>
  </si>
  <si>
    <t>1306496686</t>
  </si>
  <si>
    <t>23923031</t>
  </si>
  <si>
    <t>REC-364-14ZM-1423238</t>
  </si>
  <si>
    <t>17:34:00</t>
  </si>
  <si>
    <t>REC-3422-A25Y-91505</t>
  </si>
  <si>
    <t>18:53:49</t>
  </si>
  <si>
    <t>REC-223-B7CD-564848</t>
  </si>
  <si>
    <t>10:15:23</t>
  </si>
  <si>
    <t>20200726</t>
  </si>
  <si>
    <t>REC-609-A1M3-316816</t>
  </si>
  <si>
    <t>11:53:39</t>
  </si>
  <si>
    <t>REC-223-B7CD-564868</t>
  </si>
  <si>
    <t>13:45:23</t>
  </si>
  <si>
    <t>0925303745</t>
  </si>
  <si>
    <t>3907449</t>
  </si>
  <si>
    <t>REC-342-VEHD-460266</t>
  </si>
  <si>
    <t>14:17:36</t>
  </si>
  <si>
    <t>REC-3187-A2UB-149872</t>
  </si>
  <si>
    <t>15:31:13</t>
  </si>
  <si>
    <t>REC-223-B7CD-564877</t>
  </si>
  <si>
    <t>15:32:28</t>
  </si>
  <si>
    <t>REC-5310-Z4YZ-15971</t>
  </si>
  <si>
    <t>22:09:39</t>
  </si>
  <si>
    <t>REC-5310-Z4YZ-3420</t>
  </si>
  <si>
    <t>09:25:16</t>
  </si>
  <si>
    <t>20200725</t>
  </si>
  <si>
    <t>REC-3187-YWS5-603130</t>
  </si>
  <si>
    <t>09:25:32</t>
  </si>
  <si>
    <t>REC-028-AJSG-554649</t>
  </si>
  <si>
    <t>10:02:24</t>
  </si>
  <si>
    <t>0962386553</t>
  </si>
  <si>
    <t>3907548</t>
  </si>
  <si>
    <t>REC-3187-A2UB-149813</t>
  </si>
  <si>
    <t>12:56:37</t>
  </si>
  <si>
    <t>REC-223-B7CD-564800</t>
  </si>
  <si>
    <t>13:58:35</t>
  </si>
  <si>
    <t>REC-901-7ZYF-401195</t>
  </si>
  <si>
    <t>14:18:53</t>
  </si>
  <si>
    <t>REC-901-7ZYF-401196</t>
  </si>
  <si>
    <t>14:19:23</t>
  </si>
  <si>
    <t>REC-3577-A1IU-145785</t>
  </si>
  <si>
    <t>14:33:11</t>
  </si>
  <si>
    <t>0923453526</t>
  </si>
  <si>
    <t>3903952</t>
  </si>
  <si>
    <t>REC-342-VEHD-460228</t>
  </si>
  <si>
    <t>17:16:25</t>
  </si>
  <si>
    <t>REC-3370-A6JI-246428</t>
  </si>
  <si>
    <t>17:56:43</t>
  </si>
  <si>
    <t>REC-096-HG9K-305899</t>
  </si>
  <si>
    <t>10:07:36</t>
  </si>
  <si>
    <t>20200724</t>
  </si>
  <si>
    <t>REC-5585-RQ83-12439</t>
  </si>
  <si>
    <t>10:14:11</t>
  </si>
  <si>
    <t>REC-4164-A19P-150529</t>
  </si>
  <si>
    <t>11:33:53</t>
  </si>
  <si>
    <t>REC-3370-A6JI-246341</t>
  </si>
  <si>
    <t>11:57:24</t>
  </si>
  <si>
    <t>REC-223-V7XD-263063</t>
  </si>
  <si>
    <t>12:23:20</t>
  </si>
  <si>
    <t>REC-3200-SAMB-505505</t>
  </si>
  <si>
    <t>13:58:06</t>
  </si>
  <si>
    <t>REC-3370-A6JI-246375</t>
  </si>
  <si>
    <t>14:47:39</t>
  </si>
  <si>
    <t>REC-245-BEJI-658206</t>
  </si>
  <si>
    <t>14:50:30</t>
  </si>
  <si>
    <t>REC-4316-IOU4-999066</t>
  </si>
  <si>
    <t>16:19:24</t>
  </si>
  <si>
    <t>REC-011-VD5Z-345887</t>
  </si>
  <si>
    <t>16:31:34</t>
  </si>
  <si>
    <t>REC-678-3V18-566344</t>
  </si>
  <si>
    <t>16:42:15</t>
  </si>
  <si>
    <t>REC-008-PB64-380852</t>
  </si>
  <si>
    <t>17:52:18</t>
  </si>
  <si>
    <t>REC-5635-A2YS-18085</t>
  </si>
  <si>
    <t>18:49:18</t>
  </si>
  <si>
    <t>REC-223-B7CD-564582</t>
  </si>
  <si>
    <t>20200723</t>
  </si>
  <si>
    <t>REC-7100-A69T-7292</t>
  </si>
  <si>
    <t>10:55:15</t>
  </si>
  <si>
    <t>REC-3143-AWFJ-326942</t>
  </si>
  <si>
    <t>11:33:15</t>
  </si>
  <si>
    <t>REC-3214-H8Z8-332460</t>
  </si>
  <si>
    <t>11:42:27</t>
  </si>
  <si>
    <t>REC-3370-A6JI-246249</t>
  </si>
  <si>
    <t>11:42:51</t>
  </si>
  <si>
    <t>0993091731001</t>
  </si>
  <si>
    <t>3903717</t>
  </si>
  <si>
    <t>REC-4963-A3A0-977462</t>
  </si>
  <si>
    <t>12:21:01</t>
  </si>
  <si>
    <t>REC-3520-A1CH-251022</t>
  </si>
  <si>
    <t>12:24:41</t>
  </si>
  <si>
    <t>REC-3172-LIO6-118492</t>
  </si>
  <si>
    <t>REC-4235-A1BQ-28835</t>
  </si>
  <si>
    <t>12:39:18</t>
  </si>
  <si>
    <t>REC-3187-A2UB-149684</t>
  </si>
  <si>
    <t>12:45:17</t>
  </si>
  <si>
    <t>REC-008-PB65-373650</t>
  </si>
  <si>
    <t>13:03:29</t>
  </si>
  <si>
    <t>REC-5016-A1HF-7713</t>
  </si>
  <si>
    <t>14:13:55</t>
  </si>
  <si>
    <t>REC-3260-CTO1-980761</t>
  </si>
  <si>
    <t>14:30:59</t>
  </si>
  <si>
    <t>0922679600</t>
  </si>
  <si>
    <t>3902442</t>
  </si>
  <si>
    <t>REC-7305-RQ50-2416</t>
  </si>
  <si>
    <t>16:28:24</t>
  </si>
  <si>
    <t>REC-3809-A3ZD-26141</t>
  </si>
  <si>
    <t>16:52:47</t>
  </si>
  <si>
    <t>REC-3023-IZCF-569597</t>
  </si>
  <si>
    <t>16:54:34</t>
  </si>
  <si>
    <t>REC-5552-A944-985283</t>
  </si>
  <si>
    <t>17:31:38</t>
  </si>
  <si>
    <t>REC-048-AFEP-238911</t>
  </si>
  <si>
    <t>18:23:55</t>
  </si>
  <si>
    <t>REC-223-B7CD-564659</t>
  </si>
  <si>
    <t>18:39:54</t>
  </si>
  <si>
    <t>REC-5643-AA10-987037</t>
  </si>
  <si>
    <t>19:42:16</t>
  </si>
  <si>
    <t>1793002870001</t>
  </si>
  <si>
    <t>23923271</t>
  </si>
  <si>
    <t>REC-3190-YXMV-1474458</t>
  </si>
  <si>
    <t>20200722</t>
  </si>
  <si>
    <t>REC-5310-Z4YZ-913357</t>
  </si>
  <si>
    <t>11:22:06</t>
  </si>
  <si>
    <t>20200720</t>
  </si>
  <si>
    <t>0913226080</t>
  </si>
  <si>
    <t>3901465</t>
  </si>
  <si>
    <t>REC-551-VOIB-543171</t>
  </si>
  <si>
    <t>12:22:38</t>
  </si>
  <si>
    <t>REC-3371-EGEG-243822</t>
  </si>
  <si>
    <t>12:36:22</t>
  </si>
  <si>
    <t>REC-3187-YWS5-602837</t>
  </si>
  <si>
    <t>15:26:20</t>
  </si>
  <si>
    <t>REC-944-LRJ0-392710</t>
  </si>
  <si>
    <t>15:26:42</t>
  </si>
  <si>
    <t>REC-536-2GEZ-338710</t>
  </si>
  <si>
    <t>15:49:43</t>
  </si>
  <si>
    <t>0927586529</t>
  </si>
  <si>
    <t>3903102</t>
  </si>
  <si>
    <t>REC-3182-YQHD-260479</t>
  </si>
  <si>
    <t>15:52:55</t>
  </si>
  <si>
    <t>REC-3182-YQHG-217966</t>
  </si>
  <si>
    <t>16:44:18</t>
  </si>
  <si>
    <t>1713363206001</t>
  </si>
  <si>
    <t>23923233</t>
  </si>
  <si>
    <t>REC-3408-A13N-542970</t>
  </si>
  <si>
    <t>17:39:43</t>
  </si>
  <si>
    <t>REC-609-A3AI-81864</t>
  </si>
  <si>
    <t>17:50:49</t>
  </si>
  <si>
    <t>REC-3187-A2UB-149493</t>
  </si>
  <si>
    <t>18:45:31</t>
  </si>
  <si>
    <t>0914196944</t>
  </si>
  <si>
    <t>3907939</t>
  </si>
  <si>
    <t>REC-5635-A2YS-17642</t>
  </si>
  <si>
    <t>09:01:01</t>
  </si>
  <si>
    <t>20200719</t>
  </si>
  <si>
    <t>REC-3109-TTH2-679773</t>
  </si>
  <si>
    <t>10:15:07</t>
  </si>
  <si>
    <t>0908566672</t>
  </si>
  <si>
    <t>3906739</t>
  </si>
  <si>
    <t>REC-3187-A2UB-149253</t>
  </si>
  <si>
    <t>10:49:23</t>
  </si>
  <si>
    <t>0916181514</t>
  </si>
  <si>
    <t>3901147</t>
  </si>
  <si>
    <t>REC-5221-A543-905235</t>
  </si>
  <si>
    <t>12:02:41</t>
  </si>
  <si>
    <t>AT-3079</t>
  </si>
  <si>
    <t>REC-3175-C8JC-303997</t>
  </si>
  <si>
    <t>12:05:20</t>
  </si>
  <si>
    <t>REC-008-PB65-373331</t>
  </si>
  <si>
    <t>12:23:42</t>
  </si>
  <si>
    <t>REC-3769-A26U-7945</t>
  </si>
  <si>
    <t>08:54:56</t>
  </si>
  <si>
    <t>20200718</t>
  </si>
  <si>
    <t>REC-223-V7XD-262505</t>
  </si>
  <si>
    <t>09:55:55</t>
  </si>
  <si>
    <t>REC-3182-YQHG-217631</t>
  </si>
  <si>
    <t>10:38:11</t>
  </si>
  <si>
    <t>REC-223-V7XD-262515</t>
  </si>
  <si>
    <t>11:13:55</t>
  </si>
  <si>
    <t>REC-3182-YQG9-276153</t>
  </si>
  <si>
    <t>12:25:26</t>
  </si>
  <si>
    <t>REC-5310-Z4YZ-881320</t>
  </si>
  <si>
    <t>09:11:02</t>
  </si>
  <si>
    <t>20200717</t>
  </si>
  <si>
    <t>REC-3371-EGEG-243541</t>
  </si>
  <si>
    <t>10:14:47</t>
  </si>
  <si>
    <t>REC-342-EBMO-269590</t>
  </si>
  <si>
    <t>12:13:42</t>
  </si>
  <si>
    <t>REC-5433-A835-779546</t>
  </si>
  <si>
    <t>14:36:35</t>
  </si>
  <si>
    <t>REC-3161-KURB-424213</t>
  </si>
  <si>
    <t>15:34:55</t>
  </si>
  <si>
    <t>REC-7451-QPQ1-273</t>
  </si>
  <si>
    <t>16:21:31</t>
  </si>
  <si>
    <t>REC-008-PB64-380580</t>
  </si>
  <si>
    <t>16:31:17</t>
  </si>
  <si>
    <t>REC-3022-A364-121097</t>
  </si>
  <si>
    <t>17:43:13</t>
  </si>
  <si>
    <t>0926435058</t>
  </si>
  <si>
    <t>3930352</t>
  </si>
  <si>
    <t>REC-3187-A2UE-38769</t>
  </si>
  <si>
    <t>17:55:52</t>
  </si>
  <si>
    <t>0912124906</t>
  </si>
  <si>
    <t>3940033</t>
  </si>
  <si>
    <t>REC-355-J4YM-663074</t>
  </si>
  <si>
    <t>08:18:38</t>
  </si>
  <si>
    <t>20200716</t>
  </si>
  <si>
    <t>REC-5243-RP46-376</t>
  </si>
  <si>
    <t>09:45:25</t>
  </si>
  <si>
    <t>REC-3808-A3Z9-524025</t>
  </si>
  <si>
    <t>09:48:20</t>
  </si>
  <si>
    <t>REC-3187-A2UE-38653</t>
  </si>
  <si>
    <t>10:54:04</t>
  </si>
  <si>
    <t>REC-4114-VBW5-871306</t>
  </si>
  <si>
    <t>REC-061-ZT95-85589</t>
  </si>
  <si>
    <t>12:24:01</t>
  </si>
  <si>
    <t>REC-342-VEHD-459531</t>
  </si>
  <si>
    <t>12:50:05</t>
  </si>
  <si>
    <t>REC-3095-T359-419051</t>
  </si>
  <si>
    <t>14:06:28</t>
  </si>
  <si>
    <t>REC-551-VOIB-543002</t>
  </si>
  <si>
    <t>14:58:22</t>
  </si>
  <si>
    <t>REC-3295-1T8D-168352</t>
  </si>
  <si>
    <t>15:42:05</t>
  </si>
  <si>
    <t>REC-011-JVA0-507856</t>
  </si>
  <si>
    <t>15:58:56</t>
  </si>
  <si>
    <t>REC-3187-A2UB-149054</t>
  </si>
  <si>
    <t>17:30:13</t>
  </si>
  <si>
    <t>3050374309</t>
  </si>
  <si>
    <t>3907447</t>
  </si>
  <si>
    <t>REC-3187-YWS5-602650</t>
  </si>
  <si>
    <t>18:02:14</t>
  </si>
  <si>
    <t>REC-944-LRJW-286003</t>
  </si>
  <si>
    <t>18:08:19</t>
  </si>
  <si>
    <t>REC-048-AFEP-238397</t>
  </si>
  <si>
    <t>18:15:40</t>
  </si>
  <si>
    <t>REC-3172-LIO6-118060</t>
  </si>
  <si>
    <t>18:37:17</t>
  </si>
  <si>
    <t>REC-551-VOIB-542803</t>
  </si>
  <si>
    <t>09:12:46</t>
  </si>
  <si>
    <t>20200715</t>
  </si>
  <si>
    <t>REC-944-PR10-420913</t>
  </si>
  <si>
    <t>09:28:39</t>
  </si>
  <si>
    <t>REC-6397-A5XK-11487</t>
  </si>
  <si>
    <t>10:26:02</t>
  </si>
  <si>
    <t>REC-048-AFEP-238255</t>
  </si>
  <si>
    <t>10:46:53</t>
  </si>
  <si>
    <t>REC-241-M1DC-337032</t>
  </si>
  <si>
    <t>10:51:23</t>
  </si>
  <si>
    <t>REC-241-M1DC-337033</t>
  </si>
  <si>
    <t>REC-3172-YIGY-272946</t>
  </si>
  <si>
    <t>11:00:53</t>
  </si>
  <si>
    <t>REC-3533-A4H5-383181</t>
  </si>
  <si>
    <t>11:50:58</t>
  </si>
  <si>
    <t>REC-3512-A4FC-266075</t>
  </si>
  <si>
    <t>14:35:52</t>
  </si>
  <si>
    <t>REC-5620-A1012-861306</t>
  </si>
  <si>
    <t>15:38:59</t>
  </si>
  <si>
    <t>REC-3187-YWS5-602531</t>
  </si>
  <si>
    <t>0930757968</t>
  </si>
  <si>
    <t>3906005</t>
  </si>
  <si>
    <t>REC-5585-A2XB-58984</t>
  </si>
  <si>
    <t>18:28:37</t>
  </si>
  <si>
    <t>REC-3187-A2UE-38639</t>
  </si>
  <si>
    <t>18:59:26</t>
  </si>
  <si>
    <t>REC-944-PR10-420805</t>
  </si>
  <si>
    <t>09:41:50</t>
  </si>
  <si>
    <t>20200714</t>
  </si>
  <si>
    <t>REC-096-HG9K-305138</t>
  </si>
  <si>
    <t>11:41:06</t>
  </si>
  <si>
    <t>0919917955</t>
  </si>
  <si>
    <t>3903566</t>
  </si>
  <si>
    <t>REC-611-HYM3-94827</t>
  </si>
  <si>
    <t>11:47:10</t>
  </si>
  <si>
    <t>REC-3200-SAMB-504562</t>
  </si>
  <si>
    <t>12:28:59</t>
  </si>
  <si>
    <t>REC-3200-SAMB-504563</t>
  </si>
  <si>
    <t>12:29:36</t>
  </si>
  <si>
    <t>0993084603001</t>
  </si>
  <si>
    <t>3902346</t>
  </si>
  <si>
    <t>REC-4164-A1LY-129025</t>
  </si>
  <si>
    <t>12:54:58</t>
  </si>
  <si>
    <t>0920015369</t>
  </si>
  <si>
    <t>3906013</t>
  </si>
  <si>
    <t>REC-355-J4YM-662953</t>
  </si>
  <si>
    <t>13:54:57</t>
  </si>
  <si>
    <t>REC-5635-A2YS-17273</t>
  </si>
  <si>
    <t>14:10:04</t>
  </si>
  <si>
    <t>REC-072-KBN0-241257</t>
  </si>
  <si>
    <t>17:03:11</t>
  </si>
  <si>
    <t>REC-072-KBN0-241258</t>
  </si>
  <si>
    <t>17:03:33</t>
  </si>
  <si>
    <t>0961058849</t>
  </si>
  <si>
    <t>3903859</t>
  </si>
  <si>
    <t>REC-5695-A2E3-15582</t>
  </si>
  <si>
    <t>REC-810-5CAY-423431</t>
  </si>
  <si>
    <t>17:18:28</t>
  </si>
  <si>
    <t>REC-904-A3FW-23939</t>
  </si>
  <si>
    <t>17:40:28</t>
  </si>
  <si>
    <t>REC-072-TTF1-312212</t>
  </si>
  <si>
    <t>17:54:42</t>
  </si>
  <si>
    <t>REC-095-AJSE-661391</t>
  </si>
  <si>
    <t>10:11:27</t>
  </si>
  <si>
    <t>20200713</t>
  </si>
  <si>
    <t>REC-3412-PTE5-821589</t>
  </si>
  <si>
    <t>REC-3370-A6JI-245262</t>
  </si>
  <si>
    <t>10:42:26</t>
  </si>
  <si>
    <t>REC-096-ZU7N-248303</t>
  </si>
  <si>
    <t>10:43:14</t>
  </si>
  <si>
    <t>REC-4190-A11N-1465838</t>
  </si>
  <si>
    <t>10:53:03</t>
  </si>
  <si>
    <t>REC-3371-LD0C-280708</t>
  </si>
  <si>
    <t>12:01:04</t>
  </si>
  <si>
    <t>REC-5987-GFL4-824767</t>
  </si>
  <si>
    <t>12:18:49</t>
  </si>
  <si>
    <t>REC-536-2GEZ-338111</t>
  </si>
  <si>
    <t>13:11:26</t>
  </si>
  <si>
    <t>REC-3187-A2UB-148826</t>
  </si>
  <si>
    <t>19:44:51</t>
  </si>
  <si>
    <t>REC-7451-QPQ1-135</t>
  </si>
  <si>
    <t>12:48:00</t>
  </si>
  <si>
    <t>20200712</t>
  </si>
  <si>
    <t>REC-3295-1T8E-222206</t>
  </si>
  <si>
    <t>13:26:16</t>
  </si>
  <si>
    <t>20200711</t>
  </si>
  <si>
    <t>REC-3187-A2UE-38365</t>
  </si>
  <si>
    <t>15:23:47</t>
  </si>
  <si>
    <t>REC-7314-A6GU-9240</t>
  </si>
  <si>
    <t>17:08:53</t>
  </si>
  <si>
    <t>REC-096-DCIZ-453922</t>
  </si>
  <si>
    <t>18:11:07</t>
  </si>
  <si>
    <t>REC-3792-A39T-109508</t>
  </si>
  <si>
    <t>08:58:12</t>
  </si>
  <si>
    <t>20200710</t>
  </si>
  <si>
    <t>REC-678-3V18-565401</t>
  </si>
  <si>
    <t>09:16:02</t>
  </si>
  <si>
    <t>REC-226-B7CC-710808</t>
  </si>
  <si>
    <t>09:28:57</t>
  </si>
  <si>
    <t>REC-390-SB17-591725</t>
  </si>
  <si>
    <t>11:17:34</t>
  </si>
  <si>
    <t>REC-4202-A16N-7955</t>
  </si>
  <si>
    <t>14:53:37</t>
  </si>
  <si>
    <t>REC-543-U5H7-558972</t>
  </si>
  <si>
    <t>15:29:41</t>
  </si>
  <si>
    <t>REC-3370-A6JI-245120</t>
  </si>
  <si>
    <t>16:20:03</t>
  </si>
  <si>
    <t>REC-3187-A2UE-38321</t>
  </si>
  <si>
    <t>17:37:47</t>
  </si>
  <si>
    <t>REC-048-AFEP-238037</t>
  </si>
  <si>
    <t>18:25:28</t>
  </si>
  <si>
    <t>REC-072-TTF1-311857</t>
  </si>
  <si>
    <t>09:24:54</t>
  </si>
  <si>
    <t>20200709</t>
  </si>
  <si>
    <t>REC-4960-A1QG-82927</t>
  </si>
  <si>
    <t>10:02:36</t>
  </si>
  <si>
    <t>REC-4313-IAI9-781849</t>
  </si>
  <si>
    <t>10:35:41</t>
  </si>
  <si>
    <t>0953707114</t>
  </si>
  <si>
    <t>3901230</t>
  </si>
  <si>
    <t>REC-4208-A14N-55276</t>
  </si>
  <si>
    <t>10:43:09</t>
  </si>
  <si>
    <t>REC-678-3V18-565361</t>
  </si>
  <si>
    <t>11:34:00</t>
  </si>
  <si>
    <t>REC-4007-OIT2-783907</t>
  </si>
  <si>
    <t>11:39:09</t>
  </si>
  <si>
    <t>REC-223-V7XD-261609</t>
  </si>
  <si>
    <t>12:14:21</t>
  </si>
  <si>
    <t>REC-090-IRFP-578744</t>
  </si>
  <si>
    <t>13:07:45</t>
  </si>
  <si>
    <t>REC-4717-FRZ4-786258</t>
  </si>
  <si>
    <t>13:09:59</t>
  </si>
  <si>
    <t>REC-045-VMU0-336856</t>
  </si>
  <si>
    <t>13:20:48</t>
  </si>
  <si>
    <t>REC-3095-T359-418361</t>
  </si>
  <si>
    <t>REC-7438-RR76-162</t>
  </si>
  <si>
    <t>14:37:03</t>
  </si>
  <si>
    <t>REC-3187-YWS5-602154</t>
  </si>
  <si>
    <t>14:42:58</t>
  </si>
  <si>
    <t>REC-043-HXVM-320760</t>
  </si>
  <si>
    <t>15:00:59</t>
  </si>
  <si>
    <t>REC-008-PB65-372590</t>
  </si>
  <si>
    <t>15:23:17</t>
  </si>
  <si>
    <t>REC-3182-YQHE-233110</t>
  </si>
  <si>
    <t>REC-810-5CAY-423140</t>
  </si>
  <si>
    <t>16:15:53</t>
  </si>
  <si>
    <t>REC-3422-A3IU-626013</t>
  </si>
  <si>
    <t>18:46:57</t>
  </si>
  <si>
    <t>REC-4963-A3A0-763143</t>
  </si>
  <si>
    <t>08:58:25</t>
  </si>
  <si>
    <t>20200708</t>
  </si>
  <si>
    <t>REC-609-A1M3-315744</t>
  </si>
  <si>
    <t>10:16:30</t>
  </si>
  <si>
    <t>0917633323</t>
  </si>
  <si>
    <t>3903463</t>
  </si>
  <si>
    <t>REC-3022-FNNL-531987</t>
  </si>
  <si>
    <t>10:50:21</t>
  </si>
  <si>
    <t>REC-226-B7CC-710621</t>
  </si>
  <si>
    <t>11:38:22</t>
  </si>
  <si>
    <t>0916101876</t>
  </si>
  <si>
    <t>3906840</t>
  </si>
  <si>
    <t>REC-3808-A3Z9-523500</t>
  </si>
  <si>
    <t>12:12:32</t>
  </si>
  <si>
    <t>REC-3710-AAP7-740598</t>
  </si>
  <si>
    <t>12:48:22</t>
  </si>
  <si>
    <t>REC-165-M8MT-645978</t>
  </si>
  <si>
    <t>13:09:03</t>
  </si>
  <si>
    <t>REC-3510-A4F9-236107</t>
  </si>
  <si>
    <t>0923473912</t>
  </si>
  <si>
    <t>3900049</t>
  </si>
  <si>
    <t>REC-3371-EFX5-168768</t>
  </si>
  <si>
    <t>14:37:09</t>
  </si>
  <si>
    <t>REC-3422-A25Y-90283</t>
  </si>
  <si>
    <t>15:58:18</t>
  </si>
  <si>
    <t>REC-5017-A2BD-26229</t>
  </si>
  <si>
    <t>16:16:39</t>
  </si>
  <si>
    <t>REC-3161-KURB-423443</t>
  </si>
  <si>
    <t>16:17:59</t>
  </si>
  <si>
    <t>REC-3023-IZCF-568634</t>
  </si>
  <si>
    <t>17:01:10</t>
  </si>
  <si>
    <t>REC-3172-LIO3-69383</t>
  </si>
  <si>
    <t>17:11:22</t>
  </si>
  <si>
    <t>REC-4164-A19X-150889</t>
  </si>
  <si>
    <t>17:12:13</t>
  </si>
  <si>
    <t>0924741481</t>
  </si>
  <si>
    <t>3903332</t>
  </si>
  <si>
    <t>REC-7451-QPQ1-73</t>
  </si>
  <si>
    <t>18:28:48</t>
  </si>
  <si>
    <t>REC-4257-A221-116686</t>
  </si>
  <si>
    <t>09:43:06</t>
  </si>
  <si>
    <t>20200707</t>
  </si>
  <si>
    <t>REC-613-BK8R-421428</t>
  </si>
  <si>
    <t>09:55:38</t>
  </si>
  <si>
    <t>REC-3182-YQG9-275157</t>
  </si>
  <si>
    <t>10:46:28</t>
  </si>
  <si>
    <t>REC-045-VMU0-336592</t>
  </si>
  <si>
    <t>11:38:23</t>
  </si>
  <si>
    <t>REC-3187-YWS5-601954</t>
  </si>
  <si>
    <t>11:55:07</t>
  </si>
  <si>
    <t>REC-4301-IAI1-751529</t>
  </si>
  <si>
    <t>12:07:06</t>
  </si>
  <si>
    <t>REC-3172-LIO5-564104</t>
  </si>
  <si>
    <t>12:07:45</t>
  </si>
  <si>
    <t>REC-3033-M7YJ-84354</t>
  </si>
  <si>
    <t>12:16:18</t>
  </si>
  <si>
    <t>REC-008-PB64-380135</t>
  </si>
  <si>
    <t>12:25:50</t>
  </si>
  <si>
    <t>REC-3520-A1CH-249363</t>
  </si>
  <si>
    <t>12:28:29</t>
  </si>
  <si>
    <t>REC-3187-A2UB-148215</t>
  </si>
  <si>
    <t>12:52:35</t>
  </si>
  <si>
    <t>REC-3172-LIO4-233501</t>
  </si>
  <si>
    <t>13:15:46</t>
  </si>
  <si>
    <t>1305865535</t>
  </si>
  <si>
    <t>3900219</t>
  </si>
  <si>
    <t>REC-3412-PTE5-754040</t>
  </si>
  <si>
    <t>13:36:36</t>
  </si>
  <si>
    <t>REC-5310-Z4YZ-754214</t>
  </si>
  <si>
    <t>13:40:57</t>
  </si>
  <si>
    <t>REC-7451-QPQ1-10</t>
  </si>
  <si>
    <t>13:42:52</t>
  </si>
  <si>
    <t>REC-061-ZT95-85197</t>
  </si>
  <si>
    <t>14:00:35</t>
  </si>
  <si>
    <t>REC-3175-C8JC-303126</t>
  </si>
  <si>
    <t>14:01:21</t>
  </si>
  <si>
    <t>0914443353</t>
  </si>
  <si>
    <t>3940049</t>
  </si>
  <si>
    <t>REC-3187-A2UE-38108</t>
  </si>
  <si>
    <t>14:33:55</t>
  </si>
  <si>
    <t>REC-3187-A2UB-148263</t>
  </si>
  <si>
    <t>16:40:36</t>
  </si>
  <si>
    <t>0701646192</t>
  </si>
  <si>
    <t>3960039</t>
  </si>
  <si>
    <t>REC-944-KDUZ-245001</t>
  </si>
  <si>
    <t>REC-072-AJ3R-242189</t>
  </si>
  <si>
    <t>18:05:07</t>
  </si>
  <si>
    <t>REC-5610-A2YJ-8914</t>
  </si>
  <si>
    <t>18:32:33</t>
  </si>
  <si>
    <t>REC-3370-A6JI-244831</t>
  </si>
  <si>
    <t>19:05:12</t>
  </si>
  <si>
    <t>REC-4963-A3A0-722880</t>
  </si>
  <si>
    <t>08:18:32</t>
  </si>
  <si>
    <t>20200706</t>
  </si>
  <si>
    <t>REC-5680-XTE2-1371</t>
  </si>
  <si>
    <t>09:10:14</t>
  </si>
  <si>
    <t>REC-3295-1TWC-212477</t>
  </si>
  <si>
    <t>REC-4319-A1H6-20788</t>
  </si>
  <si>
    <t>10:22:32</t>
  </si>
  <si>
    <t>REC-536-TDSM-141127</t>
  </si>
  <si>
    <t>10:51:33</t>
  </si>
  <si>
    <t>REC-090-ULDN-586402</t>
  </si>
  <si>
    <t>11:46:58</t>
  </si>
  <si>
    <t>0992805846001</t>
  </si>
  <si>
    <t>3908115</t>
  </si>
  <si>
    <t>REC-090-ULDN-586403</t>
  </si>
  <si>
    <t>11:47:28</t>
  </si>
  <si>
    <t>REC-5585-A2XB-58268</t>
  </si>
  <si>
    <t>12:07:12</t>
  </si>
  <si>
    <t>REC-348-1R2Q-435422</t>
  </si>
  <si>
    <t>12:11:31</t>
  </si>
  <si>
    <t>REC-3520-A1CH-249181</t>
  </si>
  <si>
    <t>12:30:17</t>
  </si>
  <si>
    <t>REC-4216-A16B-25766</t>
  </si>
  <si>
    <t>12:43:23</t>
  </si>
  <si>
    <t>REC-3172-LIO3-69119</t>
  </si>
  <si>
    <t>13:00:18</t>
  </si>
  <si>
    <t>REC-609-A1M3-315552</t>
  </si>
  <si>
    <t>13:05:29</t>
  </si>
  <si>
    <t>REC-7057-A66Z-6186</t>
  </si>
  <si>
    <t>13:32:45</t>
  </si>
  <si>
    <t>REC-3187-A2UB-148117</t>
  </si>
  <si>
    <t>13:46:21</t>
  </si>
  <si>
    <t>REC-061-A13Z-45123</t>
  </si>
  <si>
    <t>16:28:43</t>
  </si>
  <si>
    <t>REC-678-3V18-565164</t>
  </si>
  <si>
    <t>17:09:41</t>
  </si>
  <si>
    <t>REC-3182-YQHD-259023</t>
  </si>
  <si>
    <t>17:17:08</t>
  </si>
  <si>
    <t>0928639525</t>
  </si>
  <si>
    <t>3908132</t>
  </si>
  <si>
    <t>REC-5310-Z4YZ-742158</t>
  </si>
  <si>
    <t>17:50:09</t>
  </si>
  <si>
    <t>REC-3187-YWS5-601855</t>
  </si>
  <si>
    <t>12:08:42</t>
  </si>
  <si>
    <t>20200705</t>
  </si>
  <si>
    <t>0924346349</t>
  </si>
  <si>
    <t>3900594</t>
  </si>
  <si>
    <t>REC-3201-Y46O-410449</t>
  </si>
  <si>
    <t>12:39:30</t>
  </si>
  <si>
    <t>REC-3577-A1IU-143943</t>
  </si>
  <si>
    <t>13:35:36</t>
  </si>
  <si>
    <t>REC-5474-A871-725397</t>
  </si>
  <si>
    <t>18:56:17</t>
  </si>
  <si>
    <t>REC-4963-A3A0-708166</t>
  </si>
  <si>
    <t>08:29:05</t>
  </si>
  <si>
    <t>20200704</t>
  </si>
  <si>
    <t>REC-3175-A3LN-123530</t>
  </si>
  <si>
    <t>09:19:50</t>
  </si>
  <si>
    <t>REC-4395-DAB3-718001</t>
  </si>
  <si>
    <t>09:34:34</t>
  </si>
  <si>
    <t>REC-4866-A1XE-709018</t>
  </si>
  <si>
    <t>09:41:20</t>
  </si>
  <si>
    <t>REC-223-V7XD-261212</t>
  </si>
  <si>
    <t>10:12:28</t>
  </si>
  <si>
    <t>REC-3809-A3ZD-24912</t>
  </si>
  <si>
    <t>10:23:57</t>
  </si>
  <si>
    <t>REC-3295-1TWC-212374</t>
  </si>
  <si>
    <t>11:03:54</t>
  </si>
  <si>
    <t>REC-096-DCIZ-453415</t>
  </si>
  <si>
    <t>11:07:21</t>
  </si>
  <si>
    <t>REC-609-A3AI-80786</t>
  </si>
  <si>
    <t>12:02:26</t>
  </si>
  <si>
    <t>REC-4963-A3A0-712350</t>
  </si>
  <si>
    <t>12:03:56</t>
  </si>
  <si>
    <t>REC-348-AB9D-129814</t>
  </si>
  <si>
    <t>13:04:10</t>
  </si>
  <si>
    <t>REC-364-NKDD-365699</t>
  </si>
  <si>
    <t>13:47:54</t>
  </si>
  <si>
    <t>REC-3422-A25Y-89979</t>
  </si>
  <si>
    <t>15:05:40</t>
  </si>
  <si>
    <t>REC-3422-A25Y-89980</t>
  </si>
  <si>
    <t>15:06:01</t>
  </si>
  <si>
    <t>REC-097-AJSC-491597</t>
  </si>
  <si>
    <t>15:35:28</t>
  </si>
  <si>
    <t>REC-3175-A3LN-123613</t>
  </si>
  <si>
    <t>15:40:05</t>
  </si>
  <si>
    <t>REC-585-ZQVC-447094</t>
  </si>
  <si>
    <t>15:46:17</t>
  </si>
  <si>
    <t>REC-072-KBN0-240075</t>
  </si>
  <si>
    <t>16:37:30</t>
  </si>
  <si>
    <t>REC-3172-YIGW-308266</t>
  </si>
  <si>
    <t>17:03:57</t>
  </si>
  <si>
    <t>REC-3370-A6JI-244534</t>
  </si>
  <si>
    <t>17:44:05</t>
  </si>
  <si>
    <t>REC-4963-A3A0-717714</t>
  </si>
  <si>
    <t>21:59:23</t>
  </si>
  <si>
    <t>REC-046-A3YA-105221</t>
  </si>
  <si>
    <t>09:03:17</t>
  </si>
  <si>
    <t>20200703</t>
  </si>
  <si>
    <t>REC-072-KBN0-239850</t>
  </si>
  <si>
    <t>09:18:48</t>
  </si>
  <si>
    <t>REC-3201-Y46O-410129</t>
  </si>
  <si>
    <t>09:28:40</t>
  </si>
  <si>
    <t>REC-5310-Z4YZ-693932</t>
  </si>
  <si>
    <t>09:59:38</t>
  </si>
  <si>
    <t>REC-061-A6S3-210672</t>
  </si>
  <si>
    <t>10:03:55</t>
  </si>
  <si>
    <t>REC-3614-AAD4-712709</t>
  </si>
  <si>
    <t>10:09:21</t>
  </si>
  <si>
    <t>REC-4190-A11N-1465330</t>
  </si>
  <si>
    <t>10:27:43</t>
  </si>
  <si>
    <t>REC-611-HYM3-94246</t>
  </si>
  <si>
    <t>10:39:02</t>
  </si>
  <si>
    <t>REC-267-B13P-1579356</t>
  </si>
  <si>
    <t>12:12:57</t>
  </si>
  <si>
    <t>REC-4976-A25U-6649</t>
  </si>
  <si>
    <t>13:19:23</t>
  </si>
  <si>
    <t>REC-4976-A25U-6650</t>
  </si>
  <si>
    <t>13:21:27</t>
  </si>
  <si>
    <t>REC-613-BK8R-421245</t>
  </si>
  <si>
    <t>13:32:28</t>
  </si>
  <si>
    <t>REC-4819-FSK5-701546</t>
  </si>
  <si>
    <t>14:22:57</t>
  </si>
  <si>
    <t>REC-4319-1AH9-5601</t>
  </si>
  <si>
    <t>14:46:51</t>
  </si>
  <si>
    <t>REC-011-JVA0-506855</t>
  </si>
  <si>
    <t>14:57:34</t>
  </si>
  <si>
    <t>REC-3577-A1IU-143779</t>
  </si>
  <si>
    <t>15:39:17</t>
  </si>
  <si>
    <t>0914538590</t>
  </si>
  <si>
    <t>3900428</t>
  </si>
  <si>
    <t>REC-944-PR10-420265</t>
  </si>
  <si>
    <t>0919558304</t>
  </si>
  <si>
    <t>REC-096-HG9K-304295</t>
  </si>
  <si>
    <t>16:17:01</t>
  </si>
  <si>
    <t>REC-4164-A1LY-128199</t>
  </si>
  <si>
    <t>16:25:15</t>
  </si>
  <si>
    <t>REC-3187-YWS5-601723</t>
  </si>
  <si>
    <t>17:05:18</t>
  </si>
  <si>
    <t>REC-3187-YWS5-601728</t>
  </si>
  <si>
    <t>REC-3170-YGVG-316446</t>
  </si>
  <si>
    <t>17:40:00</t>
  </si>
  <si>
    <t>REC-245-BEJI-655517</t>
  </si>
  <si>
    <t>18:09:48</t>
  </si>
  <si>
    <t>REC-609-A1M3-315291</t>
  </si>
  <si>
    <t>18:13:37</t>
  </si>
  <si>
    <t>REC-3370-A6JI-244456</t>
  </si>
  <si>
    <t>18:53:09</t>
  </si>
  <si>
    <t>REC-061-AF82-275099</t>
  </si>
  <si>
    <t>20200702</t>
  </si>
  <si>
    <t>REC-3792-A39T-109008</t>
  </si>
  <si>
    <t>09:40:56</t>
  </si>
  <si>
    <t>REC-3422-A3IU-625343</t>
  </si>
  <si>
    <t>REC-3422-A3IU-625344</t>
  </si>
  <si>
    <t>10:03:01</t>
  </si>
  <si>
    <t>1309741153</t>
  </si>
  <si>
    <t>3960322</t>
  </si>
  <si>
    <t>REC-090-9SKJ-432102</t>
  </si>
  <si>
    <t>REC-355-N45U-553692</t>
  </si>
  <si>
    <t>11:03:02</t>
  </si>
  <si>
    <t>REC-3189-YWSY-158585</t>
  </si>
  <si>
    <t>11:06:39</t>
  </si>
  <si>
    <t>REC-061-A1BW-71714</t>
  </si>
  <si>
    <t>11:26:07</t>
  </si>
  <si>
    <t>REC-5762-FE91-680145</t>
  </si>
  <si>
    <t>11:31:33</t>
  </si>
  <si>
    <t>REC-095-AJSE-660342</t>
  </si>
  <si>
    <t>11:49:01</t>
  </si>
  <si>
    <t>REC-678-3V18-564872</t>
  </si>
  <si>
    <t>11:52:42</t>
  </si>
  <si>
    <t>REC-3808-A3Z9-522980</t>
  </si>
  <si>
    <t>12:00:28</t>
  </si>
  <si>
    <t>REC-061-A6S3-210617</t>
  </si>
  <si>
    <t>REC-061-A6S3-210618</t>
  </si>
  <si>
    <t>13:06:00</t>
  </si>
  <si>
    <t>REC-3510-A4F9-235683</t>
  </si>
  <si>
    <t>REC-3792-A24Z-550094</t>
  </si>
  <si>
    <t>13:35:23</t>
  </si>
  <si>
    <t>REC-3022-FNNL-531505</t>
  </si>
  <si>
    <t>13:57:08</t>
  </si>
  <si>
    <t>0917026205</t>
  </si>
  <si>
    <t>3960292</t>
  </si>
  <si>
    <t>REC-061-AF82-275146</t>
  </si>
  <si>
    <t>14:31:48</t>
  </si>
  <si>
    <t>REC-027-AJSJ-552768</t>
  </si>
  <si>
    <t>REC-072-4PW8-200434</t>
  </si>
  <si>
    <t>15:06:20</t>
  </si>
  <si>
    <t>REC-096-LIO1-539095</t>
  </si>
  <si>
    <t>15:17:54</t>
  </si>
  <si>
    <t>REC-7314-A6GU-8558</t>
  </si>
  <si>
    <t>16:20:11</t>
  </si>
  <si>
    <t>REC-348-AB9D-129580</t>
  </si>
  <si>
    <t>16:25:58</t>
  </si>
  <si>
    <t>REC-027-A40B-64788</t>
  </si>
  <si>
    <t>16:38:09</t>
  </si>
  <si>
    <t>REC-348-1R2Q-435140</t>
  </si>
  <si>
    <t>17:17:41</t>
  </si>
  <si>
    <t>REC-944-LRJ0-390973</t>
  </si>
  <si>
    <t>17:41:30</t>
  </si>
  <si>
    <t>REC-072-KBN0-239840</t>
  </si>
  <si>
    <t>17:51:53</t>
  </si>
  <si>
    <t>REC-7455-PR51-689782</t>
  </si>
  <si>
    <t>18:09:28</t>
  </si>
  <si>
    <t>REC-027-A40B-64806</t>
  </si>
  <si>
    <t>REC-072-4PW8-200285</t>
  </si>
  <si>
    <t>10:04:25</t>
  </si>
  <si>
    <t>20200701</t>
  </si>
  <si>
    <t>REC-5585-A2XB-57801</t>
  </si>
  <si>
    <t>10:11:46</t>
  </si>
  <si>
    <t>REC-072-TTF1-311145</t>
  </si>
  <si>
    <t>10:37:28</t>
  </si>
  <si>
    <t>1710447622</t>
  </si>
  <si>
    <t>23923265</t>
  </si>
  <si>
    <t>REC-3214-H8Z8-331514</t>
  </si>
  <si>
    <t>11:44:31</t>
  </si>
  <si>
    <t>REC-090-IRFP-577635</t>
  </si>
  <si>
    <t>12:55:53</t>
  </si>
  <si>
    <t>REC-4963-A3A0-666882</t>
  </si>
  <si>
    <t>13:58:13</t>
  </si>
  <si>
    <t>REC-4352-A2E6-8692</t>
  </si>
  <si>
    <t>14:52:19</t>
  </si>
  <si>
    <t>0910676931</t>
  </si>
  <si>
    <t>3901481</t>
  </si>
  <si>
    <t>REC-5987-GFL4-668420</t>
  </si>
  <si>
    <t>0915436166</t>
  </si>
  <si>
    <t>3960346</t>
  </si>
  <si>
    <t>REC-4164-A1LY-127955</t>
  </si>
  <si>
    <t>15:28:13</t>
  </si>
  <si>
    <t>REC-4395-DAB3-704592</t>
  </si>
  <si>
    <t>19:09:09</t>
  </si>
  <si>
    <t>REC-678-3V18-568564</t>
  </si>
  <si>
    <t>20200831</t>
  </si>
  <si>
    <t>REC-223-B7CD-568618</t>
  </si>
  <si>
    <t>10:21:12</t>
  </si>
  <si>
    <t>REC-3201-Y46O-416297</t>
  </si>
  <si>
    <t>10:34:31</t>
  </si>
  <si>
    <t>REC-5001-A1C1-10685</t>
  </si>
  <si>
    <t>10:43:29</t>
  </si>
  <si>
    <t>REC-3175-A3LN-128216</t>
  </si>
  <si>
    <t>10:47:22</t>
  </si>
  <si>
    <t>REC-3022-FNNL-535861</t>
  </si>
  <si>
    <t>12:26:07</t>
  </si>
  <si>
    <t>REC-551-VOI8-604225</t>
  </si>
  <si>
    <t>13:07:44</t>
  </si>
  <si>
    <t>REC-223-V7XD-266479</t>
  </si>
  <si>
    <t>13:53:48</t>
  </si>
  <si>
    <t>REC-3301-CTQ4-616984</t>
  </si>
  <si>
    <t>14:15:49</t>
  </si>
  <si>
    <t>REC-3370-A6JI-249853</t>
  </si>
  <si>
    <t>15:39:51</t>
  </si>
  <si>
    <t>REC-004-P4FN-87580</t>
  </si>
  <si>
    <t>REC-004-P4FN-87581</t>
  </si>
  <si>
    <t>15:44:21</t>
  </si>
  <si>
    <t>REC-4164-A19P-153365</t>
  </si>
  <si>
    <t>16:21:47</t>
  </si>
  <si>
    <t>REC-944-PR10-423326</t>
  </si>
  <si>
    <t>16:24:57</t>
  </si>
  <si>
    <t>0916386683</t>
  </si>
  <si>
    <t>3908113</t>
  </si>
  <si>
    <t>REC-3510-A4F9-239785</t>
  </si>
  <si>
    <t>17:11:39</t>
  </si>
  <si>
    <t>REC-3371-EGEG-247716</t>
  </si>
  <si>
    <t>REC-3371-EGEG-247717</t>
  </si>
  <si>
    <t>17:43:21</t>
  </si>
  <si>
    <t>0930136056</t>
  </si>
  <si>
    <t>3906904</t>
  </si>
  <si>
    <t>REC-3578-ABC1-625011</t>
  </si>
  <si>
    <t>18:09:22</t>
  </si>
  <si>
    <t>0909497331</t>
  </si>
  <si>
    <t>3906901</t>
  </si>
  <si>
    <t>REC-3187-A2UB-152457</t>
  </si>
  <si>
    <t>19:40:53</t>
  </si>
  <si>
    <t>REC-944-LRJ0-396337</t>
  </si>
  <si>
    <t>10:50:06</t>
  </si>
  <si>
    <t>20200830</t>
  </si>
  <si>
    <t>REC-355-J4YM-666934</t>
  </si>
  <si>
    <t>12:27:50</t>
  </si>
  <si>
    <t>REC-045-VMU0-340630</t>
  </si>
  <si>
    <t>12:55:43</t>
  </si>
  <si>
    <t>REC-3422-A3IU-629530</t>
  </si>
  <si>
    <t>13:33:55</t>
  </si>
  <si>
    <t>REC-5635-A2YS-20154</t>
  </si>
  <si>
    <t>15:37:31</t>
  </si>
  <si>
    <t>REC-6397-A5XK-13175</t>
  </si>
  <si>
    <t>REC-3808-A3Z9-526950</t>
  </si>
  <si>
    <t>16:28:18</t>
  </si>
  <si>
    <t>REC-6397-A5XK-13116</t>
  </si>
  <si>
    <t>09:36:36</t>
  </si>
  <si>
    <t>20200829</t>
  </si>
  <si>
    <t>REC-551-VOI9-565316</t>
  </si>
  <si>
    <t>09:50:34</t>
  </si>
  <si>
    <t>REC-678-3V18-568505</t>
  </si>
  <si>
    <t>10:13:22</t>
  </si>
  <si>
    <t>REC-3774-ABA2-590964</t>
  </si>
  <si>
    <t>11:22:33</t>
  </si>
  <si>
    <t>REC-7417-PR22-591293</t>
  </si>
  <si>
    <t>11:36:41</t>
  </si>
  <si>
    <t>REC-3172-LIO4-236828</t>
  </si>
  <si>
    <t>13:36:17</t>
  </si>
  <si>
    <t>0919574905</t>
  </si>
  <si>
    <t>3909160</t>
  </si>
  <si>
    <t>REC-3295-1T8A-206914</t>
  </si>
  <si>
    <t>14:10:26</t>
  </si>
  <si>
    <t>REC-3023-IZCF-572119</t>
  </si>
  <si>
    <t>14:29:23</t>
  </si>
  <si>
    <t>REC-5310-Z4YZ-594153</t>
  </si>
  <si>
    <t>14:32:36</t>
  </si>
  <si>
    <t>REC-3170-YGVG-320472</t>
  </si>
  <si>
    <t>15:47:04</t>
  </si>
  <si>
    <t>REC-5635-A2YS-20129</t>
  </si>
  <si>
    <t>16:35:59</t>
  </si>
  <si>
    <t>REC-3170-YGVG-320477</t>
  </si>
  <si>
    <t>17:10:45</t>
  </si>
  <si>
    <t>REC-3371-LD0C-285110</t>
  </si>
  <si>
    <t>18:04:20</t>
  </si>
  <si>
    <t>REC-3512-A4FC-269751</t>
  </si>
  <si>
    <t>09:38:21</t>
  </si>
  <si>
    <t>20200828</t>
  </si>
  <si>
    <t>REC-7305-RQ50-2869</t>
  </si>
  <si>
    <t>09:39:17</t>
  </si>
  <si>
    <t>REC-4960-A1QG-87742</t>
  </si>
  <si>
    <t>09:40:08</t>
  </si>
  <si>
    <t>REC-5310-Z4YZ-573457</t>
  </si>
  <si>
    <t>10:01:04</t>
  </si>
  <si>
    <t>REC-3510-A4F9-239603</t>
  </si>
  <si>
    <t>REC-3371-A1DS-226314</t>
  </si>
  <si>
    <t>11:32:51</t>
  </si>
  <si>
    <t>REC-5219-A2EH-533641</t>
  </si>
  <si>
    <t>11:41:16</t>
  </si>
  <si>
    <t>REC-5219-A2EH-533642</t>
  </si>
  <si>
    <t>11:41:34</t>
  </si>
  <si>
    <t>REC-3792-A24Z-554625</t>
  </si>
  <si>
    <t>11:43:08</t>
  </si>
  <si>
    <t>REC-3187-A2UB-152273</t>
  </si>
  <si>
    <t>12:01:41</t>
  </si>
  <si>
    <t>REC-390-BBF4-317714</t>
  </si>
  <si>
    <t>12:54:12</t>
  </si>
  <si>
    <t>REC-5635-A2YS-20069</t>
  </si>
  <si>
    <t>14:13:36</t>
  </si>
  <si>
    <t>REC-072-KBN0-247251</t>
  </si>
  <si>
    <t>17:13:23</t>
  </si>
  <si>
    <t>REC-095-AJSE-665643</t>
  </si>
  <si>
    <t>17:54:45</t>
  </si>
  <si>
    <t>REC-4395-DAB3-586594</t>
  </si>
  <si>
    <t>18:47:08</t>
  </si>
  <si>
    <t>REC-4963-A3A0-587685</t>
  </si>
  <si>
    <t>22:45:30</t>
  </si>
  <si>
    <t>0909554537</t>
  </si>
  <si>
    <t>3909111</t>
  </si>
  <si>
    <t>REC-3200-SAMB-508413</t>
  </si>
  <si>
    <t>09:47:01</t>
  </si>
  <si>
    <t>20200827</t>
  </si>
  <si>
    <t>REC-944-LRJ0-396116</t>
  </si>
  <si>
    <t>10:20:52</t>
  </si>
  <si>
    <t>REC-3422-A3IU-629366</t>
  </si>
  <si>
    <t>10:22:54</t>
  </si>
  <si>
    <t>REC-3172-LIO5-566031</t>
  </si>
  <si>
    <t>10:58:38</t>
  </si>
  <si>
    <t>REC-090-IRFP-583601</t>
  </si>
  <si>
    <t>11:03:56</t>
  </si>
  <si>
    <t>REC-4167-WDE2-558338</t>
  </si>
  <si>
    <t>11:05:29</t>
  </si>
  <si>
    <t>REC-5987-GFL4-559243</t>
  </si>
  <si>
    <t>11:31:22</t>
  </si>
  <si>
    <t>REC-4960-A1QG-87671</t>
  </si>
  <si>
    <t>11:32:34</t>
  </si>
  <si>
    <t>REC-4960-A1QG-87672</t>
  </si>
  <si>
    <t>11:33:21</t>
  </si>
  <si>
    <t>REC-072-AJ3R-246108</t>
  </si>
  <si>
    <t>11:33:49</t>
  </si>
  <si>
    <t>REC-223-B7CD-568329</t>
  </si>
  <si>
    <t>11:44:13</t>
  </si>
  <si>
    <t>REC-4352-A194-44491</t>
  </si>
  <si>
    <t>11:57:52</t>
  </si>
  <si>
    <t>0930874805</t>
  </si>
  <si>
    <t>3908328</t>
  </si>
  <si>
    <t>REC-3609-AAB7-561450</t>
  </si>
  <si>
    <t>12:42:17</t>
  </si>
  <si>
    <t>0910431170</t>
  </si>
  <si>
    <t>3960395</t>
  </si>
  <si>
    <t>REC-4319-A1I3-26965</t>
  </si>
  <si>
    <t>12:52:24</t>
  </si>
  <si>
    <t>0913228060</t>
  </si>
  <si>
    <t>3908101</t>
  </si>
  <si>
    <t>REC-3187-A2UB-152198</t>
  </si>
  <si>
    <t>13:03:50</t>
  </si>
  <si>
    <t>0910359595001</t>
  </si>
  <si>
    <t>3903863</t>
  </si>
  <si>
    <t>REC-342-VEHD-462704</t>
  </si>
  <si>
    <t>13:09:34</t>
  </si>
  <si>
    <t>3903864</t>
  </si>
  <si>
    <t>REC-342-VEHD-462705</t>
  </si>
  <si>
    <t>REC-3029-M9QX-196300</t>
  </si>
  <si>
    <t>13:39:54</t>
  </si>
  <si>
    <t>REC-3187-A2UB-152202</t>
  </si>
  <si>
    <t>13:44:47</t>
  </si>
  <si>
    <t>REC-5635-A2YS-20007</t>
  </si>
  <si>
    <t>13:58:28</t>
  </si>
  <si>
    <t>REC-3371-EGEG-247328</t>
  </si>
  <si>
    <t>REC-342-EBMO-273306</t>
  </si>
  <si>
    <t>16:01:11</t>
  </si>
  <si>
    <t>REC-223-B7CD-568362</t>
  </si>
  <si>
    <t>16:21:02</t>
  </si>
  <si>
    <t>REC-241-M1DC-340307</t>
  </si>
  <si>
    <t>16:39:10</t>
  </si>
  <si>
    <t>REC-3792-A39T-113452</t>
  </si>
  <si>
    <t>16:52:43</t>
  </si>
  <si>
    <t>REC-7456-PR52-694</t>
  </si>
  <si>
    <t>17:17:33</t>
  </si>
  <si>
    <t>REC-223-B7CD-568192</t>
  </si>
  <si>
    <t>09:40:43</t>
  </si>
  <si>
    <t>20200826</t>
  </si>
  <si>
    <t>REC-223-B7CD-568193</t>
  </si>
  <si>
    <t>09:42:36</t>
  </si>
  <si>
    <t>REC-678-3V18-568355</t>
  </si>
  <si>
    <t>09:49:41</t>
  </si>
  <si>
    <t>0907624936</t>
  </si>
  <si>
    <t>3903053</t>
  </si>
  <si>
    <t>REC-536-TDSM-145470</t>
  </si>
  <si>
    <t>REC-3577-A1IU-148302</t>
  </si>
  <si>
    <t>10:38:49</t>
  </si>
  <si>
    <t>REC-072-AJ3R-246060</t>
  </si>
  <si>
    <t>10:52:13</t>
  </si>
  <si>
    <t>REC-3371-LD0C-284789</t>
  </si>
  <si>
    <t>11:22:21</t>
  </si>
  <si>
    <t>REC-355-J4YM-666638</t>
  </si>
  <si>
    <t>11:57:15</t>
  </si>
  <si>
    <t>REC-5310-Z4YZ-542042</t>
  </si>
  <si>
    <t>11:58:42</t>
  </si>
  <si>
    <t>1802096865</t>
  </si>
  <si>
    <t>3903291</t>
  </si>
  <si>
    <t>REC-3187-YWS5-604950</t>
  </si>
  <si>
    <t>12:18:42</t>
  </si>
  <si>
    <t>REC-536-TDSM-145501</t>
  </si>
  <si>
    <t>12:19:22</t>
  </si>
  <si>
    <t>REC-7509-PS01-545412</t>
  </si>
  <si>
    <t>14:17:49</t>
  </si>
  <si>
    <t>0918434465</t>
  </si>
  <si>
    <t>3901711</t>
  </si>
  <si>
    <t>REC-7509-PS01-545422</t>
  </si>
  <si>
    <t>14:19:29</t>
  </si>
  <si>
    <t>REC-7517-PS06-545703</t>
  </si>
  <si>
    <t>14:29:42</t>
  </si>
  <si>
    <t>REC-223-V7XD-266113</t>
  </si>
  <si>
    <t>14:51:00</t>
  </si>
  <si>
    <t>REC-678-3V18-568385</t>
  </si>
  <si>
    <t>REC-678-3V18-568386</t>
  </si>
  <si>
    <t>15:06:28</t>
  </si>
  <si>
    <t>REC-4963-A3A0-546797</t>
  </si>
  <si>
    <t>15:08:21</t>
  </si>
  <si>
    <t>REC-008-PB64-382035</t>
  </si>
  <si>
    <t>16:44:37</t>
  </si>
  <si>
    <t>REC-3792-A39T-113379</t>
  </si>
  <si>
    <t>17:13:26</t>
  </si>
  <si>
    <t>REC-3370-A6JI-249487</t>
  </si>
  <si>
    <t>18:00:16</t>
  </si>
  <si>
    <t>REC-3109-TTH2-682831</t>
  </si>
  <si>
    <t>REC-3182-YQHD-263978</t>
  </si>
  <si>
    <t>18:29:12</t>
  </si>
  <si>
    <t>0920516317</t>
  </si>
  <si>
    <t>3903464</t>
  </si>
  <si>
    <t>REC-3520-A1CH-254282</t>
  </si>
  <si>
    <t>13:31:04</t>
  </si>
  <si>
    <t>20200825</t>
  </si>
  <si>
    <t>0992847212001</t>
  </si>
  <si>
    <t>3903470</t>
  </si>
  <si>
    <t>REC-3371-LD0C-284278</t>
  </si>
  <si>
    <t>10:45:01</t>
  </si>
  <si>
    <t>20200820</t>
  </si>
  <si>
    <t>REC-090-IRFP-583021</t>
  </si>
  <si>
    <t>10:53:54</t>
  </si>
  <si>
    <t>REC-3371-A1DS-226115</t>
  </si>
  <si>
    <t>11:32:49</t>
  </si>
  <si>
    <t>REC-3370-A6JI-248879</t>
  </si>
  <si>
    <t>11:52:01</t>
  </si>
  <si>
    <t>REC-223-B7CD-567599</t>
  </si>
  <si>
    <t>13:07:14</t>
  </si>
  <si>
    <t>REC-3182-YQHD-263452</t>
  </si>
  <si>
    <t>14:45:08</t>
  </si>
  <si>
    <t>REC-3187-A2UE-40985</t>
  </si>
  <si>
    <t>15:28:55</t>
  </si>
  <si>
    <t>1201980677</t>
  </si>
  <si>
    <t>3907394</t>
  </si>
  <si>
    <t>REC-342-EBMO-272793</t>
  </si>
  <si>
    <t>16:32:17</t>
  </si>
  <si>
    <t>REC-3182-YQG9-279326</t>
  </si>
  <si>
    <t>16:37:21</t>
  </si>
  <si>
    <t>REC-5594-A1BC-13573</t>
  </si>
  <si>
    <t>16:59:01</t>
  </si>
  <si>
    <t>REC-3201-Y46O-415372</t>
  </si>
  <si>
    <t>17:47:00</t>
  </si>
  <si>
    <t>REC-3172-LIO7-112607</t>
  </si>
  <si>
    <t>17:59:20</t>
  </si>
  <si>
    <t>REC-944-ZF9M-197391</t>
  </si>
  <si>
    <t>18:17:26</t>
  </si>
  <si>
    <t>0920557584</t>
  </si>
  <si>
    <t>3960369</t>
  </si>
  <si>
    <t>REC-3370-A6JI-248726</t>
  </si>
  <si>
    <t>09:55:45</t>
  </si>
  <si>
    <t>20200819</t>
  </si>
  <si>
    <t>REC-3792-A39T-112885</t>
  </si>
  <si>
    <t>12:13:51</t>
  </si>
  <si>
    <t>REC-4814-FSJ9-425568</t>
  </si>
  <si>
    <t>REC-3200-SAMK-224611</t>
  </si>
  <si>
    <t>15:16:01</t>
  </si>
  <si>
    <t>REC-3295-1T8A-206531</t>
  </si>
  <si>
    <t>15:34:03</t>
  </si>
  <si>
    <t>REC-049-A2U2-48446</t>
  </si>
  <si>
    <t>16:03:58</t>
  </si>
  <si>
    <t>1792623332001</t>
  </si>
  <si>
    <t>3908245</t>
  </si>
  <si>
    <t>REC-5310-Z4YZ-432185</t>
  </si>
  <si>
    <t>17:21:12</t>
  </si>
  <si>
    <t>REC-008-PB65-375786</t>
  </si>
  <si>
    <t>17:48:41</t>
  </si>
  <si>
    <t>REC-5310-Z4YZ-396674</t>
  </si>
  <si>
    <t>09:10:41</t>
  </si>
  <si>
    <t>20200818</t>
  </si>
  <si>
    <t>REC-4190-A13K-383718</t>
  </si>
  <si>
    <t>11:57:37</t>
  </si>
  <si>
    <t>REC-7451-QPQ1-1189</t>
  </si>
  <si>
    <t>12:37:08</t>
  </si>
  <si>
    <t>0917046922</t>
  </si>
  <si>
    <t>3902102</t>
  </si>
  <si>
    <t>REC-071-A4TR-162366</t>
  </si>
  <si>
    <t>13:40:31</t>
  </si>
  <si>
    <t>REC-3172-LIO6-120264</t>
  </si>
  <si>
    <t>13:44:49</t>
  </si>
  <si>
    <t>at-3088</t>
  </si>
  <si>
    <t>REC-5433-A835-406735</t>
  </si>
  <si>
    <t>14:16:52</t>
  </si>
  <si>
    <t>1205326810</t>
  </si>
  <si>
    <t>3908189</t>
  </si>
  <si>
    <t>REC-518-RI6X-426034</t>
  </si>
  <si>
    <t>16:05:59</t>
  </si>
  <si>
    <t>REC-3792-A24Z-554040</t>
  </si>
  <si>
    <t>16:53:29</t>
  </si>
  <si>
    <t>REC-3414-PTE7-369780</t>
  </si>
  <si>
    <t>08:44:00</t>
  </si>
  <si>
    <t>20200817</t>
  </si>
  <si>
    <t>REC-3175-C8JC-306170</t>
  </si>
  <si>
    <t>REC-3175-A3LN-127125</t>
  </si>
  <si>
    <t>10:35:48</t>
  </si>
  <si>
    <t>REC-4963-A3A0-383301</t>
  </si>
  <si>
    <t>13:55:07</t>
  </si>
  <si>
    <t>REC-223-V7XD-265081</t>
  </si>
  <si>
    <t>14:15:01</t>
  </si>
  <si>
    <t>REC-5310-Z4YZ-384646</t>
  </si>
  <si>
    <t>REC-3161-KURB-426892</t>
  </si>
  <si>
    <t>15:22:00</t>
  </si>
  <si>
    <t>REC-4961-A24R-33991</t>
  </si>
  <si>
    <t>16:09:19</t>
  </si>
  <si>
    <t>REC-3187-YWS5-604417</t>
  </si>
  <si>
    <t>16:24:45</t>
  </si>
  <si>
    <t>REC-3172-YIG8-307187</t>
  </si>
  <si>
    <t>16:35:19</t>
  </si>
  <si>
    <t>REC-4963-A3A0-390031</t>
  </si>
  <si>
    <t>17:12:46</t>
  </si>
  <si>
    <t>REC-4771-FSF3-363649</t>
  </si>
  <si>
    <t>10:34:45</t>
  </si>
  <si>
    <t>20200816</t>
  </si>
  <si>
    <t>REC-3370-A6JI-248317</t>
  </si>
  <si>
    <t>09:37:57</t>
  </si>
  <si>
    <t>20200815</t>
  </si>
  <si>
    <t>0912212453</t>
  </si>
  <si>
    <t>3908983</t>
  </si>
  <si>
    <t>REC-096-LIO1-541684</t>
  </si>
  <si>
    <t>11:19:44</t>
  </si>
  <si>
    <t>REC-3809-A2FM-127400</t>
  </si>
  <si>
    <t>11:27:17</t>
  </si>
  <si>
    <t>REC-5310-Z4YZ-355088</t>
  </si>
  <si>
    <t>12:17:08</t>
  </si>
  <si>
    <t>REC-5243-A2DR-11237</t>
  </si>
  <si>
    <t>15:27:56</t>
  </si>
  <si>
    <t>REC-3370-A6JI-248386</t>
  </si>
  <si>
    <t>16:57:34</t>
  </si>
  <si>
    <t>REC-096-LIO1-541587</t>
  </si>
  <si>
    <t>09:58:14</t>
  </si>
  <si>
    <t>20200814</t>
  </si>
  <si>
    <t>REC-5310-Z4YZ-337750</t>
  </si>
  <si>
    <t>11:59:56</t>
  </si>
  <si>
    <t>REC-3172-YIG8-307075</t>
  </si>
  <si>
    <t>13:29:01</t>
  </si>
  <si>
    <t>REC-3422-A3IU-628512</t>
  </si>
  <si>
    <t>15:05:00</t>
  </si>
  <si>
    <t>REC-5017-A2BD-27275</t>
  </si>
  <si>
    <t>16:03:10</t>
  </si>
  <si>
    <t>REC-5635-A2YS-19206</t>
  </si>
  <si>
    <t>16:20:16</t>
  </si>
  <si>
    <t>REC-3670-AAK2-344947</t>
  </si>
  <si>
    <t>16:22:21</t>
  </si>
  <si>
    <t>REC-3808-A3Z9-526028</t>
  </si>
  <si>
    <t>16:33:06</t>
  </si>
  <si>
    <t>REC-3677-AAK9-349175</t>
  </si>
  <si>
    <t>20:21:38</t>
  </si>
  <si>
    <t>REC-518-RI72-250424</t>
  </si>
  <si>
    <t>10:33:28</t>
  </si>
  <si>
    <t>20200813</t>
  </si>
  <si>
    <t>REC-3371-LD0C-283589</t>
  </si>
  <si>
    <t>11:18:18</t>
  </si>
  <si>
    <t>REC-3371-LD0C-283590</t>
  </si>
  <si>
    <t>11:20:15</t>
  </si>
  <si>
    <t>REC-4190-A13K-383505</t>
  </si>
  <si>
    <t>12:01:55</t>
  </si>
  <si>
    <t>REC-536-2GEZ-340257</t>
  </si>
  <si>
    <t>12:05:00</t>
  </si>
  <si>
    <t>REC-5635-A2YS-19114</t>
  </si>
  <si>
    <t>12:45:50</t>
  </si>
  <si>
    <t>1204906877</t>
  </si>
  <si>
    <t>3908922</t>
  </si>
  <si>
    <t>REC-3422-A25Y-92551</t>
  </si>
  <si>
    <t>13:13:33</t>
  </si>
  <si>
    <t>REC-3172-LIO5-565500</t>
  </si>
  <si>
    <t>13:19:49</t>
  </si>
  <si>
    <t>REC-3792-A24Z-553694</t>
  </si>
  <si>
    <t>15:37:53</t>
  </si>
  <si>
    <t>REC-090-9SKJ-436125</t>
  </si>
  <si>
    <t>15:39:37</t>
  </si>
  <si>
    <t>REC-090-9SKJ-436126</t>
  </si>
  <si>
    <t>15:40:24</t>
  </si>
  <si>
    <t>REC-043-KM1S-403377</t>
  </si>
  <si>
    <t>16:28:29</t>
  </si>
  <si>
    <t>REC-011-VD5Z-347552</t>
  </si>
  <si>
    <t>16:45:59</t>
  </si>
  <si>
    <t>REC-048-AFEP-240183</t>
  </si>
  <si>
    <t>18:16:10</t>
  </si>
  <si>
    <t>REC-4303-IAI3-328857</t>
  </si>
  <si>
    <t>18:19:08</t>
  </si>
  <si>
    <t>REC-3172-LIO6-119985</t>
  </si>
  <si>
    <t>19:43:10</t>
  </si>
  <si>
    <t>REC-4966-A3Z7-294968</t>
  </si>
  <si>
    <t>09:21:45</t>
  </si>
  <si>
    <t>20200812</t>
  </si>
  <si>
    <t>REC-011-VD5Z-347353</t>
  </si>
  <si>
    <t>09:32:16</t>
  </si>
  <si>
    <t>REC-223-B7CD-566687</t>
  </si>
  <si>
    <t>11:15:25</t>
  </si>
  <si>
    <t>REC-097-AJSC-494136</t>
  </si>
  <si>
    <t>11:45:58</t>
  </si>
  <si>
    <t>REC-3172-LIO6-119853</t>
  </si>
  <si>
    <t>12:35:35</t>
  </si>
  <si>
    <t>0914641972</t>
  </si>
  <si>
    <t>3909807</t>
  </si>
  <si>
    <t>REC-7517-PS06-303078</t>
  </si>
  <si>
    <t>13:23:01</t>
  </si>
  <si>
    <t>REC-3370-A6JI-248076</t>
  </si>
  <si>
    <t>14:00:36</t>
  </si>
  <si>
    <t>0927587253</t>
  </si>
  <si>
    <t>3900671</t>
  </si>
  <si>
    <t>REC-342-EBMO-271991</t>
  </si>
  <si>
    <t>14:31:52</t>
  </si>
  <si>
    <t>REC-061-ZT95-86512</t>
  </si>
  <si>
    <t>14:39:44</t>
  </si>
  <si>
    <t>REC-678-3V18-567465</t>
  </si>
  <si>
    <t>15:33:47</t>
  </si>
  <si>
    <t>REC-072-AJ3R-245181</t>
  </si>
  <si>
    <t>15:44:59</t>
  </si>
  <si>
    <t>REC-5635-A2YS-19068</t>
  </si>
  <si>
    <t>15:45:30</t>
  </si>
  <si>
    <t>REC-613-BK8R-423059</t>
  </si>
  <si>
    <t>16:21:22</t>
  </si>
  <si>
    <t>REC-3172-YIHD-242722</t>
  </si>
  <si>
    <t>17:29:36</t>
  </si>
  <si>
    <t>REC-4620-A1TY-270509</t>
  </si>
  <si>
    <t>20200811</t>
  </si>
  <si>
    <t>REC-061-A6S4-150427</t>
  </si>
  <si>
    <t>12:07:01</t>
  </si>
  <si>
    <t>REC-3370-A6JI-247999</t>
  </si>
  <si>
    <t>13:25:30</t>
  </si>
  <si>
    <t>REC-536-2GEZ-340145</t>
  </si>
  <si>
    <t>14:24:37</t>
  </si>
  <si>
    <t>REC-536-2GEZ-340146</t>
  </si>
  <si>
    <t>14:25:00</t>
  </si>
  <si>
    <t>REC-4164-A1LY-130895</t>
  </si>
  <si>
    <t>14:45:17</t>
  </si>
  <si>
    <t>REC-011-JVA0-509406</t>
  </si>
  <si>
    <t>15:00:16</t>
  </si>
  <si>
    <t>REC-3371-EGEG-245748</t>
  </si>
  <si>
    <t>15:03:13</t>
  </si>
  <si>
    <t>REC-045-VMU0-339253</t>
  </si>
  <si>
    <t>15:15:25</t>
  </si>
  <si>
    <t>REC-5585-A2XB-60746</t>
  </si>
  <si>
    <t>16:57:31</t>
  </si>
  <si>
    <t>REC-045-AFEZ-561327</t>
  </si>
  <si>
    <t>17:04:35</t>
  </si>
  <si>
    <t>REC-223-B7CD-566365</t>
  </si>
  <si>
    <t>09:20:03</t>
  </si>
  <si>
    <t>20200810</t>
  </si>
  <si>
    <t>REC-3200-SAMK-223792</t>
  </si>
  <si>
    <t>12:45:23</t>
  </si>
  <si>
    <t>REC-4963-A3A0-248476</t>
  </si>
  <si>
    <t>09:10:32</t>
  </si>
  <si>
    <t>20200809</t>
  </si>
  <si>
    <t>REC-3360-IPEN-223758</t>
  </si>
  <si>
    <t>10:24:41</t>
  </si>
  <si>
    <t>REC-4963-A3A0-237620</t>
  </si>
  <si>
    <t>09:23:55</t>
  </si>
  <si>
    <t>20200808</t>
  </si>
  <si>
    <t>0906960638</t>
  </si>
  <si>
    <t>3906771</t>
  </si>
  <si>
    <t>REC-3201-Y46O-414099</t>
  </si>
  <si>
    <t>11:31:26</t>
  </si>
  <si>
    <t>REC-165-M8MT-648357</t>
  </si>
  <si>
    <t>13:22:21</t>
  </si>
  <si>
    <t>REC-3747-BBT1-244856</t>
  </si>
  <si>
    <t>15:27:31</t>
  </si>
  <si>
    <t>REC-3187-A2UB-150825</t>
  </si>
  <si>
    <t>15:54:00</t>
  </si>
  <si>
    <t>REC-096-DCIZ-456071</t>
  </si>
  <si>
    <t>16:09:17</t>
  </si>
  <si>
    <t>REC-3200-SAMK-223658</t>
  </si>
  <si>
    <t>11:06:19</t>
  </si>
  <si>
    <t>20200807</t>
  </si>
  <si>
    <t>1312957853001</t>
  </si>
  <si>
    <t>3909821</t>
  </si>
  <si>
    <t>REC-5251-A2FO-10730</t>
  </si>
  <si>
    <t>11:17:27</t>
  </si>
  <si>
    <t>REC-072-KBN0-244496</t>
  </si>
  <si>
    <t>11:42:00</t>
  </si>
  <si>
    <t>1720348901</t>
  </si>
  <si>
    <t>3909019</t>
  </si>
  <si>
    <t>REC-096-HG9K-306987</t>
  </si>
  <si>
    <t>12:44:06</t>
  </si>
  <si>
    <t>REC-3784-ATA2-175520</t>
  </si>
  <si>
    <t>12:55:59</t>
  </si>
  <si>
    <t>REC-072-4PW8-203404</t>
  </si>
  <si>
    <t>14:04:27</t>
  </si>
  <si>
    <t>REC-4963-A3A0-230269</t>
  </si>
  <si>
    <t>15:29:07</t>
  </si>
  <si>
    <t>REC-3371-LD0C-283154</t>
  </si>
  <si>
    <t>15:33:06</t>
  </si>
  <si>
    <t>REC-3172-YIG8-306692</t>
  </si>
  <si>
    <t>15:39:42</t>
  </si>
  <si>
    <t>REC-4717-FRZ4-231262</t>
  </si>
  <si>
    <t>16:01:26</t>
  </si>
  <si>
    <t>REC-3422-A3IU-627973</t>
  </si>
  <si>
    <t>16:04:16</t>
  </si>
  <si>
    <t>REC-3295-1T8D-169675</t>
  </si>
  <si>
    <t>16:04:39</t>
  </si>
  <si>
    <t>REC-348-1R2Q-438139</t>
  </si>
  <si>
    <t>16:16:29</t>
  </si>
  <si>
    <t>REC-5635-A2YS-18829</t>
  </si>
  <si>
    <t>18:13:43</t>
  </si>
  <si>
    <t>REC-5987-GFL4-199719</t>
  </si>
  <si>
    <t>09:59:29</t>
  </si>
  <si>
    <t>20200806</t>
  </si>
  <si>
    <t>0923557490</t>
  </si>
  <si>
    <t>3909993</t>
  </si>
  <si>
    <t>REC-3022-FNNL-534150</t>
  </si>
  <si>
    <t>10:24:31</t>
  </si>
  <si>
    <t>REC-072-TTF1-313700</t>
  </si>
  <si>
    <t>10:53:19</t>
  </si>
  <si>
    <t>REC-7517-PS06-203282</t>
  </si>
  <si>
    <t>11:30:06</t>
  </si>
  <si>
    <t>REC-518-RI70-188023</t>
  </si>
  <si>
    <t>11:33:00</t>
  </si>
  <si>
    <t>REC-090-9SKJ-435432</t>
  </si>
  <si>
    <t>12:00:56</t>
  </si>
  <si>
    <t>REC-3422-A3IU-627893</t>
  </si>
  <si>
    <t>13:26:58</t>
  </si>
  <si>
    <t>REC-4313-IAI9-211207</t>
  </si>
  <si>
    <t>15:58:31</t>
  </si>
  <si>
    <t>REC-4960-A1QG-85701</t>
  </si>
  <si>
    <t>16:04:14</t>
  </si>
  <si>
    <t>1303716201</t>
  </si>
  <si>
    <t>3920556</t>
  </si>
  <si>
    <t>REC-4209-A14Y-32149</t>
  </si>
  <si>
    <t>16:26:35</t>
  </si>
  <si>
    <t>REC-3187-A2UB-150709</t>
  </si>
  <si>
    <t>REC-3200-SAMB-506460</t>
  </si>
  <si>
    <t>08:42:53</t>
  </si>
  <si>
    <t>20200805</t>
  </si>
  <si>
    <t>REC-090-IRFP-581565</t>
  </si>
  <si>
    <t>11:19:42</t>
  </si>
  <si>
    <t>0916826969</t>
  </si>
  <si>
    <t>3901944</t>
  </si>
  <si>
    <t>REC-3161-KURB-425850</t>
  </si>
  <si>
    <t>11:28:35</t>
  </si>
  <si>
    <t>REC-7057-A66Z-7578</t>
  </si>
  <si>
    <t>11:39:16</t>
  </si>
  <si>
    <t>REC-3172-LIO6-119324</t>
  </si>
  <si>
    <t>11:48:20</t>
  </si>
  <si>
    <t>REC-613-BK8R-422718</t>
  </si>
  <si>
    <t>12:01:39</t>
  </si>
  <si>
    <t>REC-5221-A543-182234</t>
  </si>
  <si>
    <t>12:12:43</t>
  </si>
  <si>
    <t>1308316932</t>
  </si>
  <si>
    <t>3906758</t>
  </si>
  <si>
    <t>REC-7517-PS06-183964</t>
  </si>
  <si>
    <t>13:03:26</t>
  </si>
  <si>
    <t>REC-5433-A835-184260</t>
  </si>
  <si>
    <t>13:13:02</t>
  </si>
  <si>
    <t>REC-008-PB64-381242</t>
  </si>
  <si>
    <t>13:46:23</t>
  </si>
  <si>
    <t>REC-095-AJSE-663628</t>
  </si>
  <si>
    <t>15:03:04</t>
  </si>
  <si>
    <t>REC-3182-YQHE-234863</t>
  </si>
  <si>
    <t>15:56:43</t>
  </si>
  <si>
    <t>REC-3371-EGEG-245278</t>
  </si>
  <si>
    <t>17:03:12</t>
  </si>
  <si>
    <t>REC-072-KBN0-244199</t>
  </si>
  <si>
    <t>17:22:49</t>
  </si>
  <si>
    <t>REC-072-4PW8-203262</t>
  </si>
  <si>
    <t>17:54:48</t>
  </si>
  <si>
    <t>REC-5762-FE91-193589</t>
  </si>
  <si>
    <t>18:06:31</t>
  </si>
  <si>
    <t>REC-3187-A2UB-150582</t>
  </si>
  <si>
    <t>18:28:23</t>
  </si>
  <si>
    <t>REC-3187-A2UB-150583</t>
  </si>
  <si>
    <t>18:28:53</t>
  </si>
  <si>
    <t>REC-048-QNCI-624929</t>
  </si>
  <si>
    <t>18:29:21</t>
  </si>
  <si>
    <t>REC-3187-A2UB-150595</t>
  </si>
  <si>
    <t>19:22:29</t>
  </si>
  <si>
    <t>REC-3303-CTQ6-149452</t>
  </si>
  <si>
    <t>07:20:43</t>
  </si>
  <si>
    <t>20200804</t>
  </si>
  <si>
    <t>REC-5287-A605-150149</t>
  </si>
  <si>
    <t>08:38:13</t>
  </si>
  <si>
    <t>REC-355-J4YM-664766</t>
  </si>
  <si>
    <t>08:43:26</t>
  </si>
  <si>
    <t>REC-4319-1AH9-5886</t>
  </si>
  <si>
    <t>08:45:33</t>
  </si>
  <si>
    <t>REC-3808-A3Z9-525229</t>
  </si>
  <si>
    <t>09:15:07</t>
  </si>
  <si>
    <t>REC-3370-A6JI-247301</t>
  </si>
  <si>
    <t>10:01:25</t>
  </si>
  <si>
    <t>REC-061-A6S4-150128</t>
  </si>
  <si>
    <t>REC-045-AFEZ-560622</t>
  </si>
  <si>
    <t>10:35:35</t>
  </si>
  <si>
    <t>REC-3143-AWFJ-327639</t>
  </si>
  <si>
    <t>10:59:22</t>
  </si>
  <si>
    <t>REC-3022-FNNL-533914</t>
  </si>
  <si>
    <t>11:03:41</t>
  </si>
  <si>
    <t>REC-3520-A1CH-252161</t>
  </si>
  <si>
    <t>11:36:53</t>
  </si>
  <si>
    <t>REC-663-2ITI-555293</t>
  </si>
  <si>
    <t>11:52:07</t>
  </si>
  <si>
    <t>REC-245-BEJI-659315</t>
  </si>
  <si>
    <t>REC-7451-QPQ1-776</t>
  </si>
  <si>
    <t>12:00:41</t>
  </si>
  <si>
    <t>REC-7276-RQ45-158457</t>
  </si>
  <si>
    <t>12:03:58</t>
  </si>
  <si>
    <t>REC-609-A3AI-82815</t>
  </si>
  <si>
    <t>12:10:16</t>
  </si>
  <si>
    <t>REC-223-B7CD-565730</t>
  </si>
  <si>
    <t>12:10:24</t>
  </si>
  <si>
    <t>REC-4301-IAI1-159349</t>
  </si>
  <si>
    <t>12:27:35</t>
  </si>
  <si>
    <t>0910558949</t>
  </si>
  <si>
    <t>3908273</t>
  </si>
  <si>
    <t>REC-3295-1T8A-205795</t>
  </si>
  <si>
    <t>12:51:24</t>
  </si>
  <si>
    <t>REC-348-1R2Q-437719</t>
  </si>
  <si>
    <t>12:56:56</t>
  </si>
  <si>
    <t>REC-3182-YQG9-277655</t>
  </si>
  <si>
    <t>13:06:27</t>
  </si>
  <si>
    <t>0914139175</t>
  </si>
  <si>
    <t>3900347</t>
  </si>
  <si>
    <t>REC-342-VEHD-460974</t>
  </si>
  <si>
    <t>14:48:09</t>
  </si>
  <si>
    <t>0993086533001</t>
  </si>
  <si>
    <t>3907331</t>
  </si>
  <si>
    <t>REC-090-ULDN-589098</t>
  </si>
  <si>
    <t>15:29:13</t>
  </si>
  <si>
    <t>REC-4164-A1CB-118617</t>
  </si>
  <si>
    <t>16:13:17</t>
  </si>
  <si>
    <t>REC-008-PB64-381197</t>
  </si>
  <si>
    <t>16:17:07</t>
  </si>
  <si>
    <t>REC-3095-T359-420814</t>
  </si>
  <si>
    <t>16:22:41</t>
  </si>
  <si>
    <t>REC-090-9SKJ-435233</t>
  </si>
  <si>
    <t>16:37:09</t>
  </si>
  <si>
    <t>REC-3175-C8JC-305164</t>
  </si>
  <si>
    <t>16:56:46</t>
  </si>
  <si>
    <t>REC-3520-A1CH-252261</t>
  </si>
  <si>
    <t>17:13:49</t>
  </si>
  <si>
    <t>REC-245-BEJI-659431</t>
  </si>
  <si>
    <t>18:39:27</t>
  </si>
  <si>
    <t>REC-7104-T069-120068</t>
  </si>
  <si>
    <t>08:08:15</t>
  </si>
  <si>
    <t>20200803</t>
  </si>
  <si>
    <t>REC-3187-A2UB-150355</t>
  </si>
  <si>
    <t>REC-3187-A2UB-150356</t>
  </si>
  <si>
    <t>09:38:43</t>
  </si>
  <si>
    <t>REC-901-7ZYF-401691</t>
  </si>
  <si>
    <t>10:04:24</t>
  </si>
  <si>
    <t>REC-4866-A1XE-124797</t>
  </si>
  <si>
    <t>10:13:56</t>
  </si>
  <si>
    <t>REC-5989-GFL6-125391</t>
  </si>
  <si>
    <t>10:23:32</t>
  </si>
  <si>
    <t>REC-678-3V18-566824</t>
  </si>
  <si>
    <t>10:44:58</t>
  </si>
  <si>
    <t>REC-3187-A2UB-150374</t>
  </si>
  <si>
    <t>10:50:39</t>
  </si>
  <si>
    <t>REC-3520-A1CH-251958</t>
  </si>
  <si>
    <t>REC-3295-1T8E-223563</t>
  </si>
  <si>
    <t>12:01:43</t>
  </si>
  <si>
    <t>REC-342-VEHD-460834</t>
  </si>
  <si>
    <t>12:02:28</t>
  </si>
  <si>
    <t>REC-5762-FE91-132606</t>
  </si>
  <si>
    <t>12:39:40</t>
  </si>
  <si>
    <t>REC-3201-Y46O-413443</t>
  </si>
  <si>
    <t>12:48:17</t>
  </si>
  <si>
    <t>REC-3295-1T8E-223576</t>
  </si>
  <si>
    <t>12:55:02</t>
  </si>
  <si>
    <t>REC-5635-A2YS-18561</t>
  </si>
  <si>
    <t>13:09:22</t>
  </si>
  <si>
    <t>0925613242</t>
  </si>
  <si>
    <t>3907366</t>
  </si>
  <si>
    <t>REC-061-A1AW-53649</t>
  </si>
  <si>
    <t>13:10:42</t>
  </si>
  <si>
    <t>REC-061-ZT95-86187</t>
  </si>
  <si>
    <t>13:45:13</t>
  </si>
  <si>
    <t>3960307</t>
  </si>
  <si>
    <t>REC-348-1R2Q-437546</t>
  </si>
  <si>
    <t>14:37:05</t>
  </si>
  <si>
    <t>REC-348-1R2Q-437547</t>
  </si>
  <si>
    <t>14:37:51</t>
  </si>
  <si>
    <t>0991470166001</t>
  </si>
  <si>
    <t>3960397</t>
  </si>
  <si>
    <t>REC-348-1R2Q-437548</t>
  </si>
  <si>
    <t>14:38:16</t>
  </si>
  <si>
    <t>0916500374</t>
  </si>
  <si>
    <t>3907866</t>
  </si>
  <si>
    <t>REC-3295-1TWC-214485</t>
  </si>
  <si>
    <t>14:39:51</t>
  </si>
  <si>
    <t>REC-4167-WDE2-138024</t>
  </si>
  <si>
    <t>14:45:35</t>
  </si>
  <si>
    <t>REC-3172-LIO3-70756</t>
  </si>
  <si>
    <t>15:00:31</t>
  </si>
  <si>
    <t>REC-223-B7CD-565639</t>
  </si>
  <si>
    <t>15:03:51</t>
  </si>
  <si>
    <t>REC-944-LRJW-286674</t>
  </si>
  <si>
    <t>16:19:21</t>
  </si>
  <si>
    <t>REC-061-A1AW-53668</t>
  </si>
  <si>
    <t>16:55:36</t>
  </si>
  <si>
    <t>REC-3370-A6JI-247248</t>
  </si>
  <si>
    <t>17:00:32</t>
  </si>
  <si>
    <t>REC-543-U5H7-560584</t>
  </si>
  <si>
    <t>17:24:56</t>
  </si>
  <si>
    <t>REC-3371-EGEG-245127</t>
  </si>
  <si>
    <t>17:42:34</t>
  </si>
  <si>
    <t>REC-3143-AWFJ-327613</t>
  </si>
  <si>
    <t>17:52:33</t>
  </si>
  <si>
    <t>REC-4779-FSG2-147164</t>
  </si>
  <si>
    <t>18:44:04</t>
  </si>
  <si>
    <t>REC-3187-A2UE-39769</t>
  </si>
  <si>
    <t>19:02:55</t>
  </si>
  <si>
    <t>REC-3170-YGVG-318485</t>
  </si>
  <si>
    <t>10:42:42</t>
  </si>
  <si>
    <t>20200802</t>
  </si>
  <si>
    <t>0915016539</t>
  </si>
  <si>
    <t>3903100</t>
  </si>
  <si>
    <t>REC-944-LRJ0-393619</t>
  </si>
  <si>
    <t>10:43:54</t>
  </si>
  <si>
    <t>REC-090-9SKJ-434925</t>
  </si>
  <si>
    <t>12:32:57</t>
  </si>
  <si>
    <t>at-3082</t>
  </si>
  <si>
    <t>REC-046-A3YA-108004</t>
  </si>
  <si>
    <t>13:04:24</t>
  </si>
  <si>
    <t>REC-3412-PTE5-116325</t>
  </si>
  <si>
    <t>13:28:59</t>
  </si>
  <si>
    <t>REC-008-PB65-374338</t>
  </si>
  <si>
    <t>15:14:14</t>
  </si>
  <si>
    <t>REC-609-A3AI-82616</t>
  </si>
  <si>
    <t>15:42:09</t>
  </si>
  <si>
    <t>REC-4963-A3A0-119544</t>
  </si>
  <si>
    <t>20:38:40</t>
  </si>
  <si>
    <t>REC-390-BBF4-316726</t>
  </si>
  <si>
    <t>08:42:27</t>
  </si>
  <si>
    <t>20200801</t>
  </si>
  <si>
    <t>REC-518-RI6W-426667</t>
  </si>
  <si>
    <t>08:47:19</t>
  </si>
  <si>
    <t>REC-223-V7XD-263640</t>
  </si>
  <si>
    <t>09:25:27</t>
  </si>
  <si>
    <t>REC-3510-A4F9-237663</t>
  </si>
  <si>
    <t>09:59:21</t>
  </si>
  <si>
    <t>REC-3577-A1IU-146290</t>
  </si>
  <si>
    <t>10:51:46</t>
  </si>
  <si>
    <t>REC-4007-OIT2-103666</t>
  </si>
  <si>
    <t>10:56:20</t>
  </si>
  <si>
    <t>REC-543-U5H7-560399</t>
  </si>
  <si>
    <t>12:17:02</t>
  </si>
  <si>
    <t>REC-3187-YWS5-603418</t>
  </si>
  <si>
    <t>13:13:14</t>
  </si>
  <si>
    <t>REC-551-VOI8-602411</t>
  </si>
  <si>
    <t>13:41:10</t>
  </si>
  <si>
    <t>REC-027-A40B-67077</t>
  </si>
  <si>
    <t>13:48:36</t>
  </si>
  <si>
    <t>REC-4714-A1W2-17693</t>
  </si>
  <si>
    <t>13:49:25</t>
  </si>
  <si>
    <t>REC-5635-A2YS-18463</t>
  </si>
  <si>
    <t>15:18:27</t>
  </si>
  <si>
    <t>REC-072-4PW8-202855</t>
  </si>
  <si>
    <t>15:58:40</t>
  </si>
  <si>
    <t>REC-090-9SKJ-434868</t>
  </si>
  <si>
    <t>16:42:21</t>
  </si>
  <si>
    <t>REC-4007-OIT2-161313</t>
  </si>
  <si>
    <t>11:05:33</t>
  </si>
  <si>
    <t>20200930</t>
  </si>
  <si>
    <t>REC-5314-A12L-4834</t>
  </si>
  <si>
    <t>11:12:36</t>
  </si>
  <si>
    <t>REC-3710-AAP7-161609</t>
  </si>
  <si>
    <t>11:15:57</t>
  </si>
  <si>
    <t>REC-049-A2U2-50821</t>
  </si>
  <si>
    <t>11:37:42</t>
  </si>
  <si>
    <t>REC-4961-A24R-35687</t>
  </si>
  <si>
    <t>REC-245-BEJI-665904</t>
  </si>
  <si>
    <t>12:42:53</t>
  </si>
  <si>
    <t>REC-348-1R2Q-442323</t>
  </si>
  <si>
    <t>12:47:12</t>
  </si>
  <si>
    <t>REC-3510-A4F9-241879</t>
  </si>
  <si>
    <t>13:10:53</t>
  </si>
  <si>
    <t>REC-3029-M9QW-185216</t>
  </si>
  <si>
    <t>13:46:36</t>
  </si>
  <si>
    <t>REC-3172-YIHD-246886</t>
  </si>
  <si>
    <t>14:28:02</t>
  </si>
  <si>
    <t>REC-267-B13P-1581893</t>
  </si>
  <si>
    <t>14:43:09</t>
  </si>
  <si>
    <t>REC-3412-PTE5-168717</t>
  </si>
  <si>
    <t>15:25:12</t>
  </si>
  <si>
    <t>REC-3371-A1DS-227217</t>
  </si>
  <si>
    <t>15:40:46</t>
  </si>
  <si>
    <t>REC-223-B7CD-571992</t>
  </si>
  <si>
    <t>REC-008-PB65-379111</t>
  </si>
  <si>
    <t>16:09:02</t>
  </si>
  <si>
    <t>REC-3684-AAL8-170201</t>
  </si>
  <si>
    <t>REC-3140-V8BE-502065</t>
  </si>
  <si>
    <t>16:44:04</t>
  </si>
  <si>
    <t>1303923179001</t>
  </si>
  <si>
    <t>3908214</t>
  </si>
  <si>
    <t>REC-342-VEHD-465636</t>
  </si>
  <si>
    <t>17:33:23</t>
  </si>
  <si>
    <t>REC-3422-A25Y-95721</t>
  </si>
  <si>
    <t>17:56:01</t>
  </si>
  <si>
    <t>REC-536-TDSM-148257</t>
  </si>
  <si>
    <t>19:11:13</t>
  </si>
  <si>
    <t>REC-3187-A2UB-154827</t>
  </si>
  <si>
    <t>REC-551-VOI9-567499</t>
  </si>
  <si>
    <t>10:09:58</t>
  </si>
  <si>
    <t>20200929</t>
  </si>
  <si>
    <t>REC-3371-EFX5-175627</t>
  </si>
  <si>
    <t>10:22:44</t>
  </si>
  <si>
    <t>REC-3187-A2UE-43460</t>
  </si>
  <si>
    <t>REC-072-KBN0-251258</t>
  </si>
  <si>
    <t>11:53:20</t>
  </si>
  <si>
    <t>0911798395</t>
  </si>
  <si>
    <t>3902058</t>
  </si>
  <si>
    <t>REC-810-5CAY-429245</t>
  </si>
  <si>
    <t>11:57:18</t>
  </si>
  <si>
    <t>REC-096-LIO1-544589</t>
  </si>
  <si>
    <t>12:02:35</t>
  </si>
  <si>
    <t>REC-3143-AWFJ-331700</t>
  </si>
  <si>
    <t>12:22:37</t>
  </si>
  <si>
    <t>REC-3172-LIO6-123271</t>
  </si>
  <si>
    <t>at-3099</t>
  </si>
  <si>
    <t>REC-3422-A3IU-631613</t>
  </si>
  <si>
    <t>13:18:47</t>
  </si>
  <si>
    <t>REC-5680-XTE2-1801</t>
  </si>
  <si>
    <t>REC-3200-SAMB-511659</t>
  </si>
  <si>
    <t>REC-090-ULDN-594518</t>
  </si>
  <si>
    <t>14:55:55</t>
  </si>
  <si>
    <t>REC-3371-A1DS-227192</t>
  </si>
  <si>
    <t>15:44:47</t>
  </si>
  <si>
    <t>REC-3412-PTE5-151715</t>
  </si>
  <si>
    <t>16:36:52</t>
  </si>
  <si>
    <t>REC-090-IRFP-586411</t>
  </si>
  <si>
    <t>17:19:00</t>
  </si>
  <si>
    <t>REC-4934-A1ZV-115151</t>
  </si>
  <si>
    <t>08:59:22</t>
  </si>
  <si>
    <t>20200928</t>
  </si>
  <si>
    <t>REC-7314-A6GU-14858</t>
  </si>
  <si>
    <t>11:26:59</t>
  </si>
  <si>
    <t>REC-585-VR9E-502532</t>
  </si>
  <si>
    <t>12:06:53</t>
  </si>
  <si>
    <t>REC-342-VEHD-465391</t>
  </si>
  <si>
    <t>13:51:49</t>
  </si>
  <si>
    <t>REC-3022-FNNL-538159</t>
  </si>
  <si>
    <t>14:18:26</t>
  </si>
  <si>
    <t>REC-551-B2PQ-305486</t>
  </si>
  <si>
    <t>15:00:09</t>
  </si>
  <si>
    <t>REC-061-A13Z-47498</t>
  </si>
  <si>
    <t>15:04:30</t>
  </si>
  <si>
    <t>REC-061-A13Z-47499</t>
  </si>
  <si>
    <t>15:04:48</t>
  </si>
  <si>
    <t>0907624878</t>
  </si>
  <si>
    <t>3900437</t>
  </si>
  <si>
    <t>REC-3182-YQHD-267222</t>
  </si>
  <si>
    <t>15:15:22</t>
  </si>
  <si>
    <t>REC-3747-BBT1-128841</t>
  </si>
  <si>
    <t>15:51:34</t>
  </si>
  <si>
    <t>REC-3172-LIO4-239153</t>
  </si>
  <si>
    <t>11:51:00</t>
  </si>
  <si>
    <t>20200927</t>
  </si>
  <si>
    <t>REC-3172-LIO6-123190</t>
  </si>
  <si>
    <t>14:27:17</t>
  </si>
  <si>
    <t>REC-3295-1T8E-227197</t>
  </si>
  <si>
    <t>17:31:50</t>
  </si>
  <si>
    <t>0917891731</t>
  </si>
  <si>
    <t>3901644</t>
  </si>
  <si>
    <t>REC-096-LIO1-544467</t>
  </si>
  <si>
    <t>12:44:53</t>
  </si>
  <si>
    <t>20200926</t>
  </si>
  <si>
    <t>REC-4164-A1LY-133991</t>
  </si>
  <si>
    <t>13:28:18</t>
  </si>
  <si>
    <t>REC-3095-T359-426090</t>
  </si>
  <si>
    <t>14:14:56</t>
  </si>
  <si>
    <t>0931596076</t>
  </si>
  <si>
    <t>3907896</t>
  </si>
  <si>
    <t>REC-3158-KURJ-206059</t>
  </si>
  <si>
    <t>14:56:45</t>
  </si>
  <si>
    <t>REC-2004-CNH2-586100</t>
  </si>
  <si>
    <t>16:53:06</t>
  </si>
  <si>
    <t>REC-3187-A2UB-154596</t>
  </si>
  <si>
    <t>17:51:26</t>
  </si>
  <si>
    <t>REC-008-PB65-378859</t>
  </si>
  <si>
    <t>19:24:51</t>
  </si>
  <si>
    <t>REC-4179-LOE1-85832</t>
  </si>
  <si>
    <t>09:27:21</t>
  </si>
  <si>
    <t>20200925</t>
  </si>
  <si>
    <t>REC-3172-LIO6-123074</t>
  </si>
  <si>
    <t>09:49:36</t>
  </si>
  <si>
    <t>REC-7100-A70T-5071</t>
  </si>
  <si>
    <t>10:41:56</t>
  </si>
  <si>
    <t>REC-3187-A2UE-43224</t>
  </si>
  <si>
    <t>11:24:12</t>
  </si>
  <si>
    <t>REC-3422-A3IU-631417</t>
  </si>
  <si>
    <t>11:30:19</t>
  </si>
  <si>
    <t>REC-3187-A2UE-43228</t>
  </si>
  <si>
    <t>11:55:42</t>
  </si>
  <si>
    <t>REC-4202-A16N-8174</t>
  </si>
  <si>
    <t>REC-3371-EGEG-250255</t>
  </si>
  <si>
    <t>13:09:57</t>
  </si>
  <si>
    <t>REC-3371-EGEG-250257</t>
  </si>
  <si>
    <t>13:13:05</t>
  </si>
  <si>
    <t>REC-3370-A6JI-252523</t>
  </si>
  <si>
    <t>1305124073</t>
  </si>
  <si>
    <t>REC-3143-AWFJ-331494</t>
  </si>
  <si>
    <t>14:34:09</t>
  </si>
  <si>
    <t>REC-3301-CTQ4-93363</t>
  </si>
  <si>
    <t>14:38:06</t>
  </si>
  <si>
    <t>REC-4202-A16N-8178</t>
  </si>
  <si>
    <t>14:40:58</t>
  </si>
  <si>
    <t>1</t>
  </si>
  <si>
    <t>REC-678-3V18-570349</t>
  </si>
  <si>
    <t>15:20:11</t>
  </si>
  <si>
    <t>REC-678-3V18-570350</t>
  </si>
  <si>
    <t>15:20:36</t>
  </si>
  <si>
    <t>REC-3792-A24Z-557245</t>
  </si>
  <si>
    <t>16:04:02</t>
  </si>
  <si>
    <t>0917474777</t>
  </si>
  <si>
    <t>3908334</t>
  </si>
  <si>
    <t>REC-3172-LIO3-73481</t>
  </si>
  <si>
    <t>16:29:32</t>
  </si>
  <si>
    <t>REC-4114-VBW5-95999</t>
  </si>
  <si>
    <t>16:39:13</t>
  </si>
  <si>
    <t>REC-4961-A24R-35482</t>
  </si>
  <si>
    <t>16:49:50</t>
  </si>
  <si>
    <t>REC-008-PB65-378736</t>
  </si>
  <si>
    <t>17:37:39</t>
  </si>
  <si>
    <t>REC-3182-YQHG-224712</t>
  </si>
  <si>
    <t>10:58:01</t>
  </si>
  <si>
    <t>20200920</t>
  </si>
  <si>
    <t>0916552011</t>
  </si>
  <si>
    <t>3906788</t>
  </si>
  <si>
    <t>REC-5635-A2YS-21579</t>
  </si>
  <si>
    <t>17:36:19</t>
  </si>
  <si>
    <t>REC-061-A6S4-151728</t>
  </si>
  <si>
    <t>08:35:29</t>
  </si>
  <si>
    <t>20200919</t>
  </si>
  <si>
    <t>REC-3170-YGVG-322024</t>
  </si>
  <si>
    <t>09:28:44</t>
  </si>
  <si>
    <t>REC-3182-YQHG-224586</t>
  </si>
  <si>
    <t>10:46:16</t>
  </si>
  <si>
    <t>0925055352</t>
  </si>
  <si>
    <t>REC-241-M1DC-342048</t>
  </si>
  <si>
    <t>10:50:45</t>
  </si>
  <si>
    <t>0930548052</t>
  </si>
  <si>
    <t>3908326</t>
  </si>
  <si>
    <t>REC-072-AJ3R-247659</t>
  </si>
  <si>
    <t>REC-096-HG9K-310170</t>
  </si>
  <si>
    <t>13:29:12</t>
  </si>
  <si>
    <t>REC-096-LIO1-544072</t>
  </si>
  <si>
    <t>REC-3187-A2UB-154003</t>
  </si>
  <si>
    <t>17:10:52</t>
  </si>
  <si>
    <t>REC-348-AB9D-136762</t>
  </si>
  <si>
    <t>09:14:36</t>
  </si>
  <si>
    <t>20200918</t>
  </si>
  <si>
    <t>REC-5243-A2DR-12222</t>
  </si>
  <si>
    <t>09:16:27</t>
  </si>
  <si>
    <t>REC-3371-LD0C-287106</t>
  </si>
  <si>
    <t>11:06:08</t>
  </si>
  <si>
    <t>REC-3392-A39W-409157</t>
  </si>
  <si>
    <t>REC-048-AFEP-242763</t>
  </si>
  <si>
    <t>12:42:41</t>
  </si>
  <si>
    <t>0912018603</t>
  </si>
  <si>
    <t>3906847</t>
  </si>
  <si>
    <t>REC-4963-A3A0-971711</t>
  </si>
  <si>
    <t>13:39:01</t>
  </si>
  <si>
    <t>REC-008-PB65-378126</t>
  </si>
  <si>
    <t>14:01:55</t>
  </si>
  <si>
    <t>REC-4303-IAI3-974427</t>
  </si>
  <si>
    <t>REC-3510-A4F9-241120</t>
  </si>
  <si>
    <t>15:52:07</t>
  </si>
  <si>
    <t>at-3095</t>
  </si>
  <si>
    <t>REC-061-ZGFI-100156</t>
  </si>
  <si>
    <t>16:05:30</t>
  </si>
  <si>
    <t>REC-3172-YIHD-246105</t>
  </si>
  <si>
    <t>16:12:13</t>
  </si>
  <si>
    <t>REC-096-DCIZ-459327</t>
  </si>
  <si>
    <t>16:56:31</t>
  </si>
  <si>
    <t>0940298599</t>
  </si>
  <si>
    <t>3908347</t>
  </si>
  <si>
    <t>REC-5202-A528-979914</t>
  </si>
  <si>
    <t>18:31:59</t>
  </si>
  <si>
    <t>REC-678-3V18-569797</t>
  </si>
  <si>
    <t>10:07:27</t>
  </si>
  <si>
    <t>20200917</t>
  </si>
  <si>
    <t>REC-5643-AA10-945429</t>
  </si>
  <si>
    <t>REC-3809-A2FM-129124</t>
  </si>
  <si>
    <t>11:40:10</t>
  </si>
  <si>
    <t>REC-5016-A1HF-8524</t>
  </si>
  <si>
    <t>REC-4963-A3A0-953890</t>
  </si>
  <si>
    <t>14:48:59</t>
  </si>
  <si>
    <t>REC-4535-A1SZ-30267</t>
  </si>
  <si>
    <t>15:08:00</t>
  </si>
  <si>
    <t>REC-3676-AAK8-954659</t>
  </si>
  <si>
    <t>15:14:51</t>
  </si>
  <si>
    <t>REC-7451-QPQ1-2300</t>
  </si>
  <si>
    <t>17:14:33</t>
  </si>
  <si>
    <t>REC-3172-LIO7-114007</t>
  </si>
  <si>
    <t>08:45:22</t>
  </si>
  <si>
    <t>20200916</t>
  </si>
  <si>
    <t>REC-223-B7CD-570270</t>
  </si>
  <si>
    <t>09:35:26</t>
  </si>
  <si>
    <t>REC-7433-PR32-923722</t>
  </si>
  <si>
    <t>10:27:12</t>
  </si>
  <si>
    <t>REC-011-VD5Z-350636</t>
  </si>
  <si>
    <t>10:40:42</t>
  </si>
  <si>
    <t>REC-028-A3ZW-67781</t>
  </si>
  <si>
    <t>10:55:59</t>
  </si>
  <si>
    <t>REC-090-ULDN-593352</t>
  </si>
  <si>
    <t>REC-049-A2U2-50068</t>
  </si>
  <si>
    <t>13:54:54</t>
  </si>
  <si>
    <t>REC-072-TTF1-316438</t>
  </si>
  <si>
    <t>14:27:16</t>
  </si>
  <si>
    <t>REC-3172-YIG8-309108</t>
  </si>
  <si>
    <t>15:34:23</t>
  </si>
  <si>
    <t>REC-3161-KURB-429659</t>
  </si>
  <si>
    <t>15:52:46</t>
  </si>
  <si>
    <t>0952273498</t>
  </si>
  <si>
    <t>3909903</t>
  </si>
  <si>
    <t>REC-3555-PTY3-935929</t>
  </si>
  <si>
    <t>16:18:41</t>
  </si>
  <si>
    <t>REC-3170-YGVG-321866</t>
  </si>
  <si>
    <t>16:42:19</t>
  </si>
  <si>
    <t>REC-3370-A6JI-251401</t>
  </si>
  <si>
    <t>10:10:52</t>
  </si>
  <si>
    <t>20200915</t>
  </si>
  <si>
    <t>0951431196</t>
  </si>
  <si>
    <t>3908075</t>
  </si>
  <si>
    <t>REC-3172-LIO4-238359</t>
  </si>
  <si>
    <t>10:14:34</t>
  </si>
  <si>
    <t>REC-678-3V18-569611</t>
  </si>
  <si>
    <t>11:03:58</t>
  </si>
  <si>
    <t>REC-3022-A364-125292</t>
  </si>
  <si>
    <t>11:17:46</t>
  </si>
  <si>
    <t>REC-3295-1T8E-226391</t>
  </si>
  <si>
    <t>11:46:26</t>
  </si>
  <si>
    <t>REC-3172-LIO5-566897</t>
  </si>
  <si>
    <t>12:00:34</t>
  </si>
  <si>
    <t>REC-342-EBMO-275098</t>
  </si>
  <si>
    <t>12:08:00</t>
  </si>
  <si>
    <t>REC-342-EBMO-275099</t>
  </si>
  <si>
    <t>12:08:15</t>
  </si>
  <si>
    <t>REC-342-EBMO-275100</t>
  </si>
  <si>
    <t>12:08:37</t>
  </si>
  <si>
    <t>REC-072-AJ3R-247341</t>
  </si>
  <si>
    <t>13:29:10</t>
  </si>
  <si>
    <t>REC-165-M8MT-651332</t>
  </si>
  <si>
    <t>14:27:51</t>
  </si>
  <si>
    <t>REC-944-ZF9M-199207</t>
  </si>
  <si>
    <t>14:32:03</t>
  </si>
  <si>
    <t>REC-3371-LD0C-286849</t>
  </si>
  <si>
    <t>15:46:19</t>
  </si>
  <si>
    <t>REC-3422-A3IU-630754</t>
  </si>
  <si>
    <t>15:46:20</t>
  </si>
  <si>
    <t>REC-3182-YQHG-224166</t>
  </si>
  <si>
    <t>15:59:38</t>
  </si>
  <si>
    <t>0992891637001</t>
  </si>
  <si>
    <t>3930159</t>
  </si>
  <si>
    <t>REC-5310-Z4YZ-912522</t>
  </si>
  <si>
    <t>16:31:03</t>
  </si>
  <si>
    <t>3930161</t>
  </si>
  <si>
    <t>REC-5310-Z4YZ-912577</t>
  </si>
  <si>
    <t>16:32:30</t>
  </si>
  <si>
    <t>3908975</t>
  </si>
  <si>
    <t>REC-5310-Z4YZ-912623</t>
  </si>
  <si>
    <t>16:33:26</t>
  </si>
  <si>
    <t>REC-043-KM1S-404148</t>
  </si>
  <si>
    <t>09:07:12</t>
  </si>
  <si>
    <t>20200914</t>
  </si>
  <si>
    <t>REC-3422-A25Y-94562</t>
  </si>
  <si>
    <t>11:09:57</t>
  </si>
  <si>
    <t>REC-241-BEJD-571001</t>
  </si>
  <si>
    <t>11:41:18</t>
  </si>
  <si>
    <t>REC-096-DCIZ-458882</t>
  </si>
  <si>
    <t>12:18:18</t>
  </si>
  <si>
    <t>REC-348-1R2Q-441260</t>
  </si>
  <si>
    <t>15:10:06</t>
  </si>
  <si>
    <t>0917427981</t>
  </si>
  <si>
    <t>3908254</t>
  </si>
  <si>
    <t>REC-536-TDSM-147034</t>
  </si>
  <si>
    <t>15:18:16</t>
  </si>
  <si>
    <t>0927799213001</t>
  </si>
  <si>
    <t>3900146</t>
  </si>
  <si>
    <t>REC-3182-YQHG-223992</t>
  </si>
  <si>
    <t>REC-3792-A24Z-556226</t>
  </si>
  <si>
    <t>17:25:44</t>
  </si>
  <si>
    <t>REC-3187-A2UB-153652</t>
  </si>
  <si>
    <t>18:01:12</t>
  </si>
  <si>
    <t>REC-072-KBN0-249421</t>
  </si>
  <si>
    <t>18:47:33</t>
  </si>
  <si>
    <t>REC-348-AB9D-136188</t>
  </si>
  <si>
    <t>13:55:57</t>
  </si>
  <si>
    <t>20200913</t>
  </si>
  <si>
    <t>REC-678-3V18-569495</t>
  </si>
  <si>
    <t>14:38:14</t>
  </si>
  <si>
    <t>REC-3360-IPEN-225874</t>
  </si>
  <si>
    <t>10:27:03</t>
  </si>
  <si>
    <t>20200912</t>
  </si>
  <si>
    <t>0926224247</t>
  </si>
  <si>
    <t>3903889</t>
  </si>
  <si>
    <t>REC-810-5CAY-427910</t>
  </si>
  <si>
    <t>10:40:40</t>
  </si>
  <si>
    <t>REC-096-HG9K-309475</t>
  </si>
  <si>
    <t>REC-3370-A6JI-251167</t>
  </si>
  <si>
    <t>REC-3370-A6JI-251170</t>
  </si>
  <si>
    <t>13:50:34</t>
  </si>
  <si>
    <t>REC-3577-A26V-525311</t>
  </si>
  <si>
    <t>14:55:20</t>
  </si>
  <si>
    <t>REC-3170-YGVG-321562</t>
  </si>
  <si>
    <t>REC-4164-A1LY-132984</t>
  </si>
  <si>
    <t>15:13:17</t>
  </si>
  <si>
    <t>0913381067</t>
  </si>
  <si>
    <t>3900392</t>
  </si>
  <si>
    <t>REC-5919-PRA9-860364</t>
  </si>
  <si>
    <t>REC-3187-A2UB-153438</t>
  </si>
  <si>
    <t>09:35:13</t>
  </si>
  <si>
    <t>20200911</t>
  </si>
  <si>
    <t>REC-7100-A70T-4704</t>
  </si>
  <si>
    <t>10:15:32</t>
  </si>
  <si>
    <t>REC-3023-IZCF-573262</t>
  </si>
  <si>
    <t>0913463360</t>
  </si>
  <si>
    <t>3902773</t>
  </si>
  <si>
    <t>REC-3520-A1CH-256241</t>
  </si>
  <si>
    <t>11:23:09</t>
  </si>
  <si>
    <t>REC-096-ZU7N-251413</t>
  </si>
  <si>
    <t>12:04:03</t>
  </si>
  <si>
    <t>1305077560</t>
  </si>
  <si>
    <t>3930100</t>
  </si>
  <si>
    <t>REC-096-ZU7N-251414</t>
  </si>
  <si>
    <t>12:51:28</t>
  </si>
  <si>
    <t>REC-536-2GEZ-342481</t>
  </si>
  <si>
    <t>REC-4960-A1QG-89317</t>
  </si>
  <si>
    <t>15:29:32</t>
  </si>
  <si>
    <t>REC-3172-LIO6-122071</t>
  </si>
  <si>
    <t>16:57:12</t>
  </si>
  <si>
    <t>REC-048-QNCI-627090</t>
  </si>
  <si>
    <t>08:37:51</t>
  </si>
  <si>
    <t>20200910</t>
  </si>
  <si>
    <t>REC-097-AJSC-495979</t>
  </si>
  <si>
    <t>12:07:17</t>
  </si>
  <si>
    <t>REC-4240-A1LP-403455</t>
  </si>
  <si>
    <t>12:22:07</t>
  </si>
  <si>
    <t>REC-3095-T359-424394</t>
  </si>
  <si>
    <t>0915724314</t>
  </si>
  <si>
    <t>3902114</t>
  </si>
  <si>
    <t>REC-3260-CTO1-825006</t>
  </si>
  <si>
    <t>14:02:46</t>
  </si>
  <si>
    <t>REC-3187-A2UB-153375</t>
  </si>
  <si>
    <t>14:45:01</t>
  </si>
  <si>
    <t>1714708417</t>
  </si>
  <si>
    <t>3909980</t>
  </si>
  <si>
    <t>REC-090-9SKJ-438957</t>
  </si>
  <si>
    <t>14:58:17</t>
  </si>
  <si>
    <t>REC-3518-CPP9-827473</t>
  </si>
  <si>
    <t>REC-090-9SKJ-438978</t>
  </si>
  <si>
    <t>16:36:48</t>
  </si>
  <si>
    <t>REC-5276-A2G3-228727</t>
  </si>
  <si>
    <t>17:03:24</t>
  </si>
  <si>
    <t>REC-4164-A1LY-132853</t>
  </si>
  <si>
    <t>18:57:16</t>
  </si>
  <si>
    <t>REC-3182-YQHE-237038</t>
  </si>
  <si>
    <t>19:18:49</t>
  </si>
  <si>
    <t>REC-4960-A1QG-89086</t>
  </si>
  <si>
    <t>10:27:41</t>
  </si>
  <si>
    <t>20200909</t>
  </si>
  <si>
    <t>REC-3172-LIO3-72718</t>
  </si>
  <si>
    <t>11:11:06</t>
  </si>
  <si>
    <t>REC-072-AJ3R-246938</t>
  </si>
  <si>
    <t>11:28:57</t>
  </si>
  <si>
    <t>REC-4190-A11N-1468251</t>
  </si>
  <si>
    <t>REC-5310-Z4YZ-805161</t>
  </si>
  <si>
    <t>13:55:06</t>
  </si>
  <si>
    <t>REC-348-AB9D-135869</t>
  </si>
  <si>
    <t>REC-3412-PTE5-809985</t>
  </si>
  <si>
    <t>16:55:28</t>
  </si>
  <si>
    <t>3907858</t>
  </si>
  <si>
    <t>REC-241-M1DC-341196</t>
  </si>
  <si>
    <t>09:01:00</t>
  </si>
  <si>
    <t>20200908</t>
  </si>
  <si>
    <t>REC-3301-CTQ4-776504</t>
  </si>
  <si>
    <t>10:23:24</t>
  </si>
  <si>
    <t>REC-3295-1TWC-216805</t>
  </si>
  <si>
    <t>10:40:43</t>
  </si>
  <si>
    <t>REC-7517-PS06-777883</t>
  </si>
  <si>
    <t>10:56:54</t>
  </si>
  <si>
    <t>REC-3182-YQHD-265247</t>
  </si>
  <si>
    <t>11:07:47</t>
  </si>
  <si>
    <t>REC-224-B7CE-1496</t>
  </si>
  <si>
    <t>11:25:58</t>
  </si>
  <si>
    <t>REC-3792-A39T-114194</t>
  </si>
  <si>
    <t>11:29:23</t>
  </si>
  <si>
    <t>REC-045-VMU0-341526</t>
  </si>
  <si>
    <t>REC-342-EBMO-274385</t>
  </si>
  <si>
    <t>12:33:54</t>
  </si>
  <si>
    <t>REC-008-PB64-382536</t>
  </si>
  <si>
    <t>14:38:52</t>
  </si>
  <si>
    <t>REC-3371-A1DS-226622</t>
  </si>
  <si>
    <t>15:23:06</t>
  </si>
  <si>
    <t>REC-3182-YQG9-281019</t>
  </si>
  <si>
    <t>15:54:07</t>
  </si>
  <si>
    <t>REC-4007-OIT2-788876</t>
  </si>
  <si>
    <t>15:59:51</t>
  </si>
  <si>
    <t>REC-3027-M9QL-124388</t>
  </si>
  <si>
    <t>17:32:53</t>
  </si>
  <si>
    <t>REC-342-EBMO-274499</t>
  </si>
  <si>
    <t>18:33:54</t>
  </si>
  <si>
    <t>REC-090-9SKJ-438801</t>
  </si>
  <si>
    <t>18:44:42</t>
  </si>
  <si>
    <t>REC-3172-YIGY-276596</t>
  </si>
  <si>
    <t>19:20:23</t>
  </si>
  <si>
    <t>REC-5310-Z4YZ-795067</t>
  </si>
  <si>
    <t>20:14:52</t>
  </si>
  <si>
    <t>REC-3175-A3LN-128893</t>
  </si>
  <si>
    <t>09:46:31</t>
  </si>
  <si>
    <t>20200907</t>
  </si>
  <si>
    <t>REC-3412-PTE5-748840</t>
  </si>
  <si>
    <t>10:02:50</t>
  </si>
  <si>
    <t>REC-518-RI6W-428575</t>
  </si>
  <si>
    <t>10:54:55</t>
  </si>
  <si>
    <t>REC-3370-A6JI-250650</t>
  </si>
  <si>
    <t>11:02:52</t>
  </si>
  <si>
    <t>REC-3022-FNNL-536596</t>
  </si>
  <si>
    <t>11:04:37</t>
  </si>
  <si>
    <t>0924589757</t>
  </si>
  <si>
    <t>3901755</t>
  </si>
  <si>
    <t>REC-061-AEU1-189835</t>
  </si>
  <si>
    <t>11:11:01</t>
  </si>
  <si>
    <t>REC-609-A1M3-319515</t>
  </si>
  <si>
    <t>11:11:55</t>
  </si>
  <si>
    <t>REC-536-TDSM-146489</t>
  </si>
  <si>
    <t>11:14:01</t>
  </si>
  <si>
    <t>REC-3520-A1CH-255733</t>
  </si>
  <si>
    <t>11:21:27</t>
  </si>
  <si>
    <t>REC-4164-A1LY-132565</t>
  </si>
  <si>
    <t>11:25:20</t>
  </si>
  <si>
    <t>REC-613-BK8R-424204</t>
  </si>
  <si>
    <t>11:46:36</t>
  </si>
  <si>
    <t>REC-4620-A1TY-754961</t>
  </si>
  <si>
    <t>11:55:50</t>
  </si>
  <si>
    <t>REC-3161-KURB-428745</t>
  </si>
  <si>
    <t>REC-4190-A13K-384433</t>
  </si>
  <si>
    <t>12:08:16</t>
  </si>
  <si>
    <t>REC-072-KBN0-248499</t>
  </si>
  <si>
    <t>REC-4164-A1LY-132582</t>
  </si>
  <si>
    <t>13:33:39</t>
  </si>
  <si>
    <t>0920663713</t>
  </si>
  <si>
    <t>3906839</t>
  </si>
  <si>
    <t>REC-027-A40B-69811</t>
  </si>
  <si>
    <t>14:07:27</t>
  </si>
  <si>
    <t>REC-3370-A6JI-250705</t>
  </si>
  <si>
    <t>15:57:18</t>
  </si>
  <si>
    <t>REC-4771-FSF3-765171</t>
  </si>
  <si>
    <t>16:06:25</t>
  </si>
  <si>
    <t>REC-3784-ATA2-177352</t>
  </si>
  <si>
    <t>REC-223-B7CD-569468</t>
  </si>
  <si>
    <t>16:22:13</t>
  </si>
  <si>
    <t>REC-543-U5H7-563231</t>
  </si>
  <si>
    <t>REC-3182-YQG9-280911</t>
  </si>
  <si>
    <t>18:31:53</t>
  </si>
  <si>
    <t>REC-3187-A2UB-152973</t>
  </si>
  <si>
    <t>10:36:45</t>
  </si>
  <si>
    <t>20200906</t>
  </si>
  <si>
    <t>REC-585-ZQVC-451152</t>
  </si>
  <si>
    <t>12:01:19</t>
  </si>
  <si>
    <t>REC-4257-A221-122348</t>
  </si>
  <si>
    <t>14:07:20</t>
  </si>
  <si>
    <t>REC-3172-LIO7-113486</t>
  </si>
  <si>
    <t>REC-223-B7CD-569365</t>
  </si>
  <si>
    <t>18:47:20</t>
  </si>
  <si>
    <t>REC-3187-A2UB-153117</t>
  </si>
  <si>
    <t>19:39:25</t>
  </si>
  <si>
    <t>REC-536-TDSM-146411</t>
  </si>
  <si>
    <t>11:20:59</t>
  </si>
  <si>
    <t>20200905</t>
  </si>
  <si>
    <t>REC-7057-A66Z-9008</t>
  </si>
  <si>
    <t>REC-096-LIO1-543096</t>
  </si>
  <si>
    <t>13:37:18</t>
  </si>
  <si>
    <t>REC-3789-ACA8-731555</t>
  </si>
  <si>
    <t>13:49:07</t>
  </si>
  <si>
    <t>REC-4717-FRZ4-731682</t>
  </si>
  <si>
    <t>13:56:21</t>
  </si>
  <si>
    <t>REC-609-A1M3-319381</t>
  </si>
  <si>
    <t>14:07:57</t>
  </si>
  <si>
    <t>REC-7305-RQ50-3069</t>
  </si>
  <si>
    <t>14:21:05</t>
  </si>
  <si>
    <t>REC-3520-A1CH-255645</t>
  </si>
  <si>
    <t>15:09:09</t>
  </si>
  <si>
    <t>REC-4216-A16B-28063</t>
  </si>
  <si>
    <t>18:16:38</t>
  </si>
  <si>
    <t>REC-223-B7CD-569290</t>
  </si>
  <si>
    <t>18:36:13</t>
  </si>
  <si>
    <t>0904545076</t>
  </si>
  <si>
    <t>3908329</t>
  </si>
  <si>
    <t>REC-3301-CTQ4-703831</t>
  </si>
  <si>
    <t>09:50:31</t>
  </si>
  <si>
    <t>20200904</t>
  </si>
  <si>
    <t>REC-944-LRJ0-396965</t>
  </si>
  <si>
    <t>10:06:35</t>
  </si>
  <si>
    <t>REC-609-A1M3-319303</t>
  </si>
  <si>
    <t>10:23:41</t>
  </si>
  <si>
    <t>REC-5585-A2XB-62554</t>
  </si>
  <si>
    <t>REC-3422-A25Y-93904</t>
  </si>
  <si>
    <t>11:45:22</t>
  </si>
  <si>
    <t>REC-090-ULDN-592062</t>
  </si>
  <si>
    <t>12:02:52</t>
  </si>
  <si>
    <t>REC-245-BEJI-663055</t>
  </si>
  <si>
    <t>12:38:38</t>
  </si>
  <si>
    <t>REC-3371-EGEG-248181</t>
  </si>
  <si>
    <t>13:20:09</t>
  </si>
  <si>
    <t>REC-5680-XTE2-1664</t>
  </si>
  <si>
    <t>REC-3172-LIO5-566450</t>
  </si>
  <si>
    <t>13:37:16</t>
  </si>
  <si>
    <t>0909603086</t>
  </si>
  <si>
    <t>3902109</t>
  </si>
  <si>
    <t>REC-4257-A219-155137</t>
  </si>
  <si>
    <t>15:02:08</t>
  </si>
  <si>
    <t>REC-3371-EFX5-173483</t>
  </si>
  <si>
    <t>15:08:26</t>
  </si>
  <si>
    <t>REC-3200-SAMB-509401</t>
  </si>
  <si>
    <t>15:45:00</t>
  </si>
  <si>
    <t>REC-027-A40B-69621</t>
  </si>
  <si>
    <t>17:17:00</t>
  </si>
  <si>
    <t>REC-5433-A835-719581</t>
  </si>
  <si>
    <t>17:23:35</t>
  </si>
  <si>
    <t>REC-3370-A6JI-250357</t>
  </si>
  <si>
    <t>19:11:37</t>
  </si>
  <si>
    <t>20200903</t>
  </si>
  <si>
    <t>REC-061-A6S4-151162</t>
  </si>
  <si>
    <t>19:29:18</t>
  </si>
  <si>
    <t>REC-3187-A2UE-41808</t>
  </si>
  <si>
    <t>17:53:29</t>
  </si>
  <si>
    <t>REC-7366-Y05Q-9243</t>
  </si>
  <si>
    <t>17:54:15</t>
  </si>
  <si>
    <t>REC-5635-A2YS-20432</t>
  </si>
  <si>
    <t>18:13:34</t>
  </si>
  <si>
    <t>REC-072-AJ3R-246483</t>
  </si>
  <si>
    <t>07:39:16</t>
  </si>
  <si>
    <t>REC-4301-IAI1-679719</t>
  </si>
  <si>
    <t>08:35:28</t>
  </si>
  <si>
    <t>REC-245-BEJI-662843</t>
  </si>
  <si>
    <t>09:21:50</t>
  </si>
  <si>
    <t>REC-3175-C8JC-307428</t>
  </si>
  <si>
    <t>10:12:03</t>
  </si>
  <si>
    <t>REC-4866-A1XE-683080</t>
  </si>
  <si>
    <t>10:19:35</t>
  </si>
  <si>
    <t>0930127634</t>
  </si>
  <si>
    <t>3908295</t>
  </si>
  <si>
    <t>REC-513-A28P-421960</t>
  </si>
  <si>
    <t>10:19:57</t>
  </si>
  <si>
    <t>REC-536-TDSM-146224</t>
  </si>
  <si>
    <t>10:24:52</t>
  </si>
  <si>
    <t>0910820786</t>
  </si>
  <si>
    <t>REC-7381-RR35-684570</t>
  </si>
  <si>
    <t>10:52:33</t>
  </si>
  <si>
    <t>REC-7550-KAT9-685256</t>
  </si>
  <si>
    <t>11:08:10</t>
  </si>
  <si>
    <t>REC-4164-A19X-154037</t>
  </si>
  <si>
    <t>11:54:15</t>
  </si>
  <si>
    <t>REC-4313-IAI9-687766</t>
  </si>
  <si>
    <t>12:15:29</t>
  </si>
  <si>
    <t>REC-7517-PS06-687913</t>
  </si>
  <si>
    <t>REC-609-A1M3-319213</t>
  </si>
  <si>
    <t>REC-5762-FE91-688501</t>
  </si>
  <si>
    <t>REC-536-2GEZ-341723</t>
  </si>
  <si>
    <t>12:52:11</t>
  </si>
  <si>
    <t>REC-3172-LIO6-121336</t>
  </si>
  <si>
    <t>14:19:54</t>
  </si>
  <si>
    <t>REC-4301-IAI1-692887</t>
  </si>
  <si>
    <t>15:04:42</t>
  </si>
  <si>
    <t>REC-3422-A3IU-629845</t>
  </si>
  <si>
    <t>15:07:42</t>
  </si>
  <si>
    <t>REC-045-VMU0-341081</t>
  </si>
  <si>
    <t>REC-364-NKDD-367904</t>
  </si>
  <si>
    <t>15:22:32</t>
  </si>
  <si>
    <t>REC-904-KZH3-410902</t>
  </si>
  <si>
    <t>15:29:38</t>
  </si>
  <si>
    <t>REC-390-BBF4-317956</t>
  </si>
  <si>
    <t>15:49:28</t>
  </si>
  <si>
    <t>REC-3187-YWS5-605411</t>
  </si>
  <si>
    <t>16:21:57</t>
  </si>
  <si>
    <t>0908391808001</t>
  </si>
  <si>
    <t>3901950</t>
  </si>
  <si>
    <t>REC-4313-IAI9-695634</t>
  </si>
  <si>
    <t>16:23:46</t>
  </si>
  <si>
    <t>0960469005</t>
  </si>
  <si>
    <t>3909109</t>
  </si>
  <si>
    <t>REC-536-2GEZ-341770</t>
  </si>
  <si>
    <t>16:37:40</t>
  </si>
  <si>
    <t>REC-245-BEJI-662988</t>
  </si>
  <si>
    <t>17:09:33</t>
  </si>
  <si>
    <t>REC-049-A518-1565173</t>
  </si>
  <si>
    <t>10:00:36</t>
  </si>
  <si>
    <t>20200902</t>
  </si>
  <si>
    <t>REC-072-KBN0-247735</t>
  </si>
  <si>
    <t>10:02:31</t>
  </si>
  <si>
    <t>REC-4319-A1H6-21385</t>
  </si>
  <si>
    <t>10:05:23</t>
  </si>
  <si>
    <t>REC-5987-GFL4-659131</t>
  </si>
  <si>
    <t>10:35:23</t>
  </si>
  <si>
    <t>0909105926</t>
  </si>
  <si>
    <t>3908721</t>
  </si>
  <si>
    <t>REC-585-ZQVC-450743</t>
  </si>
  <si>
    <t>REC-3201-Y46O-416657</t>
  </si>
  <si>
    <t>10:51:30</t>
  </si>
  <si>
    <t>REC-3200-SAMB-509096</t>
  </si>
  <si>
    <t>11:29:14</t>
  </si>
  <si>
    <t>REC-223-B7CD-568863</t>
  </si>
  <si>
    <t>REC-3370-A6JI-250128</t>
  </si>
  <si>
    <t>12:03:31</t>
  </si>
  <si>
    <t>REC-3022-A364-124164</t>
  </si>
  <si>
    <t>12:06:31</t>
  </si>
  <si>
    <t>REC-4820-FSK6-664075</t>
  </si>
  <si>
    <t>12:17:55</t>
  </si>
  <si>
    <t>REC-3371-EGEG-247913</t>
  </si>
  <si>
    <t>12:48:26</t>
  </si>
  <si>
    <t>REC-536-TDSM-146168</t>
  </si>
  <si>
    <t>13:01:27</t>
  </si>
  <si>
    <t>REC-3412-PTE5-665991</t>
  </si>
  <si>
    <t>REC-4963-A3A0-668153</t>
  </si>
  <si>
    <t>14:20:33</t>
  </si>
  <si>
    <t>REC-613-BK8R-423968</t>
  </si>
  <si>
    <t>14:25:37</t>
  </si>
  <si>
    <t>REC-5987-GFL4-668751</t>
  </si>
  <si>
    <t>14:38:28</t>
  </si>
  <si>
    <t>REC-095-AJSE-666057</t>
  </si>
  <si>
    <t>15:06:12</t>
  </si>
  <si>
    <t>REC-3553-PTY1-671008</t>
  </si>
  <si>
    <t>15:37:54</t>
  </si>
  <si>
    <t>REC-5585-RQ83-14868</t>
  </si>
  <si>
    <t>16:44:31</t>
  </si>
  <si>
    <t>REC-536-2GEZ-341639</t>
  </si>
  <si>
    <t>16:46:37</t>
  </si>
  <si>
    <t>REC-3360-IPEN-225343</t>
  </si>
  <si>
    <t>16:53:45</t>
  </si>
  <si>
    <t>REC-3577-A26V-524264</t>
  </si>
  <si>
    <t>17:12:33</t>
  </si>
  <si>
    <t>REC-3792-A24Z-555112</t>
  </si>
  <si>
    <t>17:42:39</t>
  </si>
  <si>
    <t>REC-7488-PR83-678562</t>
  </si>
  <si>
    <t>20:05:37</t>
  </si>
  <si>
    <t>REC-5695-A2E3-17681</t>
  </si>
  <si>
    <t>09:02:29</t>
  </si>
  <si>
    <t>20200901</t>
  </si>
  <si>
    <t>0962651758</t>
  </si>
  <si>
    <t>3908235</t>
  </si>
  <si>
    <t>REC-061-A6S3-213493</t>
  </si>
  <si>
    <t>REC-663-1R5N-1490568</t>
  </si>
  <si>
    <t>10:23:04</t>
  </si>
  <si>
    <t>REC-355-N45U-559688</t>
  </si>
  <si>
    <t>11:36:37</t>
  </si>
  <si>
    <t>REC-061-AEU1-189569</t>
  </si>
  <si>
    <t>12:13:56</t>
  </si>
  <si>
    <t>REC-3520-A1CH-254948</t>
  </si>
  <si>
    <t>12:43:27</t>
  </si>
  <si>
    <t>REC-390-SB17-594842</t>
  </si>
  <si>
    <t>13:28:33</t>
  </si>
  <si>
    <t>REC-342-VEHD-463083</t>
  </si>
  <si>
    <t>13:32:41</t>
  </si>
  <si>
    <t>REC-678-3V18-568704</t>
  </si>
  <si>
    <t>13:57:35</t>
  </si>
  <si>
    <t>REC-7277-RQ46-642028</t>
  </si>
  <si>
    <t>13:57:41</t>
  </si>
  <si>
    <t>REC-3295-1TWC-216226</t>
  </si>
  <si>
    <t>REC-3808-A3Z9-527120</t>
  </si>
  <si>
    <t>14:54:58</t>
  </si>
  <si>
    <t>REC-536-TDSM-146060</t>
  </si>
  <si>
    <t>15:10:03</t>
  </si>
  <si>
    <t>REC-072-TTF1-315308</t>
  </si>
  <si>
    <t>15:11:24</t>
  </si>
  <si>
    <t>REC-5762-FE91-646825</t>
  </si>
  <si>
    <t>16:07:00</t>
  </si>
  <si>
    <t>REC-4164-A1LY-132155</t>
  </si>
  <si>
    <t>16:42:36</t>
  </si>
  <si>
    <t>REC-072-KBN0-247690</t>
  </si>
  <si>
    <t>17:14:53</t>
  </si>
  <si>
    <t>0914723333</t>
  </si>
  <si>
    <t>3908291</t>
  </si>
  <si>
    <t>REC-3371-EGEG-247820</t>
  </si>
  <si>
    <t>17:29:22</t>
  </si>
  <si>
    <t>REC-611-HYM3-97509</t>
  </si>
  <si>
    <t>18:05:09</t>
  </si>
  <si>
    <t>REC-096-DCIZ-457652</t>
  </si>
  <si>
    <t>19:20:17</t>
  </si>
  <si>
    <t>REC-611-HYM3-97527</t>
  </si>
  <si>
    <t>19:28:03</t>
  </si>
  <si>
    <t>REC-061-A6S4-153457</t>
  </si>
  <si>
    <t>09:23:31</t>
  </si>
  <si>
    <t>20201031</t>
  </si>
  <si>
    <t>REC-223-V7XD-273501</t>
  </si>
  <si>
    <t>11:45:21</t>
  </si>
  <si>
    <t>REC-3422-A3IU-634044</t>
  </si>
  <si>
    <t>12:14:19</t>
  </si>
  <si>
    <t>REC-046-A3YA-116192</t>
  </si>
  <si>
    <t>12:33:35</t>
  </si>
  <si>
    <t>REC-901-7ZYF-408803</t>
  </si>
  <si>
    <t>REC-901-7ZYF-408804</t>
  </si>
  <si>
    <t>14:23:52</t>
  </si>
  <si>
    <t>REC-3808-A3Z9-531504</t>
  </si>
  <si>
    <t>14:34:20</t>
  </si>
  <si>
    <t>REC-3520-A1CH-261744</t>
  </si>
  <si>
    <t>14:38:39</t>
  </si>
  <si>
    <t>REC-3792-A24Z-560476</t>
  </si>
  <si>
    <t>14:45:50</t>
  </si>
  <si>
    <t>REC-3295-1T8A-210337</t>
  </si>
  <si>
    <t>15:13:11</t>
  </si>
  <si>
    <t>REC-3414-PTE7-818242</t>
  </si>
  <si>
    <t>15:17:10</t>
  </si>
  <si>
    <t>REC-3182-YQHD-270217</t>
  </si>
  <si>
    <t>17:10:39</t>
  </si>
  <si>
    <t>REC-008-PB65-382379</t>
  </si>
  <si>
    <t>18:10:49</t>
  </si>
  <si>
    <t>REC-061-A3Y4-254723</t>
  </si>
  <si>
    <t>07:59:32</t>
  </si>
  <si>
    <t>20201030</t>
  </si>
  <si>
    <t>REC-3808-A3Z9-531344</t>
  </si>
  <si>
    <t>09:23:27</t>
  </si>
  <si>
    <t>REC-3187-YWS5-608452</t>
  </si>
  <si>
    <t>09:31:54</t>
  </si>
  <si>
    <t>REC-342-VEHD-468686</t>
  </si>
  <si>
    <t>09:34:55</t>
  </si>
  <si>
    <t>REC-223-B7CD-575683</t>
  </si>
  <si>
    <t>09:38:00</t>
  </si>
  <si>
    <t>REC-3172-LIO6-127051</t>
  </si>
  <si>
    <t>10:15:14</t>
  </si>
  <si>
    <t>REC-096-LIO1-547456</t>
  </si>
  <si>
    <t>10:34:29</t>
  </si>
  <si>
    <t>REC-3172-LIO5-569687</t>
  </si>
  <si>
    <t>10:39:19</t>
  </si>
  <si>
    <t>REC-536-2GEZ-347051</t>
  </si>
  <si>
    <t>11:31:04</t>
  </si>
  <si>
    <t>REC-3022-A364-128671</t>
  </si>
  <si>
    <t>REC-390-SB17-598349</t>
  </si>
  <si>
    <t>12:13:58</t>
  </si>
  <si>
    <t>REC-810-5CAY-432050</t>
  </si>
  <si>
    <t>12:32:11</t>
  </si>
  <si>
    <t>REC-3510-A4F9-244297</t>
  </si>
  <si>
    <t>12:33:32</t>
  </si>
  <si>
    <t>REC-3172-LIO5-569726</t>
  </si>
  <si>
    <t>13:58:09</t>
  </si>
  <si>
    <t>REC-390-SB17-598372</t>
  </si>
  <si>
    <t>14:01:30</t>
  </si>
  <si>
    <t>0909159212</t>
  </si>
  <si>
    <t>3930358</t>
  </si>
  <si>
    <t>REC-7699-SS50-800679</t>
  </si>
  <si>
    <t>15:52:58</t>
  </si>
  <si>
    <t>REC-678-3V18-572876</t>
  </si>
  <si>
    <t>16:43:02</t>
  </si>
  <si>
    <t>REC-3172-LIO5-569759</t>
  </si>
  <si>
    <t>16:43:27</t>
  </si>
  <si>
    <t>REC-048-AFEP-246250</t>
  </si>
  <si>
    <t>17:16:43</t>
  </si>
  <si>
    <t>REC-342-VEHD-468818</t>
  </si>
  <si>
    <t>17:42:51</t>
  </si>
  <si>
    <t>REC-3747-BBT1-805723</t>
  </si>
  <si>
    <t>18:52:08</t>
  </si>
  <si>
    <t>REC-096-LIO1-547556</t>
  </si>
  <si>
    <t>19:05:00</t>
  </si>
  <si>
    <t>REC-011-JVA0-515345</t>
  </si>
  <si>
    <t>19:46:31</t>
  </si>
  <si>
    <t>0905055901</t>
  </si>
  <si>
    <t>3907377</t>
  </si>
  <si>
    <t>REC-3370-A6JI-256153</t>
  </si>
  <si>
    <t>09:23:48</t>
  </si>
  <si>
    <t>20201029</t>
  </si>
  <si>
    <t>REC-5635-A2YS-24322</t>
  </si>
  <si>
    <t>09:47:40</t>
  </si>
  <si>
    <t>REC-3172-LIO7-116406</t>
  </si>
  <si>
    <t>09:57:32</t>
  </si>
  <si>
    <t>REC-944-ZF9M-202125</t>
  </si>
  <si>
    <t>10:34:59</t>
  </si>
  <si>
    <t>REC-536-TDSM-150840</t>
  </si>
  <si>
    <t>REC-536-2GEZ-346966</t>
  </si>
  <si>
    <t>12:40:39</t>
  </si>
  <si>
    <t>REC-061-A13Z-48380</t>
  </si>
  <si>
    <t>13:21:11</t>
  </si>
  <si>
    <t>REC-045-AFEZ-569120</t>
  </si>
  <si>
    <t>13:42:00</t>
  </si>
  <si>
    <t>REC-4164-A19X-157915</t>
  </si>
  <si>
    <t>15:20:25</t>
  </si>
  <si>
    <t>REC-4303-IAI3-779185</t>
  </si>
  <si>
    <t>16:31:30</t>
  </si>
  <si>
    <t>REC-3170-YGVG-325035</t>
  </si>
  <si>
    <t>16:40:58</t>
  </si>
  <si>
    <t>REC-3792-A39T-118505</t>
  </si>
  <si>
    <t>17:46:30</t>
  </si>
  <si>
    <t>REC-245-BEJI-669910</t>
  </si>
  <si>
    <t>18:06:52</t>
  </si>
  <si>
    <t>REC-4960-A1QG-94622</t>
  </si>
  <si>
    <t>18:15:49</t>
  </si>
  <si>
    <t>REC-2004-CNH2-589433</t>
  </si>
  <si>
    <t>18:17:52</t>
  </si>
  <si>
    <t>REC-3187-A2UE-46000</t>
  </si>
  <si>
    <t>18:23:18</t>
  </si>
  <si>
    <t>REC-3187-A2UE-46001</t>
  </si>
  <si>
    <t>18:23:51</t>
  </si>
  <si>
    <t>REC-536-2GEZ-346868</t>
  </si>
  <si>
    <t>09:17:12</t>
  </si>
  <si>
    <t>20201028</t>
  </si>
  <si>
    <t>REC-061-AEU1-191841</t>
  </si>
  <si>
    <t>09:47:49</t>
  </si>
  <si>
    <t>REC-348-AB9D-141215</t>
  </si>
  <si>
    <t>REC-3512-A4FC-275468</t>
  </si>
  <si>
    <t>10:41:50</t>
  </si>
  <si>
    <t>REC-3187-A2UB-157381</t>
  </si>
  <si>
    <t>10:49:38</t>
  </si>
  <si>
    <t>REC-3182-YQG9-285262</t>
  </si>
  <si>
    <t>11:00:42</t>
  </si>
  <si>
    <t>REC-3143-AWFJ-334040</t>
  </si>
  <si>
    <t>11:07:53</t>
  </si>
  <si>
    <t>REC-568-YYC0-1580576</t>
  </si>
  <si>
    <t>11:11:04</t>
  </si>
  <si>
    <t>REC-3187-A2UB-157404</t>
  </si>
  <si>
    <t>12:05:59</t>
  </si>
  <si>
    <t>REC-3371-EGEG-253785</t>
  </si>
  <si>
    <t>12:06:27</t>
  </si>
  <si>
    <t>1716703119</t>
  </si>
  <si>
    <t>3900240</t>
  </si>
  <si>
    <t>REC-3216-CSE1-750495</t>
  </si>
  <si>
    <t>12:33:33</t>
  </si>
  <si>
    <t>REC-3792-A39T-118374</t>
  </si>
  <si>
    <t>12:43:07</t>
  </si>
  <si>
    <t>REC-223-B7CD-575454</t>
  </si>
  <si>
    <t>13:21:50</t>
  </si>
  <si>
    <t>REC-3187-A2UB-157414</t>
  </si>
  <si>
    <t>REC-4717-FRZ4-753718</t>
  </si>
  <si>
    <t>14:28:25</t>
  </si>
  <si>
    <t>REC-061-ZT95-89062</t>
  </si>
  <si>
    <t>14:30:30</t>
  </si>
  <si>
    <t>REC-390-BBF4-320346</t>
  </si>
  <si>
    <t>14:36:07</t>
  </si>
  <si>
    <t>REC-4164-A19X-157858</t>
  </si>
  <si>
    <t>16:28:00</t>
  </si>
  <si>
    <t>REC-4164-A19X-157859</t>
  </si>
  <si>
    <t>16:28:48</t>
  </si>
  <si>
    <t>REC-3370-A6JI-256117</t>
  </si>
  <si>
    <t>16:34:20</t>
  </si>
  <si>
    <t>REC-004-P4FN-92346</t>
  </si>
  <si>
    <t>REC-004-P4FN-92347</t>
  </si>
  <si>
    <t>17:22:39</t>
  </si>
  <si>
    <t>REC-4963-A3A0-761121</t>
  </si>
  <si>
    <t>19:11:51</t>
  </si>
  <si>
    <t>REC-3512-A4FC-275435</t>
  </si>
  <si>
    <t>18:49:42</t>
  </si>
  <si>
    <t>20201027</t>
  </si>
  <si>
    <t>REC-3187-A2UB-157356</t>
  </si>
  <si>
    <t>18:54:26</t>
  </si>
  <si>
    <t>REC-4549-MAU2-2369</t>
  </si>
  <si>
    <t>09:30:11</t>
  </si>
  <si>
    <t>REC-4961-A24R-36992</t>
  </si>
  <si>
    <t>10:07:51</t>
  </si>
  <si>
    <t>REC-045-AFEZ-568900</t>
  </si>
  <si>
    <t>10:31:01</t>
  </si>
  <si>
    <t>REC-3175-A3LN-133081</t>
  </si>
  <si>
    <t>10:47:17</t>
  </si>
  <si>
    <t>REC-4257-A221-127126</t>
  </si>
  <si>
    <t>11:04:09</t>
  </si>
  <si>
    <t>REC-3175-C8JC-312178</t>
  </si>
  <si>
    <t>11:28:44</t>
  </si>
  <si>
    <t>REC-096-LIO1-547228</t>
  </si>
  <si>
    <t>REC-4164-A1CB-122847</t>
  </si>
  <si>
    <t>12:06:36</t>
  </si>
  <si>
    <t>REC-7451-QPQ1-4066</t>
  </si>
  <si>
    <t>12:14:01</t>
  </si>
  <si>
    <t>REC-4976-A25U-7046</t>
  </si>
  <si>
    <t>12:33:39</t>
  </si>
  <si>
    <t>REC-4164-A1LY-136398</t>
  </si>
  <si>
    <t>13:00:40</t>
  </si>
  <si>
    <t>REC-5585-RQ83-19532</t>
  </si>
  <si>
    <t>13:25:13</t>
  </si>
  <si>
    <t>REC-342-EBMO-279475</t>
  </si>
  <si>
    <t>13:53:34</t>
  </si>
  <si>
    <t>REC-245-BEJI-669590</t>
  </si>
  <si>
    <t>14:03:50</t>
  </si>
  <si>
    <t>REC-061-A6S3-215126</t>
  </si>
  <si>
    <t>14:29:14</t>
  </si>
  <si>
    <t>REC-224-B7CE-4120</t>
  </si>
  <si>
    <t>14:30:15</t>
  </si>
  <si>
    <t>REC-3172-LIO4-242395</t>
  </si>
  <si>
    <t>15:01:12</t>
  </si>
  <si>
    <t>REC-348-1R2Q-444606</t>
  </si>
  <si>
    <t>15:53:33</t>
  </si>
  <si>
    <t>REC-4164-A19P-158265</t>
  </si>
  <si>
    <t>REC-090-9SKJ-444873</t>
  </si>
  <si>
    <t>16:07:24</t>
  </si>
  <si>
    <t>REC-3554-PTY2-736378</t>
  </si>
  <si>
    <t>16:41:05</t>
  </si>
  <si>
    <t>REC-3371-EGEG-253755</t>
  </si>
  <si>
    <t>16:42:45</t>
  </si>
  <si>
    <t>REC-3172-LIO4-242421</t>
  </si>
  <si>
    <t>17:13:34</t>
  </si>
  <si>
    <t>REC-2004-CNH2-588960</t>
  </si>
  <si>
    <t>08:55:42</t>
  </si>
  <si>
    <t>20201026</t>
  </si>
  <si>
    <t>REC-4209-A14Y-33265</t>
  </si>
  <si>
    <t>09:12:23</t>
  </si>
  <si>
    <t>REC-061-AEU1-191717</t>
  </si>
  <si>
    <t>09:15:39</t>
  </si>
  <si>
    <t>REC-3371-LD0C-290897</t>
  </si>
  <si>
    <t>10:17:23</t>
  </si>
  <si>
    <t>REC-3187-A2UB-157164</t>
  </si>
  <si>
    <t>REC-3422-A25Y-97784</t>
  </si>
  <si>
    <t>10:57:28</t>
  </si>
  <si>
    <t>REC-096-LIO1-547142</t>
  </si>
  <si>
    <t>11:10:16</t>
  </si>
  <si>
    <t>0925657116</t>
  </si>
  <si>
    <t>3900530</t>
  </si>
  <si>
    <t>REC-223-V7XD-272776</t>
  </si>
  <si>
    <t>12:03:50</t>
  </si>
  <si>
    <t>REC-7366-Y05Q-11828</t>
  </si>
  <si>
    <t>REC-049-A518-1568087</t>
  </si>
  <si>
    <t>13:07:06</t>
  </si>
  <si>
    <t>REC-3187-A2UB-157191</t>
  </si>
  <si>
    <t>13:22:02</t>
  </si>
  <si>
    <t>REC-245-BEJI-669452</t>
  </si>
  <si>
    <t>13:58:31</t>
  </si>
  <si>
    <t>REC-223-V7XD-272810</t>
  </si>
  <si>
    <t>14:38:36</t>
  </si>
  <si>
    <t>REC-3371-LD0C-290968</t>
  </si>
  <si>
    <t>14:44:43</t>
  </si>
  <si>
    <t>REC-543-U5H7-567054</t>
  </si>
  <si>
    <t>15:35:50</t>
  </si>
  <si>
    <t>REC-3175-C8JC-312157</t>
  </si>
  <si>
    <t>16:05:21</t>
  </si>
  <si>
    <t>0918733056</t>
  </si>
  <si>
    <t>3906027</t>
  </si>
  <si>
    <t>REC-7699-SS50-710286</t>
  </si>
  <si>
    <t>16:14:44</t>
  </si>
  <si>
    <t>REC-944-KDUZ-253634</t>
  </si>
  <si>
    <t>16:52:48</t>
  </si>
  <si>
    <t>REC-3978-LUO2-713114</t>
  </si>
  <si>
    <t>17:27:53</t>
  </si>
  <si>
    <t>REC-3370-A6JI-255917</t>
  </si>
  <si>
    <t>18:18:12</t>
  </si>
  <si>
    <t>REC-5001-A1C1-11940</t>
  </si>
  <si>
    <t>18:36:22</t>
  </si>
  <si>
    <t>REC-165-LOA2-156564</t>
  </si>
  <si>
    <t>18:42:55</t>
  </si>
  <si>
    <t>REC-342-EBMO-279422</t>
  </si>
  <si>
    <t>18:57:33</t>
  </si>
  <si>
    <t>REC-4771-FSF3-582947</t>
  </si>
  <si>
    <t>08:58:31</t>
  </si>
  <si>
    <t>20201020</t>
  </si>
  <si>
    <t>REC-4257-A221-126455</t>
  </si>
  <si>
    <t>10:55:10</t>
  </si>
  <si>
    <t>REC-4963-A3A0-594654</t>
  </si>
  <si>
    <t>13:34:44</t>
  </si>
  <si>
    <t>REC-5695-A2E3-20224</t>
  </si>
  <si>
    <t>14:53:29</t>
  </si>
  <si>
    <t>REC-3371-A1DS-227836</t>
  </si>
  <si>
    <t>15:10:55</t>
  </si>
  <si>
    <t>REC-5310-Z4YZ-601658</t>
  </si>
  <si>
    <t>16:52:10</t>
  </si>
  <si>
    <t>REC-3260-CTO1-602193</t>
  </si>
  <si>
    <t>17:07:43</t>
  </si>
  <si>
    <t>REC-944-ZF9M-201542</t>
  </si>
  <si>
    <t>17:42:00</t>
  </si>
  <si>
    <t>REC-4395-DAB3-605630</t>
  </si>
  <si>
    <t>REC-4235-A1BQ-29198</t>
  </si>
  <si>
    <t>09:00:22</t>
  </si>
  <si>
    <t>20201019</t>
  </si>
  <si>
    <t>REC-536-TDSM-149976</t>
  </si>
  <si>
    <t>09:50:22</t>
  </si>
  <si>
    <t>0919925248</t>
  </si>
  <si>
    <t>3907498</t>
  </si>
  <si>
    <t>REC-4257-A219-157980</t>
  </si>
  <si>
    <t>10:28:31</t>
  </si>
  <si>
    <t>REC-342-VEHD-467534</t>
  </si>
  <si>
    <t>10:28:49</t>
  </si>
  <si>
    <t>REC-061-ZGFI-101240</t>
  </si>
  <si>
    <t>REC-048-QNCI-629714</t>
  </si>
  <si>
    <t>12:42:10</t>
  </si>
  <si>
    <t>REC-3809-A2FM-130763</t>
  </si>
  <si>
    <t>13:40:32</t>
  </si>
  <si>
    <t>REC-4240-A1LP-404881</t>
  </si>
  <si>
    <t>14:01:20</t>
  </si>
  <si>
    <t>REC-348-AB9D-140319</t>
  </si>
  <si>
    <t>14:18:55</t>
  </si>
  <si>
    <t>REC-3189-YWSY-163870</t>
  </si>
  <si>
    <t>15:42:18</t>
  </si>
  <si>
    <t>0912220738</t>
  </si>
  <si>
    <t>3930172</t>
  </si>
  <si>
    <t>REC-5635-A2YS-23624</t>
  </si>
  <si>
    <t>REC-7751-LV17-4</t>
  </si>
  <si>
    <t>16:54:12</t>
  </si>
  <si>
    <t>REC-944-ZF9M-201423</t>
  </si>
  <si>
    <t>18:13:04</t>
  </si>
  <si>
    <t>REC-3422-A25Y-97289</t>
  </si>
  <si>
    <t>14:42:25</t>
  </si>
  <si>
    <t>20201018</t>
  </si>
  <si>
    <t>REC-5987-GFL4-532385</t>
  </si>
  <si>
    <t>20201017</t>
  </si>
  <si>
    <t>REC-3175-A3LN-132359</t>
  </si>
  <si>
    <t>09:56:57</t>
  </si>
  <si>
    <t>REC-3187-A2UE-45128</t>
  </si>
  <si>
    <t>REC-3172-YIHD-248400</t>
  </si>
  <si>
    <t>12:31:39</t>
  </si>
  <si>
    <t>REC-609-A1M3-322401</t>
  </si>
  <si>
    <t>13:44:59</t>
  </si>
  <si>
    <t>REC-072-AJ3R-249772</t>
  </si>
  <si>
    <t>13:47:28</t>
  </si>
  <si>
    <t>REC-4352-A194-46646</t>
  </si>
  <si>
    <t>15:36:55</t>
  </si>
  <si>
    <t>REC-3370-A6JI-254957</t>
  </si>
  <si>
    <t>16:22:39</t>
  </si>
  <si>
    <t>REC-3370-A6JI-254975</t>
  </si>
  <si>
    <t>18:29:11</t>
  </si>
  <si>
    <t>REC-3170-YGVG-324090</t>
  </si>
  <si>
    <t>10:19:42</t>
  </si>
  <si>
    <t>20201016</t>
  </si>
  <si>
    <t>REC-3214-A160-95757</t>
  </si>
  <si>
    <t>10:58:08</t>
  </si>
  <si>
    <t>0909105819</t>
  </si>
  <si>
    <t>3945219</t>
  </si>
  <si>
    <t>REC-3187-A2UE-45019</t>
  </si>
  <si>
    <t>12:14:02</t>
  </si>
  <si>
    <t>REC-3370-A6JI-254772</t>
  </si>
  <si>
    <t>REC-090-ULDN-596332</t>
  </si>
  <si>
    <t>12:40:15</t>
  </si>
  <si>
    <t>REC-072-A6LX-206951</t>
  </si>
  <si>
    <t>13:07:46</t>
  </si>
  <si>
    <t>REC-3412-PTE5-519707</t>
  </si>
  <si>
    <t>13:55:59</t>
  </si>
  <si>
    <t>REC-3161-KURB-432672</t>
  </si>
  <si>
    <t>15:19:26</t>
  </si>
  <si>
    <t>REC-536-TDSM-149904</t>
  </si>
  <si>
    <t>15:33:45</t>
  </si>
  <si>
    <t>REC-043-AFRE-311006</t>
  </si>
  <si>
    <t>16:52:35</t>
  </si>
  <si>
    <t>REC-4960-A1QG-93216</t>
  </si>
  <si>
    <t>17:06:24</t>
  </si>
  <si>
    <t>REC-5762-FE91-525925</t>
  </si>
  <si>
    <t>17:06:47</t>
  </si>
  <si>
    <t>REC-7137-T205-527801</t>
  </si>
  <si>
    <t>18:19:16</t>
  </si>
  <si>
    <t>REC-3175-C8JC-311284</t>
  </si>
  <si>
    <t>19:11:06</t>
  </si>
  <si>
    <t>REC-4179-LOE1-486061</t>
  </si>
  <si>
    <t>10:22:45</t>
  </si>
  <si>
    <t>20201015</t>
  </si>
  <si>
    <t>REC-049-A2U2-51900</t>
  </si>
  <si>
    <t>11:32:18</t>
  </si>
  <si>
    <t>REC-049-A2U2-51901</t>
  </si>
  <si>
    <t>11:33:01</t>
  </si>
  <si>
    <t>REC-096-ZU7N-253929</t>
  </si>
  <si>
    <t>11:35:28</t>
  </si>
  <si>
    <t>REC-061-A6S3-214740</t>
  </si>
  <si>
    <t>11:49:35</t>
  </si>
  <si>
    <t>REC-061-A13Z-48087</t>
  </si>
  <si>
    <t>at-3114</t>
  </si>
  <si>
    <t>REC-3187-YWS5-607648</t>
  </si>
  <si>
    <t>REC-3422-A3IU-632851</t>
  </si>
  <si>
    <t>13:35:22</t>
  </si>
  <si>
    <t>REC-4963-A3A0-494939</t>
  </si>
  <si>
    <t>14:07:11</t>
  </si>
  <si>
    <t>REC-7433-PR32-500158</t>
  </si>
  <si>
    <t>16:25:10</t>
  </si>
  <si>
    <t>REC-5243-RP46-622</t>
  </si>
  <si>
    <t>16:26:20</t>
  </si>
  <si>
    <t>REC-355-J4YM-671676</t>
  </si>
  <si>
    <t>17:04:30</t>
  </si>
  <si>
    <t>REC-3809-A3ZD-31284</t>
  </si>
  <si>
    <t>17:11:42</t>
  </si>
  <si>
    <t>REC-3187-A2UB-156327</t>
  </si>
  <si>
    <t>17:33:02</t>
  </si>
  <si>
    <t>REC-3510-A4F9-243173</t>
  </si>
  <si>
    <t>18:11:41</t>
  </si>
  <si>
    <t>REC-342-EBMO-278360</t>
  </si>
  <si>
    <t>19:48:35</t>
  </si>
  <si>
    <t>REC-4963-A3A0-505975</t>
  </si>
  <si>
    <t>20:03:53</t>
  </si>
  <si>
    <t>REC-223-V7XD-271283</t>
  </si>
  <si>
    <t>13:09:41</t>
  </si>
  <si>
    <t>20201014</t>
  </si>
  <si>
    <t>REC-810-5CAY-430646</t>
  </si>
  <si>
    <t>at-3113</t>
  </si>
  <si>
    <t>REC-3187-A2UE-44806</t>
  </si>
  <si>
    <t>14:08:18</t>
  </si>
  <si>
    <t>0902060300</t>
  </si>
  <si>
    <t>3960310</t>
  </si>
  <si>
    <t>REC-3370-A6JI-254475</t>
  </si>
  <si>
    <t>REC-4010-LOP1-471726</t>
  </si>
  <si>
    <t>15:11:17</t>
  </si>
  <si>
    <t>REC-061-A3Y4-253878</t>
  </si>
  <si>
    <t>22:10:34</t>
  </si>
  <si>
    <t>REC-678-3V18-571633</t>
  </si>
  <si>
    <t>09:27:20</t>
  </si>
  <si>
    <t>20201013</t>
  </si>
  <si>
    <t>REC-5117-A283-5024</t>
  </si>
  <si>
    <t>09:42:15</t>
  </si>
  <si>
    <t>REC-3187-A2UE-44670</t>
  </si>
  <si>
    <t>09:43:23</t>
  </si>
  <si>
    <t>REC-4313-IAI9-436987</t>
  </si>
  <si>
    <t>REC-5310-Z4YZ-437776</t>
  </si>
  <si>
    <t>11:09:04</t>
  </si>
  <si>
    <t>REC-223-B7CD-573450</t>
  </si>
  <si>
    <t>12:05:41</t>
  </si>
  <si>
    <t>REC-611-HYM3-100157</t>
  </si>
  <si>
    <t>15:15:34</t>
  </si>
  <si>
    <t>REC-072-KBN0-253409</t>
  </si>
  <si>
    <t>REC-072-KBN0-253410</t>
  </si>
  <si>
    <t>15:29:23</t>
  </si>
  <si>
    <t>REC-674-3K2R-1478505</t>
  </si>
  <si>
    <t>17:28:09</t>
  </si>
  <si>
    <t>REC-3789-ACA8-406286</t>
  </si>
  <si>
    <t>10:07:20</t>
  </si>
  <si>
    <t>20201012</t>
  </si>
  <si>
    <t>REC-4966-A3Z7-409130</t>
  </si>
  <si>
    <t>10:55:34</t>
  </si>
  <si>
    <t>REC-7305-RQ50-3544</t>
  </si>
  <si>
    <t>11:44:51</t>
  </si>
  <si>
    <t>REC-048-AFEP-244648</t>
  </si>
  <si>
    <t>REC-3792-A39T-117033</t>
  </si>
  <si>
    <t>14:51:52</t>
  </si>
  <si>
    <t>0914281902</t>
  </si>
  <si>
    <t>3909075</t>
  </si>
  <si>
    <t>REC-3022-FNNL-539798</t>
  </si>
  <si>
    <t>15:51:22</t>
  </si>
  <si>
    <t>REC-551-VOI8-607010</t>
  </si>
  <si>
    <t>16:09:01</t>
  </si>
  <si>
    <t>REC-223-V7XD-271032</t>
  </si>
  <si>
    <t>16:17:31</t>
  </si>
  <si>
    <t>REC-944-ZF9M-200968</t>
  </si>
  <si>
    <t>16:20:00</t>
  </si>
  <si>
    <t>REC-3172-YIG8-310601</t>
  </si>
  <si>
    <t>REC-223-V7XD-271037</t>
  </si>
  <si>
    <t>16:47:34</t>
  </si>
  <si>
    <t>3902004</t>
  </si>
  <si>
    <t>REC-5310-Z4YZ-425739</t>
  </si>
  <si>
    <t>REC-3592-ACC7-426180</t>
  </si>
  <si>
    <t>18:14:14</t>
  </si>
  <si>
    <t>REC-3422-A3IU-632495</t>
  </si>
  <si>
    <t>20201011</t>
  </si>
  <si>
    <t>REC-3808-A3Z9-530024</t>
  </si>
  <si>
    <t>REC-3371-EGEG-252039</t>
  </si>
  <si>
    <t>14:51:14</t>
  </si>
  <si>
    <t>REC-355-N45U-563680</t>
  </si>
  <si>
    <t>REC-5310-Z4YZ-383992</t>
  </si>
  <si>
    <t>08:50:50</t>
  </si>
  <si>
    <t>20201010</t>
  </si>
  <si>
    <t>REC-4963-A3A0-386105</t>
  </si>
  <si>
    <t>10:38:44</t>
  </si>
  <si>
    <t>0924148786</t>
  </si>
  <si>
    <t>3909002</t>
  </si>
  <si>
    <t>REC-3187-YWS5-607380</t>
  </si>
  <si>
    <t>11:34:39</t>
  </si>
  <si>
    <t>REC-4164-A19P-156646</t>
  </si>
  <si>
    <t>15:35:48</t>
  </si>
  <si>
    <t>REC-5987-GFL4-392375</t>
  </si>
  <si>
    <t>REC-4257-A221-125410</t>
  </si>
  <si>
    <t>10:24:43</t>
  </si>
  <si>
    <t>20201009</t>
  </si>
  <si>
    <t>REC-241-BEJD-572963</t>
  </si>
  <si>
    <t>11:50:19</t>
  </si>
  <si>
    <t>REC-4960-A1QG-92378</t>
  </si>
  <si>
    <t>11:56:35</t>
  </si>
  <si>
    <t>REC-090-9SKJ-442442</t>
  </si>
  <si>
    <t>12:28:06</t>
  </si>
  <si>
    <t>REC-3187-A2UB-155669</t>
  </si>
  <si>
    <t>14:06:14</t>
  </si>
  <si>
    <t>REC-613-BK8R-425597</t>
  </si>
  <si>
    <t>17:55:08</t>
  </si>
  <si>
    <t>REC-3371-EGEG-251945</t>
  </si>
  <si>
    <t>18:51:57</t>
  </si>
  <si>
    <t>REC-048-AFEP-244343</t>
  </si>
  <si>
    <t>10:12:49</t>
  </si>
  <si>
    <t>20201008</t>
  </si>
  <si>
    <t>REC-678-3V18-571306</t>
  </si>
  <si>
    <t>10:26:38</t>
  </si>
  <si>
    <t>REC-072-4PW8-207219</t>
  </si>
  <si>
    <t>10:44:50</t>
  </si>
  <si>
    <t>REC-072-A6LX-206189</t>
  </si>
  <si>
    <t>12:26:34</t>
  </si>
  <si>
    <t>REC-4164-A1CB-121892</t>
  </si>
  <si>
    <t>12:39:19</t>
  </si>
  <si>
    <t>REC-4319-A1I3-27331</t>
  </si>
  <si>
    <t>14:30:56</t>
  </si>
  <si>
    <t>REC-7314-A6GU-15829</t>
  </si>
  <si>
    <t>14:36:40</t>
  </si>
  <si>
    <t>0992864559001</t>
  </si>
  <si>
    <t>3908385</t>
  </si>
  <si>
    <t>REC-543-U5H7-565773</t>
  </si>
  <si>
    <t>14:56:29</t>
  </si>
  <si>
    <t>REC-3295-1TWC-218720</t>
  </si>
  <si>
    <t>15:32:01</t>
  </si>
  <si>
    <t>REC-513-A28P-423772</t>
  </si>
  <si>
    <t>16:06:19</t>
  </si>
  <si>
    <t>REC-3022-FNNL-539527</t>
  </si>
  <si>
    <t>17:16:58</t>
  </si>
  <si>
    <t>REC-4963-A3A0-316775</t>
  </si>
  <si>
    <t>08:59:40</t>
  </si>
  <si>
    <t>20201007</t>
  </si>
  <si>
    <t>REC-223-B7CD-572765</t>
  </si>
  <si>
    <t>REC-072-A6LX-206040</t>
  </si>
  <si>
    <t>10:47:58</t>
  </si>
  <si>
    <t>1104185820</t>
  </si>
  <si>
    <t>3908771</t>
  </si>
  <si>
    <t>REC-3187-A2UB-155480</t>
  </si>
  <si>
    <t>10:59:21</t>
  </si>
  <si>
    <t>0900091372</t>
  </si>
  <si>
    <t>3906020</t>
  </si>
  <si>
    <t>REC-3187-A2UB-155494</t>
  </si>
  <si>
    <t>12:05:07</t>
  </si>
  <si>
    <t>REC-3187-A2UB-155495</t>
  </si>
  <si>
    <t>12:07:27</t>
  </si>
  <si>
    <t>REC-4257-A219-157216</t>
  </si>
  <si>
    <t>12:15:44</t>
  </si>
  <si>
    <t>REC-4190-A11N-1469597</t>
  </si>
  <si>
    <t>12:17:32</t>
  </si>
  <si>
    <t>REC-944-PR10-425379</t>
  </si>
  <si>
    <t>12:19:02</t>
  </si>
  <si>
    <t>REC-4721-A1WI-10809</t>
  </si>
  <si>
    <t>12:29:04</t>
  </si>
  <si>
    <t>REC-568-YXPM-428507</t>
  </si>
  <si>
    <t>13:02:13</t>
  </si>
  <si>
    <t>0992803428001</t>
  </si>
  <si>
    <t>3900747</t>
  </si>
  <si>
    <t>REC-008-PB65-380034</t>
  </si>
  <si>
    <t>13:10:46</t>
  </si>
  <si>
    <t>0993247308001</t>
  </si>
  <si>
    <t>3903532</t>
  </si>
  <si>
    <t>REC-011-JVA0-513480</t>
  </si>
  <si>
    <t>REC-3187-YWS5-607218</t>
  </si>
  <si>
    <t>14:05:58</t>
  </si>
  <si>
    <t>at-3104</t>
  </si>
  <si>
    <t>REC-061-ZT95-88372</t>
  </si>
  <si>
    <t>15:02:41</t>
  </si>
  <si>
    <t>REC-3792-A39T-116728</t>
  </si>
  <si>
    <t>15:57:32</t>
  </si>
  <si>
    <t>REC-3172-LIO3-74064</t>
  </si>
  <si>
    <t>16:08:28</t>
  </si>
  <si>
    <t>REC-3792-A24Z-558170</t>
  </si>
  <si>
    <t>16:15:10</t>
  </si>
  <si>
    <t>REC-5585-RQ83-17917</t>
  </si>
  <si>
    <t>16:18:55</t>
  </si>
  <si>
    <t>REC-011-VD5Z-352828</t>
  </si>
  <si>
    <t>17:19:08</t>
  </si>
  <si>
    <t>REC-536-TDSM-149091</t>
  </si>
  <si>
    <t>17:59:35</t>
  </si>
  <si>
    <t>REC-7383-RR36-283858</t>
  </si>
  <si>
    <t>08:14:48</t>
  </si>
  <si>
    <t>20201006</t>
  </si>
  <si>
    <t>REC-3022-A364-126866</t>
  </si>
  <si>
    <t>09:58:05</t>
  </si>
  <si>
    <t>REC-096-LIO1-545318</t>
  </si>
  <si>
    <t>10:35:37</t>
  </si>
  <si>
    <t>REC-4190-A11N-1469497</t>
  </si>
  <si>
    <t>11:07:17</t>
  </si>
  <si>
    <t>REC-518-RI72-252696</t>
  </si>
  <si>
    <t>REC-3023-IZCF-575182</t>
  </si>
  <si>
    <t>11:18:54</t>
  </si>
  <si>
    <t>REC-3392-A39W-410561</t>
  </si>
  <si>
    <t>11:31:43</t>
  </si>
  <si>
    <t>REC-3172-LIO4-240115</t>
  </si>
  <si>
    <t>11:37:14</t>
  </si>
  <si>
    <t>0926062936</t>
  </si>
  <si>
    <t>3930029</t>
  </si>
  <si>
    <t>REC-3022-A364-126896</t>
  </si>
  <si>
    <t>11:46:18</t>
  </si>
  <si>
    <t>3930028</t>
  </si>
  <si>
    <t>REC-3022-A364-126897</t>
  </si>
  <si>
    <t>11:46:54</t>
  </si>
  <si>
    <t>REC-3371-EGEG-251572</t>
  </si>
  <si>
    <t>11:50:14</t>
  </si>
  <si>
    <t>REC-613-BK8R-425387</t>
  </si>
  <si>
    <t>12:15:11</t>
  </si>
  <si>
    <t>REC-3784-ATA2-178964</t>
  </si>
  <si>
    <t>12:53:59</t>
  </si>
  <si>
    <t>REC-3609-AAB7-298631</t>
  </si>
  <si>
    <t>12:56:20</t>
  </si>
  <si>
    <t>REC-7057-A66Z-10444</t>
  </si>
  <si>
    <t>REC-3187-YWS5-607132</t>
  </si>
  <si>
    <t>13:39:21</t>
  </si>
  <si>
    <t>0929906113</t>
  </si>
  <si>
    <t>3930350</t>
  </si>
  <si>
    <t>REC-3022-FNNL-539188</t>
  </si>
  <si>
    <t>13:42:38</t>
  </si>
  <si>
    <t>REC-536-TDSM-148930</t>
  </si>
  <si>
    <t>14:01:35</t>
  </si>
  <si>
    <t>REC-585-VR9E-503198</t>
  </si>
  <si>
    <t>14:07:47</t>
  </si>
  <si>
    <t>REC-7276-RQ45-302215</t>
  </si>
  <si>
    <t>14:27:43</t>
  </si>
  <si>
    <t>REC-3187-A2UB-155385</t>
  </si>
  <si>
    <t>14:31:30</t>
  </si>
  <si>
    <t>REC-3295-1T8D-172935</t>
  </si>
  <si>
    <t>14:57:21</t>
  </si>
  <si>
    <t>REC-3301-CTQ4-304721</t>
  </si>
  <si>
    <t>REC-096-HG9K-311507</t>
  </si>
  <si>
    <t>16:39:27</t>
  </si>
  <si>
    <t>REC-810-5CAY-430035</t>
  </si>
  <si>
    <t>16:57:59</t>
  </si>
  <si>
    <t>REC-663-2ITH-361354</t>
  </si>
  <si>
    <t>18:27:52</t>
  </si>
  <si>
    <t>REC-3370-A6JI-253738</t>
  </si>
  <si>
    <t>19:06:24</t>
  </si>
  <si>
    <t>REC-5680-XTE2-1839</t>
  </si>
  <si>
    <t>08:54:55</t>
  </si>
  <si>
    <t>20201005</t>
  </si>
  <si>
    <t>REC-3170-YGVG-323083</t>
  </si>
  <si>
    <t>09:35:05</t>
  </si>
  <si>
    <t>REC-072-A6LX-205772</t>
  </si>
  <si>
    <t>10:02:40</t>
  </si>
  <si>
    <t>REC-609-A3AI-86584</t>
  </si>
  <si>
    <t>REC-3172-YIGY-278146</t>
  </si>
  <si>
    <t>11:56:04</t>
  </si>
  <si>
    <t>0914944152</t>
  </si>
  <si>
    <t>3907784</t>
  </si>
  <si>
    <t>REC-7140-T257-262568</t>
  </si>
  <si>
    <t>12:28:24</t>
  </si>
  <si>
    <t>REC-3370-A6JI-253494</t>
  </si>
  <si>
    <t>REC-008-PB65-379649</t>
  </si>
  <si>
    <t>12:38:17</t>
  </si>
  <si>
    <t>REC-609-A1M3-321461</t>
  </si>
  <si>
    <t>12:40:55</t>
  </si>
  <si>
    <t>REC-3172-LIO7-114948</t>
  </si>
  <si>
    <t>14:30:55</t>
  </si>
  <si>
    <t>REC-3422-A3IU-632070</t>
  </si>
  <si>
    <t>15:37:45</t>
  </si>
  <si>
    <t>0704266055001</t>
  </si>
  <si>
    <t>3903423</t>
  </si>
  <si>
    <t>REC-3301-CTQ4-273720</t>
  </si>
  <si>
    <t>REC-5017-A2BD-28813</t>
  </si>
  <si>
    <t>15:58:10</t>
  </si>
  <si>
    <t>REC-3187-YWS5-607082</t>
  </si>
  <si>
    <t>15:59:32</t>
  </si>
  <si>
    <t>0916400518</t>
  </si>
  <si>
    <t>3908027</t>
  </si>
  <si>
    <t>REC-008-PB65-379692</t>
  </si>
  <si>
    <t>16:01:53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</si>
  <si>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</si>
  <si>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</t>
  </si>
  <si>
    <t>REC-4804-FSI8-274379</t>
  </si>
  <si>
    <t>16:03:24</t>
  </si>
  <si>
    <t>REC-5585-RQ83-17676</t>
  </si>
  <si>
    <t>16:30:18</t>
  </si>
  <si>
    <t>REC-536-2GEZ-344546</t>
  </si>
  <si>
    <t>16:41:36</t>
  </si>
  <si>
    <t>REC-543-U5H7-565376</t>
  </si>
  <si>
    <t>17:12:57</t>
  </si>
  <si>
    <t>REC-5635-A2YS-22513</t>
  </si>
  <si>
    <t>17:17:34</t>
  </si>
  <si>
    <t xml:space="preserve">                                       </t>
  </si>
  <si>
    <t xml:space="preserve">                                                      </t>
  </si>
  <si>
    <t>REC-3023-IZCF-575131</t>
  </si>
  <si>
    <t>17:46:00</t>
  </si>
  <si>
    <t>REC-3370-A6JI-253586</t>
  </si>
  <si>
    <t>17:56:24</t>
  </si>
  <si>
    <t>REC-518-RI6X-428726</t>
  </si>
  <si>
    <t>18:54:34</t>
  </si>
  <si>
    <t>REC-5474-A871-281886</t>
  </si>
  <si>
    <t>19:29:02</t>
  </si>
  <si>
    <t>REC-072-A6LX-205731</t>
  </si>
  <si>
    <t>14:42:54</t>
  </si>
  <si>
    <t>20201004</t>
  </si>
  <si>
    <t>REC-536-TDSM-148685</t>
  </si>
  <si>
    <t>16:23:40</t>
  </si>
  <si>
    <t>REC-3175-A3LN-130925</t>
  </si>
  <si>
    <t>09:33:55</t>
  </si>
  <si>
    <t>20201003</t>
  </si>
  <si>
    <t>REC-3360-IPEN-227220</t>
  </si>
  <si>
    <t>10:03:49</t>
  </si>
  <si>
    <t>REC-245-BEJI-666365</t>
  </si>
  <si>
    <t>10:33:58</t>
  </si>
  <si>
    <t>REC-5762-FE91-226948</t>
  </si>
  <si>
    <t>10:35:22</t>
  </si>
  <si>
    <t>REC-3161-KURB-431224</t>
  </si>
  <si>
    <t>10:49:42</t>
  </si>
  <si>
    <t>REC-049-A518-1566874</t>
  </si>
  <si>
    <t>10:56:56</t>
  </si>
  <si>
    <t>REC-5310-Z4YZ-232983</t>
  </si>
  <si>
    <t>14:00:03</t>
  </si>
  <si>
    <t>REC-072-AJ3R-248540</t>
  </si>
  <si>
    <t>14:18:48</t>
  </si>
  <si>
    <t>REC-609-A1M3-321227</t>
  </si>
  <si>
    <t>14:24:28</t>
  </si>
  <si>
    <t>0700780497</t>
  </si>
  <si>
    <t>3908369</t>
  </si>
  <si>
    <t>REC-3187-A2UB-155109</t>
  </si>
  <si>
    <t>REC-3792-A39T-116213</t>
  </si>
  <si>
    <t>14:39:22</t>
  </si>
  <si>
    <t>REC-4164-A1CB-121589</t>
  </si>
  <si>
    <t>16:32:34</t>
  </si>
  <si>
    <t>REC-3577-A1IU-151353</t>
  </si>
  <si>
    <t>16:34:55</t>
  </si>
  <si>
    <t>REC-027-A40B-71728</t>
  </si>
  <si>
    <t>18:44:41</t>
  </si>
  <si>
    <t>REC-355-J4YM-670317</t>
  </si>
  <si>
    <t>09:44:24</t>
  </si>
  <si>
    <t>20201002</t>
  </si>
  <si>
    <t>at-3102</t>
  </si>
  <si>
    <t>REC-046-AFER-620776</t>
  </si>
  <si>
    <t>09:47:09</t>
  </si>
  <si>
    <t>REC-5987-GFL4-203238</t>
  </si>
  <si>
    <t>09:53:53</t>
  </si>
  <si>
    <t>REC-3295-1T8E-227497</t>
  </si>
  <si>
    <t>REC-944-ZF9M-200325</t>
  </si>
  <si>
    <t>12:58:32</t>
  </si>
  <si>
    <t>REC-3554-PTY2-211352</t>
  </si>
  <si>
    <t>13:31:30</t>
  </si>
  <si>
    <t>REC-4164-A1LY-134375</t>
  </si>
  <si>
    <t>13:44:02</t>
  </si>
  <si>
    <t>REC-072-TTF1-317450</t>
  </si>
  <si>
    <t>13:48:57</t>
  </si>
  <si>
    <t>REC-3520-A1CH-258432</t>
  </si>
  <si>
    <t>14:09:07</t>
  </si>
  <si>
    <t>REC-061-ZGFI-100545</t>
  </si>
  <si>
    <t>14:52:12</t>
  </si>
  <si>
    <t>REC-4319-1AH9-6499</t>
  </si>
  <si>
    <t>15:50:59</t>
  </si>
  <si>
    <t>REC-3182-YQHG-225867</t>
  </si>
  <si>
    <t>15:55:15</t>
  </si>
  <si>
    <t>REC-3295-1T8E-227583</t>
  </si>
  <si>
    <t>17:29:05</t>
  </si>
  <si>
    <t>REC-678-3V18-570691</t>
  </si>
  <si>
    <t>09:24:06</t>
  </si>
  <si>
    <t>20201001</t>
  </si>
  <si>
    <t>REC-4717-FRZ4-179644</t>
  </si>
  <si>
    <t>09:47:50</t>
  </si>
  <si>
    <t>REC-3201-Y46O-419826</t>
  </si>
  <si>
    <t>10:10:43</t>
  </si>
  <si>
    <t>REC-536-2GEZ-344167</t>
  </si>
  <si>
    <t>10:42:32</t>
  </si>
  <si>
    <t>REC-543-U5H7-564932</t>
  </si>
  <si>
    <t>12:24:49</t>
  </si>
  <si>
    <t>0921146213</t>
  </si>
  <si>
    <t>3903201</t>
  </si>
  <si>
    <t>REC-3022-A364-126302</t>
  </si>
  <si>
    <t>12:40:13</t>
  </si>
  <si>
    <t>REC-061-A13Z-47582</t>
  </si>
  <si>
    <t>13:03:18</t>
  </si>
  <si>
    <t>REC-223-B7CD-572104</t>
  </si>
  <si>
    <t>14:42:08</t>
  </si>
  <si>
    <t>REC-3022-FNNL-538493</t>
  </si>
  <si>
    <t>15:01:31</t>
  </si>
  <si>
    <t>REC-095-AJSE-668801</t>
  </si>
  <si>
    <t>15:06:05</t>
  </si>
  <si>
    <t>REC-3182-YQHE-238228</t>
  </si>
  <si>
    <t>15:08:25</t>
  </si>
  <si>
    <t>REC-223-B7CD-572125</t>
  </si>
  <si>
    <t>16:09:28</t>
  </si>
  <si>
    <t>REC-3808-A3Z9-529233</t>
  </si>
  <si>
    <t>16:30:01</t>
  </si>
  <si>
    <t>REC-5310-Z4YZ-193904</t>
  </si>
  <si>
    <t>16:36:46</t>
  </si>
  <si>
    <t>REC-390-SB17-596568</t>
  </si>
  <si>
    <t>17:00:34</t>
  </si>
  <si>
    <t>REC-011-JVA0-513119</t>
  </si>
  <si>
    <t>17:04:20</t>
  </si>
  <si>
    <t>REC-5585-RQ83-17268</t>
  </si>
  <si>
    <t>18:50:38</t>
  </si>
  <si>
    <t>REC-3187-A2UE-43736</t>
  </si>
  <si>
    <t>19:13:07</t>
  </si>
  <si>
    <t>REC-3295-1TWC-218108</t>
  </si>
  <si>
    <t>19:33:59</t>
  </si>
  <si>
    <t>BCO PACIFICO MES DE FEBRERO 2020</t>
  </si>
  <si>
    <t>W1</t>
  </si>
  <si>
    <t>W2</t>
  </si>
  <si>
    <t>(-) RETENCIONES APLICADAS</t>
  </si>
  <si>
    <t>WESTERN UNION MES DE ENERO 2020</t>
  </si>
  <si>
    <t>W3</t>
  </si>
  <si>
    <t>W4</t>
  </si>
  <si>
    <t>W5</t>
  </si>
  <si>
    <t>W6</t>
  </si>
  <si>
    <t>WESTERN UNION MES DE FEBRERO 2020</t>
  </si>
  <si>
    <t>BCO PACIFICO MES DE MARZO 2020</t>
  </si>
  <si>
    <t>WESTERN UNION MES DE MARZO 2020</t>
  </si>
  <si>
    <t>BCO PACIFICO MES DE ABRIL 2020</t>
  </si>
  <si>
    <t>BCO PACIFICO MES DE MAYO 2020</t>
  </si>
  <si>
    <t>WESTERN UNION MES DE MAYO 2020</t>
  </si>
  <si>
    <t>BCO PACIFICO MES DE JUNIO 2020</t>
  </si>
  <si>
    <t>WESTERN UNION MES DE JUNIO 2020</t>
  </si>
  <si>
    <t>BCO PACIFICO MES DE JULIO 2020</t>
  </si>
  <si>
    <t>WESTERN UNION MES DE JULIO 2020</t>
  </si>
  <si>
    <t>WESTERN UNION MES DE AGOSTO 2020</t>
  </si>
  <si>
    <t>BCO PACIFICO MES DE SEPTIEMBRE 2020</t>
  </si>
  <si>
    <t>WESTERN UNION MES DE SEPTIEMBRE 2020</t>
  </si>
  <si>
    <t>BCO PACIFICO MES DE OCTUBRE 2020</t>
  </si>
  <si>
    <t>revisar</t>
  </si>
  <si>
    <t>WESTERN UNION MES DE OCTUBRE 2020</t>
  </si>
  <si>
    <t>CH</t>
  </si>
  <si>
    <t>ND</t>
  </si>
  <si>
    <t>NDL-18</t>
  </si>
  <si>
    <t>Registro.- Contabilizacion de certificado de deposito a plazo fijo FI: 31 Enero 2020, FV: 25 Enero 2021</t>
  </si>
  <si>
    <t>X</t>
  </si>
  <si>
    <t>VA</t>
  </si>
  <si>
    <t>VA1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</si>
  <si>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</si>
  <si>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</si>
  <si>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</si>
  <si>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</si>
  <si>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</si>
  <si>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</si>
  <si>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</si>
  <si>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</si>
  <si>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</si>
  <si>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</si>
  <si>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 xml:space="preserve">X </t>
  </si>
  <si>
    <t>AN</t>
  </si>
  <si>
    <t>X13</t>
  </si>
  <si>
    <t>X19</t>
  </si>
  <si>
    <t>X16</t>
  </si>
  <si>
    <t>X11</t>
  </si>
  <si>
    <t>X12</t>
  </si>
  <si>
    <t>X14</t>
  </si>
  <si>
    <t>X15</t>
  </si>
  <si>
    <t>X17</t>
  </si>
  <si>
    <t>X18</t>
  </si>
  <si>
    <t>NOTAS DE DEBITO MES JULIO 2020</t>
  </si>
  <si>
    <t>Fact#:315151 Rec#:29185 RODDY RAINER RAMIREZ ROJAS</t>
  </si>
  <si>
    <t>IC:17766</t>
  </si>
  <si>
    <t>SALDO SEGÚN ESTADO DE CUENTA AL 29 DE FEBRERO DEL 2020</t>
  </si>
  <si>
    <t>SALDO SEGÚN LIBRO BANCOS AL 29 DE FEBRERO DEL 2020</t>
  </si>
  <si>
    <t>Fact#: 322082 Rec#: 12247 MENDEZ LAINEZ RUTH ELIZABETH</t>
  </si>
  <si>
    <t>IC-3288</t>
  </si>
  <si>
    <t>Fact#: 1177-821-989 Rec#: 12246 ORELLANA LLIVICURA JOSE LUIS</t>
  </si>
  <si>
    <t>IC-3287</t>
  </si>
  <si>
    <t>Fact#: 311092-313804-316413 Rec#: 12245 AVILES CRESPO LEONOR STEPHANY</t>
  </si>
  <si>
    <t>IC-3286</t>
  </si>
  <si>
    <t>Fact#: 318528-321242 Rec#: 12244 ALVARADO HOLGUIN HENRRY EDUARDO</t>
  </si>
  <si>
    <t>IC-3282</t>
  </si>
  <si>
    <t>Fact#: 318674-321387 Rec#: 12243 SAMPEDRO BASURTO MARIA JULIANA</t>
  </si>
  <si>
    <t>IC-3281</t>
  </si>
  <si>
    <t>Fact#: 320945 Rec#: 12242 VERA GUZMAN SILVIA AZUCENA</t>
  </si>
  <si>
    <t>IC-3280</t>
  </si>
  <si>
    <t>Fact#: 315745-318441-321157 Rec#: 12241 GALARZA FLORES TYRONE STALIN</t>
  </si>
  <si>
    <t>IC-3279</t>
  </si>
  <si>
    <t>Fact#: 321660 Rec#: 12240 RONALD DAVID CONTRERAS POTES</t>
  </si>
  <si>
    <t>IC-3278</t>
  </si>
  <si>
    <t>Fact#: 317261-320003 Rec#: 12239 BELINDA LEONOR QUIJANO GOMEZ</t>
  </si>
  <si>
    <t>IC-3277</t>
  </si>
  <si>
    <t>Fact#: 319808 Rec#: 12238 LOOR ZAMBRANO EDGAR ASDRUBAL</t>
  </si>
  <si>
    <t>IC-3276</t>
  </si>
  <si>
    <t>Fact#: 318060-320794 Rec#: 12237 HUACON MEDINA GEOCONDA PETRONILA</t>
  </si>
  <si>
    <t>IC-3275</t>
  </si>
  <si>
    <t>Fact#: 321633 Rec#: 12236 LUCAS VALAREZO CRISTINA EVELIN</t>
  </si>
  <si>
    <t>IC-3274</t>
  </si>
  <si>
    <t>Fact#: 318958-321656 Rec#: 12235 MORA SANCHEZ DIANA LISSETH</t>
  </si>
  <si>
    <t>IC-3273</t>
  </si>
  <si>
    <t>Fact#: 321654 Rec#: 12234 CORTEZ CANTOS  PEDRO PABLO</t>
  </si>
  <si>
    <t>IC-3272</t>
  </si>
  <si>
    <t>Fact#: 316573-319277-321987 Rec#: 12233 PINCAY LOVATON KATHERINE ELIZABETH</t>
  </si>
  <si>
    <t>IC-3271</t>
  </si>
  <si>
    <t>Fact#: 321263 Rec#: 12232 CRESPO MEZA BYRON FIDEL</t>
  </si>
  <si>
    <t>IC-3269</t>
  </si>
  <si>
    <t>Fact#: 319176-321898 Rec#: 12231 RAQUEL MARLENE AMAIQUEMA ILLESCAS</t>
  </si>
  <si>
    <t>IC-3268</t>
  </si>
  <si>
    <t>Fact#: 317861-320602 Rec#: 12230 DANNY FRANKLIN AGUILLON AGUILLON</t>
  </si>
  <si>
    <t>IC-3267</t>
  </si>
  <si>
    <t>Fact#: 312943-315607-318300 Rec#: 12229 BENALCAZAR PEÑAFIEL LEANDRO JOSUE</t>
  </si>
  <si>
    <t>IC-3266</t>
  </si>
  <si>
    <t>Fact#: 321990 Rec#: 12228 CABRERA SOLORZANO NELSON CATITO</t>
  </si>
  <si>
    <t>IC-3265</t>
  </si>
  <si>
    <t>Fact#: 321548 Rec#: 12227 CASTRO CHOEZ KERLLY JAZMIN</t>
  </si>
  <si>
    <t>IC-3264</t>
  </si>
  <si>
    <t>Fact#: 320375 Rec#: 12226 NAIM ANTONIO YUNES MARIDUEÑA</t>
  </si>
  <si>
    <t>IC-3263</t>
  </si>
  <si>
    <t>Fact#: 320907 Rec#: 12225 CEVALLOS PLUAS JULIT LORENA</t>
  </si>
  <si>
    <t>IC-3262</t>
  </si>
  <si>
    <t>Fact#: 318806-321518 Rec#: 12224 CASTRO ALZAMORA DARWIN GABRIEL</t>
  </si>
  <si>
    <t>IC-3261</t>
  </si>
  <si>
    <t>Fact#: 318404-321125 Rec#: 12223 GUEVARA ACOSTA LUIS JAIRO</t>
  </si>
  <si>
    <t>IC-3260</t>
  </si>
  <si>
    <t>Fact#: 321884 Rec#: 12222 MORENO TELLO CELI DURINDANA</t>
  </si>
  <si>
    <t>IC-3259</t>
  </si>
  <si>
    <t>N/D TRANSFERENCIA ROLES DE PAGO 2DA QUINCENA MES DE FEB-2020</t>
  </si>
  <si>
    <t>NDL-7</t>
  </si>
  <si>
    <t>N/D POR COMISIONES DE WESTERN UNION POR RECAUDACION DEL 21/02/2020 AL 27/02/2020</t>
  </si>
  <si>
    <t>Fact#: 319852 Rec#: 29882 Corporación Nacional de Telecomunicaciones-CNT EP</t>
  </si>
  <si>
    <t>IC-3725</t>
  </si>
  <si>
    <t>Fact#: 320439 Rec#: 29786 MARIA FERNANDA GONZALEZ MITE</t>
  </si>
  <si>
    <t>IC-3334</t>
  </si>
  <si>
    <t>Fact#: 317468-320204 Rec#: 29785 GUILLERMO IGNACIO JORGE BAQUERIZO VASQUEZ</t>
  </si>
  <si>
    <t>IC-3333</t>
  </si>
  <si>
    <t>Fact#: 318789-321501 Rec#: 29784 BARAHONA MONTALVO HECTOR GONZALO</t>
  </si>
  <si>
    <t>IC-3332</t>
  </si>
  <si>
    <t>Fact#: 315570-318263-320991 Rec#: 29783 SUQUILANDA VERA MICHAEL ANTONIO</t>
  </si>
  <si>
    <t>IC-3331</t>
  </si>
  <si>
    <t>Fact#: 314451-317124-319867 Rec#: 29782 STEFFIE GALLESE DE DUNN</t>
  </si>
  <si>
    <t>IC-3330</t>
  </si>
  <si>
    <t>Fact#: 321173 Rec#: 29781 SERNAQUE CORONEL SILVIO SAUL</t>
  </si>
  <si>
    <t>IC-3329</t>
  </si>
  <si>
    <t>Fact#: 321165 Rec#: 29780 PERALTA AVILES MIGUEL ANGEL</t>
  </si>
  <si>
    <t>IC-3328</t>
  </si>
  <si>
    <t>Fact#: 321517 Rec#: 29779 JURADO VELEZ JONNY EUGENIO</t>
  </si>
  <si>
    <t>IC-3327</t>
  </si>
  <si>
    <t>Fact#: 321217 Rec#: 29778 UBILLA MORAN MARIANA JACQUELINE</t>
  </si>
  <si>
    <t>IC-3326</t>
  </si>
  <si>
    <t>Fact#: 321703 Rec#: 12221 SAQUICELA SORIA MARCELO ALEJANDRO</t>
  </si>
  <si>
    <t>IC-3258</t>
  </si>
  <si>
    <t>Fact#: 320995 Rec#: 12220 ARROBA VALENCIA  JULIO ZENON</t>
  </si>
  <si>
    <t>IC-3257</t>
  </si>
  <si>
    <t>Fact#: 317627-320367 Rec#: 12219 ERICK LUIS GARCIA CONTRERAS</t>
  </si>
  <si>
    <t>IC-3256</t>
  </si>
  <si>
    <t>Fact#: 314947-317628-320368 Rec#: 12218 ALDO RUBEN RIOS MORANTE</t>
  </si>
  <si>
    <t>IC-3255</t>
  </si>
  <si>
    <t>Fact#: 320348 Rec#: 12217 ANDREA CANAHUATI CHAIN</t>
  </si>
  <si>
    <t>IC-3254</t>
  </si>
  <si>
    <t>Fact#: 321267 Rec#: 12216 CAMPOVERDE AREVALO WILLIAM HERNAN</t>
  </si>
  <si>
    <t>IC-3253</t>
  </si>
  <si>
    <t>Fact#: 321254 Rec#: 12215 CAICHE ROMERO GRACE SOFIA</t>
  </si>
  <si>
    <t>IC-3252</t>
  </si>
  <si>
    <t>Fact#: 321143 Rec#: 12214 MEDINA BORJA LEONARDO JAVIER</t>
  </si>
  <si>
    <t>IC-3251</t>
  </si>
  <si>
    <t>Fact#: 318445-321161 Rec#: 12213 CHIRIBOGA GONZALEZ DIGNA MERCEDES</t>
  </si>
  <si>
    <t>IC-3250</t>
  </si>
  <si>
    <t>Fact#: 321942 Rec#: 12212 MOROCHO AGURTO VIVIANA MANUELA</t>
  </si>
  <si>
    <t>IC-3249</t>
  </si>
  <si>
    <t>Fact#: 321679 Rec#: 12211 BHURANI SUMEET</t>
  </si>
  <si>
    <t>IC-3248</t>
  </si>
  <si>
    <t>Fact#: 321640 Rec#: 12210 BHURANI SUMEET</t>
  </si>
  <si>
    <t>IC-3247</t>
  </si>
  <si>
    <t>Fact#: 320733 Rec#: 12209 LISETTE VICTORIA FRANCO CASTRO</t>
  </si>
  <si>
    <t>IC-3246</t>
  </si>
  <si>
    <t>Fact#: 320258 Rec#: 12208 GEOVANNY FRANCISCO COROZO RUIZ</t>
  </si>
  <si>
    <t>IC-3245</t>
  </si>
  <si>
    <t>Fact#: 321233 Rec#: 12207 REIMBERG BADUY PETER PAUL</t>
  </si>
  <si>
    <t>IC-3244</t>
  </si>
  <si>
    <t>Fact#: 303843-306604-309416 Rec#: 12206 HOLGER VICENTE QUEZADA GARCIA</t>
  </si>
  <si>
    <t>IC-3243</t>
  </si>
  <si>
    <t>Fact#: 321842 Rec#: 12205 BASANTES CHILUIZA RAUL</t>
  </si>
  <si>
    <t>IC-3242</t>
  </si>
  <si>
    <t>Fact#: 319613 Rec#: 12204 TECNOLOGIAS DE BUSINESS S.A  TECBUSINESS</t>
  </si>
  <si>
    <t>IC-3241</t>
  </si>
  <si>
    <t>Fact#: 318214-320946 Rec#: 12203 RUIZ ZAMBRANO JUAN MANUEL</t>
  </si>
  <si>
    <t>IC-3240</t>
  </si>
  <si>
    <t>Fact#: 1130 Rec#: 12202 AGUILAR ECHEVERRIA LUIS FERNANDO</t>
  </si>
  <si>
    <t>IC-3239</t>
  </si>
  <si>
    <t>Fact#: 319028-321723 Rec#: 12201 ANZOATEGUI SANTOS WENDY STEFANIA</t>
  </si>
  <si>
    <t>IC-3238</t>
  </si>
  <si>
    <t>Fact#: 318231-320963 Rec#: 12200 VALENCIA VICTOR HUGO</t>
  </si>
  <si>
    <t>IC-3237</t>
  </si>
  <si>
    <t>Fact#: 320922 Rec#: 12199 HERRERA DIAZ HIALINA AMALIA DE LAS ROSAS</t>
  </si>
  <si>
    <t>IC-3236</t>
  </si>
  <si>
    <t>Fact#: 319437 Rec#: 12198 ALEJANDRA ANDREA CALASANZ VALLE</t>
  </si>
  <si>
    <t>IC-3235</t>
  </si>
  <si>
    <t>Fact#: 321099 Rec#: 12197 RUIZ SOLANO KELVIL ORLANDO</t>
  </si>
  <si>
    <t>IC-3234</t>
  </si>
  <si>
    <t>Fact#: 957 Rec#: 12196 BERNAL VIRACOCHA SILVIA ELIZABETH</t>
  </si>
  <si>
    <t>IC-3233</t>
  </si>
  <si>
    <t>Fact#: 321132 Rec#: 12195 VILLON MATUTE TEODORO FRANCISCO</t>
  </si>
  <si>
    <t>IC-3232</t>
  </si>
  <si>
    <t>Fact#: 320372 Rec#: 12194 JESSICA LORENA TRIANA VELIS</t>
  </si>
  <si>
    <t>IC-3231</t>
  </si>
  <si>
    <t>Fact#: 320638 Rec#: 12193 JOSE EDUARDO GUILLEN VELEZ</t>
  </si>
  <si>
    <t>IC-3230</t>
  </si>
  <si>
    <t>Fact#: 320683 Rec#: 12192 RAWAD MACHLB BZEIH BARAKAT</t>
  </si>
  <si>
    <t>IC-3229</t>
  </si>
  <si>
    <t>Fact#: 306708-309513-312289 Rec#: 12191 LUIS JONATHAN COELLO MORAN</t>
  </si>
  <si>
    <t>IC-3228</t>
  </si>
  <si>
    <t>Fact#: 320400 Rec#: 12190 CARLOS WELLINGTON CHOEZ VERA</t>
  </si>
  <si>
    <t>IC-3227</t>
  </si>
  <si>
    <t>Fact#: 312800-315470-318164 Rec#: 62045 FLORES TORRES ELIO MAURICIO</t>
  </si>
  <si>
    <t>IC-3212</t>
  </si>
  <si>
    <t>Fact#: 319533-319534-319545-319546 Rec#: 62044 JOMALUNKA S.A  Cta# 003202220- Ch# 1159</t>
  </si>
  <si>
    <t>IC-3208</t>
  </si>
  <si>
    <t>Fact#: 317186-319930 Rec#: 62043 JENNY FELICIA PERALTA HATI</t>
  </si>
  <si>
    <t>IC-3207</t>
  </si>
  <si>
    <t>Fact#: 317358-320096 Rec#: 62042 RODRIGUEZ PUGA JAIME ALFREDO</t>
  </si>
  <si>
    <t>IC-3204</t>
  </si>
  <si>
    <t>Fact#: 317034-319761 Rec#: 29777 SKYCELL.SA</t>
  </si>
  <si>
    <t>IC-3203</t>
  </si>
  <si>
    <t>Fact#: 318839-321546 Rec#: 62041 INFANTE MINDIOLA JULIA MARLENE</t>
  </si>
  <si>
    <t>IC-3202</t>
  </si>
  <si>
    <t>Fact#: 317106 Rec#: 29776 CONSORCIO ECUATORIANO DE TELECOMUNICACIONES S.A. CONECEL</t>
  </si>
  <si>
    <t>IC-3201</t>
  </si>
  <si>
    <t>Fact#: 320216 Rec#: 62040 CESAR AUGUSTO BAQUERIZO AROSEMENA</t>
  </si>
  <si>
    <t>IC-3199</t>
  </si>
  <si>
    <t>Fact#: 319699 Rec#: 62039 RICMETRUCKS S.A.</t>
  </si>
  <si>
    <t>IC-3198</t>
  </si>
  <si>
    <t>Fact#: 1052-1236 Rec#: 29775 ZAPATA FLORES GILMAR FABRICIO</t>
  </si>
  <si>
    <t>IC-3200</t>
  </si>
  <si>
    <t>Fact#: 321288 Rec#: 12189 YUNEZ PARRA JOSE MIGUEL</t>
  </si>
  <si>
    <t>IC-3186</t>
  </si>
  <si>
    <t>Fact#: 320516 Rec#: 12188 MAGDALENA CONCEPCION FRANCO CORREA</t>
  </si>
  <si>
    <t>IC-3185</t>
  </si>
  <si>
    <t>Fact#: 321284 Rec#: 12187 YUNEZ PARRA JOSE MIGUEL</t>
  </si>
  <si>
    <t>IC-3184</t>
  </si>
  <si>
    <t>Fact#: 321782 Rec#: 12186 PERALTA RODRIGUEZ MARLON SANTIAGO</t>
  </si>
  <si>
    <t>IC-3183</t>
  </si>
  <si>
    <t>Fact#: 321744 Rec#: 12185 CLEMENTE MAGALLANES ROBERTO CARLOS</t>
  </si>
  <si>
    <t>IC-3182</t>
  </si>
  <si>
    <t>Fact#: 320374 Rec#: 12184 WILLINGTON HUGO ROSALES MEDINA</t>
  </si>
  <si>
    <t>IC-3181</t>
  </si>
  <si>
    <t>Fact#: 318666-321381 Rec#: 12183 VALENCIA MEDINA JOSE RICARDO</t>
  </si>
  <si>
    <t>IC-3180</t>
  </si>
  <si>
    <t>Fact#: 320755 Rec#: 12182 PRECIADO MOREIRA GABRIELA STEFANIA</t>
  </si>
  <si>
    <t>IC-3179</t>
  </si>
  <si>
    <t>Fact#: 320056 Rec#: 12181 LAURA BEATRIZ  ENCALADA ESPINOZA</t>
  </si>
  <si>
    <t>IC-3178</t>
  </si>
  <si>
    <t>Fact#: 320509 Rec#: 12180 TEODOMIRO MAYO</t>
  </si>
  <si>
    <t>IC-3177</t>
  </si>
  <si>
    <t>Fact#: 316438-319157-321880 Rec#: 12179 MUNOZ CRUZ JESSENIA ISABEL</t>
  </si>
  <si>
    <t>IC-3176</t>
  </si>
  <si>
    <t>Fact#: 317443-320181 Rec#: 12178 YANIRA SUGEY ANGULO MARTINEZ</t>
  </si>
  <si>
    <t>IC-3175</t>
  </si>
  <si>
    <t>Fact#: 320475 Rec#: 12177 LUIS FERNANDO RODRIGUEZ TAPIA</t>
  </si>
  <si>
    <t>IC-3174</t>
  </si>
  <si>
    <t>Fact#: 320322 Rec#: 12176 FAUSTO HENRY ZAMBRANO VERA</t>
  </si>
  <si>
    <t>IC-3173</t>
  </si>
  <si>
    <t>Fact#: 321719 Rec#: 12175 FREIRE ANDRADE PAOLA MARIA</t>
  </si>
  <si>
    <t>IC-3172</t>
  </si>
  <si>
    <t>Fact#: 321365 Rec#: 12174 ESTRADA TORRES JUAN CARLOS</t>
  </si>
  <si>
    <t>IC-3171</t>
  </si>
  <si>
    <t>Fact#: 321436 Rec#: 12173 ROBALINO VALENCIA  SPARTA SUSANA</t>
  </si>
  <si>
    <t>IC-3170</t>
  </si>
  <si>
    <t>Fact#: 320756 Rec#: 12172 TOMALA SANCAN JORGE LUIS</t>
  </si>
  <si>
    <t>IC-3169</t>
  </si>
  <si>
    <t>Fact#: 320955 Rec#: 12171 TOMALA SANCAN JORGE LUIS</t>
  </si>
  <si>
    <t>IC-3168</t>
  </si>
  <si>
    <t>Fact#: 317463-320199 Rec#: 12170 HENRY ALEJANDRO SEVILLANO MORA</t>
  </si>
  <si>
    <t>IC-3167</t>
  </si>
  <si>
    <t>Fact#: 314425-317080-319814 Rec#: 12169 LEBED CORNEJO PAULETTE</t>
  </si>
  <si>
    <t>IC-3166</t>
  </si>
  <si>
    <t>Fact#: 318468-321184 Rec#: 12168 CASTILLO PAZMINO ANTHONI AARON</t>
  </si>
  <si>
    <t>IC-3165</t>
  </si>
  <si>
    <t>Fact#: 302268-304906-307660 Rec#: 12167 AGUINO ARTEAGA MARIA DE LOURDES</t>
  </si>
  <si>
    <t>IC-3164</t>
  </si>
  <si>
    <t>Fact#: 321238 Rec#: 12166 PALOMEQUE CALLE PEDRO EUGENIO</t>
  </si>
  <si>
    <t>IC-3163</t>
  </si>
  <si>
    <t>Fact#: 320018 Rec#: 12165 MARCOS ALFREDO CHANG HI FONG</t>
  </si>
  <si>
    <t>IC-3162</t>
  </si>
  <si>
    <t>Fact#: 318612-321328 Rec#: 12164 MORENO OVIEDO LUIS ITALO</t>
  </si>
  <si>
    <t>IC-3161</t>
  </si>
  <si>
    <t>Fact#: 321231 Rec#: 12163 AMADOR SALMERON JOSE ERNESTO</t>
  </si>
  <si>
    <t>IC-3160</t>
  </si>
  <si>
    <t>Fact#: 319499 Rec#: 12162 FILUS S.A</t>
  </si>
  <si>
    <t>IC-3159</t>
  </si>
  <si>
    <t>Fact#: 319498 Rec#: 12161 FILUS S.A</t>
  </si>
  <si>
    <t>IC-3158</t>
  </si>
  <si>
    <t>Fact#: 310078-312838-315506 Rec#: 12160 SUAREZ VARGAS JAZMIN DEL CARMEN</t>
  </si>
  <si>
    <t>IC-3157</t>
  </si>
  <si>
    <t>Fact#: 320192 Rec#: 12159 MARIA PIEDAD MONTALVAN CAMPOVERDE</t>
  </si>
  <si>
    <t>IC-3156</t>
  </si>
  <si>
    <t>Fact#: 321792 Rec#: 12158 GUEVARA GUEVARA ORIOL FERNANDO</t>
  </si>
  <si>
    <t>IC-3155</t>
  </si>
  <si>
    <t>Fact#: 320535 Rec#: 12157 PEDRO JAVIER BAQUERIZO SUAREZ</t>
  </si>
  <si>
    <t>IC-3154</t>
  </si>
  <si>
    <t>Fact#: 318176-320906 Rec#: 12156 BRIONES CEVALLOS CARLOS DANIEL</t>
  </si>
  <si>
    <t>IC-3153</t>
  </si>
  <si>
    <t>Fact#: 315024-317707-320449 Rec#: 12155 CHRISTIAN RODIAN GONZALEZ ZAMBRANO</t>
  </si>
  <si>
    <t>IC-3152</t>
  </si>
  <si>
    <t>Fact#: 319952 Rec#: 12154 NORMA ELISA YEPEZ JIMENEZ</t>
  </si>
  <si>
    <t>IC-3151</t>
  </si>
  <si>
    <t>Fact#: 318667-321382 Rec#: 12153 GUSNAY MULLO MARTHA YOLANDA</t>
  </si>
  <si>
    <t>IC-3150</t>
  </si>
  <si>
    <t>Fact#: 321215 Rec#: 12152 MAYEZA REGALADO JIMMY HARRY</t>
  </si>
  <si>
    <t>IC-3149</t>
  </si>
  <si>
    <t>Fact#: 319004-321700 Rec#: 12151 VITE CALDERON PEDRO PABLO</t>
  </si>
  <si>
    <t>IC-3148</t>
  </si>
  <si>
    <t>Fact#: 317982-320719 Rec#: 12150 NEY AQUILES APOLINARIO RODRIGUEZ</t>
  </si>
  <si>
    <t>IC-3147</t>
  </si>
  <si>
    <t>Fact#: 318525-321239 Rec#: 29774 SILVA ARMAS MARIA TERESA</t>
  </si>
  <si>
    <t>IC-3146</t>
  </si>
  <si>
    <t>Fact#: 318603-321319 Rec#: 29773 JIMA BRAVO  JOSE FLORENCIO</t>
  </si>
  <si>
    <t>IC-3145</t>
  </si>
  <si>
    <t>Fact#: 320792 Rec#: 29772 EDUARDO GERMAN CORDOVA ROMERO</t>
  </si>
  <si>
    <t>IC-3144</t>
  </si>
  <si>
    <t>Fact#: 319945 Rec#: 62038 MARCIA ALEXANDRA  MOLINA POMA</t>
  </si>
  <si>
    <t>IC-3109</t>
  </si>
  <si>
    <t>Fact#: 319892 Rec#: 62037 LIDIA JUDITH OJEDA RUIZ</t>
  </si>
  <si>
    <t>IC-3108</t>
  </si>
  <si>
    <t>Fact#: 317149 Rec#: 62036 LIDIA JUDITH OJEDA RUIZ</t>
  </si>
  <si>
    <t>IC-3107</t>
  </si>
  <si>
    <t>Fact#: 316958-319683 Rec#: 62035 MERA MOYANO ADRIANA SOLANGE</t>
  </si>
  <si>
    <t>IC-3106</t>
  </si>
  <si>
    <t>Fact#: 319962 Rec#: 62034 GINA PATRICIA  POVEDA CAMACHO</t>
  </si>
  <si>
    <t>IC-3099</t>
  </si>
  <si>
    <t>Fact#: 316273-318976-321674 Rec#: 29770 TRIVINO MORLA CARLOS ERNESTO</t>
  </si>
  <si>
    <t>IC-3097</t>
  </si>
  <si>
    <t>Fact#: 317309-320049 Rec#: 62033 MARIA ALEXANDRA  ECHEVERRIA VERA</t>
  </si>
  <si>
    <t>IC-3095</t>
  </si>
  <si>
    <t>Fact#: 311923-314630-317300 Rec#: 62032 GLEXY LIVARDO  SANTANA CALDERON</t>
  </si>
  <si>
    <t>IC-3070</t>
  </si>
  <si>
    <t>Fact#: 317775-320515 Rec#: 29771 EDISON PATRICIO SOSA SALAME</t>
  </si>
  <si>
    <t>IC-3098</t>
  </si>
  <si>
    <t>Fact#: 318157 Rec#: 12149 ARROYO AYOVI SANDRA YADIRA</t>
  </si>
  <si>
    <t>IC-3069</t>
  </si>
  <si>
    <t>Fact#: 319173 Rec#: 12148 CEDENO SORIANO CHRISTIAN OLIVER</t>
  </si>
  <si>
    <t>IC-3068</t>
  </si>
  <si>
    <t>Fact#: 317623 Rec#: 12147 MOISES SIGIFREDO OBANDO MONTENEGRO</t>
  </si>
  <si>
    <t>IC-3067</t>
  </si>
  <si>
    <t>Fact#: 313519-316136-318834 Rec#: 12146 FIGUEROA PEREZ ELIAM BETZABETH</t>
  </si>
  <si>
    <t>IC-3066</t>
  </si>
  <si>
    <t>Fact#: 318073 Rec#: 12145 ORTIZ CARRILLO ROBERTO JAVIER</t>
  </si>
  <si>
    <t>IC-3065</t>
  </si>
  <si>
    <t>Fact#: 316156-318854 Rec#: 12144 BIMBELA HEREDIA AXEL AARON</t>
  </si>
  <si>
    <t>IC-3064</t>
  </si>
  <si>
    <t>Fact#: 983 Rec#: 12143 PEREZ SERRANO  ALFONSO RAFAEL</t>
  </si>
  <si>
    <t>IC-3063</t>
  </si>
  <si>
    <t>Fact#: 984 Rec#: 12142 PEREZ SERRANO  ALFONSO RAFAEL</t>
  </si>
  <si>
    <t>IC-3062</t>
  </si>
  <si>
    <t>Fact#: 313636-316251-318950 Rec#: 12141 ESTRADA VERA BRYAN GABRIEL</t>
  </si>
  <si>
    <t>IC-3061</t>
  </si>
  <si>
    <t>Fact#: 318278 Rec#: 12140 ROSADO YANEZ ISABEL DEL ROCIO</t>
  </si>
  <si>
    <t>IC-3060</t>
  </si>
  <si>
    <t>Fact#: 312951-315613-318306 Rec#: 12139 CARRASCO ARANA LEONELA MERCEDES</t>
  </si>
  <si>
    <t>IC-3059</t>
  </si>
  <si>
    <t>Fact#: 319486 Rec#: 29769 EIKON S.A.</t>
  </si>
  <si>
    <t>IC-3058</t>
  </si>
  <si>
    <t>Fact#: 321374 Rec#: 29768 PLUAS PAREDES LUBI ISIDRO</t>
  </si>
  <si>
    <t>IC-3057</t>
  </si>
  <si>
    <t>Fact#: 319536 Rec#: 29767 EDGAR MARCELO MERA VASQUEZ</t>
  </si>
  <si>
    <t>IC-3056</t>
  </si>
  <si>
    <t>Fact#: 317167-319909 Rec#: 29766 VICTOR ANTONIO AGUSTO ALVARADO</t>
  </si>
  <si>
    <t>IC-3055</t>
  </si>
  <si>
    <t>Fact#: 320790 Rec#: 29765 MINO DOYLET YOLANDA ABIGAIL</t>
  </si>
  <si>
    <t>IC-3054</t>
  </si>
  <si>
    <t>Fact#: 317492-320227 Rec#: 29764 JIMMY LEANDRO MERCHAN JALCA</t>
  </si>
  <si>
    <t>IC-3053</t>
  </si>
  <si>
    <t>Fact#: 320415 Rec#: 29763 CAROLINA ALICIA EGAS NUÑEZ</t>
  </si>
  <si>
    <t>IC-3052</t>
  </si>
  <si>
    <t>Fact#: 320767 Rec#: 29762 REYES MARTINEZ WILLIE RICARDO</t>
  </si>
  <si>
    <t>IC-3051</t>
  </si>
  <si>
    <t>Fact#: 321309 Rec#: 29761 ROMMEL ANTONIO ZAMORA TRIGUERO</t>
  </si>
  <si>
    <t>IC-3050</t>
  </si>
  <si>
    <t>Fact#: 1200 Rec#: 29760 GONZALEZ RUIZ SANDY</t>
  </si>
  <si>
    <t>IC-3049</t>
  </si>
  <si>
    <t>Fact#: 320674 Rec#: 29759 AARON PAUL GONZALEZ ZUÑIGA</t>
  </si>
  <si>
    <t>IC-3048</t>
  </si>
  <si>
    <t>Fact#: 321388 Rec#: 29758 VILLON SORIANO DIOSELINA SOLEDAD</t>
  </si>
  <si>
    <t>IC-3047</t>
  </si>
  <si>
    <t>Fact#: 319391 Rec#: 62031 CRUSBET S.A</t>
  </si>
  <si>
    <t>IC-3041</t>
  </si>
  <si>
    <t>Fact#: 320961 Rec#: 29757 RODRIGUEZ BADILLO GLENDA MARITZA</t>
  </si>
  <si>
    <t>IC-3039</t>
  </si>
  <si>
    <t>Fact#: 320092 Rec#: 29756 SILVIA XIMENA CHAVEZ CABRERA</t>
  </si>
  <si>
    <t>IC-3038</t>
  </si>
  <si>
    <t>Fact#: 319385 Rec#: 62030 DVT DEL ECUADOR S.A  Cta# 0769577-2 Ch# 1699</t>
  </si>
  <si>
    <t>IC-3025</t>
  </si>
  <si>
    <t>Fact#: 322107-322108 Rec#: 62029 RESTBAR S.A.</t>
  </si>
  <si>
    <t>IC-3010</t>
  </si>
  <si>
    <t>Fact#: 319593-319828 Rec#: 62028 PRIMERA ETAPA DEL PROYECTO URBANISTICO AIRES DE BATAN  Cta# 000-529887 Ch# 495</t>
  </si>
  <si>
    <t>IC-3007</t>
  </si>
  <si>
    <t>Fact#: 319413 Rec#: 62026 COMBLANC DEL ECUADOR S.A.  Cta# 02-0061457 Ch# 1276</t>
  </si>
  <si>
    <t>IC-2986</t>
  </si>
  <si>
    <t>Fact#: 320402 Rec#: 12138 LUIS GALO IDROBO ACEBO</t>
  </si>
  <si>
    <t>IC-3021</t>
  </si>
  <si>
    <t>Fact#: 314530-317203 Rec#: 12137 LINO MARTIN  BRITO BRITO</t>
  </si>
  <si>
    <t>IC-3020</t>
  </si>
  <si>
    <t>Fact#: 320846 Rec#: 12136 VASQUEZ AYALA MARIA DE LOURDES</t>
  </si>
  <si>
    <t>IC-3019</t>
  </si>
  <si>
    <t>Fact#: 313553-316164-318861 Rec#: 12135 VALDEZ ESPINEL YESSICA MARIELA</t>
  </si>
  <si>
    <t>IC-3018</t>
  </si>
  <si>
    <t>Fact#: 318570 Rec#: 12134 RAMOS MARCILLO CATHERINE LISSETTE</t>
  </si>
  <si>
    <t>IC-3017</t>
  </si>
  <si>
    <t>Fact#: 322018 Rec#: 12133 ALCIVAR GARRIDO FABRICIO ANTONIO</t>
  </si>
  <si>
    <t>IC-3016</t>
  </si>
  <si>
    <t>Fact#: 318595 Rec#: 12132 AVILA ORTIZ GEOVANNY FABRICIO</t>
  </si>
  <si>
    <t>IC-3015</t>
  </si>
  <si>
    <t>Fact#: 294198-296689-299268 Rec#: 12131 SILVA BAQUERIZO VICTOR JONATHAN</t>
  </si>
  <si>
    <t>IC-3014</t>
  </si>
  <si>
    <t>Fact#: 317886 Rec#: 12130 GALO ENRIQUE ESTUPIÑAN VERA</t>
  </si>
  <si>
    <t>IC-3013</t>
  </si>
  <si>
    <t>Fact#: 318865 Rec#: 12129 ABARCA PACHAY GEOVANNY ANDRES</t>
  </si>
  <si>
    <t>IC-3012</t>
  </si>
  <si>
    <t>Fact#: 319165 Rec#: 12128 VILLACIS LOPEZ ATALA ELENA</t>
  </si>
  <si>
    <t>IC-3011</t>
  </si>
  <si>
    <t>Fact#: 318587 Rec#: 12127 SALCEDO ISBELL JENNIFFER MICHELLE</t>
  </si>
  <si>
    <t>IC-3009</t>
  </si>
  <si>
    <t>Fact#: 312260-314955-317636 Rec#: 12126 ISMAEL EDUARDO TABARA CASTRO</t>
  </si>
  <si>
    <t>IC-3008</t>
  </si>
  <si>
    <t>Fact#: 318496 Rec#: 12125 LOPEZ RUIZ MARIA DEL CARMEN</t>
  </si>
  <si>
    <t>IC-3006</t>
  </si>
  <si>
    <t>Fact#: 315678-318373 Rec#: 12124 PARRALES ORMAZA CARLA CRISTINA</t>
  </si>
  <si>
    <t>IC-3005</t>
  </si>
  <si>
    <t>Fact#: 320442 Rec#: 29755 ENRIQUE FEDERICO ARENAS PILATAXI</t>
  </si>
  <si>
    <t>IC-3037</t>
  </si>
  <si>
    <t>Fact#: 318971 Rec#: 12123 MITE VERGARA EDISON CLAUDIO</t>
  </si>
  <si>
    <t>IC-3004</t>
  </si>
  <si>
    <t>Fact#: 318369 Rec#: 12122 RODRIGUEZ  SALAZAR DANIEL</t>
  </si>
  <si>
    <t>IC-3003</t>
  </si>
  <si>
    <t>Fact#: 318747 Rec#: 12121 MONTANO ARROYO CARLINA INES</t>
  </si>
  <si>
    <t>IC-3002</t>
  </si>
  <si>
    <t>Fact#: 314994-317674 Rec#: 12120 NORMA TATIANA ORELLANA LUNA</t>
  </si>
  <si>
    <t>IC-3001</t>
  </si>
  <si>
    <t>Fact#: 316402-319126 Rec#: 12119 CASTILLLO JIMENEZ  EURIPIDES NESTOR</t>
  </si>
  <si>
    <t>IC-3000</t>
  </si>
  <si>
    <t>Fact#: 314458-317132 Rec#: 12118 CARMEN CECILIA SORIA FLORENCIA</t>
  </si>
  <si>
    <t>IC-2999</t>
  </si>
  <si>
    <t>Fact#: 315705-318398 Rec#: 12117 BERNAL MORAN ALEX XAVIER</t>
  </si>
  <si>
    <t>IC-2998</t>
  </si>
  <si>
    <t>Fact#: 318053 Rec#: 12116 NIETO BARQUET OSCAR AHMED</t>
  </si>
  <si>
    <t>IC-2997</t>
  </si>
  <si>
    <t>Fact#: 319149 Rec#: 12115 MACIAS GRACIA JOHNNY FRANCISCO</t>
  </si>
  <si>
    <t>IC-2996</t>
  </si>
  <si>
    <t>Fact#: 319850 Rec#: 29883 OTECEL</t>
  </si>
  <si>
    <t>IC-3732</t>
  </si>
  <si>
    <t>Fact#: 277004-279396-281721 Rec#: 29754 CAROLINA GLORIA BRAVO TOMALA</t>
  </si>
  <si>
    <t>IC-3032</t>
  </si>
  <si>
    <t>Fact#: 317255 Rec#: 29753 FREDDY RENE VALLEJO MEDRANDA</t>
  </si>
  <si>
    <t>IC-3031</t>
  </si>
  <si>
    <t>Fact#: 318510 Rec#: 29752 MEDINA CRUZ JHONNY SERGIO</t>
  </si>
  <si>
    <t>IC-3030</t>
  </si>
  <si>
    <t>Fact#: 317624 Rec#: 29751 CARLA MARIA GARCIA ANDRADE</t>
  </si>
  <si>
    <t>IC-3029</t>
  </si>
  <si>
    <t>Fact#: 319766 Rec#: 12114 ALVARADO BASURTO SEGUNDO GABRIEL</t>
  </si>
  <si>
    <t>IC-2995</t>
  </si>
  <si>
    <t>Fact#: 314529-317202 Rec#: 12113 CESAR AUGUSTO  RADA AGUIRRE</t>
  </si>
  <si>
    <t>IC-2994</t>
  </si>
  <si>
    <t>Fact#: 317784 Rec#: 12112 JUAN CARLOS ARROYO FASSIO</t>
  </si>
  <si>
    <t>IC-2993</t>
  </si>
  <si>
    <t>Fact#: 317622 Rec#: 12111 TERESA LEONOR SALAZAR PLUAS</t>
  </si>
  <si>
    <t>IC-2992</t>
  </si>
  <si>
    <t>Fact#: 319706 Rec#: 12110 ASO. DE P. DE INM. DE LA URB. ESMERALDA DEL RIO</t>
  </si>
  <si>
    <t>IC-2991</t>
  </si>
  <si>
    <t>Fact#: 310381-313127-315782 Rec#: 12109 NAZARENO RAMIREZ LEONELA ELIZABETH</t>
  </si>
  <si>
    <t>IC-2990</t>
  </si>
  <si>
    <t>Fact#: 316182-318881 Rec#: 12108 PITA VELEZ XAVIER ANTONIO</t>
  </si>
  <si>
    <t>IC-2989</t>
  </si>
  <si>
    <t>Fact#: 1114 Rec#: 12107 JULIO CESAR CORREDORES CHILUISA</t>
  </si>
  <si>
    <t>IC-2988</t>
  </si>
  <si>
    <t>Fact#: 1256 Rec#: 12106 CHAVEZ ZAMBRANO BRYAN SEBASTIAN</t>
  </si>
  <si>
    <t>IC-2987</t>
  </si>
  <si>
    <t>Fact#: 1128 Rec#: 12105 RODRIGUEZ GUEVARA MARIA AUGUSTA</t>
  </si>
  <si>
    <t>IC-2985</t>
  </si>
  <si>
    <t>Fact#: 317268 Rec#: 12104 GRACIELA ELENA CAMACHO COELLO</t>
  </si>
  <si>
    <t>IC-2984</t>
  </si>
  <si>
    <t>Fact#: 319101 Rec#: 12103 BERMEO ROMERO  MERCY LORENA</t>
  </si>
  <si>
    <t>IC-2983</t>
  </si>
  <si>
    <t>Fact#: 314970-317651 Rec#: 12102 GRACE JUANA CRUZ CHIPRE</t>
  </si>
  <si>
    <t>IC-2982</t>
  </si>
  <si>
    <t>Fact#: 310613-313344-315989 Rec#: 12101 SAN ANDRES OREJUELA ELSA JANNETT</t>
  </si>
  <si>
    <t>IC-2981</t>
  </si>
  <si>
    <t>Fact#: 318403 Rec#: 12100 ZHICAY CARRILLO FRANKLIN GEOVANNY</t>
  </si>
  <si>
    <t>IC-2980</t>
  </si>
  <si>
    <t>Fact#: 318169 Rec#: 12099 GUTIERREZ CAJIAS ANDREA YOLANDA</t>
  </si>
  <si>
    <t>IC-2979</t>
  </si>
  <si>
    <t>Fact#: 318893 Rec#: 12098 AGILA MALDONADO MANUEL HORACIO</t>
  </si>
  <si>
    <t>IC-2978</t>
  </si>
  <si>
    <t>Fact#: 317833 Rec#: 12097 NANCY ESTHELA SANCHEZ</t>
  </si>
  <si>
    <t>IC-2977</t>
  </si>
  <si>
    <t>Fact#: 317969 Rec#: 12096 ESMERALDA MARITZA ALVARADO SEGURA</t>
  </si>
  <si>
    <t>IC-2976</t>
  </si>
  <si>
    <t>Fact#: 315106-317796 Rec#: 12095 PEDRO JAVIER BAQUERIZO SUAREZ</t>
  </si>
  <si>
    <t>IC-2975</t>
  </si>
  <si>
    <t>Fact#: 319817 Rec#: 61931 RIVADENEIRA JUNCO LUIS ENRIQUE</t>
  </si>
  <si>
    <t>IC-2973</t>
  </si>
  <si>
    <t>Fact#: 319495 Rec#: 61930 JIMENEZ &amp; JIMENEZ, ABOGADOS Y COMPAÑIA</t>
  </si>
  <si>
    <t>IC-2972</t>
  </si>
  <si>
    <t>Fact#: 319862 Rec#: 61929 SINOXSA ECUADOR S.A.</t>
  </si>
  <si>
    <t>IC-2971</t>
  </si>
  <si>
    <t>Fact#: 319558 Rec#: 61918 CONSORCIO GH ECUADOR-GRUCONSA</t>
  </si>
  <si>
    <t>IC-2945</t>
  </si>
  <si>
    <t>Fact#: 317328 Rec#: 61917 NELLY YOLANDA  SALCEDO BOWEN</t>
  </si>
  <si>
    <t>IC-2944</t>
  </si>
  <si>
    <t>CONSTANTE GARCIA VICKY POALA CANCELA TEELFONO 3900467 ABONA SGTE FACTURA</t>
  </si>
  <si>
    <t>AT-3016</t>
  </si>
  <si>
    <t>PABLO ENRIQUE GONZENBACH IGLESIAS CANCELA TEL 3945504 ABONO PARA LA SIGUIENTE FACTURA</t>
  </si>
  <si>
    <t>AT-3014</t>
  </si>
  <si>
    <t>PAGO TARJ. CORP. CUOTA MES DE FEB-2020</t>
  </si>
  <si>
    <t>VISA - MASTERCARD - PACIFICARD CANCELA POR PAYMENTS- PAGO DE FACT 1165</t>
  </si>
  <si>
    <t>NC-16</t>
  </si>
  <si>
    <t>Fact#: 317249 Rec#: 29748 GLORIA ISABEL MITE LEON</t>
  </si>
  <si>
    <t>IC-2951</t>
  </si>
  <si>
    <t>Fact#: 317359 Rec#: 29747 SANDOYA CASTRO FILADELFIA MADRID</t>
  </si>
  <si>
    <t>IC-2950</t>
  </si>
  <si>
    <t>Fact#: 319439 Rec#: 29746 REFRIGERACIÓN INDUSTRIAL CORNEJO REFRICOR-EC CIA.</t>
  </si>
  <si>
    <t>IC-2949</t>
  </si>
  <si>
    <t>Fact#: 319438 Rec#: 29745 REFRIGERACIÓN INDUSTRIAL CORNEJO REFRICOR-EC CIA.</t>
  </si>
  <si>
    <t>IC-2948</t>
  </si>
  <si>
    <t>Fact#: 319752 Rec#: 29744 WEISSON CEDENO GLADYS LORENA</t>
  </si>
  <si>
    <t>IC-2947</t>
  </si>
  <si>
    <t>Fact#: 317230 Rec#: 29743 LAURO DAVID TORRES CARRILLO</t>
  </si>
  <si>
    <t>IC-2946</t>
  </si>
  <si>
    <t>Fact#: 313004-315666-318359 Rec#: 12094 BURGOS MERCHAN UVENCIO ELICIO</t>
  </si>
  <si>
    <t>IC-2938</t>
  </si>
  <si>
    <t>Fact#: 1023 Rec#: 12093 CORONEL GARCIA MARITZA LUCILA</t>
  </si>
  <si>
    <t>IC-2937</t>
  </si>
  <si>
    <t>Fact#: 313272-315924-318626 Rec#: 12092 PENA MENDOZA JEFFERSON RAFAEL</t>
  </si>
  <si>
    <t>IC-2936</t>
  </si>
  <si>
    <t>Fact#: 319323 Rec#: 12091 LETTY DEL CISNE DAVILA ROMO</t>
  </si>
  <si>
    <t>IC-2935</t>
  </si>
  <si>
    <t>Fact#: 1035-865 Rec#: 12090 MONCAYO ROBLES FERNANDO JOSE</t>
  </si>
  <si>
    <t>IC-2934</t>
  </si>
  <si>
    <t>Fact#: 1150 Rec#: 12089 VEJAR ROMERO SILVANA MICHELLE</t>
  </si>
  <si>
    <t>IC-2933</t>
  </si>
  <si>
    <t>Fact#: 318167 Rec#: 12088 GUERRERO HOLGUIN JAIME GUSTAVO</t>
  </si>
  <si>
    <t>IC-2932</t>
  </si>
  <si>
    <t>Fact#: 318681 Rec#: 12087 NARANJO CADENA DANIEL FIDEL</t>
  </si>
  <si>
    <t>IC-2931</t>
  </si>
  <si>
    <t>Fact#: 319301 Rec#: 12086 JIMENEZ OCHOA LUIS ENRIQUE</t>
  </si>
  <si>
    <t>IC-2930</t>
  </si>
  <si>
    <t>Fact#: 318375 Rec#: 12085 VALLEJO MARTINEZ LEIDIZ DIANA</t>
  </si>
  <si>
    <t>IC-2929</t>
  </si>
  <si>
    <t>Fact#: 311860-314569-317242 Rec#: 12084 ELSIE RUTH  ZERDA BARRENO</t>
  </si>
  <si>
    <t>IC-2928</t>
  </si>
  <si>
    <t>Fact#: 315979-318680 Rec#: 12083 NIETO PIN ANDREA ISABELA</t>
  </si>
  <si>
    <t>IC-2927</t>
  </si>
  <si>
    <t>Fact#: 318907 Rec#: 12082 MONCAYO CORTEZ FRANCISCA YOVANNY</t>
  </si>
  <si>
    <t>IC-2926</t>
  </si>
  <si>
    <t>Fact#: 318338 Rec#: 61915 LOGROÑO REYES VICENTE JAVIER</t>
  </si>
  <si>
    <t>IC-2923</t>
  </si>
  <si>
    <t>Fact#: 319544-319861 Rec#: 61914 DISMELEC S.A.</t>
  </si>
  <si>
    <t>IC-2922</t>
  </si>
  <si>
    <t>Fact#: 310578-313311-315960 Rec#: 61913 NEIRA LOY EDISON GUSTAVO</t>
  </si>
  <si>
    <t>IC-2921</t>
  </si>
  <si>
    <t>Fact#: 319361 Rec#: 61912 TEDEX S.A  Cta# 000-514643 Ch# 20104</t>
  </si>
  <si>
    <t>IC-2920</t>
  </si>
  <si>
    <t>Fact#: 318795 Rec#: 61911 GAIBOR SANCHEZ CARLOS GENARO</t>
  </si>
  <si>
    <t>IC-2918</t>
  </si>
  <si>
    <t>Fact#: 319345-319346 Rec#: 61910 EDIFICIO PROFESSIONAL CENTER  Cta# 02-0130151 Ch# 5211</t>
  </si>
  <si>
    <t>IC-2915</t>
  </si>
  <si>
    <t>Fact#: 319015 Rec#: 61908 SOLEDISPA ACEBO MILTON ANTONIO</t>
  </si>
  <si>
    <t>IC-2913</t>
  </si>
  <si>
    <t>Fact#: 319463 Rec#: 61907 SEGURIDAD PRIVADA Y ARMADA DEL ECUADOR ARSEGEC C.</t>
  </si>
  <si>
    <t>IC-2912</t>
  </si>
  <si>
    <t>Fact#: 318955-319860 Rec#: 61906 GARCIA VELASCO MARIANA NATIVIDAD</t>
  </si>
  <si>
    <t>IC-2911</t>
  </si>
  <si>
    <t>Fact#: 319383 Rec#: 61905 SER.TRANSPORTE Y LOGISTICA INTEGRADO TRANSLOINTEG.  Cta# 1070915452 Ch# 3660</t>
  </si>
  <si>
    <t>IC-2879</t>
  </si>
  <si>
    <t>Fact#: 317421 Rec#: 29749 DE LUCCA MEJIA ROSA ELVIRA</t>
  </si>
  <si>
    <t>IC-2966</t>
  </si>
  <si>
    <t>Fact#: 319688 Rec#: 29741 ASISTMED ASISTENCIA A MEDICOS S.A.</t>
  </si>
  <si>
    <t>IC-2906</t>
  </si>
  <si>
    <t>Fact#: 317237 Rec#: 29740 MARIA GABRIELA TERAN SEVILLA</t>
  </si>
  <si>
    <t>IC-2905</t>
  </si>
  <si>
    <t>Fact#: 319671 Rec#: 29739 SAAB ACHI MICHEL</t>
  </si>
  <si>
    <t>IC-2904</t>
  </si>
  <si>
    <t>Fact#: 319646 Rec#: 29738 ALVARADO PIN EMILIO PABLO</t>
  </si>
  <si>
    <t>IC-2903</t>
  </si>
  <si>
    <t>Fact#: 319220 Rec#: 12081 ORRALA VILLON MARJORIE ESTEFANIA</t>
  </si>
  <si>
    <t>IC-2898</t>
  </si>
  <si>
    <t>Fact#: 316132-318830 Rec#: 12080 GAMEZ CUELLAR PEDRO NASARIO</t>
  </si>
  <si>
    <t>IC-2894</t>
  </si>
  <si>
    <t>Fact#: 318645 Rec#: 12079 RONQUILLO LOPEZ BIRMANIA NURY</t>
  </si>
  <si>
    <t>IC-2893</t>
  </si>
  <si>
    <t>Fact#: 319758 Rec#: 12078 SOLIS REYES OMAR MICHAEL</t>
  </si>
  <si>
    <t>IC-2892</t>
  </si>
  <si>
    <t>Fact#: 319790 Rec#: 12077 DREW S.A.</t>
  </si>
  <si>
    <t>IC-2891</t>
  </si>
  <si>
    <t>Fact#: 310768-313492-316111 Rec#: 12076 CHALEN NAZATE GLENDA GIMABEL</t>
  </si>
  <si>
    <t>IC-2890</t>
  </si>
  <si>
    <t>Fact#: 318410 Rec#: 12075 PONCE ANDRADE KERLY KARINA</t>
  </si>
  <si>
    <t>IC-2889</t>
  </si>
  <si>
    <t>Fact#: 316144-318841 Rec#: 12074 MARIN CESAR EDUARDO</t>
  </si>
  <si>
    <t>IC-2888</t>
  </si>
  <si>
    <t>Fact#: 318863 Rec#: 12073 CABELLO CHIRIGUAYA DAVID ELIAS</t>
  </si>
  <si>
    <t>IC-2887</t>
  </si>
  <si>
    <t>Fact#: 318426 Rec#: 12072 VALLE GONZALEZ LIDIA ELIZABETH</t>
  </si>
  <si>
    <t>IC-2886</t>
  </si>
  <si>
    <t>Fact#: 301169-303832-306592 Rec#: 12071 KARIN JANETH ARAY SILVA</t>
  </si>
  <si>
    <t>IC-2885</t>
  </si>
  <si>
    <t>Fact#: 317813 Rec#: 12070 EDDY ALBERTO BUSTOS PEÑAHERRERA</t>
  </si>
  <si>
    <t>IC-2884</t>
  </si>
  <si>
    <t>Fact#: 318511 Rec#: 12069 GUAMAN IZA LILIANA ARACELY</t>
  </si>
  <si>
    <t>IC-2883</t>
  </si>
  <si>
    <t>Fact#: 318280 Rec#: 12068 RAMIREZ RUIZ MILTON EMILIO</t>
  </si>
  <si>
    <t>IC-2882</t>
  </si>
  <si>
    <t>Fact#: 317752 Rec#: 12067 ISABEL RODRIGUEZ RIZO</t>
  </si>
  <si>
    <t>IC-2881</t>
  </si>
  <si>
    <t>Fact#: 318744 Rec#: 12066 CUEVA SAREZ JENNIFER STEFANIA</t>
  </si>
  <si>
    <t>IC-2880</t>
  </si>
  <si>
    <t>Fact#: 319859 Rec#: 61904 SUAREZ INTRIAGO JORGE ARTURO</t>
  </si>
  <si>
    <t>IC-2868</t>
  </si>
  <si>
    <t>Fact#: 317362 Rec#: 61903 SALAZAR CARRILLO MARIA ANDREA</t>
  </si>
  <si>
    <t>IC-2867</t>
  </si>
  <si>
    <t>Fact#: 319398 Rec#: 61902 ACRUXZA C. A.  Cta# 003980419- Ch# 2199</t>
  </si>
  <si>
    <t>IC-2864</t>
  </si>
  <si>
    <t>Fact#: 319375 Rec#: 61901 LAUDE S.A. LAUDESA ADMINISTRADORA DE FONDOS Y FIDEICOMISOS  Cta# 01-0596030 Ch# 3979</t>
  </si>
  <si>
    <t>IC-2839</t>
  </si>
  <si>
    <t>Fact#: 319497 Rec#: 61900 LABORATORIOS RENALABSA S A</t>
  </si>
  <si>
    <t>IC-2838</t>
  </si>
  <si>
    <t>Fact#: 291541-293870-296374 Rec#: 61899 CRISTINA CECIBEL VERA ALARCON</t>
  </si>
  <si>
    <t>IC-2837</t>
  </si>
  <si>
    <t>Fact#: 318820 Rec#: 61898 QUINDE HOLGUIN YONNY ARCENIO</t>
  </si>
  <si>
    <t>IC-2828</t>
  </si>
  <si>
    <t>Fact#: 319643 Rec#: 12056 SOLUCIONES GLOBALES S.A GLOBFAST</t>
  </si>
  <si>
    <t>IC-3206</t>
  </si>
  <si>
    <t>Fact#: 319644 Rec#: 12055 SOLUCIONES GLOBALES S.A GLOBFAST</t>
  </si>
  <si>
    <t>IC-3205</t>
  </si>
  <si>
    <t>Fact#: 317197 Rec#: 29742 SERGIO ANDRES SEMMINARIO VALENZUELA</t>
  </si>
  <si>
    <t>IC-2916</t>
  </si>
  <si>
    <t>Fact#: 315841-318537 Rec#: 12065 ASTUDILLO JARA ISRAEL WILLIAM</t>
  </si>
  <si>
    <t>IC-2836</t>
  </si>
  <si>
    <t>Fact#: 317850 Rec#: 12064 EDUARDO CAMPOSANO ULLOA</t>
  </si>
  <si>
    <t>IC-2835</t>
  </si>
  <si>
    <t>Fact#: 317590 Rec#: 12063 MARIA GUIOMAR BURGOS GARCIA</t>
  </si>
  <si>
    <t>IC-2834</t>
  </si>
  <si>
    <t>Fact#: 317345 Rec#: 12062 ROSA MARGARITA  BARRIGA CANTOS</t>
  </si>
  <si>
    <t>IC-2833</t>
  </si>
  <si>
    <t>Fact#: 317771 Rec#: 12061 NANCY GREGORIA DELGADO MEZA</t>
  </si>
  <si>
    <t>IC-2832</t>
  </si>
  <si>
    <t>Fact#: 312351-315043-317729 Rec#: 12060 ANA ESTHER ANTEPARA ACOSTA</t>
  </si>
  <si>
    <t>IC-2831</t>
  </si>
  <si>
    <t>Fact#: 318160 Rec#: 12059 CARRILLO ANCHUNDIA FLOR MARIA</t>
  </si>
  <si>
    <t>IC-2830</t>
  </si>
  <si>
    <t>Fact#: 307510-310274-313028 Rec#: 12058 NARVAEZ SOLORZANO GABRIEL ANDRES</t>
  </si>
  <si>
    <t>IC-2829</t>
  </si>
  <si>
    <t>Fact#: 317586 Rec#: 12057 GLORIA GABRIELA VARGAS ACUÑA</t>
  </si>
  <si>
    <t>IC-2827</t>
  </si>
  <si>
    <t>Fact#: 315828-318522 Rec#: 12054 CHOLOTA OQUENDO JORDAN GONZALO</t>
  </si>
  <si>
    <t>IC-2824</t>
  </si>
  <si>
    <t>Fact#: 319114 Rec#: 12053 CHOEZ BRAVO JOSE ANTONIO</t>
  </si>
  <si>
    <t>IC-2823</t>
  </si>
  <si>
    <t>Fact#: 318758 Rec#: 12052 SANCHEZ QUINCHUELA INES MONICA</t>
  </si>
  <si>
    <t>IC-2822</t>
  </si>
  <si>
    <t>Fact#: 318959 Rec#: 12051 LEON ANDRADE CRISTIAN ALFREDO</t>
  </si>
  <si>
    <t>IC-2821</t>
  </si>
  <si>
    <t>Fact#: 311069-313781-316391 Rec#: 12050 CAMPUZANO CASTILLO TOMAS ROLANDO</t>
  </si>
  <si>
    <t>IC-2820</t>
  </si>
  <si>
    <t>Fact#: 315739-318436 Rec#: 12049 FLOR MAZZINI LADY FABIANA</t>
  </si>
  <si>
    <t>IC-2819</t>
  </si>
  <si>
    <t>Fact#: 317142 Rec#: 29736 SEGUNDO PEDRO PABLO ANDRADE LOAYZA</t>
  </si>
  <si>
    <t>IC-2816</t>
  </si>
  <si>
    <t>Fact#: 317152 Rec#: 29735 EDDA GLADYS PARRALES GOMEZ</t>
  </si>
  <si>
    <t>IC-2815</t>
  </si>
  <si>
    <t>Fact#: 318288 Rec#: 29734 LOZANO OTERO RICARDO REIMONDI LOZANO OTERO</t>
  </si>
  <si>
    <t>IC-2814</t>
  </si>
  <si>
    <t>Fact#: 319670 Rec#: 29733 ADVANCED POS SOLUTIONS INC</t>
  </si>
  <si>
    <t>IC-2813</t>
  </si>
  <si>
    <t>Fact#: 317115-319786 Rec#: 61897 HIDALGO VEGA MARIUXI ELIZABETH</t>
  </si>
  <si>
    <t>IC-2807</t>
  </si>
  <si>
    <t>Fact#: 319393 Rec#: 61896 LIFE FOOD PRODUCT ECUADOR LIFPRODEC S.A.  Cta# 000-526107 Ch# 11865</t>
  </si>
  <si>
    <t>IC-2806</t>
  </si>
  <si>
    <t>Fact#: 319553-319554 Rec#: 61895 YAGLODVIAL S.A.</t>
  </si>
  <si>
    <t>IC-2805</t>
  </si>
  <si>
    <t>Fact#: 317448-317449-317450-317451-317452 Rec#: 61894 JORGE HUMBERTO COSTALES VERA</t>
  </si>
  <si>
    <t>IC-2804</t>
  </si>
  <si>
    <t>Fact#: 306709-309514-312290 Rec#: 61893 FERNANDA ALEJANDRINA VINCES VALENCIA</t>
  </si>
  <si>
    <t>IC-2803</t>
  </si>
  <si>
    <t>Fact#: 319353 Rec#: 61892 CODEMET S.A.</t>
  </si>
  <si>
    <t>IC-2799</t>
  </si>
  <si>
    <t>Fact#: 319369 Rec#: 61891 INSTALACION DE TUBOS DE HORMIGON S.A. INSTUGO  Cta# 0788767-1 Ch# 933</t>
  </si>
  <si>
    <t>IC-2787</t>
  </si>
  <si>
    <t>Fact#: 316598-319302 Rec#: 61890 GARCIA AGUIRRE ROSA NANCY</t>
  </si>
  <si>
    <t>IC-2786</t>
  </si>
  <si>
    <t>Fact#: 317274 Rec#: 12048 CAROLA MISHEL ABISAAB MEDINA</t>
  </si>
  <si>
    <t>IC-2802</t>
  </si>
  <si>
    <t>Fact#: 318492 Rec#: 12047 CASTILLO PEREIRA GABRIEL ARCANGEL</t>
  </si>
  <si>
    <t>IC-2801</t>
  </si>
  <si>
    <t>Fact#: 317754 Rec#: 12046 CESAR ORLANDO VALLEJO VERA</t>
  </si>
  <si>
    <t>IC-2800</t>
  </si>
  <si>
    <t>Fact#: 316041-318738 Rec#: 12045 GUERRERO RENDON VICTORIA EDITA</t>
  </si>
  <si>
    <t>IC-2798</t>
  </si>
  <si>
    <t>Fact#: 319002 Rec#: 12044 ALVARADO BAJANA MARIELA MARISOL</t>
  </si>
  <si>
    <t>IC-2797</t>
  </si>
  <si>
    <t>Fact#: 310820-313550-316161 Rec#: 12043 ANDRADE ZAMBRANO RAMON TRINO</t>
  </si>
  <si>
    <t>IC-2796</t>
  </si>
  <si>
    <t>Fact#: 317371 Rec#: 12042 ARCE FLORES NORBERTO</t>
  </si>
  <si>
    <t>IC-2795</t>
  </si>
  <si>
    <t>Fact#: 315665-318358 Rec#: 12041 MIRIAM ALEXANDRA ENDERICA PIONCE</t>
  </si>
  <si>
    <t>IC-2794</t>
  </si>
  <si>
    <t>Fact#: 314853-317530 Rec#: 12040 MIRIAM ALEXANDRA ENDERICA PIONCE</t>
  </si>
  <si>
    <t>IC-2793</t>
  </si>
  <si>
    <t>Fact#: 317364 Rec#: 12039 AGUILERA RODRIGUEZ YONNY STALIN</t>
  </si>
  <si>
    <t>IC-2792</t>
  </si>
  <si>
    <t>Fact#: 317635 Rec#: 12038 NAIM ANTONIO YUNES MARIDUEÑA</t>
  </si>
  <si>
    <t>IC-2791</t>
  </si>
  <si>
    <t>Fact#: 315302-317995 Rec#: 12037 LAURA MARIA NOBOA BAQUERIZO</t>
  </si>
  <si>
    <t>IC-2790</t>
  </si>
  <si>
    <t>Fact#: 318096 Rec#: 12036 ARIAS FLORES ENRIQUE SEBASTIAN</t>
  </si>
  <si>
    <t>IC-2789</t>
  </si>
  <si>
    <t>Fact#: 313347-315991-318691 Rec#: 12035 ALTAMIRANO RIVERA GRACE VERONICA</t>
  </si>
  <si>
    <t>IC-2788</t>
  </si>
  <si>
    <t>Fact#: 317165 Rec#: 29732 FATIMA LEONOR AGUILAR MURILLO</t>
  </si>
  <si>
    <t>IC-2785</t>
  </si>
  <si>
    <t>Fact#: 318382 Rec#: 29731 GONZALEZ SANCHEZ CESAR IVAN</t>
  </si>
  <si>
    <t>IC-2784</t>
  </si>
  <si>
    <t>Fact#: 319516 Rec#: 29730 CHRISTIAN JAVIER MIDEROS ROMERO</t>
  </si>
  <si>
    <t>IC-2783</t>
  </si>
  <si>
    <t>Fact#: 318632 Rec#: 29729 MORENO VIVAR LORENA BEATRIZ</t>
  </si>
  <si>
    <t>IC-2782</t>
  </si>
  <si>
    <t>Fact#: 317134 Rec#: 29728 JORGE ALFREDO FRANCO MORAN</t>
  </si>
  <si>
    <t>IC-2781</t>
  </si>
  <si>
    <t>Fact#: 318582 Rec#: 29727 PALADINES RODRIGUEZ VICTOR EMILIO</t>
  </si>
  <si>
    <t>IC-2780</t>
  </si>
  <si>
    <t>Fact#: 317357 Rec#: 12034 ENCALADA SANCHEZ NIEVES ELIZABETH</t>
  </si>
  <si>
    <t>IC-2779</t>
  </si>
  <si>
    <t>Fact#: 315690-318385 Rec#: 12033 ORTIZ ACOSTA HERNAN GONZALO</t>
  </si>
  <si>
    <t>IC-2778</t>
  </si>
  <si>
    <t>Fact#: 318047 Rec#: 12032 MONCAYO LARREA JOHANN LEONARDO</t>
  </si>
  <si>
    <t>IC-2777</t>
  </si>
  <si>
    <t>Fact#: 307271-310049-312809 Rec#: 12031 ZEVALLOS YUNAPANTA MISHELL ESTEFANIA</t>
  </si>
  <si>
    <t>IC-2776</t>
  </si>
  <si>
    <t>Fact#: 1002 Rec#: 12030 CRUZ SANTANA MARCOS BOLIVAR</t>
  </si>
  <si>
    <t>IC-2775</t>
  </si>
  <si>
    <t>Fact#: 316101-318798 Rec#: 12029 SANCHEZ PARRA MAYURI EMILIA</t>
  </si>
  <si>
    <t>IC-2774</t>
  </si>
  <si>
    <t>Fact#: 318769 Rec#: 12028 GARCIA FRIAS LUIS ALBERTO</t>
  </si>
  <si>
    <t>IC-2773</t>
  </si>
  <si>
    <t>Fact#: 318162 Rec#: 12027 CASTILLO SALAS AMABILIA JACQUELINE</t>
  </si>
  <si>
    <t>IC-2772</t>
  </si>
  <si>
    <t>Fact#: 316279-318983 Rec#: 12026 MERO CASTILLO JOSE XAVIER</t>
  </si>
  <si>
    <t>IC-2771</t>
  </si>
  <si>
    <t>Fact#: 316362-319087 Rec#: 12025 GUEVARA GUEVARA ORIOL FERNANDO</t>
  </si>
  <si>
    <t>IC-2770</t>
  </si>
  <si>
    <t>Fact#: 317365 Rec#: 12024 PAZMIÑO COELLO JAIME MARCELO</t>
  </si>
  <si>
    <t>IC-2769</t>
  </si>
  <si>
    <t>Fact#: 315601-318294 Rec#: 12023 SALAZAR MONTIEL ABEL OLIMPO</t>
  </si>
  <si>
    <t>IC-2768</t>
  </si>
  <si>
    <t>Fact#: 319356 Rec#: 61889 CONTECON GUAYAQUIL S.A.  Cta# 000-519066 Ch# 5567</t>
  </si>
  <si>
    <t>IC-2763</t>
  </si>
  <si>
    <t>Fact#: 319659 Rec#: 29724 PAYLESS SHOESOURCE ECUADOR CIA. LTDA.</t>
  </si>
  <si>
    <t>IC-2752</t>
  </si>
  <si>
    <t>Fact#: 319606 Rec#: 29723 DATA TOOLS S.A.</t>
  </si>
  <si>
    <t>IC-2751</t>
  </si>
  <si>
    <t>Fact#: 319855 Rec#: 61888 ORTIZ ULLOA HENRRY JAVIER</t>
  </si>
  <si>
    <t>IC-2736</t>
  </si>
  <si>
    <t>Fact#: 309081-311873-314580 Rec#: 61886 OLIBA SELEDINA NIEVE ARROYO</t>
  </si>
  <si>
    <t>IC-2720</t>
  </si>
  <si>
    <t>Fact#: 314623-317293 Rec#: 61885 MARLON LUIS  AUCAPIÑA CAMPUZANO</t>
  </si>
  <si>
    <t>IC-2704</t>
  </si>
  <si>
    <t>Fact#: 314375 Rec#: 61884 TELCONET  S.A.</t>
  </si>
  <si>
    <t>IC-2703</t>
  </si>
  <si>
    <t>Fact#: 316689-317020-317029-317030-948 Rec#: 61883 TELCONET  S.A.  Cta# 107003230- Ch# 6388</t>
  </si>
  <si>
    <t>IC-2702</t>
  </si>
  <si>
    <t>CNEL EP, POR CONSUMO DE ENERGÍA ELÉCTRICA PERIODO 12 ENE AL 10 FEB 2020. COD:200017298429, CTV</t>
  </si>
  <si>
    <t>EG-83</t>
  </si>
  <si>
    <t>Fact# 18772980 CNEL EP Concepto:CONSUMO DE ENERGÍA ELÉCTRICA PERIODO 12 ENE AL 10 FEB 2020, COD:200017417466, VALLE ALTO</t>
  </si>
  <si>
    <t>EG-82</t>
  </si>
  <si>
    <t>Fact# 18735496 CNEL EP Concepto:CONSUMO DE ENERGÍA ELÉCTRICA PERIODO 12 ENE AL 10 FEB 2020, COD:200016916559, VIA AL SOL</t>
  </si>
  <si>
    <t>EG-81</t>
  </si>
  <si>
    <t>Fact# 18706696 CNEL EP Concepto:CONSUMO DE ENERGÍA ELÉCTRICA PERIODO 16 ENE AL 13 FEB 2020, COD:200019723945, EL CARACOL</t>
  </si>
  <si>
    <t>EG-80</t>
  </si>
  <si>
    <t>Fact#: 1054-881 Rec#: 12022 JARAMILLO MONTANO JESSICA XIMENA</t>
  </si>
  <si>
    <t>IC-2741</t>
  </si>
  <si>
    <t>Fact#: 319056 Rec#: 12021 MEDINA MORA IVAN ALEXANDER</t>
  </si>
  <si>
    <t>IC-2740</t>
  </si>
  <si>
    <t>Fact#: 315553-318246 Rec#: 12020 ANANGONO COTTO ALEXANDRA MARIBEL</t>
  </si>
  <si>
    <t>IC-2739</t>
  </si>
  <si>
    <t>Fact#: 316886-319611 Rec#: 12019 VITERI RAMIREZ RICARDO ISAIAS</t>
  </si>
  <si>
    <t>IC-2738</t>
  </si>
  <si>
    <t>Fact#: 316360-319085 Rec#: 12018 MORA BLANCO NANCY ESTELA</t>
  </si>
  <si>
    <t>IC-2737</t>
  </si>
  <si>
    <t>Fact#: 317937 Rec#: 12017 EVELYN SUSANA PITA CARRASCO</t>
  </si>
  <si>
    <t>IC-2735</t>
  </si>
  <si>
    <t>Fact#: 1146-809-961 Rec#: 12016 HERRERA MOLINA ANGEL ALBERTO</t>
  </si>
  <si>
    <t>IC-2734</t>
  </si>
  <si>
    <t>Fact#: 318269 Rec#: 12015 RODRIGUEZ TRIVINO KENNY JESUS</t>
  </si>
  <si>
    <t>IC-2733</t>
  </si>
  <si>
    <t>Fact#: 318285 Rec#: 12014 ZAMBRANO MOREIRA LUIS ALFREDO</t>
  </si>
  <si>
    <t>IC-2732</t>
  </si>
  <si>
    <t>Fact#: 318151 Rec#: 12013 ROMERO LITARDO FRANCISCO XAVIER</t>
  </si>
  <si>
    <t>IC-2731</t>
  </si>
  <si>
    <t>Fact#: 316509-319218 Rec#: 12012 VILLEGAS VALENCIA JUAN JOSE</t>
  </si>
  <si>
    <t>IC-2730</t>
  </si>
  <si>
    <t>Fact#: 311184-313885-316478 Rec#: 12011 PACHECO SARANGO LAURA AMERICA</t>
  </si>
  <si>
    <t>IC-2729</t>
  </si>
  <si>
    <t>Fact#: 303934-306693-309498 Rec#: 12010 CARLOS ENRIQUE TAPIA TAPIA</t>
  </si>
  <si>
    <t>IC-2728</t>
  </si>
  <si>
    <t>Fact#: 316188-318888 Rec#: 12009 ALVAREZ BORRERO JUAN CARLOS</t>
  </si>
  <si>
    <t>IC-2727</t>
  </si>
  <si>
    <t>Fact#: 294598-297100-299690 Rec#: 12008 MINA MONTANO JUVER RUBEN</t>
  </si>
  <si>
    <t>IC-2726</t>
  </si>
  <si>
    <t>Fact#: 318002 Rec#: 12007 ALEXANDRE FABIAN MARTINEZ CARRION</t>
  </si>
  <si>
    <t>IC-2725</t>
  </si>
  <si>
    <t>N/D TRANSFERENCIA PAGO DE FONDOS DE RESERVA MES DE ENE-2020</t>
  </si>
  <si>
    <t>NDL-6</t>
  </si>
  <si>
    <t>N/D TRANSFERENCIA ROLES DE PAGO 1ERA QUINCENA MES DE FEB-2020</t>
  </si>
  <si>
    <t>NDL-5</t>
  </si>
  <si>
    <t>Fact#: 319367 Rec#: 29726 LG ELECTRONICS PANAMA S.A</t>
  </si>
  <si>
    <t>IC-2754</t>
  </si>
  <si>
    <t>Fact#: 319582 Rec#: 29725 CIPORT &amp; TECNAC CIPTE C.L</t>
  </si>
  <si>
    <t>IC-2753</t>
  </si>
  <si>
    <t>Fact#: 317336 Rec#: 29722 MARIA PATRICIA  RODRIGUEZ SANCHEZ</t>
  </si>
  <si>
    <t>IC-2750</t>
  </si>
  <si>
    <t>Fact#: 317176 Rec#: 29721 EDISON VIRGILIO ALVARIO MERA</t>
  </si>
  <si>
    <t>IC-2749</t>
  </si>
  <si>
    <t>Fact#: 318484 Rec#: 12006 VILLEGAS BASTIDAS JOSE ALFREDO</t>
  </si>
  <si>
    <t>IC-2724</t>
  </si>
  <si>
    <t>Fact#: 316431-319152 Rec#: 12005 ZAMBRANO RIVERA EDINSON EDGAR</t>
  </si>
  <si>
    <t>IC-2723</t>
  </si>
  <si>
    <t>Fact#: 318305 Rec#: 12004 MIRANDA LAJONE JORGE ANTONIO</t>
  </si>
  <si>
    <t>IC-2722</t>
  </si>
  <si>
    <t>Fact#: 314038-316705-319433 Rec#: 12003 ASOCIACION DE PROPIETARIOS DE LA URBANIZACION PUER</t>
  </si>
  <si>
    <t>IC-2721</t>
  </si>
  <si>
    <t>Fact#: 317467 Rec#: 12002 JENNIFER MARITZA BAJAÑA MERCHAN</t>
  </si>
  <si>
    <t>IC-2719</t>
  </si>
  <si>
    <t>Fact#: 316015-318714 Rec#: 12001 DUQUELINO GILBERTO  MINTO</t>
  </si>
  <si>
    <t>IC-2718</t>
  </si>
  <si>
    <t>Fact#: 317367 Rec#: 12000 RIOS ORELLANA INGRID DE LA CRUZ</t>
  </si>
  <si>
    <t>IC-2717</t>
  </si>
  <si>
    <t>Fact#: 318580 Rec#: 11999 VELASTEGUI COELLAR MICHAEL PATRICIO</t>
  </si>
  <si>
    <t>IC-2716</t>
  </si>
  <si>
    <t>Fact#: 319815 Rec#: 11998 SILVA CHIQUITO JOSE LUIS</t>
  </si>
  <si>
    <t>IC-2715</t>
  </si>
  <si>
    <t>Fact#: 315982-318683 Rec#: 11997 BORJA MESIAS SEGUNDO ALFREDO</t>
  </si>
  <si>
    <t>IC-2714</t>
  </si>
  <si>
    <t>Fact#: 310335-313084-315742 Rec#: 11996 ANGULO JAMA MAGALY ISABEL</t>
  </si>
  <si>
    <t>IC-2713</t>
  </si>
  <si>
    <t>Fact#: 316572-319276 Rec#: 11995 SALTOS ZAMBRANO JOSE FERNANDO</t>
  </si>
  <si>
    <t>IC-2712</t>
  </si>
  <si>
    <t>Fact#: 318490 Rec#: 11994 CAMPOVERDE GONZALEZ IVAN EUSEBIO</t>
  </si>
  <si>
    <t>IC-2711</t>
  </si>
  <si>
    <t>Fact#: 316089-318787 Rec#: 11993 FRANCO GARCIA BYRON NELSON</t>
  </si>
  <si>
    <t>IC-2710</t>
  </si>
  <si>
    <t>Fact#: 318718 Rec#: 11992 TENORIO PRECIADO SUSANA MIRELLA</t>
  </si>
  <si>
    <t>IC-2709</t>
  </si>
  <si>
    <t>Fact#: 318474 Rec#: 11991 BUENAVENTURA RODRIGUEZ MARIA DEL CARMEN</t>
  </si>
  <si>
    <t>IC-2708</t>
  </si>
  <si>
    <t>Fact#: 319254 Rec#: 11990 CHOEZ ANCHUNDIA WILTER ANTONIO</t>
  </si>
  <si>
    <t>IC-2707</t>
  </si>
  <si>
    <t>Fact#: 314993-317673 Rec#: 11989 RAQUEL YOLANDA POSADA RAMIREZ</t>
  </si>
  <si>
    <t>IC-2706</t>
  </si>
  <si>
    <t>Fact#: 316126-318823 Rec#: 11988 LOZANO JIMENEZ MAY DICSON</t>
  </si>
  <si>
    <t>IC-2705</t>
  </si>
  <si>
    <t>Fact#: 317387 Rec#: 61880 JORGE TYRONE AVILA OJEDA</t>
  </si>
  <si>
    <t>IC-2698</t>
  </si>
  <si>
    <t>Fact#: 319390 Rec#: 61879 CARVAGU S.A.</t>
  </si>
  <si>
    <t>IC-2697</t>
  </si>
  <si>
    <t>Fact#: 318840 Rec#: 61878 PARRALES CABRERA TEOFILO CELESTINO</t>
  </si>
  <si>
    <t>IC-2686</t>
  </si>
  <si>
    <t>Fact#: 316685-319415 Rec#: 61877 INDUGLOBAL S.A</t>
  </si>
  <si>
    <t>IC-2644</t>
  </si>
  <si>
    <t>ARELLANO SAMANIEGO NAY ALEXANDRA CANCELA TELEFONO 3930229 ABONA SGTE FACTURA</t>
  </si>
  <si>
    <t>AT-2988</t>
  </si>
  <si>
    <t>N/D BANCO DEL PACIFICO CANCELACION FACT#63577447 OTECEL S.A. POOL CORP. PERIODO 08 ENE AL 07 FEB 2020</t>
  </si>
  <si>
    <t>Fact#: 307992-310753-313477 Rec#: 29720 CHAPALVAY DECIDERIO AGUSTIN ALFREDO</t>
  </si>
  <si>
    <t>IC-2679</t>
  </si>
  <si>
    <t>Fact#: 311911-314619-317290 Rec#: 29719 ARMANDO ROBERTO  YAGUAL BRITO</t>
  </si>
  <si>
    <t>IC-2678</t>
  </si>
  <si>
    <t>Fact#: 319496 Rec#: 29717 ELECTROMOOM S.A.</t>
  </si>
  <si>
    <t>IC-2677</t>
  </si>
  <si>
    <t>Fact#: 315359-318055 Rec#: 29716 IBAÑEZ VASCONES MARIA CECILIA</t>
  </si>
  <si>
    <t>IC-2676</t>
  </si>
  <si>
    <t>Fact#: 316947-319673 Rec#: 29715 ETHERIA S.A.</t>
  </si>
  <si>
    <t>IC-2675</t>
  </si>
  <si>
    <t>Fact#: 317370 Rec#: 29714 ARMANDO ROBERTO  YAGUAL BRITO</t>
  </si>
  <si>
    <t>IC-2674</t>
  </si>
  <si>
    <t>Fact#: 317282 Rec#: 29713 MARIA DOLORES COBOS MARMOLEJO</t>
  </si>
  <si>
    <t>IC-2673</t>
  </si>
  <si>
    <t>Fact#: 312435-315124-317814 Rec#: 29718 VICENTE ANTONIO VITERI GOMEZ</t>
  </si>
  <si>
    <t>IC-2672</t>
  </si>
  <si>
    <t>Fact#: 315223-317913 Rec#: 29712 ALEX RICARDO POLIT LUNA</t>
  </si>
  <si>
    <t>IC-2671</t>
  </si>
  <si>
    <t>Fact#: 317525 Rec#: 29711 MANUEL ISAIAS TAPIA LOPEZ</t>
  </si>
  <si>
    <t>IC-2670</t>
  </si>
  <si>
    <t>Fact#: 990 Rec#: 29710 GUATEMAL COLIMBA JUAN BAUTISTA</t>
  </si>
  <si>
    <t>IC-2669</t>
  </si>
  <si>
    <t>Fact#: 315534-318226 Rec#: 11987 PERALTA GODOY JORGE DAVID</t>
  </si>
  <si>
    <t>IC-2665</t>
  </si>
  <si>
    <t>Fact#: 317541 Rec#: 11986 XIMENA DE LOURDES VASQUEZ HINOJOSA</t>
  </si>
  <si>
    <t>IC-2664</t>
  </si>
  <si>
    <t>Fact#: 319716 Rec#: 11985 JARRIN GONZAGA LUIS ALFONSO</t>
  </si>
  <si>
    <t>IC-2663</t>
  </si>
  <si>
    <t>Fact#: 1070-892 Rec#: 11984 SILVA ALDAS MARIANA DE JESUS</t>
  </si>
  <si>
    <t>IC-2662</t>
  </si>
  <si>
    <t>Fact#: 319802 Rec#: 11983 ALBAN CASTRO VIVIANA</t>
  </si>
  <si>
    <t>IC-2661</t>
  </si>
  <si>
    <t>Fact#: 297416-299984 Rec#: 11982 PALACIOS SORROSA GEOVANNY MOISES</t>
  </si>
  <si>
    <t>IC-2660</t>
  </si>
  <si>
    <t>Fact#: 318952 Rec#: 11981 CORDOBA EIDER JOSE</t>
  </si>
  <si>
    <t>IC-2659</t>
  </si>
  <si>
    <t>Fact#: 307383-310158-312917 Rec#: 11980 GONZALEZ MARTINEZ NINFA KARINA</t>
  </si>
  <si>
    <t>IC-2658</t>
  </si>
  <si>
    <t>Fact#: 315561-318254 Rec#: 11979 PENAFIEL TAPIA MARIA GABRIELA</t>
  </si>
  <si>
    <t>IC-2657</t>
  </si>
  <si>
    <t>Fact#: 317266 Rec#: 11978 VICENTE GABRIEL VINUEZA MERINO</t>
  </si>
  <si>
    <t>IC-2656</t>
  </si>
  <si>
    <t>Fact#: 315608-318301 Rec#: 11977 CASTILLO RIVERA RUTH NOEMI</t>
  </si>
  <si>
    <t>IC-2655</t>
  </si>
  <si>
    <t>Fact#: 315304-317997 Rec#: 11976 JORGE ALBERTO NORERO SANTOS</t>
  </si>
  <si>
    <t>IC-2654</t>
  </si>
  <si>
    <t>Fact#: 317858 Rec#: 11975 RUTH ANGELICA VERDEZOTO GAIBOR</t>
  </si>
  <si>
    <t>IC-2653</t>
  </si>
  <si>
    <t>Fact#: 315250-317941 Rec#: 11974 ELEODORO RICARDO PIN BAJAÑA</t>
  </si>
  <si>
    <t>IC-2652</t>
  </si>
  <si>
    <t>Fact#: 318500 Rec#: 11973 MAYEZA REGALADO JIMMY HARRY</t>
  </si>
  <si>
    <t>IC-2651</t>
  </si>
  <si>
    <t>Fact#: 316841-319566 Rec#: 11972 MULTICOMPRAS S.A.</t>
  </si>
  <si>
    <t>IC-2650</t>
  </si>
  <si>
    <t>Fact#: 316832-319557 Rec#: 11971 MULTICOMPRAS S.A.</t>
  </si>
  <si>
    <t>IC-2649</t>
  </si>
  <si>
    <t>Fact#: 317783 Rec#: 11970 HOLGER ALFREDO TOMALA DE LA ROSA</t>
  </si>
  <si>
    <t>IC-2648</t>
  </si>
  <si>
    <t>Fact#: 316219-318917 Rec#: 11969 REYES PINCAY JORGE VICTOR</t>
  </si>
  <si>
    <t>IC-2647</t>
  </si>
  <si>
    <t>Fact#: 318515 Rec#: 11968 RODRIGUEZ RAMON PAMELA CAROLINA</t>
  </si>
  <si>
    <t>IC-2646</t>
  </si>
  <si>
    <t>Fact#: 314907-317587 Rec#: 11967 ADRIANA ALEXANDRA CHIQUITO MOLINA</t>
  </si>
  <si>
    <t>IC-2645</t>
  </si>
  <si>
    <t>Fact#: 312595-315279-317973 Rec#: 29709 JUAN CARLOS MARTINEZ FASSIO</t>
  </si>
  <si>
    <t>IC-2643</t>
  </si>
  <si>
    <t>Fact#: 319403 Rec#: 61876 PROMILCA S.A.  Cta# 00-0170033 Ch# 1453</t>
  </si>
  <si>
    <t>IC-2642</t>
  </si>
  <si>
    <t>Fact#: 319402 Rec#: 61875 INTEQUIN S.A.  Cta# 000-007652 Ch# 18600</t>
  </si>
  <si>
    <t>IC-2641</t>
  </si>
  <si>
    <t>Fact#: 319404 Rec#: 61874 TUTOBIENES S.A.  Cta# 000-518066 Ch# 3155</t>
  </si>
  <si>
    <t>IC-2640</t>
  </si>
  <si>
    <t>Fact#: 319400 Rec#: 61873 GRANITECSA S.A  Cta# 000-526753 Ch# 6845</t>
  </si>
  <si>
    <t>IC-2639</t>
  </si>
  <si>
    <t>Fact#: 319479-319480 Rec#: 61872 FUDRIVER S.A.</t>
  </si>
  <si>
    <t>IC-2638</t>
  </si>
  <si>
    <t>Fact#: 317288 Rec#: 61871 MAIRA ALEJANDRA GRANDA ZARI</t>
  </si>
  <si>
    <t>IC-2637</t>
  </si>
  <si>
    <t>Fact#: 686-687 Rec#: 29707 F.V - AREA ANDINA S.A.</t>
  </si>
  <si>
    <t>IC-2633</t>
  </si>
  <si>
    <t>Fact#: 314544 Rec#: 61870 MARIA EULALIA TAPIA HIDALGO</t>
  </si>
  <si>
    <t>IC-2632</t>
  </si>
  <si>
    <t>Fact#: 314538-317212 Rec#: 61869 ENRIQUETA ALARCON RUGEL</t>
  </si>
  <si>
    <t>IC-2631</t>
  </si>
  <si>
    <t>Fact#: 319377 Rec#: 61868 ASOCIACION DE PROPIETARIOS DE LA URB. LA LAGUNA  Cta# 000-507253 Ch# 6793</t>
  </si>
  <si>
    <t>IC-2630</t>
  </si>
  <si>
    <t>Fact# 23849633 CNEL EP Concepto:CONSUMO DE ENERGÍA ELÉCTRICA PERIODO 30/DIC/2019 AL 30/ENE/2020-</t>
  </si>
  <si>
    <t>EG-75</t>
  </si>
  <si>
    <t>LOPEZ GERMAN FLAVIO OLIVER CANCELA TELEFONO 3906017 ABONA SGTES FACTURAS</t>
  </si>
  <si>
    <t>AT-2986</t>
  </si>
  <si>
    <t>Fact#: 316606-319309 Rec#: 29708 CALI CORTEZ LISSETTE DIGNA</t>
  </si>
  <si>
    <t>IC-2634</t>
  </si>
  <si>
    <t>Fact#: 312490-315175-317866 Rec#: 29706 RICARDO ARMANDO COLOMA MOLINA</t>
  </si>
  <si>
    <t>IC-2628</t>
  </si>
  <si>
    <t>Fact#: 317911 Rec#: 29705 XAVIER ALFREDO ZANABRIA VILLAMAR</t>
  </si>
  <si>
    <t>IC-2627</t>
  </si>
  <si>
    <t>Fact#: 319539 Rec#: 29704 JORGE ARTURO ZANABRIA VILLAMAR</t>
  </si>
  <si>
    <t>IC-2626</t>
  </si>
  <si>
    <t>Fact#: 318327 Rec#: 29703 PAZ SANCHEZ ROXANA MICHELLE</t>
  </si>
  <si>
    <t>IC-2625</t>
  </si>
  <si>
    <t>Fact#: 317505 Rec#: 29702 CARLOS GUILLERMO MUÑOZ GUTIERREZ</t>
  </si>
  <si>
    <t>IC-2624</t>
  </si>
  <si>
    <t>Fact#: 316548-319253 Rec#: 11966 MORAN QUISPE DAMARYS YEREISI</t>
  </si>
  <si>
    <t>IC-2622</t>
  </si>
  <si>
    <t>Fact#: 319128 Rec#: 11965 BAQUE MAGALLANES ENMA VERONICA</t>
  </si>
  <si>
    <t>IC-2615</t>
  </si>
  <si>
    <t>Fact#: 315062-317750 Rec#: 11964 RAMIRO RAMON TOALA GARCIA</t>
  </si>
  <si>
    <t>IC-2614</t>
  </si>
  <si>
    <t>Fact#: 316591-319294 Rec#: 11963 NAVARRETE CEDENO RUTH ELIZABETH</t>
  </si>
  <si>
    <t>IC-2613</t>
  </si>
  <si>
    <t>Fact#: 317773 Rec#: 11962 JAVIER FEDERICO VILLON ANASTACIO</t>
  </si>
  <si>
    <t>IC-2612</t>
  </si>
  <si>
    <t>Fact#: 308347-311104-313816 Rec#: 11961 MAJOJO MANZABA JOSE LUIS</t>
  </si>
  <si>
    <t>IC-2611</t>
  </si>
  <si>
    <t>Fact#: 319810 Rec#: 11960 ZAMORA MURILLO MARISOL ALEXANDRA</t>
  </si>
  <si>
    <t>IC-2610</t>
  </si>
  <si>
    <t>Fact#: 319048 Rec#: 11959 MENDEZ CARABALI FREDDY MANUEL</t>
  </si>
  <si>
    <t>IC-2609</t>
  </si>
  <si>
    <t>Fact#: 318480 Rec#: 11958 ESCOBAR HERRERA EDISON EDUARDO</t>
  </si>
  <si>
    <t>IC-2608</t>
  </si>
  <si>
    <t>Fact#: 1043 Rec#: 11957 ANDRADE LANZL ADRIANA PATRICIA</t>
  </si>
  <si>
    <t>IC-2607</t>
  </si>
  <si>
    <t>Fact#: 318930 Rec#: 11956 GOMEZ VERA NATALY ELIZABETH</t>
  </si>
  <si>
    <t>IC-2606</t>
  </si>
  <si>
    <t>Fact#: 316070-318767 Rec#: 11955 GRESELY RODRIGUEZ JONATHAN FRANCISCO</t>
  </si>
  <si>
    <t>IC-2605</t>
  </si>
  <si>
    <t>Fact#: 319007 Rec#: 11954 SAQUICELA SORIA MARCELO ALEJANDRO</t>
  </si>
  <si>
    <t>IC-2604</t>
  </si>
  <si>
    <t>Fact#: 315765-318462 Rec#: 11953 MONICA ARCILA RAMIREZ</t>
  </si>
  <si>
    <t>IC-2603</t>
  </si>
  <si>
    <t>Fact#: 315258-317951 Rec#: 11952 MONICA ARCILA RAMIREZ</t>
  </si>
  <si>
    <t>IC-2602</t>
  </si>
  <si>
    <t>Fact#: 315253-317944 Rec#: 11951 MONICA ARCILA RAMIREZ</t>
  </si>
  <si>
    <t>IC-2601</t>
  </si>
  <si>
    <t>Fact#: 1072 Rec#: 11950 ESPIN BIFARINI LOURDES TAMARA</t>
  </si>
  <si>
    <t>IC-2600</t>
  </si>
  <si>
    <t>Fact#: 315638-318332 Rec#: 11949 CHIMBORAZO ROBLES OLIVER JOSE</t>
  </si>
  <si>
    <t>IC-2599</t>
  </si>
  <si>
    <t>Fact#: 314702-317373-319848 Rec#: 61867 SAEZ ALARCON AQUILES ENRIQUE</t>
  </si>
  <si>
    <t>IC-2594</t>
  </si>
  <si>
    <t>Fact#: 317500 Rec#: 29700 JAVIER SANTIAGO GUZHÑAY ANDRADE</t>
  </si>
  <si>
    <t>IC-2593</t>
  </si>
  <si>
    <t>Fact#: 318035 Rec#: 29699 GENOVESE CEVALLOS GIANCARLO CESAR</t>
  </si>
  <si>
    <t>IC-2592</t>
  </si>
  <si>
    <t>Fact#: 319362 Rec#: 61866 ACCOUNTSERVS S.A  Cta# 34534510-0 Ch# 4823</t>
  </si>
  <si>
    <t>IC-2565</t>
  </si>
  <si>
    <t>Fact#: 319412 Rec#: 61865 COMPAÑIA VERDU S.A.  Cta# 31381966-0 Ch# 55172</t>
  </si>
  <si>
    <t>IC-2564</t>
  </si>
  <si>
    <t>Fact#: 319518 Rec#: 61864 SOCIEDAD DE HECHO SAMBAC  Cta# 02-0090218 Ch# 3108</t>
  </si>
  <si>
    <t>IC-2563</t>
  </si>
  <si>
    <t>Fact#: 303526-306287-309114 Rec#: 61863 JORGE LUIS BERNAL AVEIGA</t>
  </si>
  <si>
    <t>IC-2562</t>
  </si>
  <si>
    <t>Fact#: 319436 Rec#: 61862 DOCAL HOLDING S.A DOCAHOLDSA  Cta# 21001495-8 Ch# 929</t>
  </si>
  <si>
    <t>IC-2561</t>
  </si>
  <si>
    <t>Fact#: 319382 Rec#: 61861 DOLMEN S.A.  Cta# 21000390-1 Ch# 37961</t>
  </si>
  <si>
    <t>IC-2560</t>
  </si>
  <si>
    <t>Fact#: 304030-306790-309588 Rec#: 61860 MARIA AUXILIADORA MANTILLA LOPEZ</t>
  </si>
  <si>
    <t>IC-2559</t>
  </si>
  <si>
    <t>Fact# 18579815 CNEL EP Concepto:CONSUMO DE ENERGÍA ELÉCTRICA PERIODO 12 ENE AL 10 FEB 2020, COD:200024271278, SAN FELIPE</t>
  </si>
  <si>
    <t>EG-70</t>
  </si>
  <si>
    <t>Fact# 18624486 CNEL EP Concepto:CONSUMO DE ENERGÍA ELÉCTRICA PERIODO 14 ENE A 11 FEB 2020, COD:20002378406, BEATA MERCED</t>
  </si>
  <si>
    <t>EG-69</t>
  </si>
  <si>
    <t>Fact# 0641709 CNEL EP Concepto:CONSUMO DE ENERGÍA ELÉCTRICA PERIODO 29/DIC/2019 AL 28/ENE/2020, COD:0900421382, URB. TER</t>
  </si>
  <si>
    <t>EG-68</t>
  </si>
  <si>
    <t>Fact# 0645707 CNEL EP Concepto:CONSUMO DE ENERGÍA ELÉCTRICA PERIODO 04 ENE AL 05 FEB 2020, COD:0900420945-1-</t>
  </si>
  <si>
    <t>EG-67</t>
  </si>
  <si>
    <t>Fact#: 1094 Rec#: 29698 YANEZ QUEZADA SANDRA IVONNE</t>
  </si>
  <si>
    <t>IC-2586</t>
  </si>
  <si>
    <t>Fact#: 314613-317284 Rec#: 29697 HUGO ANTONIO SALMERON ACOSTA</t>
  </si>
  <si>
    <t>IC-2585</t>
  </si>
  <si>
    <t>Fact#: 319343 Rec#: 29696 ASOC. DE PROPIETARIOS URB. VIA AL SOL</t>
  </si>
  <si>
    <t>IC-2584</t>
  </si>
  <si>
    <t>Fact#: 316570-319274 Rec#: 29695 HIDALGO LASTRA CONSUELO ALEXANDRA</t>
  </si>
  <si>
    <t>IC-2583</t>
  </si>
  <si>
    <t>Fact#: 317227 Rec#: 29694 VICTOR HUGO PEZO AQUINO</t>
  </si>
  <si>
    <t>IC-2582</t>
  </si>
  <si>
    <t>Fact#: 1039 Rec#: 11947 CEVALLOS SUAREZ MARIO RUBEN</t>
  </si>
  <si>
    <t>IC-2578</t>
  </si>
  <si>
    <t>Fact#: 317770 Rec#: 11946 TEODOMIRO MAYO</t>
  </si>
  <si>
    <t>IC-2576</t>
  </si>
  <si>
    <t>Fact#: 313184-315839-318535 Rec#: 11945 CEVALLOS BRIONES GEMA PAOLA</t>
  </si>
  <si>
    <t>IC-2575</t>
  </si>
  <si>
    <t>Fact#: 317102-319829 Rec#: 11944 VDS C.C.C</t>
  </si>
  <si>
    <t>IC-2574</t>
  </si>
  <si>
    <t>Fact#: 316561-319265 Rec#: 11943 MOREIRA ALAVA JUAN CARLOS</t>
  </si>
  <si>
    <t>IC-2573</t>
  </si>
  <si>
    <t>Fact#: 316585-319288 Rec#: 11942 LOPEZ JIMENEZ ROSA MARGARITA</t>
  </si>
  <si>
    <t>IC-2572</t>
  </si>
  <si>
    <t>Fact#: 316587-319290 Rec#: 11941 BRAVO CARRIEL HENRRY JOSELO</t>
  </si>
  <si>
    <t>IC-2571</t>
  </si>
  <si>
    <t>Fact#: 318724 Rec#: 11940 VILLAMAR GUADAMUD NIXON WILLIAN</t>
  </si>
  <si>
    <t>IC-2570</t>
  </si>
  <si>
    <t>Fact#: 316590-319293 Rec#: 11939 CHACON CALDERON SARITA MARIA DE LOS ANGEL</t>
  </si>
  <si>
    <t>IC-2569</t>
  </si>
  <si>
    <t>Fact#: 307476-310244-313001 Rec#: 11938 ROJAS ULLOA AURORA DEL CARMEN</t>
  </si>
  <si>
    <t>IC-2568</t>
  </si>
  <si>
    <t>Fact#: 1151-967 Rec#: 11937 PACHECO ORBEA ALDRIN JEANET</t>
  </si>
  <si>
    <t>IC-2567</t>
  </si>
  <si>
    <t>Fact#: 1025 Rec#: 11936 PACHECO ORBEA ALDRIN JEANET</t>
  </si>
  <si>
    <t>IC-2566</t>
  </si>
  <si>
    <t>Fact#: 315274-317968 Rec#: 11935 ELIDA DEL CARMEN MOREIRA VELEZ</t>
  </si>
  <si>
    <t>IC-2554</t>
  </si>
  <si>
    <t>Fact#: 317218 Rec#: 11934 MORAIMA SEMINARIO TOLEDO</t>
  </si>
  <si>
    <t>IC-2553</t>
  </si>
  <si>
    <t>Fact#: 316558-319262 Rec#: 11933 LEON VILLALVA JUAN CARLOS</t>
  </si>
  <si>
    <t>IC-2552</t>
  </si>
  <si>
    <t>Fact#: 316197-318895 Rec#: 11932 CEVALLOS ARTEAGA DANIEL ABEL</t>
  </si>
  <si>
    <t>IC-2551</t>
  </si>
  <si>
    <t>Fact#: 317319 Rec#: 11931 HAYDEE GANDIOSA  FALUGIANI MORA</t>
  </si>
  <si>
    <t>IC-2550</t>
  </si>
  <si>
    <t>Fact#: 319649 Rec#: 11930 LOOR VIEJO ESTEFANIA EILLIN</t>
  </si>
  <si>
    <t>IC-2549</t>
  </si>
  <si>
    <t>Fact#: 317153 Rec#: 11929 GIOVANNY NARVAEZ PORTILLA</t>
  </si>
  <si>
    <t>IC-2548</t>
  </si>
  <si>
    <t>Fact#: 316584-319287 Rec#: 11928 VERA DEL PEZO DOLORES VICTORIA</t>
  </si>
  <si>
    <t>IC-2547</t>
  </si>
  <si>
    <t>Fact#: 312757-315432-318125 Rec#: 61859 ANDRADE LABORDE NICOLAS EDUARDO</t>
  </si>
  <si>
    <t>IC-2531</t>
  </si>
  <si>
    <t>Fact#: 319551 Rec#: 61858 CALIZAS Y MINERALES CALMOSACORP CIA. LTDA.  Cta# 003201901- Ch# 6674</t>
  </si>
  <si>
    <t>IC-2507</t>
  </si>
  <si>
    <t>Fact#: 319363 Rec#: 61857 SOLVESA  ECUADOR S.A  Cta# 31207621-0 Ch# 41871</t>
  </si>
  <si>
    <t>IC-2474</t>
  </si>
  <si>
    <t>Fact#: 319770 Rec#: 61856 AGROAVILAB S.A.   Cta# 21000116-4 Ch# 2410</t>
  </si>
  <si>
    <t>IC-2468</t>
  </si>
  <si>
    <t>Fact#: 319473 Rec#: 29750 ASESORIA ECONOMICA INTEGRAL ADVFINSERVICES S.A.</t>
  </si>
  <si>
    <t>IC-2967</t>
  </si>
  <si>
    <t>Fact#: 311662-317049-319775 Rec#: 29693 BIZZARRI MICOLTA CINTHIA LILIBETH</t>
  </si>
  <si>
    <t>IC-2546</t>
  </si>
  <si>
    <t>Fact#: 319542 Rec#: 29692 CONSTRU-YA S.A.</t>
  </si>
  <si>
    <t>IC-2542</t>
  </si>
  <si>
    <t>Fact#: 319607 Rec#: 29691 FERRUX S.A.</t>
  </si>
  <si>
    <t>IC-2540</t>
  </si>
  <si>
    <t>Fact#: 319485 Rec#: 29690 OPENGROUP S.A.</t>
  </si>
  <si>
    <t>IC-2539</t>
  </si>
  <si>
    <t>Fact#: 318229 Rec#: 29689 RODRIGUEZ BADILLO GLENDA MARITZA</t>
  </si>
  <si>
    <t>IC-2537</t>
  </si>
  <si>
    <t>Fact#: 319418 Rec#: 29687 JORGE RODRIGUEZ Y DUQUE</t>
  </si>
  <si>
    <t>IC-2530</t>
  </si>
  <si>
    <t>Fact#: 319201 Rec#: 29686 LARA CHERE FREDY GONZALO</t>
  </si>
  <si>
    <t>IC-2529</t>
  </si>
  <si>
    <t>Fact#: 318695 Rec#: 29685 ECHEVERRIA MATA ALVARO DANIEL</t>
  </si>
  <si>
    <t>IC-2528</t>
  </si>
  <si>
    <t>Fact#: 318491 Rec#: 29684 MANRIQUE OSORIO XAVIER ENRIQUE</t>
  </si>
  <si>
    <t>IC-2527</t>
  </si>
  <si>
    <t>Fact#: 312764-315438-318132 Rec#: 29688 ROSERO BARZOLA KATHERINE VERONICA</t>
  </si>
  <si>
    <t>IC-2526</t>
  </si>
  <si>
    <t>Fact#: 314556-317228 Rec#: 29683 FREDDY MAURICIO SARANGO MARTINEZ</t>
  </si>
  <si>
    <t>IC-2525</t>
  </si>
  <si>
    <t>Fact#: 319487 Rec#: 29682 CAMPOS Y ASOCIADOS CIA LTDA</t>
  </si>
  <si>
    <t>IC-2524</t>
  </si>
  <si>
    <t>Fact#: 318458 Rec#: 29681 CAMPOS MANZABA ESTEFANIA XIOMARA</t>
  </si>
  <si>
    <t>IC-2523</t>
  </si>
  <si>
    <t>Fact#: 317258 Rec#: 29680 LUIS ERNESTO TABARES CEDEÑO</t>
  </si>
  <si>
    <t>IC-2522</t>
  </si>
  <si>
    <t>Fact#: 317278 Rec#: 29679 WILSON EFREN  ROMERO NACIPUCHA</t>
  </si>
  <si>
    <t>IC-2521</t>
  </si>
  <si>
    <t>Fact#: 316141-318838 Rec#: 11927 RODRIGUEZ LOOR PABLO ANDRES</t>
  </si>
  <si>
    <t>IC-2506</t>
  </si>
  <si>
    <t>Fact#: 314384-317040-319767 Rec#: 11926 VARGAS RIPALDA GONZALO XAVIER</t>
  </si>
  <si>
    <t>IC-2505</t>
  </si>
  <si>
    <t>Fact#: 317272 Rec#: 11925 SANDRA PATRICIA MOREJON LLANOS</t>
  </si>
  <si>
    <t>IC-2504</t>
  </si>
  <si>
    <t>Fact#: 315770-318466 Rec#: 11924 VERA GONZALEZ JOSE ANTONIO</t>
  </si>
  <si>
    <t>IC-2503</t>
  </si>
  <si>
    <t>Fact#: 318752 Rec#: 11923 GUAMANQUISPE FLORES TERESA ISABEL</t>
  </si>
  <si>
    <t>IC-2502</t>
  </si>
  <si>
    <t>Fact#: 318189 Rec#: 11922 CHACHA MOREIRA SINTIA PAOLA</t>
  </si>
  <si>
    <t>IC-2501</t>
  </si>
  <si>
    <t>Fact#: 318825 Rec#: 11921 MORALES FRANCO WILMAN</t>
  </si>
  <si>
    <t>IC-2498</t>
  </si>
  <si>
    <t>Fact#: 1089 Rec#: 11920 SANGUNA RON TANIA GRICELDA</t>
  </si>
  <si>
    <t>IC-2497</t>
  </si>
  <si>
    <t>Fact#: 319110 Rec#: 11919 CERCADO MENDOZA MARIA AUXILIADORA</t>
  </si>
  <si>
    <t>IC-2496</t>
  </si>
  <si>
    <t>Fact#: 317438 Rec#: 11918 JULIO CESAR MONCAYO CRESPIN</t>
  </si>
  <si>
    <t>IC-2495</t>
  </si>
  <si>
    <t>Fact#: 317728 Rec#: 11917 EISTEHIN GILBERTO PLAZA VERA</t>
  </si>
  <si>
    <t>IC-2494</t>
  </si>
  <si>
    <t>Fact#: 313332-315978-318679 Rec#: 11916 SULLY GABRIELA GONZALEZ GUZMAN</t>
  </si>
  <si>
    <t>IC-2493</t>
  </si>
  <si>
    <t>Fact#: 315917-318619 Rec#: 11915 SALVATIERRA SELLAN ELIZONDA DEL PILAR</t>
  </si>
  <si>
    <t>IC-2492</t>
  </si>
  <si>
    <t>Fact#: 316448-319164 Rec#: 11914 ONETO LERTORA CARMEN MARIA</t>
  </si>
  <si>
    <t>IC-2491</t>
  </si>
  <si>
    <t>Fact#: 310666-313393-316030 Rec#: 11913 REYES QUIMI MELANIE JENNY</t>
  </si>
  <si>
    <t>IC-2490</t>
  </si>
  <si>
    <t>Fact#: 312291-314984-317664 Rec#: 11912 BRYAN JOEL BURGOS GALARZA</t>
  </si>
  <si>
    <t>IC-2489</t>
  </si>
  <si>
    <t>Fact#: 318421 Rec#: 11911 SIMISTERRA MICOLTA RUBEN DARIO</t>
  </si>
  <si>
    <t>IC-2488</t>
  </si>
  <si>
    <t>Fact#: 315589-318282 Rec#: 11910 DE LA O CHACON JOSEPH CHRISTIAN</t>
  </si>
  <si>
    <t>IC-2487</t>
  </si>
  <si>
    <t>Fact#: 318302 Rec#: 11909 YANEZ ARROYO LUIS ALBERTO</t>
  </si>
  <si>
    <t>IC-2486</t>
  </si>
  <si>
    <t>Fact#: 315075-317763 Rec#: 11908 YOFFRE TEODORO ROQUE APOLO</t>
  </si>
  <si>
    <t>IC-2485</t>
  </si>
  <si>
    <t>Fact#: 315126-317816 Rec#: 11907 SILVIA FILOMENA MOLINA BARONA</t>
  </si>
  <si>
    <t>IC-2484</t>
  </si>
  <si>
    <t>Fact#: 318715 Rec#: 11906 MORENO GOMEZ DUQUE ALFREDO</t>
  </si>
  <si>
    <t>IC-2483</t>
  </si>
  <si>
    <t>Fact#: 318706 Rec#: 11905 MORENO GOMEZ DUQUE ALFREDO</t>
  </si>
  <si>
    <t>IC-2482</t>
  </si>
  <si>
    <t>Fact#: 308225-310956-313699 Rec#: 11904 MARQUEZ HONORATO ARNOLDO OSVALDO</t>
  </si>
  <si>
    <t>IC-2481</t>
  </si>
  <si>
    <t>Fact#: 312740-315416-318110 Rec#: 11903 DONOSO CARRASCO MARIA VERONICA</t>
  </si>
  <si>
    <t>IC-2480</t>
  </si>
  <si>
    <t>Fact#: 314884-317562 Rec#: 11902 JESUS NEREYDA CHIQUITO VERA</t>
  </si>
  <si>
    <t>IC-2479</t>
  </si>
  <si>
    <t>Fact#: 306529-309345-312133 Rec#: 11901 ANGEL RICARDO JAIME CATAGUA</t>
  </si>
  <si>
    <t>IC-2478</t>
  </si>
  <si>
    <t>Fact#: 308823-311618-314349 Rec#: 11900 GUALPA LOOR LUIS ANDRES</t>
  </si>
  <si>
    <t>IC-2477</t>
  </si>
  <si>
    <t>Fact#: 319541 Rec#: 61854 LOGISTICA ZEUS S.A. LOGZEUS</t>
  </si>
  <si>
    <t>IC-2423</t>
  </si>
  <si>
    <t>Fact#: 319845 Rec#: 61853 AFIN ASESORES FINANCIEROS S.A   Cta# 21001876-4 Ch# 137</t>
  </si>
  <si>
    <t>IC-2422</t>
  </si>
  <si>
    <t>Fact#: 319768 Rec#: 61852 AFIN ASESORES FINANCIEROS S.A   Cta# 21001876-4 Ch# 135</t>
  </si>
  <si>
    <t>IC-2421</t>
  </si>
  <si>
    <t>Fact#: 315052-317738 Rec#: 61851 JENNIFFER XIOMARA ZAMBRANO BARZOLA</t>
  </si>
  <si>
    <t>IC-2420</t>
  </si>
  <si>
    <t>Fact#: 319844 Rec#: 61850 ECHEVERRIA CORONADO PAUL VICENTE</t>
  </si>
  <si>
    <t>IC-2419</t>
  </si>
  <si>
    <t>Fact#: 311178-313879-316473 Rec#: 61849 CARVALLO TORRES LUIS FERNANDO</t>
  </si>
  <si>
    <t>IC-2418</t>
  </si>
  <si>
    <t>Fact#: 314911-317591 Rec#: 61848 PILAR MARYLIN ALCIVAR MORAN</t>
  </si>
  <si>
    <t>IC-2417</t>
  </si>
  <si>
    <t>PUERO CUERO CARLOS JULIO ABONA SGTE FACTURA</t>
  </si>
  <si>
    <t>AT-2983</t>
  </si>
  <si>
    <t>Fact#: 318772 Rec#: 11899 CABRERA JIMENES FAUSTO IBAN</t>
  </si>
  <si>
    <t>IC-2476</t>
  </si>
  <si>
    <t>Fact#: 315420-318114 Rec#: 11898 VASQUEZ AYALA MARIA DE LOURDES</t>
  </si>
  <si>
    <t>IC-2475</t>
  </si>
  <si>
    <t>Fact#: 318867 Rec#: 11897 ROMO VILLAFUERTE MARIA ISABEL</t>
  </si>
  <si>
    <t>IC-2473</t>
  </si>
  <si>
    <t>Fact#: 315343-318038 Rec#: 11896 VACA LOPEZ DAVID MANUEL</t>
  </si>
  <si>
    <t>IC-2472</t>
  </si>
  <si>
    <t>Fact#: 302298-304933-307687 Rec#: 11895 CHOURIO ORTIZ ABRAHAM JOSE</t>
  </si>
  <si>
    <t>IC-2471</t>
  </si>
  <si>
    <t>Fact#: 315526-318217 Rec#: 11894 PINCAY RUIZ VICENTA MARLENE</t>
  </si>
  <si>
    <t>IC-2470</t>
  </si>
  <si>
    <t>Fact#: 1139 Rec#: 11893 JIMENEZ BERNAL TANIA BEATRIZ</t>
  </si>
  <si>
    <t>IC-2469</t>
  </si>
  <si>
    <t>Fact#: 1137 Rec#: 11892 JIMENEZ BERNAL TANIA BEATRIZ</t>
  </si>
  <si>
    <t>IC-2467</t>
  </si>
  <si>
    <t>Fact#: 317920 Rec#: 11891 MARITZA MABEL USHIÑA GIRALDO</t>
  </si>
  <si>
    <t>IC-2466</t>
  </si>
  <si>
    <t>Fact#: 318233 Rec#: 11890 SAMANIEGO LAVAYEN YESENIA ELIZABETH</t>
  </si>
  <si>
    <t>IC-2465</t>
  </si>
  <si>
    <t>Fact#: 318478 Rec#: 11889 AGUIRRE HURTADO KATHERINE ELIZABETH</t>
  </si>
  <si>
    <t>IC-2464</t>
  </si>
  <si>
    <t>Fact#: 316287-318992 Rec#: 11888 BERMEO ANDRADE RITA AZUCENA</t>
  </si>
  <si>
    <t>IC-2463</t>
  </si>
  <si>
    <t>Fact#: 316341-319066 Rec#: 11887 VILLACIS ALVARADO EDGAR EUSTORGIO</t>
  </si>
  <si>
    <t>IC-2462</t>
  </si>
  <si>
    <t>Fact#: 315919-318621 Rec#: 11886 LAZARO CEVALLOS KEVIN JESUS</t>
  </si>
  <si>
    <t>IC-2461</t>
  </si>
  <si>
    <t>Fact#: 318727 Rec#: 11885 DIAZ PINARGOTE ISIDORA BEATRIZ</t>
  </si>
  <si>
    <t>IC-2460</t>
  </si>
  <si>
    <t>Fact#: 319006 Rec#: 11884 ALZAMORA ALVARADO HECTOR JAVIER</t>
  </si>
  <si>
    <t>IC-2459</t>
  </si>
  <si>
    <t>Fact#: 318933 Rec#: 11883 LUCAS VALAREZO CRISTINA EVELIN</t>
  </si>
  <si>
    <t>IC-2458</t>
  </si>
  <si>
    <t>Fact#: 316889-319614 Rec#: 11882 COOPERATIVA DE AHORRO Y CREDITO MUSHUK YUYAY-CHIMBORAZO LTDA</t>
  </si>
  <si>
    <t>IC-2457</t>
  </si>
  <si>
    <t>Fact#: 319174 Rec#: 11881 VILLAMAR CARRANZA MARISOL DEL PILAR</t>
  </si>
  <si>
    <t>IC-2456</t>
  </si>
  <si>
    <t>Fact#: 316135-318833 Rec#: 11880 MARTINEZ ABAD DOUGLAS GUILLERMO</t>
  </si>
  <si>
    <t>IC-2455</t>
  </si>
  <si>
    <t>Fact#: 318271 Rec#: 11879 CAZAR ERAZO RODRIGO ARTURO</t>
  </si>
  <si>
    <t>IC-2454</t>
  </si>
  <si>
    <t>Fact#: 315621-318314 Rec#: 29678 ECHEVERRIA REYES JOE JOFFREY</t>
  </si>
  <si>
    <t>IC-2520</t>
  </si>
  <si>
    <t>Fact#: 317196 Rec#: 29677 SIXTER ABRAHAM ECHEVERRIA ORTIZ</t>
  </si>
  <si>
    <t>IC-2519</t>
  </si>
  <si>
    <t>Fact#: 319573 Rec#: 29676 DERCONSULT CIA LTDA</t>
  </si>
  <si>
    <t>IC-2518</t>
  </si>
  <si>
    <t>Fact#: 314452-317125 Rec#: 29675 LORENA VANONI ARMIJOS</t>
  </si>
  <si>
    <t>IC-2517</t>
  </si>
  <si>
    <t>Fact#: 315958-318658 Rec#: 29674 PLUAS PAREDES LUBI ISIDRO</t>
  </si>
  <si>
    <t>IC-2516</t>
  </si>
  <si>
    <t>Fact#: 319686 Rec#: 29673 SERVICIO &amp; MANTENIMIENTO INDUSTRIAL MANSEINSAJAB S.A</t>
  </si>
  <si>
    <t>IC-2515</t>
  </si>
  <si>
    <t>Fact#: 317137 Rec#: 29672 SIMON EMILIO BRIONES LOOR</t>
  </si>
  <si>
    <t>IC-2514</t>
  </si>
  <si>
    <t>Fact#: 316555-319259 Rec#: 29671 MALDONADO SEGURA MARIA DANIELA</t>
  </si>
  <si>
    <t>IC-2513</t>
  </si>
  <si>
    <t>Fact#: 315266-317959 Rec#: 29670 ANDRES GONZALO CELI PEREZ</t>
  </si>
  <si>
    <t>IC-2512</t>
  </si>
  <si>
    <t>Fact#: 314879-317557 Rec#: 29669 CARLOS IVAN AGUIRRE GARCIA</t>
  </si>
  <si>
    <t>IC-2511</t>
  </si>
  <si>
    <t>Fact#: 316749-319475 Rec#: 29668 ANEMASA S.A.</t>
  </si>
  <si>
    <t>IC-2510</t>
  </si>
  <si>
    <t>Fact#: 316226-318925 Rec#: 11878 GUARANDA SALAZAR MILTON JUAN</t>
  </si>
  <si>
    <t>IC-2453</t>
  </si>
  <si>
    <t>Fact#: 313530-316145-318842 Rec#: 11877 SARMIENTO VIVEROS ALEXANDRA ELIZABETH</t>
  </si>
  <si>
    <t>IC-2452</t>
  </si>
  <si>
    <t>Fact#: 316394-319119 Rec#: 11876 GUALAN HIDALGO MARCO ANTONIO</t>
  </si>
  <si>
    <t>IC-2451</t>
  </si>
  <si>
    <t>Fact#: 316393-319118 Rec#: 11875 GUALAN HIDALGO MARCO ANTONIO</t>
  </si>
  <si>
    <t>IC-2450</t>
  </si>
  <si>
    <t>Fact#: 1134 Rec#: 11874 INDEXCORP CIA. LTDA.</t>
  </si>
  <si>
    <t>IC-2449</t>
  </si>
  <si>
    <t>Fact#: 317757 Rec#: 11873 CECILIA ISABEL PORTILLA ESPINOZA</t>
  </si>
  <si>
    <t>IC-2448</t>
  </si>
  <si>
    <t>Fact#: 315368-318064 Rec#: 11872 MOROCHO CRUZ ELIZABETH MERCEDEZ</t>
  </si>
  <si>
    <t>IC-2447</t>
  </si>
  <si>
    <t>Fact#: 308257-310986-313717 Rec#: 11871 LOOR ESTRADA GABRIELLA MICHELLE</t>
  </si>
  <si>
    <t>IC-2446</t>
  </si>
  <si>
    <t>Fact#: 319148 Rec#: 11870 SANTANA MORENO SAUL AUGUSTO</t>
  </si>
  <si>
    <t>IC-2445</t>
  </si>
  <si>
    <t>Fact#: 317661 Rec#: 11869 LUIS GALO IDROBO ACEBO</t>
  </si>
  <si>
    <t>IC-2444</t>
  </si>
  <si>
    <t>Fact#: 309900-312662-315344 Rec#: 11868 VASQUEZ GOMEZ FREDDY DOLORES</t>
  </si>
  <si>
    <t>IC-2443</t>
  </si>
  <si>
    <t>Fact#: 316426-319146 Rec#: 11867 RIVADENEIRA ZAMBRANO ANGEL FAUSTO</t>
  </si>
  <si>
    <t>IC-2442</t>
  </si>
  <si>
    <t>Fact#: 316560-319264 Rec#: 11866 ARROYO CARDOZO DIANA CRISTINA</t>
  </si>
  <si>
    <t>IC-2441</t>
  </si>
  <si>
    <t>Fact#: 317731 Rec#: 11865 MICHAEL MAURICIO MORLA MERO</t>
  </si>
  <si>
    <t>IC-2440</t>
  </si>
  <si>
    <t>Fact#: 319509 Rec#: 11864 FOODSERVEC FOOD SERVICE ECUADOR S.A</t>
  </si>
  <si>
    <t>IC-2439</t>
  </si>
  <si>
    <t>Fact#: 314749-317423 Rec#: 11863 LAINEZ FERNANDEZ LUDYS LADIMIRA</t>
  </si>
  <si>
    <t>IC-2438</t>
  </si>
  <si>
    <t>Fact#: 318629 Rec#: 11862 CEVALLOS ORVEN AMADITA</t>
  </si>
  <si>
    <t>IC-2437</t>
  </si>
  <si>
    <t>Fact#: 318665 Rec#: 11861 ESTUPINAN PEREZ EDUARDO</t>
  </si>
  <si>
    <t>IC-2436</t>
  </si>
  <si>
    <t>Fact#: 318069 Rec#: 11860 ESTUPIÑAN BAJAÑA JORDAN EDWARD</t>
  </si>
  <si>
    <t>IC-2435</t>
  </si>
  <si>
    <t>Fact#: 319190 Rec#: 11859 IZQUIERDO NOBOA ANDREA STEFANIA</t>
  </si>
  <si>
    <t>IC-2434</t>
  </si>
  <si>
    <t>Fact#: 315189-317881 Rec#: 11858 YULEXI ANDREA ANGULO ROSALES</t>
  </si>
  <si>
    <t>IC-2433</t>
  </si>
  <si>
    <t>Fact#: 319240 Rec#: 11857 ARAUJO AGUIRRE JUAN JOSE</t>
  </si>
  <si>
    <t>IC-2432</t>
  </si>
  <si>
    <t>Fact#: 316038-318735 Rec#: 11856 MACAS CHAUCA CARLOS ALBERTO</t>
  </si>
  <si>
    <t>IC-2431</t>
  </si>
  <si>
    <t>Fact#: 315022-317705 Rec#: 11855 JONATHAN SAHI ALVES BAUTISTA</t>
  </si>
  <si>
    <t>IC-2430</t>
  </si>
  <si>
    <t>Fact#: 318523 Rec#: 61847 NARANJO PEÑA GUILLERMO JUAN</t>
  </si>
  <si>
    <t>IC-2410</t>
  </si>
  <si>
    <t>Fact#: 319843 Rec#: 61846 JORGE LUIS HERNANDEZ CHUCAN</t>
  </si>
  <si>
    <t>IC-2401</t>
  </si>
  <si>
    <t>Fact#: 315402-318097 Rec#: 61845 CASTRO OLAYA WILLIAN IVAN</t>
  </si>
  <si>
    <t>IC-2400</t>
  </si>
  <si>
    <t>Fact#: 319840-319841-319842 Rec#: 61844 PESCARDEG S.A.</t>
  </si>
  <si>
    <t>IC-2399</t>
  </si>
  <si>
    <t>Fact#: 319540 Rec#: 61843 ECUADORIANSHIMP S.A.</t>
  </si>
  <si>
    <t>IC-2398</t>
  </si>
  <si>
    <t>Fact#: 319550 Rec#: 61842 BONELLY S.A.  Cta# 01-0208162 Ch# 2533</t>
  </si>
  <si>
    <t>IC-2397</t>
  </si>
  <si>
    <t>Fact#: 319386 Rec#: 61841 COLEGIO INTERNACIONAL SEK ECUADOR S.A.  Cta# 100-060101 Ch# 23524</t>
  </si>
  <si>
    <t>IC-2396</t>
  </si>
  <si>
    <t>Fact#: 316418-319136 Rec#: 61840 MALDONADO ACOSTA RUBEN DARIO</t>
  </si>
  <si>
    <t>IC-2395</t>
  </si>
  <si>
    <t>Fact#: 312058-314757-317430 Rec#: 61839 EDIN ERNESTO CISNEROS MAESTRE</t>
  </si>
  <si>
    <t>IC-2394</t>
  </si>
  <si>
    <t>Fact#: 319065 Rec#: 61838 LOPEZ HERRERA FRANKLIN RIGOBERTO</t>
  </si>
  <si>
    <t>IC-2390</t>
  </si>
  <si>
    <t>Fact#: 319839 Rec#: 61837 ARREAGA LOPEZ GLENDA ROCIO</t>
  </si>
  <si>
    <t>IC-2387</t>
  </si>
  <si>
    <t>Fact#: 317093-317109 Rec#: 30268 CONSORCIO ECUATORIANO DE TELECOMUNICACIONES S.A. CONECEL</t>
  </si>
  <si>
    <t>IC-5568</t>
  </si>
  <si>
    <t>Fact#: 317148 Rec#: 29667 LEONOR MARGARITA MONTOYA ALVARADO</t>
  </si>
  <si>
    <t>IC-2386</t>
  </si>
  <si>
    <t>Fact#: 315325-318018 Rec#: 29666 TANHIA ELIZABETH SUAREZ CHANCAY</t>
  </si>
  <si>
    <t>IC-2385</t>
  </si>
  <si>
    <t>Fact#: 316965-319689 Rec#: 29665 MONCAYO ONATE NELSON GABRIEL</t>
  </si>
  <si>
    <t>IC-2384</t>
  </si>
  <si>
    <t>Fact#: 318070 Rec#: 29664 TENENUELA CEPEDA MARIA MANUELA</t>
  </si>
  <si>
    <t>IC-2383</t>
  </si>
  <si>
    <t>Fact#: 318477 Rec#: 29663 DUARTE DEMERA FRANCISCO JAVIER</t>
  </si>
  <si>
    <t>IC-2382</t>
  </si>
  <si>
    <t>Fact#: 317062-319792 Rec#: 29662 VASQUEZ MOREIRA HILDA VIVIANA</t>
  </si>
  <si>
    <t>IC-2381</t>
  </si>
  <si>
    <t>Fact#: 317061-319791 Rec#: 29661 VASQUEZ MOREIRA HILDA VIVIANA</t>
  </si>
  <si>
    <t>IC-2380</t>
  </si>
  <si>
    <t>Fact#: 319713 Rec#: 29660 GENERALAIR S. A</t>
  </si>
  <si>
    <t>IC-2379</t>
  </si>
  <si>
    <t>Fact#: 319238 Rec#: 29659 SANCHEZ MEDINA FELIX</t>
  </si>
  <si>
    <t>IC-2378</t>
  </si>
  <si>
    <t>Fact#: 317231 Rec#: 29658 ALVARO CORNEJO RODRIGUEZ</t>
  </si>
  <si>
    <t>IC-2377</t>
  </si>
  <si>
    <t>Fact#: 318033 Rec#: 29657 REYES MARTINEZ WILLIE RICARDO</t>
  </si>
  <si>
    <t>IC-2376</t>
  </si>
  <si>
    <t>Fact#: 314645-317315 Rec#: 29656 CAROLINA JEANNETTE  BORDES ESTRADA</t>
  </si>
  <si>
    <t>IC-2375</t>
  </si>
  <si>
    <t>Fact#: 318463 Rec#: 11854 ORTEGA CONFORME  JANET AURORA</t>
  </si>
  <si>
    <t>IC-2367</t>
  </si>
  <si>
    <t>Fact#: 318316 Rec#: 11853 DELGADO VINTIMILLA CARLOS FERNANDO</t>
  </si>
  <si>
    <t>IC-2366</t>
  </si>
  <si>
    <t>Fact#: 316556-319260 Rec#: 11852 CASTRO ESPINALES LUCELINA PRIMITIVA</t>
  </si>
  <si>
    <t>IC-2365</t>
  </si>
  <si>
    <t>Fact#: 315096-317786 Rec#: 11851 BYRON JOSE LEDESMA CARDENAS</t>
  </si>
  <si>
    <t>IC-2364</t>
  </si>
  <si>
    <t>Fact#: 317072-319805 Rec#: 11850 BRODERIN S.A</t>
  </si>
  <si>
    <t>IC-2363</t>
  </si>
  <si>
    <t>Fact#: 315820-318513 Rec#: 11849 MUNOZ MOREIRA ANGELA MARIA</t>
  </si>
  <si>
    <t>IC-2362</t>
  </si>
  <si>
    <t>Fact#: 317804 Rec#: 11848 AIMARA RODRIGUEZ FERNANDEZ</t>
  </si>
  <si>
    <t>IC-2361</t>
  </si>
  <si>
    <t>Fact#: 317943 Rec#: 11847 LUIS BENIGNO ROMERO ABAD</t>
  </si>
  <si>
    <t>IC-2360</t>
  </si>
  <si>
    <t>Fact#: 313200-315854-318553 Rec#: 11846 VARGAS TAPIA ANGELICA THALIA</t>
  </si>
  <si>
    <t>IC-2359</t>
  </si>
  <si>
    <t>Fact#: 319185 Rec#: 11845 PONCE VICTORES MARICELA YOLANDA</t>
  </si>
  <si>
    <t>IC-2358</t>
  </si>
  <si>
    <t>Fact#: 319144 Rec#: 11844 MARIN RIVERA FREDDY OMAR</t>
  </si>
  <si>
    <t>IC-2357</t>
  </si>
  <si>
    <t>Fact#: 319781 Rec#: 11843 ALBAN DEL SALTO KARLA FERNANDA</t>
  </si>
  <si>
    <t>IC-2356</t>
  </si>
  <si>
    <t>Fact#: 982 Rec#: 11842 CACUANGO LINCANGO EDISON FABIAN</t>
  </si>
  <si>
    <t>IC-2355</t>
  </si>
  <si>
    <t>Fact#: 1069 Rec#: 11841 CHAVEZ ZAMBRANO BRYAN SEBASTIAN</t>
  </si>
  <si>
    <t>IC-2354</t>
  </si>
  <si>
    <t>Fact#: 316058-318756 Rec#: 11840 ZAMBRANO COLLAGUAZO HECTOR FABIAN</t>
  </si>
  <si>
    <t>IC-2353</t>
  </si>
  <si>
    <t>Fact#: 315918-318620 Rec#: 11839 VALENCIA NIEVES BYRON BOLIVAR</t>
  </si>
  <si>
    <t>IC-2352</t>
  </si>
  <si>
    <t>Fact#: 318240 Rec#: 11838 BAÑOS BARRAGAN FLOR AMERICA</t>
  </si>
  <si>
    <t>IC-2351</t>
  </si>
  <si>
    <t>Fact#: 308069-310832-313565 Rec#: 11837 TACURY CALDERON CARLOS ALBERTO</t>
  </si>
  <si>
    <t>IC-2350</t>
  </si>
  <si>
    <t>Fact#: 316298-319008 Rec#: 11836 ZAMBRANO CALENO OLGA PATRICIA</t>
  </si>
  <si>
    <t>IC-2349</t>
  </si>
  <si>
    <t>Fact#: 307835-310567-313302 Rec#: 11835 ESTRADA TORRES JUAN CARLOS</t>
  </si>
  <si>
    <t>IC-2348</t>
  </si>
  <si>
    <t>Fact#: 317696 Rec#: 11834 JAVIER ENRIQUE ARTEAGA MENENDEZ</t>
  </si>
  <si>
    <t>IC-2347</t>
  </si>
  <si>
    <t>Fact#: 318672 Rec#: 11833 BOLANO HURTADO SUGEY MERY</t>
  </si>
  <si>
    <t>IC-2346</t>
  </si>
  <si>
    <t>Fact#: 319798 Rec#: 11832 TRSC ENTERPRISES S.A</t>
  </si>
  <si>
    <t>IC-2345</t>
  </si>
  <si>
    <t>Fact#: 315904-318606 Rec#: 61836 SEGOVIA TOMALA DENNIS ABEL</t>
  </si>
  <si>
    <t>IC-2344</t>
  </si>
  <si>
    <t>Fact#: 314502 Rec#: 61835 MELVA PATRICIA TORRES ALMEIDA</t>
  </si>
  <si>
    <t>IC-2331</t>
  </si>
  <si>
    <t>Fact#: 318799 Rec#: 29652 ALMEIDA CAMPOVERDE ALEX ADRIAN</t>
  </si>
  <si>
    <t>Fact#: 316938 Rec#: 29651 ROSERO CRUZ MARIA AUXILIADORA</t>
  </si>
  <si>
    <t>IC-2326</t>
  </si>
  <si>
    <t>Fact#: 319568-319569 Rec#: 61833 WINSTOCORP S.A.</t>
  </si>
  <si>
    <t>IC-2187</t>
  </si>
  <si>
    <t>Fact#: 314794-317469-319838 Rec#: 61832 JOFFRE XAVIER VERGARA GALLEGOS</t>
  </si>
  <si>
    <t>IC-2186</t>
  </si>
  <si>
    <t>Fact#: 316802-319529 Rec#: 61830 GAMFOOD S.A.</t>
  </si>
  <si>
    <t>IC-2151</t>
  </si>
  <si>
    <t>Fact#: 308848-311645-314371 Rec#: 61829 CEDENO BORBOR JOSE ELIAS</t>
  </si>
  <si>
    <t>IC-2098</t>
  </si>
  <si>
    <t>Fact#: 314658 Rec#: 61828 NELLY YOLANDA  SALCEDO BOWEN</t>
  </si>
  <si>
    <t>IC-2094</t>
  </si>
  <si>
    <t>Fact#: 319446-319447 Rec#: 61827 MARIA DEL CARMEN GINETTE GARAY CALERO</t>
  </si>
  <si>
    <t>IC-2077</t>
  </si>
  <si>
    <t>Fact#: 319639 Rec#: 29655 INDUSKAR S.A.</t>
  </si>
  <si>
    <t>IC-2330</t>
  </si>
  <si>
    <t>Fact#: 319801 Rec#: 29654 METAL MAN</t>
  </si>
  <si>
    <t>IC-2329</t>
  </si>
  <si>
    <t>Fact#: 316476-319191 Rec#: 29653 VARGAS ZAMBRANO HILDA MARIA</t>
  </si>
  <si>
    <t>IC-2328</t>
  </si>
  <si>
    <t>Fact#: 319812-319813 Rec#: 29650 TOPFOOD CIA. LTDA.</t>
  </si>
  <si>
    <t>IC-2325</t>
  </si>
  <si>
    <t>Fact#: 319604 Rec#: 29647 SINERGIA MARIN SANCHEZ S.A. SINERMASA</t>
  </si>
  <si>
    <t>IC-2322</t>
  </si>
  <si>
    <t>Fact#: 317216 Rec#: 29642 JENNY CEDEÑO CAAMAÑO</t>
  </si>
  <si>
    <t>IC-2310</t>
  </si>
  <si>
    <t>Fact#: 317744 Rec#: 29641 CECILIA VIVIANA RUIZ MENDOZA</t>
  </si>
  <si>
    <t>IC-2309</t>
  </si>
  <si>
    <t>Fact#: 316919-319645 Rec#: 29640 GONZALEZ SANCHEZ OLGA MARIA</t>
  </si>
  <si>
    <t>IC-2308</t>
  </si>
  <si>
    <t>Fact#: 304693-307447-310217 Rec#: 29645 AGUILAR CARDENAS EDWIN MARCELO</t>
  </si>
  <si>
    <t>IC-2307</t>
  </si>
  <si>
    <t>Fact#: 317184 Rec#: 29639 LUIS EDUARDO BAQUERIZO BRAND</t>
  </si>
  <si>
    <t>IC-2304</t>
  </si>
  <si>
    <t>Fact#: 319365 Rec#: 29638 DORCIEN S.A</t>
  </si>
  <si>
    <t>IC-2303</t>
  </si>
  <si>
    <t>Fact#: 319619 Rec#: 29637 YIDEASA S.A</t>
  </si>
  <si>
    <t>IC-2302</t>
  </si>
  <si>
    <t>Fact#: 316756-319483 Rec#: 29636 MARIA LEONOR VALERO SANCHEZ</t>
  </si>
  <si>
    <t>IC-2300</t>
  </si>
  <si>
    <t>Fact#: 318874 Rec#: 29635 SOLANO DE LA TORRE EFRAIN ALFREDO</t>
  </si>
  <si>
    <t>IC-2299</t>
  </si>
  <si>
    <t>Fact#: 318074 Rec#: 29634 SALAZAR JAIME CECILIA NARCISA</t>
  </si>
  <si>
    <t>IC-2298</t>
  </si>
  <si>
    <t>Fact#: 318058 Rec#: 29633 EDUARDO GERMAN CORDOVA ROMERO</t>
  </si>
  <si>
    <t>IC-2297</t>
  </si>
  <si>
    <t>Fact#: 319603 Rec#: 29632 SANCHEZ TIMM RAFAEL ANDRES</t>
  </si>
  <si>
    <t>IC-2295</t>
  </si>
  <si>
    <t>Fact#: 317675 Rec#: 29631 CAROLINA ALICIA EGAS NUÑEZ</t>
  </si>
  <si>
    <t>IC-2294</t>
  </si>
  <si>
    <t>Fact#: 314823-317498 Rec#: 29630 CAROLINA AMALIA IDROVO PIEDRAHITA</t>
  </si>
  <si>
    <t>IC-2293</t>
  </si>
  <si>
    <t>Fact#: 317567 Rec#: 29629 MIRIAM ANTONIETA MARIDUEÑA VALENZUELA</t>
  </si>
  <si>
    <t>IC-2291</t>
  </si>
  <si>
    <t>Fact#: 318565 Rec#: 29628 POVEDA VALLEJO JORGE LUIS</t>
  </si>
  <si>
    <t>IC-2290</t>
  </si>
  <si>
    <t>Fact#: 316412-319132 Rec#: 11831 SANCHEZ ALVARADO JACINTA ROSARIO</t>
  </si>
  <si>
    <t>IC-2099</t>
  </si>
  <si>
    <t>Fact#: 314526-317199 Rec#: 11830 LUIS MANUEL COBOS ARANA</t>
  </si>
  <si>
    <t>IC-2097</t>
  </si>
  <si>
    <t>Fact#: 318099 Rec#: 11829 SUAREZ MAGALLANES JULIO ALFONSO</t>
  </si>
  <si>
    <t>IC-2096</t>
  </si>
  <si>
    <t>Fact#: 316275-318979 Rec#: 11828 MACIAS PENAFIEL KATTY MARIBEL</t>
  </si>
  <si>
    <t>IC-2095</t>
  </si>
  <si>
    <t>Fact#: 317379 Rec#: 11827 NELIS MARIA PINARGOTE YEPEZ</t>
  </si>
  <si>
    <t>IC-2093</t>
  </si>
  <si>
    <t>Fact#: 312268-314962-317644 Rec#: 11826 WILSON ALBERTO NELSON DEL CASTILLO</t>
  </si>
  <si>
    <t>IC-2088</t>
  </si>
  <si>
    <t>Fact#: 316531-319236 Rec#: 11825 ZAMBRANO ZAMBRANO MARIUXI MONSERRATE</t>
  </si>
  <si>
    <t>IC-2084</t>
  </si>
  <si>
    <t>Fact#: 319429 Rec#: 11824 LABORATORIO BIOTANICALS DEL ECUADOR S.A.</t>
  </si>
  <si>
    <t>IC-2083</t>
  </si>
  <si>
    <t>Fact#: 316699-319428 Rec#: 11823 LABORATORIO BIOTANICALS DEL ECUADOR S.A.</t>
  </si>
  <si>
    <t>IC-2082</t>
  </si>
  <si>
    <t>Fact#: 316240-318939 Rec#: 11822 CASTRO CASTILLO BYRON MANUEL</t>
  </si>
  <si>
    <t>IC-2081</t>
  </si>
  <si>
    <t>Fact#: 315942-318642 Rec#: 11821 LINDAO RODRIGUEZ STEFANY NARCISA</t>
  </si>
  <si>
    <t>IC-2080</t>
  </si>
  <si>
    <t>Fact#: 319097 Rec#: 11820 BARZOLA ARREAGA IVAN ABEL</t>
  </si>
  <si>
    <t>IC-2079</t>
  </si>
  <si>
    <t>Fact#: 314935-317616 Rec#: 11819 ANGELICA KATTY CALDERON BARRIOS</t>
  </si>
  <si>
    <t>IC-2078</t>
  </si>
  <si>
    <t>Fact#: 317619 Rec#: 11818 RUFINA EPIFANIA ASPIAZU BONOSO</t>
  </si>
  <si>
    <t>IC-2076</t>
  </si>
  <si>
    <t>Fact#: 316410-319129 Rec#: 11817 JIMENEZ BARBERAN DANIELA JESSICA</t>
  </si>
  <si>
    <t>IC-2075</t>
  </si>
  <si>
    <t>Fact#: 319827 Rec#: 11816 PAN ZI</t>
  </si>
  <si>
    <t>IC-2074</t>
  </si>
  <si>
    <t>Fact#: 319826 Rec#: 11815 PAN ZI</t>
  </si>
  <si>
    <t>IC-2073</t>
  </si>
  <si>
    <t>Fact#: 316339-319063 Rec#: 11814 LOPEZ CARCHI CARLOS ANTONIO</t>
  </si>
  <si>
    <t>IC-2072</t>
  </si>
  <si>
    <t>Fact#: 316361-319086 Rec#: 11813 PONCE CARRIEL BRENDA LIZETH</t>
  </si>
  <si>
    <t>IC-2071</t>
  </si>
  <si>
    <t>Fact#: 317139 Rec#: 11812 ORLANDO BOLIVAR RAMOS CRUZ</t>
  </si>
  <si>
    <t>IC-2070</t>
  </si>
  <si>
    <t>Fact#: 319179 Rec#: 11811 SANCHEZ PEREZ FRANCISCO ROBERTO</t>
  </si>
  <si>
    <t>IC-2069</t>
  </si>
  <si>
    <t>Fact#: 318736 Rec#: 11810 ROSERO MERCADO ELSA KARINA</t>
  </si>
  <si>
    <t>IC-2068</t>
  </si>
  <si>
    <t>Fact#: 317177 Rec#: 11809 ADELAIDA BETHSAIDA BRIONES</t>
  </si>
  <si>
    <t>IC-2067</t>
  </si>
  <si>
    <t>Fact#: 319042 Rec#: 11808 VERA DOMINGUEZ JOSE MARCELO</t>
  </si>
  <si>
    <t>IC-2066</t>
  </si>
  <si>
    <t>Fact#: 317574 Rec#: 11807 GINGER LIZBETH GOMEZ CALDERON</t>
  </si>
  <si>
    <t>IC-2065</t>
  </si>
  <si>
    <t>Fact#: 318152 Rec#: 11806 MERCHAN  PEREZ FABIAN BERNARDINO</t>
  </si>
  <si>
    <t>IC-2064</t>
  </si>
  <si>
    <t>Fact#: 311786-314498-317170 Rec#: 11805 PATRICIO GREGORIO CABAL BRAVO</t>
  </si>
  <si>
    <t>IC-2063</t>
  </si>
  <si>
    <t>Fact#: 1000-774-832 Rec#: 11804 LOPEZ FIERRO VALERIA MAINTENAN</t>
  </si>
  <si>
    <t>IC-2062</t>
  </si>
  <si>
    <t>Fact#: 313778-316389-319116 Rec#: 11803 VALENCIA BENNETT CARLOS VICENTE</t>
  </si>
  <si>
    <t>IC-2061</t>
  </si>
  <si>
    <t>Fact#: 315306-317999 Rec#: 11802 ANGEL ROGELIO PUMA MEDINA</t>
  </si>
  <si>
    <t>IC-2060</t>
  </si>
  <si>
    <t>Fact#: 312474-315160-317851 Rec#: 11801 ANDREA DEL PILAR LOOR SUAREZ</t>
  </si>
  <si>
    <t>IC-2059</t>
  </si>
  <si>
    <t>Fact#: 315762-318459 Rec#: 11800 ARGUELLO VACILIA HILDA ARACELLY</t>
  </si>
  <si>
    <t>IC-2058</t>
  </si>
  <si>
    <t>Fact#: 316604-319307 Rec#: 11799 ALCIVAR GARRIDO FABRICIO ANTONIO</t>
  </si>
  <si>
    <t>IC-2057</t>
  </si>
  <si>
    <t>Fact#: 318397 Rec#: 11798 ROMAN ALVARADO LILIAN ISIDORA</t>
  </si>
  <si>
    <t>IC-2056</t>
  </si>
  <si>
    <t>Fact#: 318860 Rec#: 11797 PIZA POZUELO FERNANDO</t>
  </si>
  <si>
    <t>IC-2055</t>
  </si>
  <si>
    <t>Fact#: 316588-319291 Rec#: 11796 MURILLI JARA KATIUSKA ELIZABETH</t>
  </si>
  <si>
    <t>IC-2054</t>
  </si>
  <si>
    <t>Fact#: 319701 Rec#: 11795 VIOSCULPT ECUADOR S.A.</t>
  </si>
  <si>
    <t>IC-2053</t>
  </si>
  <si>
    <t>Fact#: 309495-312274-314968 Rec#: 11794 ANGEL FERNANDO ERAS GALARZA</t>
  </si>
  <si>
    <t>IC-2052</t>
  </si>
  <si>
    <t>Fact#: 318885 Rec#: 11793 VELASCO ZAMBRANO NORA DEL PILAR</t>
  </si>
  <si>
    <t>IC-2051</t>
  </si>
  <si>
    <t>Fact#: 319780 Rec#: 11792 ALVARADO COBOS ALDO MANUEL</t>
  </si>
  <si>
    <t>IC-2050</t>
  </si>
  <si>
    <t>Fact#: 999 Rec#: 11791 CADENA CHONTASI OLGA MARIA</t>
  </si>
  <si>
    <t>IC-2049</t>
  </si>
  <si>
    <t>Fact#: 317884 Rec#: 11790 LIGIA AZUCENA ARTEAGA VALENZUELA</t>
  </si>
  <si>
    <t>IC-2048</t>
  </si>
  <si>
    <t>Fact#: 319069 Rec#: 11789 CASAGRANDE GARBOA BYRON OTON</t>
  </si>
  <si>
    <t>IC-2047</t>
  </si>
  <si>
    <t>Fact#: 316942-319669 Rec#: 11788 GREEN ROADS ORGANICS ORGANICGREEN S.A.</t>
  </si>
  <si>
    <t>IC-2046</t>
  </si>
  <si>
    <t>Fact#: 315788-318481 Rec#: 11787 CONTRERAS GARAICOA ANDRES GEOVANNY</t>
  </si>
  <si>
    <t>IC-2045</t>
  </si>
  <si>
    <t>Fact#: 315405-318100 Rec#: 11786 PERALTA RUA JOSE LUIS</t>
  </si>
  <si>
    <t>IC-2044</t>
  </si>
  <si>
    <t>Fact#: 314992-317672 Rec#: 11785 EDWUIN JESUS CARRASQUERO RODRIGUEZ</t>
  </si>
  <si>
    <t>IC-2043</t>
  </si>
  <si>
    <t>Fact#: 319718 Rec#: 11784 LAGOS LAKE ALEJANDRO ANDRE</t>
  </si>
  <si>
    <t>IC-2042</t>
  </si>
  <si>
    <t>Fact#: 319617 Rec#: 11783 LAGOS LAKE ALEJANDRO ANDRE</t>
  </si>
  <si>
    <t>IC-2041</t>
  </si>
  <si>
    <t>Fact#: 315550-318243 Rec#: 11782 SOLORZANO VEGA JESSICA ROCIO</t>
  </si>
  <si>
    <t>IC-2040</t>
  </si>
  <si>
    <t>Fact#: 319837 Rec#: 61826 SOLORZANO ITURRALDE JORGE LUIS</t>
  </si>
  <si>
    <t>IC-2039</t>
  </si>
  <si>
    <t>Fact#: 319458-319459-319460 Rec#: 61825 PESCARDEG S.A.  Cta# 092-501184 Ch# 4415</t>
  </si>
  <si>
    <t>IC-2038</t>
  </si>
  <si>
    <t>Fact#: 316718-316719 Rec#: 61824 MARIA DEL CARMEN GINETTE GARAY CALERO</t>
  </si>
  <si>
    <t>IC-2036</t>
  </si>
  <si>
    <t>Fact#: 316704-316830 Rec#: 61823 MEGADATOS S.A.  Cta# 0349596-5 Ch# 13093</t>
  </si>
  <si>
    <t>IC-2035</t>
  </si>
  <si>
    <t>Fact#: 319461 Rec#: 61822 ADITIVOS Y ALIMENTOS S.A. ADILISA  Cta# 80283672-0 Ch# 387</t>
  </si>
  <si>
    <t>IC-2034</t>
  </si>
  <si>
    <t>Fact#: 313983-316650-319380 Rec#: 61821 REDENLACE S.A.</t>
  </si>
  <si>
    <t>IC-2033</t>
  </si>
  <si>
    <t>Fact#: 314600-317271 Rec#: 61820 JOSE ARTURO ORMAZABAL DELGADO</t>
  </si>
  <si>
    <t>IC-2032</t>
  </si>
  <si>
    <t>AMERICAN EXPRESS CANCELACION DEBITO TARJETAS POR DEP EN CTA- PAGO DE FACT 317506 - 317604 - 317552- 317658- 317922- 315238- 317930- 317954- 319512 - 318094- 319676- 319679- 318461- 318819- 318974- 1066- 319548- 319171- 319278- 315105- 317795- 318898-</t>
  </si>
  <si>
    <t>VISA - MASTERCARD - PACIFICARD CANCELACION DEBITO TARJETAS PICHICNHA- PAGO DE FACT 317474 - 319408 - 317482- 317518- 317818- 319513- 319514 - 319523- 318083- 317829 - 318961- 319044- 1056- 318793</t>
  </si>
  <si>
    <t>VISA - MASTERCARD - PACIFICARD CANCELACION DEBITO TARJETAS POR DEP EN CTA- PAGO DE FACT 316316 319036</t>
  </si>
  <si>
    <t>NC-1</t>
  </si>
  <si>
    <t>Fact#: 319741 Rec#: 29649 MARRIOTT S.A</t>
  </si>
  <si>
    <t>IC-2324</t>
  </si>
  <si>
    <t>Fact#: 319695-319724-319725-319726 Rec#: 29646 RUIZ ROMAN ROMMEL ELIAS</t>
  </si>
  <si>
    <t>IC-2321</t>
  </si>
  <si>
    <t>Fact#: 319358 Rec#: 29627 AUTOMEKANO CIA. LTDA</t>
  </si>
  <si>
    <t>IC-2284</t>
  </si>
  <si>
    <t>Fact#: 319352 Rec#: 29626 ASOC. DE PROPIETARIOS URB. TERRASOL</t>
  </si>
  <si>
    <t>IC-2282</t>
  </si>
  <si>
    <t>Fact#: 319556 Rec#: 29625 RITOMI S.A.</t>
  </si>
  <si>
    <t>IC-2281</t>
  </si>
  <si>
    <t>Fact#: 319347 Rec#: 29624 EFFICACITAS CONSULTORA CIA.LTDA.</t>
  </si>
  <si>
    <t>IC-2279</t>
  </si>
  <si>
    <t>Fact#: 319349 Rec#: 29623 EFFICACITAS CONSULTORA CIA.LTDA.</t>
  </si>
  <si>
    <t>IC-2259</t>
  </si>
  <si>
    <t>Fact#: 319348 Rec#: 29622 EFFICACITAS CONSULTORA CIA.LTDA.</t>
  </si>
  <si>
    <t>IC-2257</t>
  </si>
  <si>
    <t>Fact#: 319598 Rec#: 29621 SORIANO LEON  GUSTAVO FERNANDO</t>
  </si>
  <si>
    <t>IC-2256</t>
  </si>
  <si>
    <t>Fact#: 319469 Rec#: 29620 BELLUSCIO S.A.</t>
  </si>
  <si>
    <t>IC-2255</t>
  </si>
  <si>
    <t>Fact#: 319478 Rec#: 29619 DUPROCSA S.A.</t>
  </si>
  <si>
    <t>IC-2254</t>
  </si>
  <si>
    <t>Fact#: 319610 Rec#: 29618 INDUVERIKA S.A.</t>
  </si>
  <si>
    <t>IC-2252</t>
  </si>
  <si>
    <t>Fact#: 319594 Rec#: 29617 AGUIRRE AGUIRRE BEXY DEL ROCIO</t>
  </si>
  <si>
    <t>IC-2251</t>
  </si>
  <si>
    <t>Fact#: 317295 Rec#: 29616 FRANKLIN JOAQUIN  DOMINGUEZ VARGAS</t>
  </si>
  <si>
    <t>IC-2250</t>
  </si>
  <si>
    <t>Fact#: 319032 Rec#: 29615 ZULVY BEDON LAGOS</t>
  </si>
  <si>
    <t>IC-2248</t>
  </si>
  <si>
    <t>Fact#: 318483 Rec#: 29614 CASTILLO PALMA DANIEL ALFREDO</t>
  </si>
  <si>
    <t>IC-2247</t>
  </si>
  <si>
    <t>Fact#: 318677 Rec#: 29613 CANDO REYES JOSE MAURICIO</t>
  </si>
  <si>
    <t>IC-2245</t>
  </si>
  <si>
    <t>Fact#: 317129 Rec#: 29612 ROBERTO MUZZIO NARANJO</t>
  </si>
  <si>
    <t>IC-2244</t>
  </si>
  <si>
    <t>Fact#: 317643 Rec#: 29611 ANTONIO IGNACIO ARTEAGA FERAUD</t>
  </si>
  <si>
    <t>IC-2243</t>
  </si>
  <si>
    <t>Fact#: 317369 Rec#: 29610 MANRIQUEZ SALAZAR MARIA PAZ</t>
  </si>
  <si>
    <t>IC-2242</t>
  </si>
  <si>
    <t>Fact#: 317910 Rec#: 29609 RICARDO PABLO FALCONI DUEÑAS</t>
  </si>
  <si>
    <t>IC-2241</t>
  </si>
  <si>
    <t>Fact#: 317392 Rec#: 29608 TERESA DE LA CRUZ TOSCANO BRITO</t>
  </si>
  <si>
    <t>IC-2240</t>
  </si>
  <si>
    <t>Fact#: 317488 Rec#: 29607 LUIS CARLOS ABAD YCAZA</t>
  </si>
  <si>
    <t>IC-2238</t>
  </si>
  <si>
    <t>Fact#: 317366 Rec#: 29606 CARLOS ALBERTO RENDON PALMA</t>
  </si>
  <si>
    <t>IC-2237</t>
  </si>
  <si>
    <t>Fact#: 317120 Rec#: 29605 EVA MARIA VINUEZA OCAÑA</t>
  </si>
  <si>
    <t>IC-2221</t>
  </si>
  <si>
    <t>Fact#: 317145 Rec#: 29604 JUAN JOSE CHACON PACHECO</t>
  </si>
  <si>
    <t>IC-2219</t>
  </si>
  <si>
    <t>Fact#: 317123 Rec#: 29603 MARIA ROSA DUNN YCAZA</t>
  </si>
  <si>
    <t>IC-2217</t>
  </si>
  <si>
    <t>Fact#: 317141 Rec#: 29602 GISELLE MARIELA CLEMENTE VERA</t>
  </si>
  <si>
    <t>IC-2215</t>
  </si>
  <si>
    <t>Fact#: 317260 Rec#: 29601 PAULA JESUS SALAZAR MACIAS</t>
  </si>
  <si>
    <t>IC-2213</t>
  </si>
  <si>
    <t>Fact#: 318161 Rec#: 29600 GILBERT SILVA CECILIA MARIA</t>
  </si>
  <si>
    <t>IC-2211</t>
  </si>
  <si>
    <t>Fact#: 318413 Rec#: 29599 ESPANA BAJANA STEFANIA ELIZABETH</t>
  </si>
  <si>
    <t>IC-2210</t>
  </si>
  <si>
    <t>Fact#: 317478 Rec#: 29598 LUIS EDUARDO SANCHEZ TIMM</t>
  </si>
  <si>
    <t>IC-2209</t>
  </si>
  <si>
    <t>Fact#: 317361 Rec#: 29597 BONILLA ALCIVAR MARIANA VERONICA</t>
  </si>
  <si>
    <t>IC-2207</t>
  </si>
  <si>
    <t>Fact#: 318827 Rec#: 29596 SUSANA HERMELINDA ANALUISA HARO</t>
  </si>
  <si>
    <t>IC-2206</t>
  </si>
  <si>
    <t>Fact#: 317173 Rec#: 29595 KETTY ARACELY GAROFALO LEON</t>
  </si>
  <si>
    <t>IC-2204</t>
  </si>
  <si>
    <t>Fact#: 318659 Rec#: 29594 PERALTA BENITEZ ROBERTO ELIAS</t>
  </si>
  <si>
    <t>IC-2202</t>
  </si>
  <si>
    <t>Fact#: 317291 Rec#: 29593 FAUSTO EDUARDO  CARBO RIVERA</t>
  </si>
  <si>
    <t>IC-2200</t>
  </si>
  <si>
    <t>Fact#: 317229 Rec#: 29592 LUIS CESAR GAMARRA GONZALES</t>
  </si>
  <si>
    <t>IC-2198</t>
  </si>
  <si>
    <t>Fact#: 317710 Rec#: 29591 CARLOS BENJAMIN ROSALES PINO</t>
  </si>
  <si>
    <t>IC-2197</t>
  </si>
  <si>
    <t>Fact#: 314549-317222 Rec#: 29590 JOSE JOAQUIN OLMEDO CASTELLO</t>
  </si>
  <si>
    <t>IC-2195</t>
  </si>
  <si>
    <t>Fact#: 317368 Rec#: 29589 UVIDIA SALTOS  CARLOS BOLIVAR</t>
  </si>
  <si>
    <t>IC-2194</t>
  </si>
  <si>
    <t>Fact#: 317575 Rec#: 29588 GUILLERMO ELOY SERRANO GOMEZ</t>
  </si>
  <si>
    <t>IC-2193</t>
  </si>
  <si>
    <t>Fact#: 317556 Rec#: 29587 JUAN XAVIER BENEDETI RIPALDA</t>
  </si>
  <si>
    <t>IC-2192</t>
  </si>
  <si>
    <t>Fact#: 317847 Rec#: 29586 CARLOS ADALBERTO SALAVARRIA PALMA</t>
  </si>
  <si>
    <t>IC-2191</t>
  </si>
  <si>
    <t>Fact#: 317797 Rec#: 29585 FERNANDO XAVIER DROUET CEDEÑO</t>
  </si>
  <si>
    <t>IC-2190</t>
  </si>
  <si>
    <t>Fact#: 318277 Rec#: 29584 TRUJILLO LOPEZ DIANA CAROLINA</t>
  </si>
  <si>
    <t>IC-2189</t>
  </si>
  <si>
    <t>Fact#: 317720 Rec#: 29583 RICHARD FERNANDO BURGOS VERA</t>
  </si>
  <si>
    <t>IC-2188</t>
  </si>
  <si>
    <t>Fact#: 317464 Rec#: 29582 GISELLA MARIA YUNES ANDRADE</t>
  </si>
  <si>
    <t>IC-2185</t>
  </si>
  <si>
    <t>Fact#: 317215 Rec#: 29581 MONICA CRIOLLO SALAZAR</t>
  </si>
  <si>
    <t>IC-2184</t>
  </si>
  <si>
    <t>Fact#: 317146 Rec#: 29580 JAIRO ALBERTO GOMEZ COELLO</t>
  </si>
  <si>
    <t>IC-2183</t>
  </si>
  <si>
    <t>Fact#: 309181-311971-314675 Rec#: 29644 DUNNYA MARLENE VILLAVICENCIO LUZURIAGA</t>
  </si>
  <si>
    <t>IC-2182</t>
  </si>
  <si>
    <t>Fact#: 304184-306938-309728 Rec#: 29643 LUIS FRANCISCO MONTOYA ARGUDO</t>
  </si>
  <si>
    <t>IC-2181</t>
  </si>
  <si>
    <t>Fact#: 317160 Rec#: 29579 ISABEL ROSARIO QUINDE SORIANO</t>
  </si>
  <si>
    <t>IC-2180</t>
  </si>
  <si>
    <t>Fact#: 319500 Rec#: 29578 WILMER JONAS MEJIA LEON</t>
  </si>
  <si>
    <t>IC-2179</t>
  </si>
  <si>
    <t>Fact#: 319720 Rec#: 29577 BLOISE CORTAZAR LUIGI BRUNO</t>
  </si>
  <si>
    <t>IC-2178</t>
  </si>
  <si>
    <t>Fact#: 319351 Rec#: 29576 ASOC. PRO. NEW YORK 12 DE SEPTIEMBRE</t>
  </si>
  <si>
    <t>IC-2177</t>
  </si>
  <si>
    <t>Fact#: 319344 Rec#: 29575 ASOC. PRO. NEW YORK 12 DE SEPTIEMBRE</t>
  </si>
  <si>
    <t>IC-2176</t>
  </si>
  <si>
    <t>Fact#: 319816 Rec#: 29574 COBREXLEG SA</t>
  </si>
  <si>
    <t>IC-2175</t>
  </si>
  <si>
    <t>Fact#: 318298 Rec#: 29573 GRANDA GALLARDO MARLON GERMAN</t>
  </si>
  <si>
    <t>IC-2174</t>
  </si>
  <si>
    <t>Fact#: 1118 Rec#: 11781 CABEZAS GUERRA MARIA DEL CARMEN</t>
  </si>
  <si>
    <t>IC-2019</t>
  </si>
  <si>
    <t>Fact#: 316986-319711 Rec#: 11780 SPORTSMANAGEMENT S.A.</t>
  </si>
  <si>
    <t>IC-2018</t>
  </si>
  <si>
    <t>Fact#: 316171-318868 Rec#: 11779 ORTIZ ULLOA HENRRY JAVIER</t>
  </si>
  <si>
    <t>IC-2017</t>
  </si>
  <si>
    <t>Fact#: 318561 Rec#: 11778 MOREIRA VELEZ MANUEL ISIDRO</t>
  </si>
  <si>
    <t>IC-2016</t>
  </si>
  <si>
    <t>Fact#: 316400-319124 Rec#: 11777 REYES CIMARRA AUDI JOJAN</t>
  </si>
  <si>
    <t>IC-2015</t>
  </si>
  <si>
    <t>Fact#: 317059-319789 Rec#: 11776 W E C A R E   S.A</t>
  </si>
  <si>
    <t>IC-2014</t>
  </si>
  <si>
    <t>Fact#: 1003 Rec#: 11775 CABEZAS FLORES MARIELA EVELIN</t>
  </si>
  <si>
    <t>IC-2013</t>
  </si>
  <si>
    <t>Fact#: 317569 Rec#: 11774 GISELA LEONOR GARCIA VARGAS</t>
  </si>
  <si>
    <t>IC-2012</t>
  </si>
  <si>
    <t>Fact#: 317856 Rec#: 11773 MOISES ROBERTO FRANCO ANDRADE</t>
  </si>
  <si>
    <t>IC-2011</t>
  </si>
  <si>
    <t>Fact#: 316722-319450 Rec#: 11772 SERVICIOS MEDICOS SUMEDCA S.A.</t>
  </si>
  <si>
    <t>IC-2010</t>
  </si>
  <si>
    <t>Fact#: 316314-319033 Rec#: 11771 CASTRO AGUA MARLON JOSE</t>
  </si>
  <si>
    <t>IC-2009</t>
  </si>
  <si>
    <t>Fact#: 319430 Rec#: 11770 SINOXSA ECUADOR S.A.</t>
  </si>
  <si>
    <t>IC-2008</t>
  </si>
  <si>
    <t>Fact#: 319431 Rec#: 11769 SINOXSA ECUADOR S.A.</t>
  </si>
  <si>
    <t>IC-2007</t>
  </si>
  <si>
    <t>Fact#: 319507 Rec#: 11768 SINOXSA ECUADOR S.A.</t>
  </si>
  <si>
    <t>IC-2006</t>
  </si>
  <si>
    <t>Fact#: 312572-315257-317950 Rec#: 11767 XAVIER ESTRADA BJARNER</t>
  </si>
  <si>
    <t>IC-2005</t>
  </si>
  <si>
    <t>Fact#: 318845 Rec#: 11766 MOELLER GOMEZ ROMMY LEE</t>
  </si>
  <si>
    <t>IC-2004</t>
  </si>
  <si>
    <t>Fact#: 312560-315246-317938 Rec#: 11765 ANGELICA MARIA BARCIA SAN MARTIN</t>
  </si>
  <si>
    <t>IC-2003</t>
  </si>
  <si>
    <t>Fact#: 314411-319800 Rec#: 11764 MIRANDA COPPIANO JUAN CARLOS</t>
  </si>
  <si>
    <t>IC-2002</t>
  </si>
  <si>
    <t>Fact#: 319280 Rec#: 11763 CABRERA SOLORZANO NELSON CATITO</t>
  </si>
  <si>
    <t>IC-2001</t>
  </si>
  <si>
    <t>Fact#: 317303 Rec#: 11762 WALTER ENRIQUE  BAJAÑA MEDINA</t>
  </si>
  <si>
    <t>IC-2000</t>
  </si>
  <si>
    <t>Fact#: 317998 Rec#: 11761 JOSE ANTONIO CABEZAS BURGOS</t>
  </si>
  <si>
    <t>IC-1999</t>
  </si>
  <si>
    <t>Fact#: 318794 Rec#: 11760 QUINONEZ MINA DARLIS LUCIA</t>
  </si>
  <si>
    <t>IC-1994</t>
  </si>
  <si>
    <t>Fact#: 316872-319597 Rec#: 11759 SALTOS RODRIGUEZ ANDREA EDITH</t>
  </si>
  <si>
    <t>IC-1993</t>
  </si>
  <si>
    <t>Fact#: 314525-317198 Rec#: 11758 DOROTHY VIRGINIA ALBAN CANEPA</t>
  </si>
  <si>
    <t>IC-1992</t>
  </si>
  <si>
    <t>Fact#: 319120 Rec#: 11757 PONCE BURGOS NORMA ISABEL</t>
  </si>
  <si>
    <t>IC-1991</t>
  </si>
  <si>
    <t>Fact#: 317606 Rec#: 11756 UBALDO HELIODORO MOTOCHE MEDINA</t>
  </si>
  <si>
    <t>IC-1990</t>
  </si>
  <si>
    <t>Fact#: 315358-318054 Rec#: 11755 ARELLANO SAMANIEGO NAY ALEXANDRA</t>
  </si>
  <si>
    <t>IC-1989</t>
  </si>
  <si>
    <t>Fact#: 315249-317940 Rec#: 11754 ALEXANDRA JACKELINE SANCHEZ ZAMBRANO</t>
  </si>
  <si>
    <t>IC-1988</t>
  </si>
  <si>
    <t>Fact#: 319730 Rec#: 11753 MORANTE VILLARREAL ROBERTO OMAR</t>
  </si>
  <si>
    <t>IC-1987</t>
  </si>
  <si>
    <t>Fact#: 319575 Rec#: 11752 MORANTE VILLARREAL ROBERTO OMAR</t>
  </si>
  <si>
    <t>IC-1986</t>
  </si>
  <si>
    <t>Fact#: 1064 Rec#: 11751 ZABALA BARRIONUEVO RITA CECILIA</t>
  </si>
  <si>
    <t>IC-1985</t>
  </si>
  <si>
    <t>Fact#: 318717 Rec#: 11750 PEREZ SEMINARIO HECTOR JUNIOR</t>
  </si>
  <si>
    <t>IC-1984</t>
  </si>
  <si>
    <t>Fact#: 317112-319736 Rec#: 11749 PEREZ SEMINARIO HECTOR JUNIOR</t>
  </si>
  <si>
    <t>IC-1983</t>
  </si>
  <si>
    <t>Fact#: 316557-319261 Rec#: 11748 HENRIQUEZ PAZMINO EVELIN MARGARITA</t>
  </si>
  <si>
    <t>IC-1982</t>
  </si>
  <si>
    <t>Fact#: 315334-318027 Rec#: 11747 MERO MANTUANO DARWIN IVAN</t>
  </si>
  <si>
    <t>IC-1981</t>
  </si>
  <si>
    <t>Fact#: 315858-318556 Rec#: 61819 FIGUEROA RODRIGUEZ JUANA BARTOLA</t>
  </si>
  <si>
    <t>IC-1965</t>
  </si>
  <si>
    <t>Fact#: 298737-301391-304053 Rec#: 61818 MELANIE GERALDINE BURGOS RODRIGUEZ</t>
  </si>
  <si>
    <t>IC-1954</t>
  </si>
  <si>
    <t>Fact#: 319283 Rec#: 29572 STURLA GALLEGOS FELIPE NICOLAS</t>
  </si>
  <si>
    <t>IC-1953</t>
  </si>
  <si>
    <t>Fact#: 314666-317337 Rec#: 61817 XAVIER GASTON  FLORES ARROYO</t>
  </si>
  <si>
    <t>IC-1950</t>
  </si>
  <si>
    <t>Fact#: 316806-316807-316820-316821 Rec#: 61816 JOMALUNKA S.A  Cta# 003202220- Ch# 1121</t>
  </si>
  <si>
    <t>IC-1949</t>
  </si>
  <si>
    <t>Fact#: 319532 Rec#: 61814 INMOBILIARIA GALILEA-ECUADOR S.A</t>
  </si>
  <si>
    <t>IC-1938</t>
  </si>
  <si>
    <t>Fact#: 684 Rec#: 29571 CONSORCIO VEOLIA-PROACTIVA</t>
  </si>
  <si>
    <t>IC-1934</t>
  </si>
  <si>
    <t>Fact#: 317428 Rec#: 29570 IVONNE MARCELA MONTERO ZAMBRANO</t>
  </si>
  <si>
    <t>IC-1933</t>
  </si>
  <si>
    <t>Fact#: 315167-317857 Rec#: 61813 JAVIER KEVIN CEDEÑO BASURTO</t>
  </si>
  <si>
    <t>IC-1932</t>
  </si>
  <si>
    <t>Fact#: 317077-319811 Rec#: 61812 CORTEZ CAMACHO LUIS FERNANDO</t>
  </si>
  <si>
    <t>IC-1931</t>
  </si>
  <si>
    <t>Fact#: 317239 Rec#: 61811 OMAR  PALADINES CORDOVA</t>
  </si>
  <si>
    <t>IC-1930</t>
  </si>
  <si>
    <t>Fact#: 314567 Rec#: 61810 OMAR  PALADINES CORDOVA</t>
  </si>
  <si>
    <t>IC-1929</t>
  </si>
  <si>
    <t>Fact#: 314528-317201 Rec#: 61809 MARCIA ALEXANDRA  MOLINA POMA</t>
  </si>
  <si>
    <t>IC-1928</t>
  </si>
  <si>
    <t>Fact#: 319501 Rec#: 61808 SERVICIOS MEDICOS SUMEDCA S.A.</t>
  </si>
  <si>
    <t>IC-1927</t>
  </si>
  <si>
    <t>Fact#: 316926-319653 Rec#: 61807 CENTRO DE ECOGRAFIAS ECOBEBE S.A</t>
  </si>
  <si>
    <t>IC-1926</t>
  </si>
  <si>
    <t>Fact#: 317426 Rec#: 29568 LUIS DANIEL CHIANG GUERRERO</t>
  </si>
  <si>
    <t>IC-1914</t>
  </si>
  <si>
    <t>Fact#: 317427 Rec#: 29567 LUIS DANIEL CHIANG GUERRERO</t>
  </si>
  <si>
    <t>IC-1913</t>
  </si>
  <si>
    <t>Fact#: 315615-318308 Rec#: 29566 DURAN POLIT MARIA DANIELLA</t>
  </si>
  <si>
    <t>IC-1912</t>
  </si>
  <si>
    <t>Fact#: 315291-317984 Rec#: 29565 PEDRO ROBERTO MERELLO LOPEZ</t>
  </si>
  <si>
    <t>IC-1911</t>
  </si>
  <si>
    <t>Fact#: 318319 Rec#: 29564 DUENAS RUIZ TERESA EDITH</t>
  </si>
  <si>
    <t>IC-1910</t>
  </si>
  <si>
    <t>Fact#: 318391 Rec#: 29563 NARANJO BENITES LUIS ALBERTO</t>
  </si>
  <si>
    <t>IC-1909</t>
  </si>
  <si>
    <t>Fact#: 317693 Rec#: 29562 AMADA ZORAIDA ORMAZA PEREZ</t>
  </si>
  <si>
    <t>IC-1908</t>
  </si>
  <si>
    <t>Fact#: 315760-318457 Rec#: 29561 SERNAQUE CORONEL SILVIO SAUL</t>
  </si>
  <si>
    <t>IC-1907</t>
  </si>
  <si>
    <t>Fact#: 318813 Rec#: 29560 SALAS PLUAS PAULO ROBERTO</t>
  </si>
  <si>
    <t>IC-1906</t>
  </si>
  <si>
    <t>Fact#: 314773-317446 Rec#: 29559 JUAN CARLOS LANGARANO DELA</t>
  </si>
  <si>
    <t>IC-1905</t>
  </si>
  <si>
    <t>Fact#: 318753 Rec#: 29558 TAFUR MOSQUERA AMPARO JACQUELINE</t>
  </si>
  <si>
    <t>IC-1904</t>
  </si>
  <si>
    <t>Fact#: 316454-319169 Rec#: 29557 ANDRADE ROJAS WALTER RODOLFO</t>
  </si>
  <si>
    <t>IC-1903</t>
  </si>
  <si>
    <t>Fact#: 317832 Rec#: 29556 MELCHOR MAURICIO VALENCIA PEREZ</t>
  </si>
  <si>
    <t>IC-1902</t>
  </si>
  <si>
    <t>Fact#: 318325 Rec#: 29555 SOXO QUICHIMBO IVONNE ALEXANDRA</t>
  </si>
  <si>
    <t>IC-1901</t>
  </si>
  <si>
    <t>Fact#: 317479 Rec#: 29554 JAIME RICARDO ZUÑIGA RODRIGUEZ</t>
  </si>
  <si>
    <t>IC-1900</t>
  </si>
  <si>
    <t>Fact#: 315986-318687 Rec#: 29553 CASTRO CEDENO JENNIFFER VERONICA</t>
  </si>
  <si>
    <t>IC-1899</t>
  </si>
  <si>
    <t>Fact#: 318134 Rec#: 11746 REINA SALAZAR JOSE DIEGO</t>
  </si>
  <si>
    <t>IC-1898</t>
  </si>
  <si>
    <t>Fact#: 1033 Rec#: 11745 SANGUCHO MONTENEGRO CARMEN ROCIO</t>
  </si>
  <si>
    <t>IC-1897</t>
  </si>
  <si>
    <t>Fact#: 317338 Rec#: 11744 EDUARDO FRANCISCO  PAZMIÑO RODRIGUEZ</t>
  </si>
  <si>
    <t>IC-1896</t>
  </si>
  <si>
    <t>Fact#: 318914 Rec#: 11743 BORBOR MORENO LUIS ANTONIO</t>
  </si>
  <si>
    <t>IC-1895</t>
  </si>
  <si>
    <t>Fact#: 315740-318437 Rec#: 11742 JIMENEZ MARCHAN CARLOS ALEJANDRO</t>
  </si>
  <si>
    <t>IC-1894</t>
  </si>
  <si>
    <t>Fact#: 253955-255433-257002 Rec#: 11741 WASHINGTON DANIEL BRIGGS CHAGERBEN</t>
  </si>
  <si>
    <t>IC-1893</t>
  </si>
  <si>
    <t>Fact#: 945 Rec#: 11740 AGUILAR ECHEVERRIA LUIS FERNANDO</t>
  </si>
  <si>
    <t>IC-1892</t>
  </si>
  <si>
    <t>Fact#: 316375-319099 Rec#: 11739 CABEZA RODRIGUEZ PETER FABRICIO</t>
  </si>
  <si>
    <t>IC-1891</t>
  </si>
  <si>
    <t>Fact#: 313696-316312-319031 Rec#: 11738 TANDAZO ROLDAN RONALD MANUEL</t>
  </si>
  <si>
    <t>IC-1890</t>
  </si>
  <si>
    <t>Fact#: 317565 Rec#: 11737 CINDY LORENA BAJAÑA BELTRAN</t>
  </si>
  <si>
    <t>IC-1889</t>
  </si>
  <si>
    <t>Fact#: 315230-317921 Rec#: 11736 NEISI LORENA CHONG MELGAR</t>
  </si>
  <si>
    <t>IC-1888</t>
  </si>
  <si>
    <t>Fact#: 301361-304021-306780 Rec#: 11735 WILMER JULIAN FAZ POAQUIZA</t>
  </si>
  <si>
    <t>IC-1887</t>
  </si>
  <si>
    <t>Fact#: 318175 Rec#: 11734 VILLEGAS LIRIANO YULIANA IRINA</t>
  </si>
  <si>
    <t>IC-1886</t>
  </si>
  <si>
    <t>Fact#: 317852 Rec#: 11733 CARLOS ENRIQUE PEREZ ALEAGA</t>
  </si>
  <si>
    <t>IC-1885</t>
  </si>
  <si>
    <t>Fact#: 317632 Rec#: 11732 JESSICA LORENA TRIANA VELIS</t>
  </si>
  <si>
    <t>IC-1884</t>
  </si>
  <si>
    <t>Fact#: 318148 Rec#: 11731 GUADAMUD BURGOS JORGE ULPIANO</t>
  </si>
  <si>
    <t>IC-1883</t>
  </si>
  <si>
    <t>Fact#: 315909-318611 Rec#: 11730 PEREIRA CACERES KETTY DEL ROCIO</t>
  </si>
  <si>
    <t>IC-1882</t>
  </si>
  <si>
    <t>Fact#: 319160 Rec#: 11729 FIGUEROA GAVELA SILVIA FABIOLA</t>
  </si>
  <si>
    <t>IC-1881</t>
  </si>
  <si>
    <t>Fact#: 315889-318591 Rec#: 11728 SALAZAR TELLO NICOLAS EDUARDO</t>
  </si>
  <si>
    <t>IC-1880</t>
  </si>
  <si>
    <t>Fact#: 315874-318574 Rec#: 11727 SALAZAR TELLO NICOLAS EDUARDO</t>
  </si>
  <si>
    <t>IC-1879</t>
  </si>
  <si>
    <t>Fact#: 318171 Rec#: 11726 GAVINO LARREATEGUI  JUAN ALFREDO</t>
  </si>
  <si>
    <t>IC-1878</t>
  </si>
  <si>
    <t>Fact#: 294308-296800-299378 Rec#: 11725 DUCHI ALCOSER JHONNY FERNANDO</t>
  </si>
  <si>
    <t>IC-1877</t>
  </si>
  <si>
    <t>Fact#: 1019-851 Rec#: 11724 SILVA REA OLIVO AMADO</t>
  </si>
  <si>
    <t>IC-1876</t>
  </si>
  <si>
    <t>Fact#: 318707 Rec#: 11723 CONSTANTE GARCIA VICKY POALA</t>
  </si>
  <si>
    <t>IC-1875</t>
  </si>
  <si>
    <t>Fact#: 318760 Rec#: 11722 DIAZ CHAVEZ WILLIAN ANTONIO</t>
  </si>
  <si>
    <t>IC-1874</t>
  </si>
  <si>
    <t>Fact#: 306735-309536-312312 Rec#: 11721 MAURA FRANCISA MOYANO CARBO</t>
  </si>
  <si>
    <t>IC-1873</t>
  </si>
  <si>
    <t>Fact#: 318894 Rec#: 11720 CASTRO BARZOLA KEVIN JONATHAN</t>
  </si>
  <si>
    <t>IC-1872</t>
  </si>
  <si>
    <t>Fact#: 301897-304545-307298 Rec#: 11719 ICAZA TORRES KAREN JOYCE</t>
  </si>
  <si>
    <t>IC-1871</t>
  </si>
  <si>
    <t>Fact#: 316082-318780 Rec#: 11718 RAMOS PACHAY JOSE MANUEL</t>
  </si>
  <si>
    <t>IC-1870</t>
  </si>
  <si>
    <t>Fact#: 318346 Rec#: 11717 RUBEN DARIO HIDALGO MUÑOZ</t>
  </si>
  <si>
    <t>IC-1869</t>
  </si>
  <si>
    <t>Fact#: 316927 Rec#: 11716 DULCES, PASTELES Y TORTAS RADU S.A.</t>
  </si>
  <si>
    <t>IC-1868</t>
  </si>
  <si>
    <t>Fact#: 316861 Rec#: 11715 DULCES, PASTELES Y TORTAS RADU S.A.</t>
  </si>
  <si>
    <t>IC-1867</t>
  </si>
  <si>
    <t>Fact#: 316437-319156 Rec#: 11714 MORAN MERA SANDRA ISABEL</t>
  </si>
  <si>
    <t>IC-1866</t>
  </si>
  <si>
    <t>Fact#: 316840-319565-319834 Rec#: 61772 MACAY VELASQUEZ RONNYELL RICARDO</t>
  </si>
  <si>
    <t>IC-1860</t>
  </si>
  <si>
    <t>Fact#: 317957 Rec#: 61770 RODRIGUEZ GOMEZ FERNANDO ALBERTO</t>
  </si>
  <si>
    <t>IC-1859</t>
  </si>
  <si>
    <t>Fact#: 316940 Rec#: 61769 VUMILATINA MEDICINA PREPAGADA S.A.  Cta# 178-500236 Ch# 3094</t>
  </si>
  <si>
    <t>IC-1858</t>
  </si>
  <si>
    <t>Fact#: 316659-319389 Rec#: 61768 ASESORIA INTEGRAL EMASESOR S.A  Cta# 01-0576250 Ch# 1385</t>
  </si>
  <si>
    <t>IC-1857</t>
  </si>
  <si>
    <t>Fact#: 317411 Rec#: 61767 VICENTE GABRIEL MIELES GUZMAN</t>
  </si>
  <si>
    <t>IC-1854</t>
  </si>
  <si>
    <t>Fact#: 318978 Rec#: 61766 MACAS VERA CARLOS ERNESTO</t>
  </si>
  <si>
    <t>IC-1837</t>
  </si>
  <si>
    <t>Fact#: 318196 Rec#: 11713 SANCHEZ ALMEIDA LOURDES VERONICA</t>
  </si>
  <si>
    <t>IC-1836</t>
  </si>
  <si>
    <t>Fact#: 317994 Rec#: 11712 CARLOS GREGORIO HURTADO MOSQUERA</t>
  </si>
  <si>
    <t>IC-1835</t>
  </si>
  <si>
    <t>Fact#: 319060 Rec#: 11711 ARROYO MOURA RENE PATRICIO</t>
  </si>
  <si>
    <t>IC-1834</t>
  </si>
  <si>
    <t>Fact#: 315256-317949 Rec#: 11710 DIGNA RAQUEL BARBERAN BRIONES</t>
  </si>
  <si>
    <t>IC-1833</t>
  </si>
  <si>
    <t>Fact#: 316553-319257 Rec#: 11709 ELIAS CABRERA ANGELA MARIA</t>
  </si>
  <si>
    <t>IC-1832</t>
  </si>
  <si>
    <t>Fact#: 313214-315865-318564 Rec#: 11708 CANDEL LOPEZ DOUGLAS KEVIN</t>
  </si>
  <si>
    <t>IC-1831</t>
  </si>
  <si>
    <t>Fact#: 316254-318953 Rec#: 11707 MUNOZ LEDESMA HERACLEO NAPOLEON</t>
  </si>
  <si>
    <t>IC-1830</t>
  </si>
  <si>
    <t>Fact#: 318981 Rec#: 11706 GUAMANQUISPE FLORES ESPERANZA ANTONIETA</t>
  </si>
  <si>
    <t>IC-1829</t>
  </si>
  <si>
    <t>Fact#: 318918 Rec#: 11705 CHANCAY SOLEDISPA VICTOR MANUEL</t>
  </si>
  <si>
    <t>IC-1828</t>
  </si>
  <si>
    <t>Fact#: 308281-311010-313732 Rec#: 11704 AVILES PEREZ ALFONSO</t>
  </si>
  <si>
    <t>IC-1827</t>
  </si>
  <si>
    <t>Fact#: 317073 Rec#: 11703 MERCHAN BALON CHRISTOPHER FERNANDO</t>
  </si>
  <si>
    <t>IC-1826</t>
  </si>
  <si>
    <t>Fact#: 311085-313798-316407 Rec#: 11702 CAMACHO PENAFIEL WILLIAM WILFRIDO</t>
  </si>
  <si>
    <t>IC-1825</t>
  </si>
  <si>
    <t>Fact#: 313353-315995-318696 Rec#: 11701 ACEBO NARANJO NESTOR ANTONIO</t>
  </si>
  <si>
    <t>IC-1824</t>
  </si>
  <si>
    <t>Fact#: 317409 Rec#: 11700 MUÑOZ ESPIN GINA ALICIA</t>
  </si>
  <si>
    <t>IC-1823</t>
  </si>
  <si>
    <t>Fact#: 315715-318409 Rec#: 11699 ZAMORA AVILA ANGELA MARIA</t>
  </si>
  <si>
    <t>IC-1822</t>
  </si>
  <si>
    <t>Fact#: 318374 Rec#: 11698 PILAY QUINDE ALEXI ANDRES</t>
  </si>
  <si>
    <t>IC-1821</t>
  </si>
  <si>
    <t>Fact#: 317740 Rec#: 11697 ERIKA ELBA MEDINA ORELLANA</t>
  </si>
  <si>
    <t>IC-1820</t>
  </si>
  <si>
    <t>Fact#: 318101 Rec#: 11696 MORALES CASTRO SAMUEL</t>
  </si>
  <si>
    <t>IC-1819</t>
  </si>
  <si>
    <t>Fact#: 315556-318249 Rec#: 11695 FIGUEROA RUIZ NAIDDA ELIZABETH</t>
  </si>
  <si>
    <t>IC-1818</t>
  </si>
  <si>
    <t>Fact#: 315482-318178 Rec#: 11694 CEVALLOS PLUAS JULIT LORENA</t>
  </si>
  <si>
    <t>IC-1817</t>
  </si>
  <si>
    <t>Fact#: 314541-317214 Rec#: 11693 ALFREDO BARRIGA HOLGUIN</t>
  </si>
  <si>
    <t>IC-1816</t>
  </si>
  <si>
    <t>Fact#: 315456-318150 Rec#: 11692 SAN LUCAS PEÑA SHEYLA</t>
  </si>
  <si>
    <t>IC-1815</t>
  </si>
  <si>
    <t>Fact#: 317932 Rec#: 11691 LUIS ENRIQUE APOLINARIO ROJAS</t>
  </si>
  <si>
    <t>IC-1814</t>
  </si>
  <si>
    <t>Feb/2020</t>
  </si>
  <si>
    <t>N/D PACIFICO PAGO DE FACTURA#143102396 CNT EP, CONSUMO TELEFÓNICO</t>
  </si>
  <si>
    <t>NDL-33</t>
  </si>
  <si>
    <t>BANCO PACIFICO TRANSFERENCIA PAGO DE FACTURA#19542534 CNEL EP, CTV, PORTAL AL SOL, PERIODO 11 FEB AL 10 MAR 2020</t>
  </si>
  <si>
    <t>NDL-31</t>
  </si>
  <si>
    <t>BANCO PACIFICO TRANSFERENCIA PAGO DE FACTURA#668517</t>
  </si>
  <si>
    <t>BANCO PACIFICO TRANSFERENCIA PAGO DE FACTURA#19318491</t>
  </si>
  <si>
    <t>NDL-29</t>
  </si>
  <si>
    <t>BANCO PACIFICO TRANSFERENCIA PAGO DE FACTURA#19342917 CNEL EP</t>
  </si>
  <si>
    <t>NDL-28</t>
  </si>
  <si>
    <t>BANCO PACIFICO TRANSFERENCIA PAGO DE FACTURA#19479496</t>
  </si>
  <si>
    <t>NDL-27</t>
  </si>
  <si>
    <t>BANCO PACIFICO TRANSFERENCIA PAGO DE FACTURA#19483123 CNEL EP</t>
  </si>
  <si>
    <t>NDL-26</t>
  </si>
  <si>
    <t>BANCO PACIFICO, TRANSFERENCIA PAGO DE FACTURA#19408266</t>
  </si>
  <si>
    <t>NDL-25</t>
  </si>
  <si>
    <t>TRANSFERENCIA PAGO DE FACTURA#660583 CNEL EP</t>
  </si>
  <si>
    <t>NDL-24</t>
  </si>
  <si>
    <t>TRANSFERENCIA PAGO FACTURA#24164327 CNEL EP</t>
  </si>
  <si>
    <t>NDL-22</t>
  </si>
  <si>
    <t>N/D BANCO PACIFICO PAGO DE 2DO ANTICIPO A FACTURA POR HONORARIOS MES DE MARZO 2020, A PABLO BAQUERIZO DAVILA</t>
  </si>
  <si>
    <t>NDL-20</t>
  </si>
  <si>
    <t>N/D BANCO PACIFICO PAGO DE 2DA QUINCENA MES DE MAR-2020, MERELO ANGULO MANUEL</t>
  </si>
  <si>
    <t>NDL-19</t>
  </si>
  <si>
    <t>N/D BANCO PACIFICO PAGO DE 2DA QUINCENA MES DE MAR-2020</t>
  </si>
  <si>
    <t>NDL-16</t>
  </si>
  <si>
    <t>Fact#: 318532-321247-324006 Rec#: 30025 VALERO CEPEDA IVONNE MARIA</t>
  </si>
  <si>
    <t>IC-4532</t>
  </si>
  <si>
    <t>Fact#: 324118 Rec#: 30024 VELIZ CASTRO RICARDO XAVIER</t>
  </si>
  <si>
    <t>IC-4531</t>
  </si>
  <si>
    <t>Fact#: 323922 Rec#: 30023 PERALTA AVILES MIGUEL ANGEL</t>
  </si>
  <si>
    <t>IC-4530</t>
  </si>
  <si>
    <t>Fact#: 323977 Rec#: 30022 UBILLA MORAN MARIANA JACQUELINE</t>
  </si>
  <si>
    <t>IC-4529</t>
  </si>
  <si>
    <t>Fact#: 323132 Rec#: 12712 ULISES MARTIN VARGAS FIGUEROA</t>
  </si>
  <si>
    <t>IC-4528</t>
  </si>
  <si>
    <t>Fact#: 323156 Rec#: 12711 CARLOS WELLINGTON CHOEZ VERA</t>
  </si>
  <si>
    <t>IC-4527</t>
  </si>
  <si>
    <t>Anulado con Ch. # 3325 del comprobante AN-15 PAGO REALIZADO POR TRANSFERENCIA</t>
  </si>
  <si>
    <t>AN-15</t>
  </si>
  <si>
    <t>Fact#: 323965 Rec#: 30021 MANRIQUE OSORIO XAVIER ENRIQUE</t>
  </si>
  <si>
    <t>IC-4513</t>
  </si>
  <si>
    <t>Fact#: 323810 Rec#: 30020 ARIAS SALAZAR KATHERINE JUSETH</t>
  </si>
  <si>
    <t>IC-4512</t>
  </si>
  <si>
    <t>Fact#: 321192-323950 Rec#: 30019 DUARTE DEMERA FRANCISCO JAVIER</t>
  </si>
  <si>
    <t>IC-4511</t>
  </si>
  <si>
    <t>Fact#: 1278-1477 Rec#: 30018 SANGUNA RON TANIA GRICELDA</t>
  </si>
  <si>
    <t>IC-4510</t>
  </si>
  <si>
    <t>Fact#: 320034-322800 Rec#: 30017 NELSON SAVITRI  VELASCO PAZMIÑO</t>
  </si>
  <si>
    <t>IC-4509</t>
  </si>
  <si>
    <t>Fact#: 323926 Rec#: 30016 PINCAY SILVA FERNANDO RAFAEL</t>
  </si>
  <si>
    <t>IC-4508</t>
  </si>
  <si>
    <t>Fact#: 324530 Rec#: 12710 CABANILLA CORREA JORGE LOBERTI</t>
  </si>
  <si>
    <t>IC-4507</t>
  </si>
  <si>
    <t>Fact#: 321657-324408 Rec#: 12709 LEON ANDRADE CRISTIAN ALFREDO</t>
  </si>
  <si>
    <t>IC-4506</t>
  </si>
  <si>
    <t>Fact#: 323707 Rec#: 12708 TOMALA SANCAN JORGE LUIS</t>
  </si>
  <si>
    <t>IC-4505</t>
  </si>
  <si>
    <t>Fact#: 323506 Rec#: 12707 TOMALA SANCAN JORGE LUIS</t>
  </si>
  <si>
    <t>IC-4504</t>
  </si>
  <si>
    <t>Fact#: 319846-319857 Rec#: 30015 CONSORCIO ECUATORIANO DE TELECOMUNICACIONES S.A. CONECEL</t>
  </si>
  <si>
    <t>IC-4503</t>
  </si>
  <si>
    <t>Fact#: 322860 Rec#: 30014 SILVIA XIMENA CHAVEZ CABRERA</t>
  </si>
  <si>
    <t>IC-4500</t>
  </si>
  <si>
    <t>Fact#: 322370 Rec#: 30013 DATA TOOLS S.A.</t>
  </si>
  <si>
    <t>IC-4499</t>
  </si>
  <si>
    <t>Fact#: 322088-324828 Rec#: 12706 SANCHEZ CONSTANTE RICHARD ALBERTO</t>
  </si>
  <si>
    <t>IC-4486</t>
  </si>
  <si>
    <t>Fact#: 324358 Rec#: 12705 MARCILLO COBOS DAVID FERNANDO</t>
  </si>
  <si>
    <t>IC-4485</t>
  </si>
  <si>
    <t>Fact#: 321507-324258 Rec#: 30012 CHAPALVAY DECIDERIO AGUSTIN ALFREDO</t>
  </si>
  <si>
    <t>IC-4491</t>
  </si>
  <si>
    <t>Fact#: 321458-324210 Rec#: 30011 HERNANDEZ GOMEZ EDDY MAXIMO</t>
  </si>
  <si>
    <t>IC-4490</t>
  </si>
  <si>
    <t>Fact#: 319874-322642 Rec#: 30010 LOURDES DEL ROCIO CHAVEZ VELEZ</t>
  </si>
  <si>
    <t>IC-4489</t>
  </si>
  <si>
    <t>Fact#: 318801-321514-324264 Rec#: 30009 PESANTES GUAMAN DANIEL ARTURO</t>
  </si>
  <si>
    <t>IC-4488</t>
  </si>
  <si>
    <t>Fact#: 319997-322764 Rec#: 30008 FREDDY RENE VALLEJO MEDRANDA</t>
  </si>
  <si>
    <t>IC-4487</t>
  </si>
  <si>
    <t>Fact#: 323697 Rec#: 12704 VERA GUZMAN SILVIA AZUCENA</t>
  </si>
  <si>
    <t>IC-4484</t>
  </si>
  <si>
    <t>Fact#: 324758 Rec#: 12703 BROCEL LOZANO DIEGO EFRAIN</t>
  </si>
  <si>
    <t>IC-4483</t>
  </si>
  <si>
    <t>Fact#: 316318-319038-321735 Rec#: 12702 ARCENTALES DOMINGUEZ JOSE LEONIDAS</t>
  </si>
  <si>
    <t>IC-4482</t>
  </si>
  <si>
    <t>Fact#: 322402 Rec#: 12701 SILVA PALMA VILMA NOEMI</t>
  </si>
  <si>
    <t>IC-4481</t>
  </si>
  <si>
    <t>Fact#: 320736-323487 Rec#: 30007 ANGEL ROGELIO PUMA MEDINA</t>
  </si>
  <si>
    <t>IC-4480</t>
  </si>
  <si>
    <t>Fact#: 322621 Rec#: 30177 OTECEL</t>
  </si>
  <si>
    <t>IC-5297</t>
  </si>
  <si>
    <t>Fact#: 318800-321513-324263 Rec#: 12700 DE LA ROSA FIGUEROA GABRIELA TATIANA</t>
  </si>
  <si>
    <t>IC-4472</t>
  </si>
  <si>
    <t>Fact#: 315971-318671-321384 Rec#: 12699 MORAN CHICHANDE JOSE LUIS</t>
  </si>
  <si>
    <t>IC-4471</t>
  </si>
  <si>
    <t>Fact#: 319318-322029-324769 Rec#: 12698 MORA FUENTES ALONSO GABRIEL</t>
  </si>
  <si>
    <t>IC-4470</t>
  </si>
  <si>
    <t>Fact#: 321426-324180 Rec#: 12697 ORTEGA ARGUELLO GISELLA LORENA</t>
  </si>
  <si>
    <t>IC-4469</t>
  </si>
  <si>
    <t>Fact#: 321993-324744 Rec#: 30006 STURLA GALLEGOS FELIPE NICOLAS</t>
  </si>
  <si>
    <t>IC-4462</t>
  </si>
  <si>
    <t>Fact#: 323194 Rec#: 30005 MARIA FERNANDA GONZALEZ MITE</t>
  </si>
  <si>
    <t>IC-4444</t>
  </si>
  <si>
    <t>Fact#: 324142 Rec#: 30004 VILLON SORIANO DIOSELINA SOLEDAD</t>
  </si>
  <si>
    <t>IC-4443</t>
  </si>
  <si>
    <t>Fact#: 324416 Rec#: 30003 CASTAÑEDA RENDON JOFFRE AUGUSTO</t>
  </si>
  <si>
    <t>IC-4442</t>
  </si>
  <si>
    <t>Fact#: 320337-323094 Rec#: 30002 RAUL JOSE CAÑIZARES GARAICOA</t>
  </si>
  <si>
    <t>IC-4441</t>
  </si>
  <si>
    <t>Fact#: 1401 Rec#: 30001 GONZALEZ RUIZ SANDY</t>
  </si>
  <si>
    <t>IC-4440</t>
  </si>
  <si>
    <t>Fact#: 319901-322667 Rec#: 30000 RAFAEL VICENTE ERAZO FALQUEZ</t>
  </si>
  <si>
    <t>IC-4439</t>
  </si>
  <si>
    <t>Fact#: 319013-321709-324458 Rec#: 29999 ARANA BARROS AMBAR GEOVANA</t>
  </si>
  <si>
    <t>IC-4438</t>
  </si>
  <si>
    <t>Fact#: 323992 Rec#: 29998 PUERO CUERO CARLOS JULIO</t>
  </si>
  <si>
    <t>IC-4437</t>
  </si>
  <si>
    <t>PAGO PLLAS. IESS NORMALES MES DE FEB 2020, PABLO BAQUERIZO DAVILA, COMP#126619081</t>
  </si>
  <si>
    <t>Fact#: 323566 Rec#: 29997 JERVIS BASURTO KENYA SORAYA</t>
  </si>
  <si>
    <t>IC-4428</t>
  </si>
  <si>
    <t>Fact#: 318215-320947-323699 Rec#: 29996 GUTIERREZ CARABAJO KLEBER RODOLFO</t>
  </si>
  <si>
    <t>IC-4427</t>
  </si>
  <si>
    <t>Fact#: 323517 Rec#: 29995 REYES MARTINEZ WILLIE RICARDO</t>
  </si>
  <si>
    <t>IC-4426</t>
  </si>
  <si>
    <t>Fact#: 317223-319965-322731 Rec#: 29994 JAVIER MAURICIO RODRIGO ALBAN</t>
  </si>
  <si>
    <t>IC-4425</t>
  </si>
  <si>
    <t>Fact#: 320380-323135 Rec#: 29993 CINTHIA VANESA PALMA JIMENEZ</t>
  </si>
  <si>
    <t>IC-4424</t>
  </si>
  <si>
    <t>Fact#: 320234-322997 Rec#: 29992 CAROLINA AMALIA IDROVO PIEDRAHITA</t>
  </si>
  <si>
    <t>IC-4423</t>
  </si>
  <si>
    <t>Fact#: 317130-319873-322641 Rec#: 29988 KATHERINE MALENA CHILUIZA GARCIA</t>
  </si>
  <si>
    <t>IC-4419</t>
  </si>
  <si>
    <t>Fact#: 322817 Rec#: 29987 MARIA ALEXANDRA  ECHEVERRIA VERA</t>
  </si>
  <si>
    <t>IC-4418</t>
  </si>
  <si>
    <t>Fact#: 323197 Rec#: 29986 ENRIQUE FEDERICO ARENAS PILATAXI</t>
  </si>
  <si>
    <t>IC-4417</t>
  </si>
  <si>
    <t>Fact#: 320226-322990 Rec#: 29985 JUAN GABRIEL RODRIGUEZ FERNANDEZ</t>
  </si>
  <si>
    <t>IC-4413</t>
  </si>
  <si>
    <t>Fact#: 322131 Rec#: 29991 DORCIEN S.A</t>
  </si>
  <si>
    <t>IC-4422</t>
  </si>
  <si>
    <t>Fact#: 318826-321534 Rec#: 29990 ALVARADO PEREZ OSCAR ANTONIO</t>
  </si>
  <si>
    <t>IC-4421</t>
  </si>
  <si>
    <t>Fact#: 317269-320010 Rec#: 29989 FAUSTO LEONARDO  ORTIZ DE LA CADENA</t>
  </si>
  <si>
    <t>IC-4420</t>
  </si>
  <si>
    <t>Fact#: 317620-320360 Rec#: 12696 RUBEN ESTEBAN URRUTIA VINUEZA</t>
  </si>
  <si>
    <t>IC-4409</t>
  </si>
  <si>
    <t>Fact#: 321472 Rec#: 12695 SANCHEZ QUINCHUELA INES MONICA</t>
  </si>
  <si>
    <t>IC-4408</t>
  </si>
  <si>
    <t>Fact#: 321061 Rec#: 12694 LOGROÑO REYES VICENTE JAVIER</t>
  </si>
  <si>
    <t>IC-4407</t>
  </si>
  <si>
    <t>Fact#: 321053 Rec#: 29984 ARIAS SALAZAR KATHERINE JUSETH</t>
  </si>
  <si>
    <t>IC-4404</t>
  </si>
  <si>
    <t>Fact#: 320807 Rec#: 29983 SALAZAR JAIME CECILIA NARCISA</t>
  </si>
  <si>
    <t>IC-4403</t>
  </si>
  <si>
    <t>Fact#: 318052-320786 Rec#: 29982 ROBAYO GONZALEZ ROBERTO JAVIER</t>
  </si>
  <si>
    <t>IC-4402</t>
  </si>
  <si>
    <t>Fact#: 319980 Rec#: 29981 MARIA GABRIELA TERAN SEVILLA</t>
  </si>
  <si>
    <t>IC-4401</t>
  </si>
  <si>
    <t>Fact#: 321512-322630 Rec#: 29980 ALMEIDA CAMPOVERDE ALEX ADRIAN</t>
  </si>
  <si>
    <t>IC-4375</t>
  </si>
  <si>
    <t>Fact#: 322454 Rec#: 29979 ASISTMED ASISTENCIA A MEDICOS S.A.</t>
  </si>
  <si>
    <t>IC-4373</t>
  </si>
  <si>
    <t>Fact#: 319991 Rec#: 29978 GLORIA ISABEL MITE LEON</t>
  </si>
  <si>
    <t>IC-4372</t>
  </si>
  <si>
    <t>Fact#: 316088-318785-321497 Rec#: 12693 VALERO MORAN RAFAEL</t>
  </si>
  <si>
    <t>IC-4371</t>
  </si>
  <si>
    <t>Fact#: 317821-320562 Rec#: 12692 AMADA ORQUIDEA CAICEDO TREJO</t>
  </si>
  <si>
    <t>IC-4370</t>
  </si>
  <si>
    <t>Fact#: 321890 Rec#: 12691 ANDRADE ROJAS WALTER RODOLFO</t>
  </si>
  <si>
    <t>IC-4369</t>
  </si>
  <si>
    <t>Fact#: 320704 Rec#: 12690 ELIDA DEL CARMEN MOREIRA VELEZ</t>
  </si>
  <si>
    <t>IC-4368</t>
  </si>
  <si>
    <t>Fact#: 317846-320587 Rec#: 12689 MAYRA MARIELA MORAN MOREIRA</t>
  </si>
  <si>
    <t>IC-4367</t>
  </si>
  <si>
    <t>Fact#: 318434-321151 Rec#: 12688 MARURI HERRERA JAQUELINE DEL ROCIO</t>
  </si>
  <si>
    <t>IC-4366</t>
  </si>
  <si>
    <t>PAGO DE PLLAS. IESS NORMALES MES DE FEB 2020, COMP#126436306</t>
  </si>
  <si>
    <t>PAGO PLLAS. IESS PREST. QUIROGRAFARIOS MES DE FEB 2020, COMP#26206548</t>
  </si>
  <si>
    <t>PAGO PLLAS. IESS PREST. HIPOTECARIOS MES DE FEB 2020, COMP#8457499</t>
  </si>
  <si>
    <t>PAGO DE PLLAS. IESS FONDOS DE RESERVA MES DE FEB 2020, COMP#19594979</t>
  </si>
  <si>
    <t>PAGO DE PLLAS. IESS AJUSTES MES DE FEB 2020, COMP#126436394</t>
  </si>
  <si>
    <t>Fact#: 319106-321816 Rec#: 29974 MONTES BRIONES JEFFERSON ANTONIO</t>
  </si>
  <si>
    <t>IC-4361</t>
  </si>
  <si>
    <t>Fact#: 321219 Rec#: 29973 VERA PISPIRA JONATHAN LUIS</t>
  </si>
  <si>
    <t>IC-4360</t>
  </si>
  <si>
    <t>Fact#: 320800 Rec#: 12687 GOMEZ SALAZAR CARLOS ALBERTO</t>
  </si>
  <si>
    <t>IC-4338</t>
  </si>
  <si>
    <t>Fact#: 318669-321383 Rec#: 12686 QUIMI LOPEZ FROILAN TITO</t>
  </si>
  <si>
    <t>IC-4337</t>
  </si>
  <si>
    <t>Fact#: 321642 Rec#: 12685 ROJAS MELONI LUIS FERNANDO</t>
  </si>
  <si>
    <t>IC-4336</t>
  </si>
  <si>
    <t>Fact#: 318093-320826 Rec#: 12684 ALBA VANESSA MANZO BARZOLA</t>
  </si>
  <si>
    <t>IC-4335</t>
  </si>
  <si>
    <t>Fact#: 321550 Rec#: 12683 SARMIENTO VIVEROS ALEXANDRA ELIZABETH</t>
  </si>
  <si>
    <t>IC-4334</t>
  </si>
  <si>
    <t>Fact#: 322230 Rec#: 29952 WANHAI LINES ECUADOR S.A.</t>
  </si>
  <si>
    <t>IC-4242</t>
  </si>
  <si>
    <t>Fact#: 320019 Rec#: 29977 WILSON EFREN  ROMERO NACIPUCHA</t>
  </si>
  <si>
    <t>IC-4363</t>
  </si>
  <si>
    <t>Fact#: 321015 Rec#: 29976 LOZANO OTERO RICARDO REIMONDI LOZANO OTERO</t>
  </si>
  <si>
    <t>IC-4362</t>
  </si>
  <si>
    <t>Fact#: 321086 Rec#: 12682 MORA URRUTIA MACARENA IVONNE</t>
  </si>
  <si>
    <t>IC-4333</t>
  </si>
  <si>
    <t>Fact#: 320795 Rec#: 12681 FREDDY PABLO  ENDARA SAAVEDRA</t>
  </si>
  <si>
    <t>IC-4332</t>
  </si>
  <si>
    <t>Fact#: 321921 Rec#: 12680 MORAN MOSQUERA JORGE RAMON</t>
  </si>
  <si>
    <t>IC-4331</t>
  </si>
  <si>
    <t>Fact#: 300607-303275 Rec#: 12679 FANG ZHANG XIAOZHEN</t>
  </si>
  <si>
    <t>IC-4330</t>
  </si>
  <si>
    <t>Fact#: 317964-320699 Rec#: 12678 CESAR VICENTE ALDAZABAL ALZAMORA</t>
  </si>
  <si>
    <t>IC-4329</t>
  </si>
  <si>
    <t>Fact#: 322163 Rec#: 12677 IGLESIA DE JESUCRISTO SUD</t>
  </si>
  <si>
    <t>IC-4328</t>
  </si>
  <si>
    <t>Fact#: 321996 Rec#: 12676 VERA DEL PEZO DOLORES VICTORIA</t>
  </si>
  <si>
    <t>IC-4327</t>
  </si>
  <si>
    <t>Fact#: 321474 Rec#: 12675 DIAZ CHAVEZ WILLIAN ANTONIO</t>
  </si>
  <si>
    <t>IC-4326</t>
  </si>
  <si>
    <t>Fact#: 320103 Rec#: 12674 PAZMIÑO COELLO JAIME MARCELO</t>
  </si>
  <si>
    <t>IC-4325</t>
  </si>
  <si>
    <t>Fact#: 319946 Rec#: 12673 CESAR AUGUSTO  RADA AGUIRRE</t>
  </si>
  <si>
    <t>IC-4324</t>
  </si>
  <si>
    <t>Fact#: 317708-320450 Rec#: 29972 NUVIA ELIZABETH TORRES VERA</t>
  </si>
  <si>
    <t>IC-4359</t>
  </si>
  <si>
    <t>Fact#: 319727-322490 Rec#: 29971 BAJANA DE LA ROSA SANTIAGO EDISON</t>
  </si>
  <si>
    <t>IC-4358</t>
  </si>
  <si>
    <t>Fact#: 318370-321093 Rec#: 29970 PERALTA CASTILLO ELSA DEL ROCIO</t>
  </si>
  <si>
    <t>IC-4357</t>
  </si>
  <si>
    <t>Fact#: 316565-319269-321979 Rec#: 29975 JUMBO NARANJO LORENA DE LOURDES</t>
  </si>
  <si>
    <t>IC-4356</t>
  </si>
  <si>
    <t>Fact#: 319907 Rec#: 29969 FATIMA LEONOR AGUILAR MURILLO</t>
  </si>
  <si>
    <t>IC-4355</t>
  </si>
  <si>
    <t>Fact#: 322561 Rec#: 29968 CASGUZ S A CASA GUZMAN</t>
  </si>
  <si>
    <t>IC-4354</t>
  </si>
  <si>
    <t>Fact#: 322391 Rec#: 29967 CASGUZ S A CASA GUZMAN</t>
  </si>
  <si>
    <t>IC-4353</t>
  </si>
  <si>
    <t>Fact#: 321104 Rec#: 29966 GONZALEZ SANCHEZ CESAR IVAN</t>
  </si>
  <si>
    <t>IC-4352</t>
  </si>
  <si>
    <t>Fact#: 319130-321849 Rec#: 29965 VELEZ MACIAS  KATHERINE ANGELINE</t>
  </si>
  <si>
    <t>IC-4351</t>
  </si>
  <si>
    <t>Fact#: 317386-320122 Rec#: 29964 VALAREZO GUZMAN SAUL DE JESUS</t>
  </si>
  <si>
    <t>IC-4350</t>
  </si>
  <si>
    <t>Fact#: 319877 Rec#: 29963 JORGE ALFREDO FRANCO MORAN</t>
  </si>
  <si>
    <t>IC-4349</t>
  </si>
  <si>
    <t>Fact#: 321170 Rec#: 29962 PINCAY SILVA FERNANDO RAFAEL</t>
  </si>
  <si>
    <t>IC-4348</t>
  </si>
  <si>
    <t>Fact#: 318750-321465 Rec#: 29961 INDIO MUNOZ SNAYDER VALENTIN</t>
  </si>
  <si>
    <t>IC-4347</t>
  </si>
  <si>
    <t>Fact#: 318988-321685 Rec#: 29960 JIMENEZ ALVAREZ GARY WINDER</t>
  </si>
  <si>
    <t>IC-4346</t>
  </si>
  <si>
    <t>Fact#: 318010-320745 Rec#: 29959 MARCELA CAROLINA BEDON BEDOYA</t>
  </si>
  <si>
    <t>IC-4345</t>
  </si>
  <si>
    <t>Fact#: 320544 Rec#: 12672 AIMARA RODRIGUEZ FERNANDEZ</t>
  </si>
  <si>
    <t>IC-4323</t>
  </si>
  <si>
    <t>Fact#: 316564-319268-321978 Rec#: 12671 PONCE PARRALES HOLGER GEOVANNY</t>
  </si>
  <si>
    <t>IC-4322</t>
  </si>
  <si>
    <t>Fact#: 321764 Rec#: 12670 LOPEZ HERRERA FRANKLIN RIGOBERTO</t>
  </si>
  <si>
    <t>IC-4321</t>
  </si>
  <si>
    <t>Fact#: 321205 Rec#: 12669 CAMPOVERDE GONZALEZ IVAN EUSEBIO</t>
  </si>
  <si>
    <t>IC-4320</t>
  </si>
  <si>
    <t>Fact#: 318652-321368 Rec#: 12668 DESINTONIO HUAYAMAVE ALBERTO LUIS</t>
  </si>
  <si>
    <t>IC-4319</t>
  </si>
  <si>
    <t>Fact#: 321335 Rec#: 12667 VALENCIA NIEVES BYRON BOLIVAR</t>
  </si>
  <si>
    <t>IC-4318</t>
  </si>
  <si>
    <t>Fact#: 314921-317601-320342 Rec#: 12666 KEVIN BLADIMIR PONCE GREFA</t>
  </si>
  <si>
    <t>IC-4317</t>
  </si>
  <si>
    <t>Fact#: 321084 Rec#: 12665 MIRIAM ALEXANDRA ENDERICA PIONCE</t>
  </si>
  <si>
    <t>IC-4316</t>
  </si>
  <si>
    <t>Fact#: 320268 Rec#: 12664 MIRIAM ALEXANDRA ENDERICA PIONCE</t>
  </si>
  <si>
    <t>IC-4315</t>
  </si>
  <si>
    <t>Fact#: 321869 Rec#: 12663 SANTANA MORENO SAUL AUGUSTO</t>
  </si>
  <si>
    <t>IC-4314</t>
  </si>
  <si>
    <t>Fact#: 321755 Rec#: 12662 LOOR ESTRADA GABRIELLA MICHELLE</t>
  </si>
  <si>
    <t>IC-4313</t>
  </si>
  <si>
    <t>Fact#: 320102 Rec#: 12661 AGUILERA RODRIGUEZ YONNY STALIN</t>
  </si>
  <si>
    <t>IC-4312</t>
  </si>
  <si>
    <t>Fact#: 320929 Rec#: 12660 SELLAN SELLAN EMILIA MARGARITA</t>
  </si>
  <si>
    <t>IC-4311</t>
  </si>
  <si>
    <t>Fact#: 317270-320011 Rec#: 12659 CHRISTIAN ARTHUR KONANZ SCHOTEL</t>
  </si>
  <si>
    <t>IC-4310</t>
  </si>
  <si>
    <t>Fact#: 321704 Rec#: 12658 ZAMBRANO CALENO OLGA PATRICIA</t>
  </si>
  <si>
    <t>IC-4309</t>
  </si>
  <si>
    <t>Fact#: 315277-317971-320707 Rec#: 12657 GLORIA ELEANNE PERERA NOA</t>
  </si>
  <si>
    <t>IC-4308</t>
  </si>
  <si>
    <t>Fact#: 318931-321631 Rec#: 12656 BARRAZUETA PERDOMO EDUARDO DANIEL</t>
  </si>
  <si>
    <t>IC-4307</t>
  </si>
  <si>
    <t>Fact#: 321431 Rec#: 12655 TENORIO PRECIADO SUSANA MIRELLA</t>
  </si>
  <si>
    <t>IC-4306</t>
  </si>
  <si>
    <t>Fact#: 320362 Rec#: 12654 TERESA LEONOR SALAZAR PLUAS</t>
  </si>
  <si>
    <t>IC-4305</t>
  </si>
  <si>
    <t>Fact#: 314618-317289-320031 Rec#: 12653 ROXANA ELIZABETH QUIMI MORA</t>
  </si>
  <si>
    <t>IC-4304</t>
  </si>
  <si>
    <t>Fact#: 321732 Rec#: 12652 PONCE HUACON GABRIELA VANESSA</t>
  </si>
  <si>
    <t>IC-4303</t>
  </si>
  <si>
    <t>Fact#: 320599 Rec#: 12651 RUTH ANGELICA VERDEZOTO GAIBOR</t>
  </si>
  <si>
    <t>IC-4302</t>
  </si>
  <si>
    <t>Fact#: 314761-317434-320171 Rec#: 12650 ERMENCIA IRENE AYOVI CAICEDO</t>
  </si>
  <si>
    <t>IC-4301</t>
  </si>
  <si>
    <t>Fact#: 321144 Rec#: 12649 VALLE GONZALEZ LIDIA ELIZABETH</t>
  </si>
  <si>
    <t>IC-4300</t>
  </si>
  <si>
    <t>Fact#: 320869 Rec#: 12648 ZAMBRANO CASTRO JOSE JAIR</t>
  </si>
  <si>
    <t>IC-4299</t>
  </si>
  <si>
    <t>Fact#: 317706-320448 Rec#: 29951 RICHARD OMAR MOREIRA AGUIRRE</t>
  </si>
  <si>
    <t>IC-4241</t>
  </si>
  <si>
    <t>Fact#: 322225 Rec#: 29949 YARECUADOR CIA. LTDA</t>
  </si>
  <si>
    <t>IC-4239</t>
  </si>
  <si>
    <t>Fact#: 322423 Rec#: 29948 PAYLESS SHOESOURCE ECUADOR CIA. LTDA.</t>
  </si>
  <si>
    <t>IC-4238</t>
  </si>
  <si>
    <t>DOROTHY VIRGINIA ALBAN CANEPA CANCELA TELEFONO 3960352 ABONA SGTE FACTURA</t>
  </si>
  <si>
    <t>N/D BANCO PACIFICO PAGO DE 1ERA QUINCENA MES DE MAR-2020</t>
  </si>
  <si>
    <t>NDL-17</t>
  </si>
  <si>
    <t>Fact#: 321601 Rec#: 12647 CASTRO BARZOLA KEVIN JONATHAN</t>
  </si>
  <si>
    <t>IC-4298</t>
  </si>
  <si>
    <t>Fact#: 317835-320576 Rec#: 12646 EDWIN ANDRES REYES TOALA</t>
  </si>
  <si>
    <t>IC-4297</t>
  </si>
  <si>
    <t>Fact#: 318627-321341 Rec#: 12645 ROMERO VERSOZA RICARDO GERONIMO</t>
  </si>
  <si>
    <t>IC-4296</t>
  </si>
  <si>
    <t>Fact#: 317855-320596 Rec#: 12644 JAZMIN ESMERALDAS GONZALEZ RON</t>
  </si>
  <si>
    <t>IC-4295</t>
  </si>
  <si>
    <t>Fact#: 320203 Rec#: 12643 JENNIFER MARITZA BAJAÑA MERCHAN</t>
  </si>
  <si>
    <t>IC-4294</t>
  </si>
  <si>
    <t>Fact#: 317599-320340 Rec#: 12642 FRANCISCO ALFONSO MEZA KUFFO</t>
  </si>
  <si>
    <t>IC-4293</t>
  </si>
  <si>
    <t>Fact#: 321140 Rec#: 12641 SIMISTERRA MICOLTA RUBEN DARIO</t>
  </si>
  <si>
    <t>IC-4292</t>
  </si>
  <si>
    <t>Fact#: 315929-318631-321345 Rec#: 12640 SOLEDISPA LAVAYEN DANNY ARNULFO</t>
  </si>
  <si>
    <t>IC-4291</t>
  </si>
  <si>
    <t>Fact#: 321881 Rec#: 12639 LAUZO MARISCAL MANUEL DAVID</t>
  </si>
  <si>
    <t>IC-4290</t>
  </si>
  <si>
    <t>Fact#: 322240 Rec#: 29950 STEVEN MICHAEL RAMOS MEZA</t>
  </si>
  <si>
    <t>IC-4240</t>
  </si>
  <si>
    <t>Fact#: 321809 Rec#: 12638 ARBOLEDA CORTEZ CRUZ</t>
  </si>
  <si>
    <t>IC-4289</t>
  </si>
  <si>
    <t>Fact#: 321874 Rec#: 12637 ZAMBRANO RIVERA EDINSON EDGAR</t>
  </si>
  <si>
    <t>IC-4288</t>
  </si>
  <si>
    <t>Fact#: 319098-321807 Rec#: 12636 VERA ANCHUNDIA LUIS ENRIQUE</t>
  </si>
  <si>
    <t>IC-4287</t>
  </si>
  <si>
    <t>Fact#: 321602 Rec#: 12635 CEVALLOS ARTEAGA DANIEL ABEL</t>
  </si>
  <si>
    <t>IC-4286</t>
  </si>
  <si>
    <t>Fact#: 319016-321712 Rec#: 12634 FIGUEROA MIRANDA MARTINA MONSERRATE</t>
  </si>
  <si>
    <t>IC-4285</t>
  </si>
  <si>
    <t>Fact#: 312333-315027-317711 Rec#: 12633 JOHANNA MARICELA CARRANZA ANCHUNDIA</t>
  </si>
  <si>
    <t>IC-4284</t>
  </si>
  <si>
    <t>Fact#: 320478 Rec#: 12632 EDGAR JUNIOR ESPINOZA BAJAÑA</t>
  </si>
  <si>
    <t>IC-4283</t>
  </si>
  <si>
    <t>Fact#: 320739 Rec#: 12631 ALEXANDRE FABIAN MARTINEZ CARRION</t>
  </si>
  <si>
    <t>IC-4282</t>
  </si>
  <si>
    <t>Fact#: 321854 Rec#: 12630 ESCALANTE AVILES ABRAHAN JOSUE</t>
  </si>
  <si>
    <t>IC-4281</t>
  </si>
  <si>
    <t>DAYANNA ANABELL BAQUERIZO AQUINO CANCELA TELEFONO 3930025 ABONA SGTE FACTURA</t>
  </si>
  <si>
    <t>AT-3034</t>
  </si>
  <si>
    <t>N/D BANCO PACIFICO PAGO DE 1ER ANTICIPO POR HONORARIOS PROFESIONALES MES DE MAR-2020, A PABLO BAQUERIZO DAVILA</t>
  </si>
  <si>
    <t>NDL-23</t>
  </si>
  <si>
    <t>N/D BCO. PACIFICO CANCELACION FACT#64417020750.45</t>
  </si>
  <si>
    <t>Fact#: 320650 Rec#: 29958 XAVIER ALFREDO ZANABRIA VILLAMAR</t>
  </si>
  <si>
    <t>IC-4344</t>
  </si>
  <si>
    <t>Fact#: 322303 Rec#: 29957 JORGE ARTURO ZANABRIA VILLAMAR</t>
  </si>
  <si>
    <t>IC-4343</t>
  </si>
  <si>
    <t>Fact#: 322259 Rec#: 29956 ELECTROMOOM S.A.</t>
  </si>
  <si>
    <t>IC-4342</t>
  </si>
  <si>
    <t>Fact#: 318084-320818 Rec#: 29955 JERVIS BASURTO KENYA SORAYA</t>
  </si>
  <si>
    <t>IC-4341</t>
  </si>
  <si>
    <t>Fact#: 320157 Rec#: 29954 VIVANCO BALLESTEROS CARMEN JANNET</t>
  </si>
  <si>
    <t>IC-4340</t>
  </si>
  <si>
    <t>Fact#: 321950 Rec#: 29953 SANCHEZ MEDINA FELIX</t>
  </si>
  <si>
    <t>IC-4339</t>
  </si>
  <si>
    <t>Fact#: 321200 Rec#: 12629 APOLO QUEZADA IVAN RAMIRO</t>
  </si>
  <si>
    <t>IC-4280</t>
  </si>
  <si>
    <t>Fact#: 320476 Rec#: 12628 SEGUNDO PATRICIO ALMACHE AGUIRRE</t>
  </si>
  <si>
    <t>IC-4279</t>
  </si>
  <si>
    <t>Fact#: 320109 Rec#: 12627 ARCE FLORES NORBERTO</t>
  </si>
  <si>
    <t>IC-4278</t>
  </si>
  <si>
    <t>Fact#: 1260 Rec#: 12626 ESPIN BIFARINI LOURDES TAMARA</t>
  </si>
  <si>
    <t>IC-4277</t>
  </si>
  <si>
    <t>Fact#: 317548-320285 Rec#: 12625 FLOR VIOLETA CALIZ MARCILLO</t>
  </si>
  <si>
    <t>IC-4276</t>
  </si>
  <si>
    <t>Fact#: 302738-305381-308144 Rec#: 12624 OJEDA GALLEGOS JUAN FERNANDO</t>
  </si>
  <si>
    <t>IC-4275</t>
  </si>
  <si>
    <t>Fact#: 320356 Rec#: 12623 ANGELICA KATTY CALDERON BARRIOS</t>
  </si>
  <si>
    <t>IC-4274</t>
  </si>
  <si>
    <t>Fact#: 304714-307465-310236 Rec#: 12622 GUZMAN QUIÑONEZ MIGUEL EDUARDO</t>
  </si>
  <si>
    <t>IC-4273</t>
  </si>
  <si>
    <t>Fact#: 321632 Rec#: 12621 ZAVALA TORO CRUZ SISIBEL</t>
  </si>
  <si>
    <t>IC-4272</t>
  </si>
  <si>
    <t>Fact#: 321947 Rec#: 12620 BRIONES BAQUERIZO ALFREDO ROBERTO</t>
  </si>
  <si>
    <t>IC-4271</t>
  </si>
  <si>
    <t>Fact#: 321952 Rec#: 12619 ARAUJO AGUIRRE JUAN JOSE</t>
  </si>
  <si>
    <t>IC-4270</t>
  </si>
  <si>
    <t>Fact#: 312499-315184-317876 Rec#: 12618 DIOCELINA JACQUELINE HERNANDEZ CRUZ</t>
  </si>
  <si>
    <t>IC-4269</t>
  </si>
  <si>
    <t>Fact#: 318579-321295 Rec#: 12617 MERA BAUTISTA RONALD DARIO</t>
  </si>
  <si>
    <t>IC-4268</t>
  </si>
  <si>
    <t>Fact#: 322515 Rec#: 12616 WEISSON CEDENO GLADYS LORENA</t>
  </si>
  <si>
    <t>IC-4267</t>
  </si>
  <si>
    <t>Fact#: 320183 Rec#: 12615 JESSENIA PATRICIA PEREZ CANTOS</t>
  </si>
  <si>
    <t>IC-4266</t>
  </si>
  <si>
    <t>Fact#: 319601-322365 Rec#: 12614 PLANET-MEDIK</t>
  </si>
  <si>
    <t>IC-4265</t>
  </si>
  <si>
    <t>Fact#: 322086 Rec#: 12613 TAPIA ONOFRE MARCOS ANDRES</t>
  </si>
  <si>
    <t>IC-4264</t>
  </si>
  <si>
    <t>Fact#: 315005-317686-320426 Rec#: 12612 CARLOS EDUARDO CARVAJAL LOOR</t>
  </si>
  <si>
    <t>IC-4263</t>
  </si>
  <si>
    <t>Fact#: 321825 Rec#: 12611 LAURIDO ROMERO MOISES ARGENIS</t>
  </si>
  <si>
    <t>IC-4262</t>
  </si>
  <si>
    <t>Fact#: 318703-321416 Rec#: 12610 BORBOR VILLON ALEX ALEJANDRO</t>
  </si>
  <si>
    <t>IC-4261</t>
  </si>
  <si>
    <t>Fact#: 317975-320711 Rec#: 12609 JUVIKA JOHANNA CABUYALES HUACON</t>
  </si>
  <si>
    <t>IC-4260</t>
  </si>
  <si>
    <t>Fact#: 321174 Rec#: 12608 CAMPOS MANZABA ESTEFANIA XIOMARA</t>
  </si>
  <si>
    <t>IC-4259</t>
  </si>
  <si>
    <t>Fact#: 322251 Rec#: 12607 CAMPOS Y ASOCIADOS CIA LTDA</t>
  </si>
  <si>
    <t>IC-4258</t>
  </si>
  <si>
    <t>Fact#: 321627 Rec#: 12606 GUARANDA SALAZAR MILTON JUAN</t>
  </si>
  <si>
    <t>IC-4257</t>
  </si>
  <si>
    <t>Fact#: 321537 Rec#: 12605 MONTANO  VALDEZ AGUSTO</t>
  </si>
  <si>
    <t>IC-4256</t>
  </si>
  <si>
    <t>Fact#: 1005-1192 Rec#: 12604 JARA SANCHEZ MANUEL BENIGNO</t>
  </si>
  <si>
    <t>IC-4255</t>
  </si>
  <si>
    <t>Fact#: 321827 Rec#: 12603 AGUAYO SOLORZANO JOEL GEOVANNY</t>
  </si>
  <si>
    <t>IC-4254</t>
  </si>
  <si>
    <t>Fact#: 313501-316120-318817 Rec#: 12602 ORELLANA VARGAS RAUL ALBINO</t>
  </si>
  <si>
    <t>IC-4253</t>
  </si>
  <si>
    <t>Fact#: 316909-319635-322399 Rec#: 12601 MATUTE MANUEL VINICIO</t>
  </si>
  <si>
    <t>IC-4252</t>
  </si>
  <si>
    <t>Fact#: 321440 Rec#: 12600 DIAZ PINARGOTE ISIDORA BEATRIZ</t>
  </si>
  <si>
    <t>IC-4251</t>
  </si>
  <si>
    <t>Fact#: 318486-321201 Rec#: 12599 FAJARDO DIAZ MARIA NATALIA</t>
  </si>
  <si>
    <t>IC-4250</t>
  </si>
  <si>
    <t>Fact#: 322127 Rec#: 62172 TEDEX S.A  Cta# 000-514643 Ch# 20182</t>
  </si>
  <si>
    <t>IC-4228</t>
  </si>
  <si>
    <t>Fact#: 322177 Rec#: 62171 INDEXPMAR SOCIEDAD ANONIMA</t>
  </si>
  <si>
    <t>IC-4227</t>
  </si>
  <si>
    <t>Fact#: 322133 Rec#: 29947 LG ELECTRONICS PANAMA S.A</t>
  </si>
  <si>
    <t>IC-4226</t>
  </si>
  <si>
    <t>Fact#: 322346 Rec#: 29946 CIPORT &amp; TECNAC CIPTE C.L</t>
  </si>
  <si>
    <t>IC-4225</t>
  </si>
  <si>
    <t>Fact#: 317418-320155 Rec#: 62170 VARELA LOOR MARIA MONSERRATE</t>
  </si>
  <si>
    <t>IC-4224</t>
  </si>
  <si>
    <t>Fact#: 322149 Rec#: 62169 SER.TRANSPORTE Y LOGISTICA INTEGRADO TRANSLOINTEG.  Cta# 107091545- Ch# 3780</t>
  </si>
  <si>
    <t>IC-4218</t>
  </si>
  <si>
    <t>RONQUILLO MORAN  PERFECTO, PAGO DECIMO CUARTO PERIODO 01/MAR/2019 AL 29/FEB/2020</t>
  </si>
  <si>
    <t>EG-102</t>
  </si>
  <si>
    <t>RONQUILLO MORAN  PERFECTO, PAGO DE 1ERA QUINCENA MES DE MAR-2020</t>
  </si>
  <si>
    <t>EG-101</t>
  </si>
  <si>
    <t>Fact# 19318491 CNEL EP Concepto:CONSUMO DE ENERGÍA ELÉCTRICA PERIODO 11 FEB AL 10 MAR 2020, CÓDIGO:200024271278, SAN FEL</t>
  </si>
  <si>
    <t>EG-100</t>
  </si>
  <si>
    <t>Fact# 0660583 CNEL EP Concepto:CONSUMO DE ENERGÍA ELÉCTRICA PERIODO 28 ENE AL 28 FEB 20202, CÓDIGO:0900421382, URB. TERR</t>
  </si>
  <si>
    <t>EG-99</t>
  </si>
  <si>
    <t>Fact# 24164327 CNEL EP Concepto:CONSUMO DE ENERGÍA ELÉCTRICA PERIODO 30 ENE AL 29 FEB 2020, CÓDIGO:1105385091, MANABI-MA</t>
  </si>
  <si>
    <t>EG-98</t>
  </si>
  <si>
    <t>Fact# 143102396 CORPORACION NACIONAL DE TELECOMUNICACIONES CNT EP Concepto:CONSUMO TELEFÓNICO#42682706 MES DE FEB-2020-</t>
  </si>
  <si>
    <t>EG-97</t>
  </si>
  <si>
    <t>Fact# 143102395 CORPORACION NACIONAL DE TELECOMUNICACIONES CNT EP Concepto:PENSIÓN BÁSICA MES DE FEB-2020, PILOTO 891537</t>
  </si>
  <si>
    <t>EG-96</t>
  </si>
  <si>
    <t>Fact# 143102394 CORPORACION NACIONAL DE TELECOMUNICACIONES CNT EP Concepto:PENSIÓN BÁSICA MES DE FEB-2020 PILOTO#891422</t>
  </si>
  <si>
    <t>EG-95</t>
  </si>
  <si>
    <t>Fact# 143102393 CORPORACION NACIONAL DE TELECOMUNICACIONES CNT EP Concepto:PENSION BASICA SERVICIO#43805540 MES FEB-2020</t>
  </si>
  <si>
    <t>EG-94</t>
  </si>
  <si>
    <t>Fact# 143102392 CORPORACION NACIONAL DE TELECOMUNICACIONES CNT EP Concepto:PENSIÓN BÁSICA SERVICIO#23820600 MES DE FEB-2</t>
  </si>
  <si>
    <t>EG-93</t>
  </si>
  <si>
    <t>Fact# 0062218 AIG METROPOLITANA CIA DE SEGUROS                   Concepto:PAGO DE SEGURO POR ACCIDENTE MES DE MAR-2020-</t>
  </si>
  <si>
    <t>EG-92</t>
  </si>
  <si>
    <t>EG-91</t>
  </si>
  <si>
    <t>Fact# 0000435 LEADING EDGE AUDIT &amp; CONSULTING CIA. LTDA. Concepto:LEADING EDGE &amp; CONSULTING, HONORARIOS PROFESIONALES PO</t>
  </si>
  <si>
    <t>EG-90</t>
  </si>
  <si>
    <t>AYLLON LOOR ANGGYE LORENA CANCELA TELEFONO 3907381 ABONA SGTE FACTURA</t>
  </si>
  <si>
    <t>AT-3033</t>
  </si>
  <si>
    <t>AT-3032</t>
  </si>
  <si>
    <t>Anulado con Ch. # 3315 del comprobante AN-16 PAGO REALIZADO POR TRANSFERENCIAS</t>
  </si>
  <si>
    <t>AN-16</t>
  </si>
  <si>
    <t>Anulado con Ch. # 3324 del comprobante AN-14 PAGO REALIZADO POR TRANSFERENCIA</t>
  </si>
  <si>
    <t>AN-14</t>
  </si>
  <si>
    <t>Anulado con Ch. # 3323 del comprobante AN-13 PAGO REALIZADO POR TRANSFERENCIA</t>
  </si>
  <si>
    <t>AN-13</t>
  </si>
  <si>
    <t>Anulado con Ch. # 3317 del comprobante AN-12 PAGO POR TRANSFERENCIA</t>
  </si>
  <si>
    <t>AN-12</t>
  </si>
  <si>
    <t>Anulado con Ch. # 3326 del comprobante AN-11 PAGO REALIZADO POR TRANSFERENCIA</t>
  </si>
  <si>
    <t>AN-11</t>
  </si>
  <si>
    <t>Anulado con Ch. # 3327 del comprobante AN-10 PAGO REALIZADO POR TRANSFERENCIA</t>
  </si>
  <si>
    <t>AN-10</t>
  </si>
  <si>
    <t>Anulado con Ch. # 3318 del comprobante AN-9 PAGO REALIZADO POR TRANSFERENCIA</t>
  </si>
  <si>
    <t>AN-9</t>
  </si>
  <si>
    <t>Anulado con Ch. # 3319 del comprobante AN-8 PAGO REALIZADO POR TRANSFERENCIA</t>
  </si>
  <si>
    <t>AN-8</t>
  </si>
  <si>
    <t>Anulado con Ch. # 3320 del comprobante AN-7 PAGO REALIZADO POR TRANSFERENCIA</t>
  </si>
  <si>
    <t>AN-7</t>
  </si>
  <si>
    <t>Anulado con Ch. # 3321 del comprobante AN-6 PAGO REALIZADO POR TRANSFERENCIA</t>
  </si>
  <si>
    <t>AN-6</t>
  </si>
  <si>
    <t>Anulado con Ch. # 3322 del comprobante AN-5 PAGO REALIZADO POR TRANSFERENCIA</t>
  </si>
  <si>
    <t>AN-5</t>
  </si>
  <si>
    <t>Fact#: 320769 Rec#: 29945 GENOVESE CEVALLOS GIANCARLO CESAR</t>
  </si>
  <si>
    <t>IC-4223</t>
  </si>
  <si>
    <t>Fact#: 691-692 Rec#: 29944 F.V - AREA ANDINA S.A.</t>
  </si>
  <si>
    <t>IC-4222</t>
  </si>
  <si>
    <t>Fact#: 306071-319793-322557 Rec#: 29943 SEGUNET S.A.</t>
  </si>
  <si>
    <t>IC-4217</t>
  </si>
  <si>
    <t>Fact#: 320695 Rec#: 29942 ANDRES GONZALO CELI PEREZ</t>
  </si>
  <si>
    <t>IC-4216</t>
  </si>
  <si>
    <t>Fact#: 320023 Rec#: 29941 MARIA DOLORES COBOS MARMOLEJO</t>
  </si>
  <si>
    <t>IC-4215</t>
  </si>
  <si>
    <t>Fact#: 320263 Rec#: 29940 MANUEL ISAIAS TAPIA LOPEZ</t>
  </si>
  <si>
    <t>IC-4214</t>
  </si>
  <si>
    <t>Fact#: 320066 Rec#: 29939 TANNIA ELIZABETH  CARRERA CALDERON</t>
  </si>
  <si>
    <t>IC-4213</t>
  </si>
  <si>
    <t>Fact#: 320231 Rec#: 29938 JENNY NATALIA MARTINEZ BAQUE</t>
  </si>
  <si>
    <t>IC-4212</t>
  </si>
  <si>
    <t>Fact#: 313739-316357-319081 Rec#: 12598 JORDAN MENDOZA MANUEL EDUARDO</t>
  </si>
  <si>
    <t>IC-4211</t>
  </si>
  <si>
    <t>Fact#: 321818 Rec#: 12597 PARRAGA JOSE JUAN</t>
  </si>
  <si>
    <t>IC-4210</t>
  </si>
  <si>
    <t>Fact#: 317550-320288 Rec#: 12596 NUBIA CICELY LOPEZ CONTRERAS</t>
  </si>
  <si>
    <t>IC-4209</t>
  </si>
  <si>
    <t>Fact#: 1217 Rec#: 12595 SANGUCHO MONTENEGRO CARMEN ROCIO</t>
  </si>
  <si>
    <t>IC-4208</t>
  </si>
  <si>
    <t>Fact#: 320046 Rec#: 12594 ALEX ENRIQUE  MARTINEZ ESPINOZA</t>
  </si>
  <si>
    <t>IC-4207</t>
  </si>
  <si>
    <t>Fact#: 320175 Rec#: 12593 JULIO CESAR MONCAYO CRESPIN</t>
  </si>
  <si>
    <t>IC-4206</t>
  </si>
  <si>
    <t>Fact#: 322067 Rec#: 12592 LINDAO CEDENO KATHERIN LIZBETH</t>
  </si>
  <si>
    <t>IC-4205</t>
  </si>
  <si>
    <t>Fact#: 320898 Rec#: 12591 GUERRERO HOLGUIN JAIME GUSTAVO</t>
  </si>
  <si>
    <t>IC-4204</t>
  </si>
  <si>
    <t>Fact#: 310699-313425-316056 Rec#: 12590 TORRES RODRIGUEZ LILI PAOLA</t>
  </si>
  <si>
    <t>IC-4203</t>
  </si>
  <si>
    <t>Fact#: 321887 Rec#: 12589 VILLACIS LOPEZ ATALA ELENA</t>
  </si>
  <si>
    <t>IC-4202</t>
  </si>
  <si>
    <t>Fact#: 317683-320423 Rec#: 12588 RICHARD VICENTE TORRES POVEDA</t>
  </si>
  <si>
    <t>IC-4201</t>
  </si>
  <si>
    <t>Fact#: 318754-321469 Rec#: 12587 CHEME AYALA MARTHA JANINA</t>
  </si>
  <si>
    <t>IC-4200</t>
  </si>
  <si>
    <t>Fact#: 320723 Rec#: 12586 RICHARD ORLANDO CHIQUITO MOLINA</t>
  </si>
  <si>
    <t>IC-4199</t>
  </si>
  <si>
    <t>Fact#: 318216-320948 Rec#: 12585 CASTRO RIVERA JONATHAN GEOVANNY</t>
  </si>
  <si>
    <t>IC-4198</t>
  </si>
  <si>
    <t>Fact#: 321651 Rec#: 12584 CORDOBA EIDER JOSE</t>
  </si>
  <si>
    <t>IC-4197</t>
  </si>
  <si>
    <t>Fact#: 321367 Rec#: 12583 MANYA CEPEDA WILLIAM DAVID</t>
  </si>
  <si>
    <t>IC-4196</t>
  </si>
  <si>
    <t>Fact#: 317048-319774-322538 Rec#: 12582 CABANILLA FUENTES CINDY GABRIELA</t>
  </si>
  <si>
    <t>IC-4195</t>
  </si>
  <si>
    <t>Fact#: 317844-320585 Rec#: 12581 EDISON FERNANDO MERA CASTAÑEDA</t>
  </si>
  <si>
    <t>IC-4194</t>
  </si>
  <si>
    <t>Fact#: 318046-320781 Rec#: 12580 GONZALEZ MELLA CRISTIAN ALEJANDRO</t>
  </si>
  <si>
    <t>IC-4193</t>
  </si>
  <si>
    <t>Fact#: 320105 Rec#: 12579 RIOS ORELLANA INGRID DE LA CRUZ</t>
  </si>
  <si>
    <t>IC-4192</t>
  </si>
  <si>
    <t>Fact#: 321434 Rec#: 12578 BRITO MOREIRA KARINA DE JESUS</t>
  </si>
  <si>
    <t>IC-4191</t>
  </si>
  <si>
    <t>Fact#: 315701-318395-321116 Rec#: 12577 PENA PAREDES PEDRO PABLO</t>
  </si>
  <si>
    <t>IC-4190</t>
  </si>
  <si>
    <t>Fact#: 321343 Rec#: 12576 CEVALLOS ORVEN AMADITA</t>
  </si>
  <si>
    <t>IC-4189</t>
  </si>
  <si>
    <t>Fact#: 319175-321895 Rec#: 12575 ZAMBRANO JAIME MARIA AUXILIADORA</t>
  </si>
  <si>
    <t>IC-4188</t>
  </si>
  <si>
    <t>Fact#: 313640-316257-318956 Rec#: 12574 MOLINA MOLINA PEDRO ANDRES</t>
  </si>
  <si>
    <t>IC-4187</t>
  </si>
  <si>
    <t>Fact#: 315322-318013-320748 Rec#: 12573 ANNABELLE DEL ROCIO AVILA COELLO</t>
  </si>
  <si>
    <t>IC-4186</t>
  </si>
  <si>
    <t>Fact#: 313668-316285-318990 Rec#: 12572 RODRIGUEZ CARRASCO JOICCE MOISES</t>
  </si>
  <si>
    <t>IC-4185</t>
  </si>
  <si>
    <t>Fact#: 319205-321926 Rec#: 12571 ALVARADO JALCA JAZMIN ESTHER</t>
  </si>
  <si>
    <t>IC-4184</t>
  </si>
  <si>
    <t>Fact#: 322282 Rec#: 62168 SOCIEDAD DE HECHO SAMBAC  Cta# 02-0090218 Ch# 3216</t>
  </si>
  <si>
    <t>IC-4183</t>
  </si>
  <si>
    <t>Fact#: 322315 Rec#: 62167 BONELLY S.A.  Cta# 01-0208162 Ch# 2549</t>
  </si>
  <si>
    <t>IC-4182</t>
  </si>
  <si>
    <t>Fact#: 312548-315234-317926 Rec#: 62166 CARMEN LUISA PORTUGAL JACOME</t>
  </si>
  <si>
    <t>IC-4181</t>
  </si>
  <si>
    <t>Fact#: 322156 Rec#: 62165 CARVAGU S.A.</t>
  </si>
  <si>
    <t>IC-4180</t>
  </si>
  <si>
    <t>Fact#: 321322 Rec#: 62164 SEGOVIA TOMALA DENNIS ABEL</t>
  </si>
  <si>
    <t>IC-4178</t>
  </si>
  <si>
    <t>Fact#: 316628 Rec#: 62163 ACUYUL S.A</t>
  </si>
  <si>
    <t>IC-4176</t>
  </si>
  <si>
    <t>Fact#: 320125-320212 Rec#: 62162 YOLANDA VERONICA MARTINEZ ESPINOZA</t>
  </si>
  <si>
    <t>IC-4175</t>
  </si>
  <si>
    <t>Fact#: 317375 Rec#: 62161 PAINIZ FLORES BELLA LINDA</t>
  </si>
  <si>
    <t>IC-4174</t>
  </si>
  <si>
    <t>Fact#: 319314-322025 Rec#: 29936 MONTEALEGRE PEDRO JOAQUIN</t>
  </si>
  <si>
    <t>IC-4173</t>
  </si>
  <si>
    <t>Fact#: 315944-318644-321359 Rec#: 29935 GARCIA BAJANA NAYITH ALEJANDRO</t>
  </si>
  <si>
    <t>IC-4162</t>
  </si>
  <si>
    <t>Fact#: 320396 Rec#: 29933 ALFREDO GEOVANNY SANCHEZ BENAVIDES</t>
  </si>
  <si>
    <t>IC-4161</t>
  </si>
  <si>
    <t>Fact#: 322280 Rec#: 29934 CHRISTIAN JAVIER MIDEROS ROMERO</t>
  </si>
  <si>
    <t>IC-4160</t>
  </si>
  <si>
    <t>Fact#: 320297 Rec#: 29932 CARLOS IVAN AGUIRRE GARCIA</t>
  </si>
  <si>
    <t>IC-4159</t>
  </si>
  <si>
    <t>Fact#: 322578 Rec#: 29931 SILVA CHIQUITO JOSE LUIS</t>
  </si>
  <si>
    <t>IC-4158</t>
  </si>
  <si>
    <t>Fact#: 322570 Rec#: 12570 BRODERIN S.A</t>
  </si>
  <si>
    <t>IC-4157</t>
  </si>
  <si>
    <t>Fact#: 320241 Rec#: 12569 CARLOS GUILLERMO MUÑOZ GUTIERREZ</t>
  </si>
  <si>
    <t>IC-4156</t>
  </si>
  <si>
    <t>Fact#: 322058 Rec#: 12568 MUNOZ PINARGOTE LISBETH ALEXANDRA</t>
  </si>
  <si>
    <t>IC-4155</t>
  </si>
  <si>
    <t>Fact#: 321199 Rec#: 12567 VILLEGAS BASTIDAS JOSE ALFREDO</t>
  </si>
  <si>
    <t>IC-4154</t>
  </si>
  <si>
    <t>Fact#: 320108 Rec#: 12566 ARMANDO ROBERTO  YAGUAL BRITO</t>
  </si>
  <si>
    <t>IC-4152</t>
  </si>
  <si>
    <t>Fact#: 320032 Rec#: 12565 ARMANDO ROBERTO  YAGUAL BRITO</t>
  </si>
  <si>
    <t>IC-4132</t>
  </si>
  <si>
    <t>Fact#: 321770 Rec#: 12564 CASAGRANDE GARBOA BYRON OTON</t>
  </si>
  <si>
    <t>IC-4130</t>
  </si>
  <si>
    <t>Fact#: 319960 Rec#: 12563 MORAIMA SEMINARIO TOLEDO</t>
  </si>
  <si>
    <t>IC-4129</t>
  </si>
  <si>
    <t>Fact#: 319303-322012 Rec#: 12562 BROCEL LOZANO DIEGO EFRAIN</t>
  </si>
  <si>
    <t>IC-4124</t>
  </si>
  <si>
    <t>Fact#: 304852-307609-310370 Rec#: 12561 MORA RODRIGUEZ BLANCA MARGARITA</t>
  </si>
  <si>
    <t>IC-4123</t>
  </si>
  <si>
    <t>Fact#: 318848-321557 Rec#: 12560 ROSALES TRIVINO MARGARITA AURORA</t>
  </si>
  <si>
    <t>IC-4122</t>
  </si>
  <si>
    <t>Fact#: 318065-320798 Rec#: 12559 TAMAYO CARABALLOSO LISANDRA MERCEDES</t>
  </si>
  <si>
    <t>IC-4121</t>
  </si>
  <si>
    <t>Fact#: 307166-309946-312707 Rec#: 12558 VERA VELASQUEZ MARIA AUXILIADORA</t>
  </si>
  <si>
    <t>IC-4120</t>
  </si>
  <si>
    <t>Fact#: 321814 Rec#: 12557 GONZALEZ SINCHE EDWIN VICENTE</t>
  </si>
  <si>
    <t>IC-4119</t>
  </si>
  <si>
    <t>Fact#: 321026 Rec#: 12556 YANEZ ARROYO LUIS ALBERTO</t>
  </si>
  <si>
    <t>IC-4118</t>
  </si>
  <si>
    <t>Fact#: 313693-316309-319024 Rec#: 12555 PALMA PADILLA MANUEL HUMBERTO</t>
  </si>
  <si>
    <t>IC-4117</t>
  </si>
  <si>
    <t>Fact#: 316208-318906-321608 Rec#: 12554 BRAVO CARVAJAL ALEXANDRA ELIZABETH</t>
  </si>
  <si>
    <t>IC-4116</t>
  </si>
  <si>
    <t>Fact#: 321867 Rec#: 12553 RIVADENEIRA ZAMBRANO ANGEL FAUSTO</t>
  </si>
  <si>
    <t>IC-4115</t>
  </si>
  <si>
    <t>Fact#: 319503-322266 Rec#: 12552 FORMICONSTRUC S.A.</t>
  </si>
  <si>
    <t>IC-4114</t>
  </si>
  <si>
    <t>Fact#: 319502-322265 Rec#: 12551 FORMICONSTRUC S.A.</t>
  </si>
  <si>
    <t>IC-4113</t>
  </si>
  <si>
    <t>Fact#: 1138-1334 Rec#: 12550 ROSO SANCHEZ JHONATAN ALFONSO</t>
  </si>
  <si>
    <t>IC-4112</t>
  </si>
  <si>
    <t>Fact#: 311144-313854-316450 Rec#: 12549 TAPIA RODRIGUEZ MARIOLI MARITZA</t>
  </si>
  <si>
    <t>IC-4111</t>
  </si>
  <si>
    <t>Fact#: 321385 Rec#: 12548 BOLANO HURTADO SUGEY MERY</t>
  </si>
  <si>
    <t>IC-4110</t>
  </si>
  <si>
    <t>Fact#: 319602-322366 Rec#: 62160 AMESSEC CIA.LTDA</t>
  </si>
  <si>
    <t>IC-4109</t>
  </si>
  <si>
    <t>Fact#: 322307 Rec#: 62159 LOGISTICA ZEUS S.A. LOGZEUS</t>
  </si>
  <si>
    <t>IC-4108</t>
  </si>
  <si>
    <t>Fact#: 322316 Rec#: 62158 CALIZAS Y MINERALES CALMOSACORP CIA. LTDA.  Cta# 003201901- Ch# 6825</t>
  </si>
  <si>
    <t>IC-4107</t>
  </si>
  <si>
    <t>Fact#: 322332-322333 Rec#: 62157 WINSTOCORP S.A.</t>
  </si>
  <si>
    <t>IC-4100</t>
  </si>
  <si>
    <t>Fact#: 321800 Rec#: 62156 HERRERA LOOR GUILLERMO NILBERTO</t>
  </si>
  <si>
    <t>IC-4096</t>
  </si>
  <si>
    <t>Fact#: 322135 Rec#: 62155 INSTALACION DE TUBOS DE HORMIGON S.A. INSTUGO  Cta# 0788767-1 Ch# 1078</t>
  </si>
  <si>
    <t>IC-4094</t>
  </si>
  <si>
    <t>ALFREDO GEOVANNY SANCHEZ BENAVIDES CANCELA TELEFONO 3903841 ABONA SGTE FACTURA</t>
  </si>
  <si>
    <t>AT-3031</t>
  </si>
  <si>
    <t>Fact#: 322623 Rec#: 29937 LOURDES MAGALI PINEDA COBA (FAST CYBER)</t>
  </si>
  <si>
    <t>IC-4177</t>
  </si>
  <si>
    <t>Fact#: 322486 Rec#: 29929 ADUANOVACORP S.A.</t>
  </si>
  <si>
    <t>IC-4105</t>
  </si>
  <si>
    <t>Fact#: 317496-320232 Rec#: 29928 LUIS ANTONIO CARVAJAL TORAL</t>
  </si>
  <si>
    <t>IC-4104</t>
  </si>
  <si>
    <t>Fact#: 318630-321344 Rec#: 29927 SANCHEZ EGAS LIZETH MARITZA</t>
  </si>
  <si>
    <t>IC-4093</t>
  </si>
  <si>
    <t>Fact#: 318140-320872 Rec#: 29926 BRITO LAVAYEN BEATRIZ TERESA</t>
  </si>
  <si>
    <t>IC-4092</t>
  </si>
  <si>
    <t>Fact#: 317407-320143 Rec#: 29925 RODRIGUEZ Y DUQUE JORGE</t>
  </si>
  <si>
    <t>IC-4091</t>
  </si>
  <si>
    <t>Fact#: 322514 Rec#: 12547 REX PLASTICS S.A.</t>
  </si>
  <si>
    <t>IC-4090</t>
  </si>
  <si>
    <t>Fact#: 321195 Rec#: 12546 ESCOBAR HERRERA EDISON EDUARDO</t>
  </si>
  <si>
    <t>IC-4089</t>
  </si>
  <si>
    <t>Fact#: 321572 Rec#: 12545 CABELLO CHIRIGUAYA DAVID ELIAS</t>
  </si>
  <si>
    <t>IC-4088</t>
  </si>
  <si>
    <t>Fact#: 321360 Rec#: 12544 RONQUILLO LOPEZ BIRMANIA NURY</t>
  </si>
  <si>
    <t>IC-4087</t>
  </si>
  <si>
    <t>Fact#: 321307 Rec#: 12543 SALAZAR TELLO NICOLAS EDUARDO</t>
  </si>
  <si>
    <t>IC-4086</t>
  </si>
  <si>
    <t>Fact#: 321289 Rec#: 12542 SALAZAR TELLO NICOLAS EDUARDO</t>
  </si>
  <si>
    <t>IC-4085</t>
  </si>
  <si>
    <t>Fact#: 319084-321789 Rec#: 12541 SANDOVAL MORALES MARGARITA DE LAS MERCEDES</t>
  </si>
  <si>
    <t>IC-4084</t>
  </si>
  <si>
    <t>Fact#: 320972 Rec#: 12540 BAÑOS BARRAGAN FLOR AMERICA</t>
  </si>
  <si>
    <t>IC-4083</t>
  </si>
  <si>
    <t>Fact#: 320868 Rec#: 12539 PINO MATAMOROS GALO EFRAIN</t>
  </si>
  <si>
    <t>IC-4082</t>
  </si>
  <si>
    <t>Fact#: 318613-321329 Rec#: 12538 NEIRA PILLASAGUA ROSA DEL CARMEN</t>
  </si>
  <si>
    <t>IC-4081</t>
  </si>
  <si>
    <t>Fact#: 312897-315564-318257 Rec#: 12537 LOZADA TOBAR ADRIANA VERONICA</t>
  </si>
  <si>
    <t>IC-4080</t>
  </si>
  <si>
    <t>Fact#: 317860-320601 Rec#: 12536 MARIA ESTEFANIA VERA MENDOZA</t>
  </si>
  <si>
    <t>IC-4079</t>
  </si>
  <si>
    <t>Fact#: 320592 Rec#: 12535 ANDREA DEL PILAR LOOR SUAREZ</t>
  </si>
  <si>
    <t>IC-4078</t>
  </si>
  <si>
    <t>Fact#: 321005 Rec#: 12534 ROSADO YANEZ ISABEL DEL ROCIO</t>
  </si>
  <si>
    <t>IC-4077</t>
  </si>
  <si>
    <t>Fact#: 322591 Rec#: 12533 PAN ZI</t>
  </si>
  <si>
    <t>IC-4076</t>
  </si>
  <si>
    <t>Fact#: 322590 Rec#: 12532 PAN ZI</t>
  </si>
  <si>
    <t>IC-4075</t>
  </si>
  <si>
    <t>Fact#: 322090 Rec#: 12531 MITE LOPEZ JESSICA ALEXANDRA</t>
  </si>
  <si>
    <t>IC-4074</t>
  </si>
  <si>
    <t>Fact#: 321653 Rec#: 12530 MORAN POZO CRUZ HYDEE</t>
  </si>
  <si>
    <t>IC-4073</t>
  </si>
  <si>
    <t>Fact#: 317891-320630 Rec#: 12529 ALBERTO WILSON CHOEZ FIGUEROA</t>
  </si>
  <si>
    <t>IC-4072</t>
  </si>
  <si>
    <t>Fact#: 321762 Rec#: 12528 LOPEZ CARCHI CARLOS ANTONIO</t>
  </si>
  <si>
    <t>IC-4071</t>
  </si>
  <si>
    <t>Fact#: 315644-318337-321060 Rec#: 12527 ESPINOSA CORDOVA TEODULO FRANCISCO</t>
  </si>
  <si>
    <t>IC-4070</t>
  </si>
  <si>
    <t>Fact#: 320513 Rec#: 12526 JAVIER FEDERICO VILLON ANASTACIO</t>
  </si>
  <si>
    <t>IC-4069</t>
  </si>
  <si>
    <t>Fact#: 336-461-587 Rec#: 12525 AGUDELO GOMEZ ANGELA MARIA</t>
  </si>
  <si>
    <t>IC-4068</t>
  </si>
  <si>
    <t>Fact#: 320161 Rec#: 12524 LAINEZ FERNANDEZ LUDYS LADIMIRA</t>
  </si>
  <si>
    <t>IC-4067</t>
  </si>
  <si>
    <t>Fact#: 321630 Rec#: 12523 GOMEZ VERA NATALY ELIZABETH</t>
  </si>
  <si>
    <t>IC-4066</t>
  </si>
  <si>
    <t>Fact#: 320670 Rec#: 12522 LUIS ENRIQUE APOLINARIO ROJAS</t>
  </si>
  <si>
    <t>IC-4065</t>
  </si>
  <si>
    <t>Fact#: 318179-320908 Rec#: 12521 ACOSTA HERNANDEZ MARITZA NOEMI</t>
  </si>
  <si>
    <t>IC-4064</t>
  </si>
  <si>
    <t>Fact#: 304307-307062-309850 Rec#: 12520 SONIA GUERRA IGLESIAS</t>
  </si>
  <si>
    <t>IC-4063</t>
  </si>
  <si>
    <t>Fact#: 319658-322422 Rec#: 12519 CASTRO VILLEGAS ALBERTO ALEJANDRO</t>
  </si>
  <si>
    <t>IC-4062</t>
  </si>
  <si>
    <t>Fact#: 321489 Rec#: 12518 FIGUEROA RIOS MIGUEL IBSEN</t>
  </si>
  <si>
    <t>IC-4061</t>
  </si>
  <si>
    <t>Fact#: 322179 Rec#: 62154 COMBLANC DEL ECUADOR S.A.  Cta# 02-0061457 Ch# 1325</t>
  </si>
  <si>
    <t>IC-4060</t>
  </si>
  <si>
    <t>Fact#: 318639-321354 Rec#: 62153 IZURIETA MEDINA KARINA EULALIA</t>
  </si>
  <si>
    <t>IC-4057</t>
  </si>
  <si>
    <t>Fact#: 318967-321665 Rec#: 62152 MURGA JARAMILLO VERONICA DEL CARMEN</t>
  </si>
  <si>
    <t>IC-4056</t>
  </si>
  <si>
    <t>Fact#: 317656-319053-321751 Rec#: 62151 ALFREDO GEOVANNY SANCHEZ BENAVIDES</t>
  </si>
  <si>
    <t>IC-4055</t>
  </si>
  <si>
    <t>Fact#: 322196-322197-322613-322614-322615 Rec#: 62145 SINOXSA ECUADOR S.A.</t>
  </si>
  <si>
    <t>IC-4052</t>
  </si>
  <si>
    <t>Fact#: 322296 Rec#: 62144 INMOBILIARIA GALILEA-ECUADOR S.A</t>
  </si>
  <si>
    <t>IC-4051</t>
  </si>
  <si>
    <t>Fact#: 322144 Rec#: 62143 ASOCIACION DE PROPIETARIOS DE LA URB. LA LAGUNA  Cta# 000-507253 Ch# 6826</t>
  </si>
  <si>
    <t>IC-4050</t>
  </si>
  <si>
    <t>Fact#: 322371 Rec#: 29930 FERRUX S.A.</t>
  </si>
  <si>
    <t>IC-4106</t>
  </si>
  <si>
    <t>Fact#: 321206 Rec#: 29919 MANRIQUE OSORIO XAVIER ENRIQUE</t>
  </si>
  <si>
    <t>IC-4049</t>
  </si>
  <si>
    <t>Fact#: 316960-319684-322450 Rec#: 29924 COMERCIALIZADORA DE PROUCTOS &amp; SERVICIOS ECUADOR S.A</t>
  </si>
  <si>
    <t>IC-4048</t>
  </si>
  <si>
    <t>Fact#: 322184 Rec#: 29923 JORGE RODRIGUEZ Y DUQUE</t>
  </si>
  <si>
    <t>IC-4047</t>
  </si>
  <si>
    <t>Fact#: 321788 Rec#: 29922 REYES SOLIS  MARJORIE YOLANDA</t>
  </si>
  <si>
    <t>IC-4046</t>
  </si>
  <si>
    <t>Fact#: 318142-320874 Rec#: 29921 BAQUERO PILOSO OTTO XAVIER</t>
  </si>
  <si>
    <t>IC-4045</t>
  </si>
  <si>
    <t>Fact#: 322477 Rec#: 29920 GENERALAIR S. A</t>
  </si>
  <si>
    <t>IC-4044</t>
  </si>
  <si>
    <t>Fact#: 319823-322587 Rec#: 29918 ORELLANA ALVAREZ FRANKLIN NAPOLEON</t>
  </si>
  <si>
    <t>IC-4043</t>
  </si>
  <si>
    <t>Fact#: 321039 Rec#: 12517 DELGADO VINTIMILLA CARLOS FERNANDO</t>
  </si>
  <si>
    <t>IC-4042</t>
  </si>
  <si>
    <t>Fact#: 320084 Rec#: 12516 GERARDO MAURICIO  SEGARRA BARRIGA</t>
  </si>
  <si>
    <t>IC-4041</t>
  </si>
  <si>
    <t>Fact#: 319734-322498 Rec#: 12515 MEDINA CHOCO JORDY JOEL</t>
  </si>
  <si>
    <t>IC-4040</t>
  </si>
  <si>
    <t>Fact#: 320013 Rec#: 12514 SANDRA PATRICIA MOREJON LLANOS</t>
  </si>
  <si>
    <t>IC-4039</t>
  </si>
  <si>
    <t>Fact#: 320468 Rec#: 12513 EISTEHIN GILBERTO PLAZA VERA</t>
  </si>
  <si>
    <t>IC-4038</t>
  </si>
  <si>
    <t>Fact#: 318311-321034 Rec#: 12512 MOLINA BUSTOS JAIRO RAMIRO</t>
  </si>
  <si>
    <t>IC-4037</t>
  </si>
  <si>
    <t>Fact#: 319677-322442 Rec#: 12511 CORPORACION DE TRANSPORTISTAS DEL ECUADOR S.A.</t>
  </si>
  <si>
    <t>IC-4036</t>
  </si>
  <si>
    <t>Fact#: 315499-318192-320923 Rec#: 12510 MATAMOROS CHUNGA HOLGER EDUARDO</t>
  </si>
  <si>
    <t>IC-4035</t>
  </si>
  <si>
    <t>Fact#: 320326 Rec#: 12509 GLORIA GABRIELA VARGAS ACUÑA</t>
  </si>
  <si>
    <t>IC-4034</t>
  </si>
  <si>
    <t>Fact#: 315067-317755-320495 Rec#: 12508 SHIRLEY MADELYNE CHOMPOL GASPAR</t>
  </si>
  <si>
    <t>IC-4033</t>
  </si>
  <si>
    <t>Fact#: 318307-321030 Rec#: 12507 REINOSO VASCONEZ RONALD HUMBERTO</t>
  </si>
  <si>
    <t>IC-4032</t>
  </si>
  <si>
    <t>Fact#: 312998-315660-318353 Rec#: 12506 ROMERO VERA MARIANA DE LAS MERCEDES</t>
  </si>
  <si>
    <t>IC-4031</t>
  </si>
  <si>
    <t>Fact#: 278166-280541-282808 Rec#: 12505 GERMAN MORENO JOSE EDUARDO</t>
  </si>
  <si>
    <t>IC-4030</t>
  </si>
  <si>
    <t>Fact#: 317695-320436 Rec#: 12504 LUIS FERNANDO FALCONES ZAMBRANO</t>
  </si>
  <si>
    <t>IC-4029</t>
  </si>
  <si>
    <t>Fact#: 321193 Rec#: 12503 AGUIRRE HURTADO KATHERINE ELIZABETH</t>
  </si>
  <si>
    <t>IC-4028</t>
  </si>
  <si>
    <t>Fact#: 318748-321463 Rec#: 12502 CORDOVA REYES CARLOS HORACIO</t>
  </si>
  <si>
    <t>IC-4027</t>
  </si>
  <si>
    <t>Fact#: 318326-321049 Rec#: 12501 DELGADO ILLESCAS GARY ANDRES</t>
  </si>
  <si>
    <t>IC-4026</t>
  </si>
  <si>
    <t>Fact#: 321833 Rec#: 12500 PRIETO MOLINA ALLAN JOAO</t>
  </si>
  <si>
    <t>IC-4025</t>
  </si>
  <si>
    <t>Fact#: 314631-317301-320042 Rec#: 12499 GREI DOLORES  DELGADO FARIA</t>
  </si>
  <si>
    <t>IC-4024</t>
  </si>
  <si>
    <t>Fact#: 318407-321128 Rec#: 12498 PARRALES GONZALEZ NIXA JASMIN</t>
  </si>
  <si>
    <t>IC-4023</t>
  </si>
  <si>
    <t>Fact#: 317715-320456 Rec#: 12497 NILO JUSTINO GUERRERO INDIO</t>
  </si>
  <si>
    <t>IC-4022</t>
  </si>
  <si>
    <t>Fact#: 315895-318596-321312 Rec#: 12496 CEDENO VILLAVICENCIO ROBERTO ANTONIO</t>
  </si>
  <si>
    <t>IC-4021</t>
  </si>
  <si>
    <t>Fact#: 309841-312602-315285 Rec#: 12495 MARJORIE LUISA SCOTLAND TUTIVEN</t>
  </si>
  <si>
    <t>IC-4020</t>
  </si>
  <si>
    <t>Fact#: 319665-322429 Rec#: 29917 ROSERO CRUZ MARIA AUXILIADORA</t>
  </si>
  <si>
    <t>IC-4019</t>
  </si>
  <si>
    <t>Fact#: 322301 Rec#: 29916 CAROLINA DEL ROCIO GRANDA BARZOLA</t>
  </si>
  <si>
    <t>IC-4018</t>
  </si>
  <si>
    <t>Fact#: 319943 Rec#: 62142 LUIS MANUEL COBOS ARANA</t>
  </si>
  <si>
    <t>IC-4016</t>
  </si>
  <si>
    <t>Fact#: 322152 Rec#: 62141 COLEGIO INTERNACIONAL SEK ECUADOR S.A.  Cta# 100-060101 Ch# 23596</t>
  </si>
  <si>
    <t>IC-4014</t>
  </si>
  <si>
    <t>Fact#: 318377-321100 Rec#: 62140 JARAMILLO RIVERA WILLIAN ADOLFO</t>
  </si>
  <si>
    <t>IC-3998</t>
  </si>
  <si>
    <t>Fact#: 322306 Rec#: 62139 ECUADORIANSHIMP S.A.</t>
  </si>
  <si>
    <t>IC-3995</t>
  </si>
  <si>
    <t>Fact#: 322577 Rec#: 29915 TOPFOOD CIA. LTDA.</t>
  </si>
  <si>
    <t>IC-3994</t>
  </si>
  <si>
    <t>Fact#: 317853-320594 Rec#: 62138 GUILLERMO DANNY TAMAYO SANTOS</t>
  </si>
  <si>
    <t>IC-3983</t>
  </si>
  <si>
    <t>Fact#: 319559-322324 Rec#: 62137 GO &amp; MEDICAL GO&amp;MEDICAL S.A.  Cta# 000-530712 Ch# 944</t>
  </si>
  <si>
    <t>IC-3980</t>
  </si>
  <si>
    <t>Fact#: 319465-322229 Rec#: 62136 ABEL WASHINGTON TUTIVEN VELASQUEZ</t>
  </si>
  <si>
    <t>IC-3967</t>
  </si>
  <si>
    <t>Fact#: 319587-322351 Rec#: 62135 PRODUCTOS TISSUE DEL ECUADOR S.A.</t>
  </si>
  <si>
    <t>IC-3966</t>
  </si>
  <si>
    <t>Fact#: 302000-304646-304878-307401-307634-310393 Rec#: 62134 CEDENO LOPEZ RUBEN EDUARDO</t>
  </si>
  <si>
    <t>IC-3958</t>
  </si>
  <si>
    <t>Fact#: 318119-320852 Rec#: 62133 RENDON SOLIS MARJORIE VALENTINA</t>
  </si>
  <si>
    <t>IC-3951</t>
  </si>
  <si>
    <t>Fact#: 318145-320877 Rec#: 12494 CABEZA BENITEZ MONSERRATE FATIMA</t>
  </si>
  <si>
    <t>IC-3973</t>
  </si>
  <si>
    <t>Fact#: 320999 Rec#: 12493 CAZAR ERAZO RODRIGO ARTURO</t>
  </si>
  <si>
    <t>IC-3972</t>
  </si>
  <si>
    <t>Fact#: 320597 Rec#: 12492 MOISES ROBERTO FRANCO ANDRADE</t>
  </si>
  <si>
    <t>IC-3971</t>
  </si>
  <si>
    <t>Fact#: 320488 Rec#: 12491 TARQUINO EFRAIN VARGAS CARRASCO</t>
  </si>
  <si>
    <t>IC-3970</t>
  </si>
  <si>
    <t>Fact#: 319836-320424 Rec#: 12490 SANDRA ELIZABETH BARBERAN GUADAMUD</t>
  </si>
  <si>
    <t>IC-3969</t>
  </si>
  <si>
    <t>Fact#: 312491-315176-317867 Rec#: 12489 JORGE ANTONIO ALEJANDRO ROSADO</t>
  </si>
  <si>
    <t>IC-3968</t>
  </si>
  <si>
    <t>Fact#: 318146-320878 Rec#: 12488 MARQUEZ CABRERA EDINSON JAVIER</t>
  </si>
  <si>
    <t>IC-3965</t>
  </si>
  <si>
    <t>Fact#: 318155-320888 Rec#: 12487 PLAZA CHUNGA SILVIA MARIA</t>
  </si>
  <si>
    <t>IC-3964</t>
  </si>
  <si>
    <t>Fact#: 317166-319908 Rec#: 12486 DELIA AMPARO SALMERON ACOSTA</t>
  </si>
  <si>
    <t>IC-3963</t>
  </si>
  <si>
    <t>Fact#: 317645-320384 Rec#: 12485 JERRY JEFFREY GARCIA HUAYAMAVE</t>
  </si>
  <si>
    <t>IC-3962</t>
  </si>
  <si>
    <t>Fact#: 317900-320639 Rec#: 12484 VILMA NINFA MORA MORA</t>
  </si>
  <si>
    <t>IC-3961</t>
  </si>
  <si>
    <t>Fact#: 321729 Rec#: 12483 MARQUEZ HONORATO ARNOLDO OSVALDO</t>
  </si>
  <si>
    <t>IC-3960</t>
  </si>
  <si>
    <t>Fact#: 317621-320361 Rec#: 12482 JONATHAN XAVIER RIVAS FIGUEROA</t>
  </si>
  <si>
    <t>IC-3959</t>
  </si>
  <si>
    <t>Fact#: 322522 Rec#: 12481 SOLIS REYES OMAR MICHAEL</t>
  </si>
  <si>
    <t>IC-3957</t>
  </si>
  <si>
    <t>Fact#: 318686-321399 Rec#: 12480 GUADALUPE REMACHE SILVIA FABIOLA</t>
  </si>
  <si>
    <t>IC-3956</t>
  </si>
  <si>
    <t>Fact#: 321836 Rec#: 12479 PONCE BURGOS NORMA ISABEL</t>
  </si>
  <si>
    <t>IC-3955</t>
  </si>
  <si>
    <t>Fact#: 318264-320992 Rec#: 12478 MOLINA ALCIVAR CESAR RAUL</t>
  </si>
  <si>
    <t>IC-3954</t>
  </si>
  <si>
    <t>Fact#: 1062-1248 Rec#: 12477 PAREDES PEREZ GUSTAVO XAVIER</t>
  </si>
  <si>
    <t>IC-3953</t>
  </si>
  <si>
    <t>Fact#: 318040-320775 Rec#: 12476 CARPIO MUÑOZ JOSE ANTONIO</t>
  </si>
  <si>
    <t>IC-3952</t>
  </si>
  <si>
    <t>Fact#: 319769-322533 Rec#: 12475 SALMAN JARAMILLO MILTON RAFAEL</t>
  </si>
  <si>
    <t>IC-3950</t>
  </si>
  <si>
    <t>Fact#: 317436-320173 Rec#: 12474 MARCOS GERMAN VERA ABAD</t>
  </si>
  <si>
    <t>IC-3949</t>
  </si>
  <si>
    <t>Fact#: 311173-313874 Rec#: 12473 DEL SALTO JIMENEZ MERCEDES ESTHER</t>
  </si>
  <si>
    <t>IC-3948</t>
  </si>
  <si>
    <t>Fact#: 317992-320729 Rec#: 12472 GABRIEL CLEMENTE MEJIA MATA</t>
  </si>
  <si>
    <t>IC-3947</t>
  </si>
  <si>
    <t>Fact#: 319121-321837 Rec#: 12471 PEREZ ASENCIO LUCIANO ALBERTO</t>
  </si>
  <si>
    <t>IC-3946</t>
  </si>
  <si>
    <t>Fact#: 317534-320272 Rec#: 12470 EVELYN DAYANA LINO DELGADO</t>
  </si>
  <si>
    <t>IC-3945</t>
  </si>
  <si>
    <t>Fact#: 299242-301886-304532 Rec#: 12469 ARREAGA BOZADA ANGEL DAVID</t>
  </si>
  <si>
    <t>IC-3944</t>
  </si>
  <si>
    <t>Fact#: 312936-315599-318292 Rec#: 12468 RODRIGUEZ SALAZAR JOHANNA EUSEBIA</t>
  </si>
  <si>
    <t>IC-3943</t>
  </si>
  <si>
    <t>Fact#: 317788-320526 Rec#: 12467 FELIX EDUARDO CARRERA CEDEÑO</t>
  </si>
  <si>
    <t>IC-3942</t>
  </si>
  <si>
    <t>Fact#: 322009 Rec#: 12466 JIMENEZ OCHOA LUIS ENRIQUE</t>
  </si>
  <si>
    <t>IC-3941</t>
  </si>
  <si>
    <t>Fact#: 319093-321801 Rec#: 12465 PAREDES TORRES ANGELA DEL ROSARIO</t>
  </si>
  <si>
    <t>IC-3940</t>
  </si>
  <si>
    <t>Fact#: 320470 Rec#: 12464 MICHAEL MAURICIO MORLA MERO</t>
  </si>
  <si>
    <t>IC-3939</t>
  </si>
  <si>
    <t>Fact#: 315231-317923-320662 Rec#: 12463 JOFFRE JULIAN VITE CHOEZ</t>
  </si>
  <si>
    <t>IC-3938</t>
  </si>
  <si>
    <t>Fact#: 319321-322032 Rec#: 12462 RODAS NEIRA MARCIA ELENA</t>
  </si>
  <si>
    <t>IC-3937</t>
  </si>
  <si>
    <t>Fact#: 318729-321443 Rec#: 12461 JIMBO ANDRADE KEVIN ISAAC</t>
  </si>
  <si>
    <t>IC-3936</t>
  </si>
  <si>
    <t>Fact#: 1251 Rec#: 12460 ZABALA BARRIONUEVO RITA CECILIA</t>
  </si>
  <si>
    <t>IC-3935</t>
  </si>
  <si>
    <t>Fact#: 322049 Rec#: 12459 PHILCO BAQUE JORGE FERNANDO</t>
  </si>
  <si>
    <t>IC-3934</t>
  </si>
  <si>
    <t>PAGO ANTICIPO TARJ. CORP. MES DE MAR-2020</t>
  </si>
  <si>
    <t>Fact#: 320502 Rec#: 29914 ROSA DEL CARMEN SANCHEZ PORTILLA</t>
  </si>
  <si>
    <t>IC-3979</t>
  </si>
  <si>
    <t>Fact#: 319336-322056 Rec#: 29913 MAZZINI RIVADENEIRA VALERIE GEOVANNA</t>
  </si>
  <si>
    <t>IC-3978</t>
  </si>
  <si>
    <t>Fact#: 317175-319919 Rec#: 29912 RICHARD EDUARDO DAVILA CABRERA</t>
  </si>
  <si>
    <t>IC-3977</t>
  </si>
  <si>
    <t>Fact#: 317314-320054 Rec#: 29911 MARY ELENA  MONROY PAREDES</t>
  </si>
  <si>
    <t>IC-3976</t>
  </si>
  <si>
    <t>Fact#: 320803 Rec#: 29910 TENENUELA CEPEDA MARIA MANUELA</t>
  </si>
  <si>
    <t>IC-3975</t>
  </si>
  <si>
    <t>Fact#: 321364 Rec#: 29909 VELIZ CASTRO RICARDO XAVIER</t>
  </si>
  <si>
    <t>IC-3974</t>
  </si>
  <si>
    <t>Fact#: 319030-321725 Rec#: 12458 VERDUGA CANARTE ANTONIO ZABULON</t>
  </si>
  <si>
    <t>IC-3933</t>
  </si>
  <si>
    <t>Fact#: 321750 Rec#: 12457 BUSTAMANTE CHUQUIMARCA SANDRA ELIZABETH</t>
  </si>
  <si>
    <t>IC-3932</t>
  </si>
  <si>
    <t>Fact#: 320511 Rec#: 12456 ALONSO RIGOBERTO VALENCIA CHICA</t>
  </si>
  <si>
    <t>IC-3931</t>
  </si>
  <si>
    <t>Fact#: 319354-322120 Rec#: 12455 MICROBIZ CIA. LTDA.</t>
  </si>
  <si>
    <t>IC-3930</t>
  </si>
  <si>
    <t>Fact#: 321748 Rec#: 12454 VARGAS PARRALES CARLOS JORGE</t>
  </si>
  <si>
    <t>IC-3929</t>
  </si>
  <si>
    <t>Fact#: 318479-321194 Rec#: 12453 ZEREGA GARAYCOA MARIA MERCEDES</t>
  </si>
  <si>
    <t>IC-3928</t>
  </si>
  <si>
    <t>Fact#: 319204-321925 Rec#: 12452 MERA NERO JHONNY ALEXANDER</t>
  </si>
  <si>
    <t>IC-3927</t>
  </si>
  <si>
    <t>Fact#: 321820 Rec#: 12451 CERCADO MENDOZA MARIA AUXILIADORA</t>
  </si>
  <si>
    <t>IC-3926</t>
  </si>
  <si>
    <t>Fact#: 316989-319714-322478 Rec#: 12450 QUIMI VALVERDE JENNIFFER FABIOLA</t>
  </si>
  <si>
    <t>IC-3925</t>
  </si>
  <si>
    <t>Fact#: 321797 Rec#: 12449 CABRERA GOMEZ MARTHA INES</t>
  </si>
  <si>
    <t>IC-3924</t>
  </si>
  <si>
    <t>Fact#: 322544 Rec#: 12448 ALVARADO COBOS ALDO MANUEL</t>
  </si>
  <si>
    <t>IC-3923</t>
  </si>
  <si>
    <t>Fact#: 318328-321051 Rec#: 12447 COROZO CORTEZ VICTOR LELY</t>
  </si>
  <si>
    <t>IC-3922</t>
  </si>
  <si>
    <t>Fact#: 317841-320582 Rec#: 12446 ALEX EMILIO TELLO CEDEÑO</t>
  </si>
  <si>
    <t>IC-3921</t>
  </si>
  <si>
    <t>Fact#: 316281-318985-321682 Rec#: 12445 MANZANO CABRERA KEVIN BRYAN</t>
  </si>
  <si>
    <t>IC-3920</t>
  </si>
  <si>
    <t>Fact#: 319172-321893 Rec#: 12444 AYLLON LOOR ANGGYE LORENA</t>
  </si>
  <si>
    <t>IC-3919</t>
  </si>
  <si>
    <t>Fact#: 320044 Rec#: 12443 WALTER ENRIQUE  BAJAÑA MEDINA</t>
  </si>
  <si>
    <t>IC-3918</t>
  </si>
  <si>
    <t>Fact#: 322084 Rec#: 12442 MOSCOSO DE LA TORRE CARLOS ENRIQUE</t>
  </si>
  <si>
    <t>IC-3917</t>
  </si>
  <si>
    <t>Fact#: 322553 Rec#: 12441 W E C A R E   S.A</t>
  </si>
  <si>
    <t>IC-3916</t>
  </si>
  <si>
    <t>Fact#: 318495-321210 Rec#: 12440 ESPINOZA MORAN JORGE FERNANDO</t>
  </si>
  <si>
    <t>IC-3915</t>
  </si>
  <si>
    <t>Fact#: 320309 Rec#: 12439 GISELA LEONOR GARCIA VARGAS</t>
  </si>
  <si>
    <t>IC-3914</t>
  </si>
  <si>
    <t>Fact#: 322064 Rec#: 12438 PRECIADO SALVATIERRA PATRICIA PAOLA</t>
  </si>
  <si>
    <t>IC-3913</t>
  </si>
  <si>
    <t>Fact#: 321620 Rec#: 12437 CHANCAY SOLEDISPA VICTOR MANUEL</t>
  </si>
  <si>
    <t>IC-3912</t>
  </si>
  <si>
    <t>Fact#: 321071 Rec#: 12436 RUBEN DARIO HIDALGO MUÑOZ</t>
  </si>
  <si>
    <t>IC-3911</t>
  </si>
  <si>
    <t>Fact#: 321467 Rec#: 12435 GUAMANQUISPE FLORES TERESA ISABEL</t>
  </si>
  <si>
    <t>IC-3910</t>
  </si>
  <si>
    <t>Fact#: 321678 Rec#: 12434 GUAMANQUISPE FLORES ESPERANZA ANTONIETA</t>
  </si>
  <si>
    <t>IC-3909</t>
  </si>
  <si>
    <t>Fact#: 321311 Rec#: 12433 AVILA ORTIZ GEOVANNY FABRICIO</t>
  </si>
  <si>
    <t>IC-3908</t>
  </si>
  <si>
    <t>Fact#: 322482 Rec#: 12432 LAGOS LAKE ALEJANDRO ANDRE</t>
  </si>
  <si>
    <t>IC-3907</t>
  </si>
  <si>
    <t>Fact#: 322381 Rec#: 12431 LAGOS LAKE ALEJANDRO ANDRE</t>
  </si>
  <si>
    <t>IC-3906</t>
  </si>
  <si>
    <t>Fact#: 321949 Rec#: 12430 ZAMBRANO ZAMBRANO MARIUXI MONSERRATE</t>
  </si>
  <si>
    <t>IC-3905</t>
  </si>
  <si>
    <t>Fact#: 318786-321498 Rec#: 12429 ESCOBAR RODRIGUEZ RICARDO DANIEL</t>
  </si>
  <si>
    <t>IC-3904</t>
  </si>
  <si>
    <t>Fact#: 319580-319590-322344-322354 Rec#: 62132 AVICOLA FERNANDEZ S.A.</t>
  </si>
  <si>
    <t>IC-3903</t>
  </si>
  <si>
    <t>Fact#: 322148 Rec#: 62131 DOLMEN S.A.</t>
  </si>
  <si>
    <t>IC-3901</t>
  </si>
  <si>
    <t>Fact#: 1162 Rec#: 29907 SANTIAGO JAVIER NIETO CARRERA</t>
  </si>
  <si>
    <t>IC-3898</t>
  </si>
  <si>
    <t>Fact#: 322308 Rec#: 29906 CONSTRU-YA S.A.</t>
  </si>
  <si>
    <t>IC-3897</t>
  </si>
  <si>
    <t>Fact#: 322202 Rec#: 62130 DOCAL HOLDING S.A DOCAHOLDSA  Cta# 21001495-8 Ch# 974</t>
  </si>
  <si>
    <t>IC-3891</t>
  </si>
  <si>
    <t>Fact#: 317391-320127 Rec#: 62129 RIVADENEIRA MONCAYO LUCY TANYA</t>
  </si>
  <si>
    <t>IC-3890</t>
  </si>
  <si>
    <t>Fact#: 319760 Rec#: 62128 EDREIS S.A</t>
  </si>
  <si>
    <t>IC-3880</t>
  </si>
  <si>
    <t>Fact#: 322212-322213 Rec#: 62127 MARIA DEL CARMEN GINETTE GARAY CALERO</t>
  </si>
  <si>
    <t>IC-3873</t>
  </si>
  <si>
    <t>Fact#: 319661-322425 Rec#: 62126 BEBEGRAFIA S.A.</t>
  </si>
  <si>
    <t>IC-3872</t>
  </si>
  <si>
    <t>Fact#: 318908-321610 Rec#: 62124 BONES CORDOVA GUIDO EDUARDO</t>
  </si>
  <si>
    <t>IC-3866</t>
  </si>
  <si>
    <t>Fact#: 320966 Rec#: 62123 MUÑOZ MUÑOZ WASHINGTON VICENTE</t>
  </si>
  <si>
    <t>IC-3865</t>
  </si>
  <si>
    <t>Fact#: 316544-319249-321959 Rec#: 62122 ROSA ANABEL VALERO SANCHEZ</t>
  </si>
  <si>
    <t>IC-3841</t>
  </si>
  <si>
    <t>CHALEN LOOR JHONNY ALEXANDER CANCELA TELEFONO 3901648 ABONA SGTE FACTURA</t>
  </si>
  <si>
    <t>AT-3028</t>
  </si>
  <si>
    <t>Fact#: 322461-322487-322488-322489 Rec#: 29908 RUIZ ROMAN ROMMEL ELIAS</t>
  </si>
  <si>
    <t>IC-3900</t>
  </si>
  <si>
    <t>Fact#: 321905 Rec#: 12428 PONCE VICTORES MARICELA YOLANDA</t>
  </si>
  <si>
    <t>IC-3864</t>
  </si>
  <si>
    <t>Fact#: 320379 Rec#: 12427 MANUEL TEODORO HURTADO ARMIJOS</t>
  </si>
  <si>
    <t>IC-3863</t>
  </si>
  <si>
    <t>Fact#: 318138-320870 Rec#: 12426 FLORES MORALES  JORGE ALFREDO</t>
  </si>
  <si>
    <t>IC-3862</t>
  </si>
  <si>
    <t>Fact#: 321478 Rec#: 12425 MANUEL TEODORO HURTADO ARMIJOS</t>
  </si>
  <si>
    <t>IC-3861</t>
  </si>
  <si>
    <t>Fact#: 319049-321747 Rec#: 12424 SANCHEZ CASTELLANO GLADYS MARICELA</t>
  </si>
  <si>
    <t>IC-3860</t>
  </si>
  <si>
    <t>Fact#: 317431-320169 Rec#: 12423 NESTOR AGUSTIN SIMANCAS PINTA</t>
  </si>
  <si>
    <t>IC-3859</t>
  </si>
  <si>
    <t>Fact#: 322593 Rec#: 12422 VDS C.C.C</t>
  </si>
  <si>
    <t>IC-3858</t>
  </si>
  <si>
    <t>Fact#: 319561-322326 Rec#: 12421 CAPACITACIONES Y EVENTOS ARTE&amp;CAFE ZAMPRO S A</t>
  </si>
  <si>
    <t>IC-3857</t>
  </si>
  <si>
    <t>Fact#: 309872-312635-315317 Rec#: 12420 GABRIELA CAROLINA RIVERA MARTINEZ</t>
  </si>
  <si>
    <t>IC-3856</t>
  </si>
  <si>
    <t>Fact#: 318252-320982 Rec#: 12419 SALEM ONETO MARIA AUXILIADORA</t>
  </si>
  <si>
    <t>IC-3855</t>
  </si>
  <si>
    <t>Fact#: 320884 Rec#: 12418 ROMERO LITARDO FRANCISCO XAVIER</t>
  </si>
  <si>
    <t>IC-3854</t>
  </si>
  <si>
    <t>Fact#: 321901 Rec#: 12417 SANCHEZ PEREZ FRANCISCO ROBERTO</t>
  </si>
  <si>
    <t>IC-3853</t>
  </si>
  <si>
    <t>Fact#: 320412 Rec#: 12416 EDWUIN JESUS CARRASQUERO RODRIGUEZ</t>
  </si>
  <si>
    <t>IC-3852</t>
  </si>
  <si>
    <t>Fact#: 257271-258940-260502 Rec#: 12415 CRISTIAN DAVID LOOR CERVANTES</t>
  </si>
  <si>
    <t>IC-3851</t>
  </si>
  <si>
    <t>Fact#: 321644 Rec#: 12414 BARROS TERREROS JIMMY ALEJANDRO</t>
  </si>
  <si>
    <t>IC-3850</t>
  </si>
  <si>
    <t>Fact#: 321806 Rec#: 12413 BARZOLA ARREAGA IVAN ABEL</t>
  </si>
  <si>
    <t>IC-3849</t>
  </si>
  <si>
    <t>Fact#: 317204-319948 Rec#: 12412 CARLOS LUIS  DUARTE FRANCO</t>
  </si>
  <si>
    <t>IC-3848</t>
  </si>
  <si>
    <t>Fact#: 321886 Rec#: 12411 ONETO LERTORA CARMEN MARIA</t>
  </si>
  <si>
    <t>IC-3847</t>
  </si>
  <si>
    <t>Fact#: 321425 Rec#: 12410 PAREDES LOPEZ NARCISA DEL CARMEN</t>
  </si>
  <si>
    <t>IC-3846</t>
  </si>
  <si>
    <t>Fact#: 318080-320813 Rec#: 12409 FLORES LAVAYEN HECTOR GIOVANNY</t>
  </si>
  <si>
    <t>IC-3845</t>
  </si>
  <si>
    <t>Fact#: 318208-320940 Rec#: 12408 JARAMILLO SEMINARIO FRANCISCO JAVIER</t>
  </si>
  <si>
    <t>IC-3844</t>
  </si>
  <si>
    <t>Fact#: 307914-310647-313375 Rec#: 12407 FLORES ALCIVAR CINTHYA LISSETTE</t>
  </si>
  <si>
    <t>IC-3843</t>
  </si>
  <si>
    <t>Fact#: 321487 Rec#: 12406 CABRERA JIMENES FAUSTO IBAN</t>
  </si>
  <si>
    <t>IC-3842</t>
  </si>
  <si>
    <t>Fact#: 321450 Rec#: 12405 ROSERO MERCADO ELSA KARINA</t>
  </si>
  <si>
    <t>IC-3840</t>
  </si>
  <si>
    <t>Fact#: 316324-319047-321745 Rec#: 12404 SIMBALA PADILLA CARLOS EDUARDO</t>
  </si>
  <si>
    <t>IC-3839</t>
  </si>
  <si>
    <t>Fact#: 316567-319271-321981 Rec#: 12403 MACIAS LOPEZ GINA ELIZABETH</t>
  </si>
  <si>
    <t>IC-3838</t>
  </si>
  <si>
    <t>Fact#: 1316 Rec#: 12402 CABEZAS GUERRA MARIA DEL CARMEN</t>
  </si>
  <si>
    <t>IC-3837</t>
  </si>
  <si>
    <t>Fact#: 314905-317585-320325 Rec#: 12401 CARLOS JOSE SALAZAR ALBAN</t>
  </si>
  <si>
    <t>IC-3836</t>
  </si>
  <si>
    <t>Fact#: 315946-318646-321361 Rec#: 12400 BALLADARES ALVARADO LEONARD ANTHONY</t>
  </si>
  <si>
    <t>IC-3835</t>
  </si>
  <si>
    <t>Fact#: 316745-319471-322235 Rec#: 29905 AUTOMERCADO S.A.</t>
  </si>
  <si>
    <t>IC-3834</t>
  </si>
  <si>
    <t>Fact#: 317252-319994 Rec#: 29904 BENILDA JESUS ACOSTA ZAMBRANO</t>
  </si>
  <si>
    <t>IC-3833</t>
  </si>
  <si>
    <t>Fact#: 322579 Rec#: 29903 COBREXLEG SA</t>
  </si>
  <si>
    <t>IC-3832</t>
  </si>
  <si>
    <t>Fact#: 321580 Rec#: 29902 SOLANO DE LA TORRE EFRAIN ALFREDO</t>
  </si>
  <si>
    <t>IC-3831</t>
  </si>
  <si>
    <t>Fact#: 319969 Rec#: 29901 VICTOR HUGO PEZO AQUINO</t>
  </si>
  <si>
    <t>IC-3830</t>
  </si>
  <si>
    <t>Fact#: 320307 Rec#: 29900 MIRIAM ANTONIETA MARIDUEÑA VALENZUELA</t>
  </si>
  <si>
    <t>IC-3829</t>
  </si>
  <si>
    <t>Fact#: 322403 Rec#: 29898 INDUSKAR S.A.</t>
  </si>
  <si>
    <t>IC-3822</t>
  </si>
  <si>
    <t>Fact#: 1259 Rec#: 62121 GONZALEZ DOMINGUEZ OSVALDO</t>
  </si>
  <si>
    <t>IC-3815</t>
  </si>
  <si>
    <t>Fact#: 322129 Rec#: 62120 SOLVESA  ECUADOR S.A  Cta# 31207621-0 Ch# 42087</t>
  </si>
  <si>
    <t>IC-3811</t>
  </si>
  <si>
    <t>Fact#: 321912 Rec#: 29897 VARGAS ZAMBRANO HILDA MARIA</t>
  </si>
  <si>
    <t>IC-3805</t>
  </si>
  <si>
    <t>Fact#: 320663 Rec#: 62119 NIZA ALEJANDRA MARRIOT CAICEDO</t>
  </si>
  <si>
    <t>IC-3804</t>
  </si>
  <si>
    <t>Fact#: 317187-319931 Rec#: 62118 MARIA MELINA  MAYA NAVARRETE</t>
  </si>
  <si>
    <t>IC-3802</t>
  </si>
  <si>
    <t>Fact#: 317174 Rec#: 62117 MELVA PATRICIA TORRES ALMEIDA</t>
  </si>
  <si>
    <t>IC-3784</t>
  </si>
  <si>
    <t>Fact#: 319586-319654 Rec#: 62116 DULCES, PASTELES Y TORTAS RADU S.A.</t>
  </si>
  <si>
    <t>IC-3783</t>
  </si>
  <si>
    <t>VASQUEZ DORA JUAN JOSE CANCELA TELEFONO 3909166 ABONA SGTE FACTURA</t>
  </si>
  <si>
    <t>AT-3026</t>
  </si>
  <si>
    <t>VASQUEZ DORA JUAN JOSE CANCELA TELEFONO TELEFONO 3909166 ABONA SGTE FACTURA</t>
  </si>
  <si>
    <t>AT-3025</t>
  </si>
  <si>
    <t>Fact#: 322566 Rec#: 29899 METAL MAN</t>
  </si>
  <si>
    <t>IC-3823</t>
  </si>
  <si>
    <t>Fact#: 319462 Rec#: 29896 YARECUADOR CIA. LTDA</t>
  </si>
  <si>
    <t>IC-3803</t>
  </si>
  <si>
    <t>Fact#: 315423-318117-320850 Rec#: 29895 QUIMI CABANILLA EDISON JERONIMO</t>
  </si>
  <si>
    <t>IC-3782</t>
  </si>
  <si>
    <t>Fact#: 317646-320385 Rec#: 29894 FEDERICO GUILLERMO VARAS CHIQUITO</t>
  </si>
  <si>
    <t>IC-3781</t>
  </si>
  <si>
    <t>Fact#: 319940 Rec#: 29893 SIXTER ABRAHAM ECHEVERRIA ORTIZ</t>
  </si>
  <si>
    <t>IC-3780</t>
  </si>
  <si>
    <t>Fact#: 322452 Rec#: 29892 SERVICIO &amp; MANTENIMIENTO INDUSTRIAL MANSEINSAJAB S.A</t>
  </si>
  <si>
    <t>IC-3779</t>
  </si>
  <si>
    <t>Fact#: 317287-320029 Rec#: 29891 BETTY EUVENIA ACOSTA CAJAPE</t>
  </si>
  <si>
    <t>IC-3778</t>
  </si>
  <si>
    <t>Fact#: 320246 Rec#: 29890 HENRY LENY BETANCOURT VITERI</t>
  </si>
  <si>
    <t>IC-3777</t>
  </si>
  <si>
    <t>Fact#: 319914 Rec#: 29889 MARIA MONICA RONQUILLO RODRIGUEZ</t>
  </si>
  <si>
    <t>IC-3776</t>
  </si>
  <si>
    <t>Fact#: 319803-322568 Rec#: 29888 INMOBILIRIA REALTORS TRESCIENTOS SESENTA GRADOS INMOBREALTRES S.A.</t>
  </si>
  <si>
    <t>IC-3775</t>
  </si>
  <si>
    <t>Fact#: 320728 Rec#: 29887 WENDY LORENA QUIMIS CHOEZ</t>
  </si>
  <si>
    <t>IC-3774</t>
  </si>
  <si>
    <t>Fact#: 320461 Rec#: 29886 RICHARD FERNANDO BURGOS VERA</t>
  </si>
  <si>
    <t>IC-3773</t>
  </si>
  <si>
    <t>Fact#: 319958 Rec#: 29885 JENNY CEDEÑO CAAMAÑO</t>
  </si>
  <si>
    <t>IC-3772</t>
  </si>
  <si>
    <t>Fact#: 318355-321079 Rec#: 12399 MENDEZ VILLON CARMEN MARISOL</t>
  </si>
  <si>
    <t>IC-3771</t>
  </si>
  <si>
    <t>Fact#: 313616-316227-318926 Rec#: 12398 CANTOS FERNANDEZ ALEX FERNANDO</t>
  </si>
  <si>
    <t>IC-3770</t>
  </si>
  <si>
    <t>Fact#: 318949-321649 Rec#: 12397 CHUCA CHANCAY ANDREA BETZABETH</t>
  </si>
  <si>
    <t>IC-3769</t>
  </si>
  <si>
    <t>Fact#: 322060 Rec#: 12396 ZAPATA ROMERO ROBERTO DRUVAL</t>
  </si>
  <si>
    <t>IC-3768</t>
  </si>
  <si>
    <t>Fact#: 318763-321477 Rec#: 12395 ALVARADO EDGAR ANTONIO</t>
  </si>
  <si>
    <t>IC-3767</t>
  </si>
  <si>
    <t>Fact#: 318469-321185 Rec#: 12394 CORTEZ AVILES PEDRO ROGELIO</t>
  </si>
  <si>
    <t>IC-3766</t>
  </si>
  <si>
    <t>Fact#: 319133-321852 Rec#: 12393 BACA GARAYCOA HILDA SHELLMA</t>
  </si>
  <si>
    <t>IC-3765</t>
  </si>
  <si>
    <t>Fact#: 308358-311114 Rec#: 12392 BUENDIA MUNOZ JAIME ARTURO</t>
  </si>
  <si>
    <t>IC-3764</t>
  </si>
  <si>
    <t>Fact#: 318963-321661 Rec#: 12391 CASTRO OLAYA PATRICIA ANNABEL DEL ROSARIO</t>
  </si>
  <si>
    <t>IC-3763</t>
  </si>
  <si>
    <t>Fact#: 322050 Rec#: 12390 CEDENO ANGULO JAIRO RENE</t>
  </si>
  <si>
    <t>IC-3762</t>
  </si>
  <si>
    <t>Fact#: 311554-314286-316946 Rec#: 12389 ALVARADO ROJAS ANGEL DE JESUS</t>
  </si>
  <si>
    <t>IC-3761</t>
  </si>
  <si>
    <t>Fact#: 319313-322024 Rec#: 12388 ZURITA MARTINEZ FERNANDO  DAVID</t>
  </si>
  <si>
    <t>IC-3760</t>
  </si>
  <si>
    <t>Fact#: 320407 Rec#: 12387 RODRIGO DE JESUS CASTAÑO SALAZAR</t>
  </si>
  <si>
    <t>IC-3759</t>
  </si>
  <si>
    <t>Fact#: 318882-321589 Rec#: 12386 CHALEN LOOR JHONNY ALEXANDER</t>
  </si>
  <si>
    <t>IC-3758</t>
  </si>
  <si>
    <t>Fact#: 318493-321208 Rec#: 12385 MIRABAL RODRIGUEZ CRISTINA</t>
  </si>
  <si>
    <t>IC-3757</t>
  </si>
  <si>
    <t>Fact#: 321525 Rec#: 12384 ROVELLO VALENCIA JOSE ROMAN</t>
  </si>
  <si>
    <t>IC-3756</t>
  </si>
  <si>
    <t>Fact#: 322070 Rec#: 12383 JARA VALENCIA GUIDO RICARDO</t>
  </si>
  <si>
    <t>IC-3755</t>
  </si>
  <si>
    <t>Fact#: 318182-320911 Rec#: 12382 GOMEZ LOPEZ SAMUEL ELEODORO</t>
  </si>
  <si>
    <t>IC-3754</t>
  </si>
  <si>
    <t>Fact#: 305256-308029 Rec#: 12381 ALCIVAR MENDOZA MARIANA CONCEPCION</t>
  </si>
  <si>
    <t>IC-3753</t>
  </si>
  <si>
    <t>Fact#: 320305 Rec#: 12380 CINDY LORENA BAJAÑA BELTRAN</t>
  </si>
  <si>
    <t>IC-3752</t>
  </si>
  <si>
    <t>Fact#: 320735 Rec#: 12379 JOSE ANTONIO CABEZAS BURGOS</t>
  </si>
  <si>
    <t>IC-3751</t>
  </si>
  <si>
    <t>Fact#: 321838 Rec#: 12378 MERINO MORAN LUIS MIGUEL</t>
  </si>
  <si>
    <t>IC-3750</t>
  </si>
  <si>
    <t>Fact#: 322562 Rec#: 12377 TRSC ENTERPRISES S.A</t>
  </si>
  <si>
    <t>IC-3749</t>
  </si>
  <si>
    <t>Fact#: 321883 Rec#: 12376 FIGUEROA GAVELA SILVIA FABIOLA</t>
  </si>
  <si>
    <t>IC-3748</t>
  </si>
  <si>
    <t>Fact#: 320492 Rec#: 12375 ISABEL RODRIGUEZ RIZO</t>
  </si>
  <si>
    <t>IC-3747</t>
  </si>
  <si>
    <t>Fact#: 319020-321716 Rec#: 12374 MORA REYES JOSE FRANK</t>
  </si>
  <si>
    <t>IC-3746</t>
  </si>
  <si>
    <t>Fact#: 317259-320001 Rec#: 12373 MARCOS ROBERTO CALDERON VELASQUEZ</t>
  </si>
  <si>
    <t>IC-3745</t>
  </si>
  <si>
    <t>Fact#: 321017 Rec#: 12372 VERA RODRIGUEZ CHRISTIAN ORLANDO</t>
  </si>
  <si>
    <t>IC-3744</t>
  </si>
  <si>
    <t>Fact#: 317746-320486 Rec#: 12371 LUDGARDA CRISTINA SILVA JAUREGUI</t>
  </si>
  <si>
    <t>IC-3743</t>
  </si>
  <si>
    <t>Fact#: 316510-319219-321937 Rec#: 12370 VEINTIMILLA MARIN FREDDY PATRICIO</t>
  </si>
  <si>
    <t>IC-3742</t>
  </si>
  <si>
    <t>Fact#: 320145 Rec#: 12369 MUÑOZ ESPIN GINA ALICIA</t>
  </si>
  <si>
    <t>IC-3741</t>
  </si>
  <si>
    <t>Fact#: 319281-321991 Rec#: 12368 CARREÑO ACOSTA JESUS LAUREANO</t>
  </si>
  <si>
    <t>IC-3740</t>
  </si>
  <si>
    <t>Fact#: 320133 Rec#: 12367 ALVARADO PIGUAVE CAROLIN JANET</t>
  </si>
  <si>
    <t>IC-3739</t>
  </si>
  <si>
    <t>Fact#: 321225 Rec#: 12366 GUAMAN IZA LILIANA ARACELY</t>
  </si>
  <si>
    <t>IC-3738</t>
  </si>
  <si>
    <t>Fact#: 319806-322571 Rec#: 12365 MERCHAN BALON CHRISTOPHER FERNANDO</t>
  </si>
  <si>
    <t>IC-3737</t>
  </si>
  <si>
    <t>Fact#: 317032-319759-322523 Rec#: 12364 JARRIN LOPEZ VERONICA ELIZABETH</t>
  </si>
  <si>
    <t>IC-3736</t>
  </si>
  <si>
    <t>Fact#: 316262-318960-321658 Rec#: 12363 ALVAREZ CASTILLO AURORA DEL CISNE</t>
  </si>
  <si>
    <t>IC-3735</t>
  </si>
  <si>
    <t>Fact#: 317864-320604 Rec#: 12362 CESAR AURELIO BARRERA MORALES</t>
  </si>
  <si>
    <t>IC-3734</t>
  </si>
  <si>
    <t>Fact#: 306180-309009-311798 Rec#: 62115 MONICA TATIANA AGUIÑO NARANJO</t>
  </si>
  <si>
    <t>IC-3730</t>
  </si>
  <si>
    <t>Fact#: 316633-319364-322130 Rec#: 62114 PUBLITRAFFIC S.A  Cta# 4137485 Ch# 11906</t>
  </si>
  <si>
    <t>IC-3727</t>
  </si>
  <si>
    <t>Fact#: 302987-305719-308545 Rec#: 62113 RAIKKONEN S.A.  Cta# 7797281 Ch# 388</t>
  </si>
  <si>
    <t>IC-3726</t>
  </si>
  <si>
    <t>Fact#: 320744 Rec#: 62112 DIEGO EMILIO CAÑARTE EISER</t>
  </si>
  <si>
    <t>IC-3724</t>
  </si>
  <si>
    <t>Fact#: 322604-322605 Rec#: 62111 IMPORFARMA S A</t>
  </si>
  <si>
    <t>IC-3722</t>
  </si>
  <si>
    <t>Fact#: 317838 Rec#: 29881 CARMEN ELIZABETH BELTRAN GARCES</t>
  </si>
  <si>
    <t>IC-3721</t>
  </si>
  <si>
    <t>Fact#: 319466 Rec#: 29880 WANHAI LINES ECUADOR S.A.</t>
  </si>
  <si>
    <t>IC-3719</t>
  </si>
  <si>
    <t>Fact#: 319982 Rec#: 62110 OMAR  PALADINES CORDOVA</t>
  </si>
  <si>
    <t>IC-3718</t>
  </si>
  <si>
    <t>Fact#: 319824-322588 Rec#: 62108 ROYAL TOUR S.A.</t>
  </si>
  <si>
    <t>IC-3715</t>
  </si>
  <si>
    <t>Fact#: 317140-319883 Rec#: 62107 ANA MIRIAM ACUÑA AUCATOMA</t>
  </si>
  <si>
    <t>IC-3714</t>
  </si>
  <si>
    <t>Fact#: 308769-311573-314305 Rec#: 62106 PACHAR GONZALEZ ERIKA JOHANNA</t>
  </si>
  <si>
    <t>IC-3639</t>
  </si>
  <si>
    <t>ALTAMIRANO GONZALEZ MARLENE CECILIA CANCELA TELEFONO 3901590 ABONA SGTE FACTURA</t>
  </si>
  <si>
    <t>AT-3024</t>
  </si>
  <si>
    <t>N/D BANCO DEL PACIFICO SEGUROS CONFIANZA FACTURA#129382 PÓLIZA DE SEGURO DE CUMPLIMIENTO DE CONTRATO SECTOR PÚBLICO (CNT EP)</t>
  </si>
  <si>
    <t>AMERICAN EXPRESS CANCELACION DEBITO TARJETAS GUAYAQUIL-PAGO DE FACT 320243- 320345- 320398-320661- 320690- 322276- 320827- 322441 - 322444- 321177- 321528- 321672- 1253-321826- 322313- 321892- 321605-321821- 321929- 321988- 321504- 322603</t>
  </si>
  <si>
    <t>NC-4</t>
  </si>
  <si>
    <t>VISA - MASTERCARD - PACIFICARD CANCELACION DEBITO TARJETAS GUAYAQUIL-PAGO DE FACT 321733</t>
  </si>
  <si>
    <t>VISA - MASTERCARD - PACIFICARD CANCELACION DEBITO TARJETAS GUAYAQUIL- PAGO DE FACT 320209 - 322174- 320256- 320560- 322277- 322278- 322287- 320815- 320570- 321659- 321741- 1242- 321505</t>
  </si>
  <si>
    <t>VISA - MASTERCARD - PACIFICARD CANCELACION PAGO TARJETA- CLIENTE MIGUEL ANGEL RIERA ORDOÑEZ-PAGO DE FACT 1105 - 1291</t>
  </si>
  <si>
    <t>Fact#: 319830-322594 Rec#: 29878 PASEABORDO S.A</t>
  </si>
  <si>
    <t>IC-3712</t>
  </si>
  <si>
    <t>Fact#: 322109 Rec#: 29877 ASOC. DE PROPIETARIOS URB. VIA AL SOL</t>
  </si>
  <si>
    <t>IC-3711</t>
  </si>
  <si>
    <t>Fact#: 317193-319937 Rec#: 29876 ALBA REBECA BOHORQUEZ JACOME</t>
  </si>
  <si>
    <t>IC-3710</t>
  </si>
  <si>
    <t>Fact#: 319704-322469 Rec#: 29875 RAMIREZ TAMAYO ENMA MERCEDES</t>
  </si>
  <si>
    <t>IC-3709</t>
  </si>
  <si>
    <t>Fact#: 319694-322460 Rec#: 29874 RAMIREZ TAMAYO ENMA MERCEDES</t>
  </si>
  <si>
    <t>IC-3708</t>
  </si>
  <si>
    <t>Fact#: 321113 Rec#: 29873 NARANJO BENITES LUIS ALBERTO</t>
  </si>
  <si>
    <t>IC-3707</t>
  </si>
  <si>
    <t>Fact#: 320726 Rec#: 29872 TANIA PAOLA ILLESCAS PIBAQUE</t>
  </si>
  <si>
    <t>IC-3706</t>
  </si>
  <si>
    <t>Fact#: 320823 Rec#: 29871 RUIZ VELEZ LIBIA KARINA</t>
  </si>
  <si>
    <t>IC-3705</t>
  </si>
  <si>
    <t>Fact#: 319064-321763 Rec#: 29870 BUSTAMANTE TORRES CAMILO EDUARDO</t>
  </si>
  <si>
    <t>IC-3704</t>
  </si>
  <si>
    <t>Fact#: 317158-319900 Rec#: 29869 NERY LILIANA OCHOA BAQUE</t>
  </si>
  <si>
    <t>IC-3703</t>
  </si>
  <si>
    <t>Fact#: 320573 Rec#: 29868 MELCHOR MAURICIO VALENCIA PEREZ</t>
  </si>
  <si>
    <t>IC-3702</t>
  </si>
  <si>
    <t>Fact#: 322117 Rec#: 29867 ASOC. PRO. NEW YORK 12 DE SEPTIEMBRE</t>
  </si>
  <si>
    <t>IC-3701</t>
  </si>
  <si>
    <t>Fact#: 322110 Rec#: 29866 ASOC. PRO. NEW YORK 12 DE SEPTIEMBRE</t>
  </si>
  <si>
    <t>IC-3700</t>
  </si>
  <si>
    <t>Fact#: 322233 Rec#: 29865 BELLUSCIO S.A.</t>
  </si>
  <si>
    <t>IC-3699</t>
  </si>
  <si>
    <t>Fact#: 322242 Rec#: 29864 DUPROCSA S.A.</t>
  </si>
  <si>
    <t>IC-3698</t>
  </si>
  <si>
    <t>Fact#: 322374 Rec#: 29863 INDUVERIKA S.A.</t>
  </si>
  <si>
    <t>IC-3697</t>
  </si>
  <si>
    <t>Fact#: 322358 Rec#: 29862 AGUIRRE AGUIRRE BEXY DEL ROCIO</t>
  </si>
  <si>
    <t>IC-3696</t>
  </si>
  <si>
    <t>Fact#: 322124 Rec#: 29861 AUTOMEKANO CIA. LTDA</t>
  </si>
  <si>
    <t>IC-3695</t>
  </si>
  <si>
    <t>Fact#: 322118 Rec#: 29860 ASOC. DE PROPIETARIOS URB. TERRASOL</t>
  </si>
  <si>
    <t>IC-3694</t>
  </si>
  <si>
    <t>Fact#: 322321 Rec#: 29859 RITOMI S.A.</t>
  </si>
  <si>
    <t>IC-3693</t>
  </si>
  <si>
    <t>Fact#: 322113 Rec#: 29858 EFFICACITAS CONSULTORA CIA.LTDA.</t>
  </si>
  <si>
    <t>IC-3692</t>
  </si>
  <si>
    <t>Fact#: 322115 Rec#: 29857 EFFICACITAS CONSULTORA CIA.LTDA.</t>
  </si>
  <si>
    <t>IC-3691</t>
  </si>
  <si>
    <t>Fact#: 322114 Rec#: 29856 EFFICACITAS CONSULTORA CIA.LTDA.</t>
  </si>
  <si>
    <t>IC-3690</t>
  </si>
  <si>
    <t>Fact#: 322362 Rec#: 29855 SORIANO LEON  GUSTAVO FERNANDO</t>
  </si>
  <si>
    <t>IC-3689</t>
  </si>
  <si>
    <t>Fact#: 320452 Rec#: 29854 CARLOS BENJAMIN ROSALES PINO</t>
  </si>
  <si>
    <t>IC-3688</t>
  </si>
  <si>
    <t>Fact#: 320315 Rec#: 29853 GUILLERMO ELOY SERRANO GOMEZ</t>
  </si>
  <si>
    <t>IC-3687</t>
  </si>
  <si>
    <t>Fact#: 320296 Rec#: 29852 JUAN XAVIER BENEDETI RIPALDA</t>
  </si>
  <si>
    <t>IC-3686</t>
  </si>
  <si>
    <t>Fact#: 321375 Rec#: 29851 PERALTA BENITEZ ROBERTO ELIAS</t>
  </si>
  <si>
    <t>IC-3685</t>
  </si>
  <si>
    <t>Fact#: 320033 Rec#: 29850 FAUSTO EDUARDO  CARBO RIVERA</t>
  </si>
  <si>
    <t>IC-3684</t>
  </si>
  <si>
    <t>Fact#: 320588 Rec#: 29849 CARLOS ADALBERTO SALAVARRIA PALMA</t>
  </si>
  <si>
    <t>IC-3683</t>
  </si>
  <si>
    <t>Fact#: 320089 Rec#: 29848 ANA LUCRECIA  CABRERA GARCIA</t>
  </si>
  <si>
    <t>IC-3682</t>
  </si>
  <si>
    <t>Fact#: 320213 Rec#: 29847 LUIS EDUARDO SANCHEZ TIMM</t>
  </si>
  <si>
    <t>IC-3681</t>
  </si>
  <si>
    <t>Fact#: 320200 Rec#: 29846 GISELLA MARIA YUNES ANDRADE</t>
  </si>
  <si>
    <t>IC-3680</t>
  </si>
  <si>
    <t>Fact#: 319957 Rec#: 29845 MONICA CRIOLLO SALAZAR</t>
  </si>
  <si>
    <t>IC-3679</t>
  </si>
  <si>
    <t>Fact#: 319971 Rec#: 29844 LUIS CESAR GAMARRA GONZALES</t>
  </si>
  <si>
    <t>IC-3678</t>
  </si>
  <si>
    <t>Fact#: 320106 Rec#: 29843 UVIDIA SALTOS  CARLOS BOLIVAR</t>
  </si>
  <si>
    <t>IC-3677</t>
  </si>
  <si>
    <t>Fact#: 319964 Rec#: 29842 JOSE JOAQUIN OLMEDO CASTELLO</t>
  </si>
  <si>
    <t>IC-3676</t>
  </si>
  <si>
    <t>Fact#: 320536 Rec#: 29841 FERNANDO XAVIER DROUET CEDEÑO</t>
  </si>
  <si>
    <t>IC-3675</t>
  </si>
  <si>
    <t>Fact#: 320002 Rec#: 29840 PAULA JESUS SALAZAR MACIAS</t>
  </si>
  <si>
    <t>IC-3674</t>
  </si>
  <si>
    <t>Fact#: 321004 Rec#: 29839 TRUJILLO LOPEZ DIANA CAROLINA</t>
  </si>
  <si>
    <t>IC-3673</t>
  </si>
  <si>
    <t>Fact#: 320894 Rec#: 29838 GILBERT SILVA CECILIA MARIA</t>
  </si>
  <si>
    <t>IC-3672</t>
  </si>
  <si>
    <t>Fact#: 322076 Rec#: 29837 NIEVES RODRIGUEZ JORGE ELIECER</t>
  </si>
  <si>
    <t>IC-3671</t>
  </si>
  <si>
    <t>Fact#: 321133 Rec#: 29836 ESPANA BAJANA STEFANIA ELIZABETH</t>
  </si>
  <si>
    <t>IC-3670</t>
  </si>
  <si>
    <t>Fact#: 320099 Rec#: 29835 BONILLA ALCIVAR MARIANA VERONICA</t>
  </si>
  <si>
    <t>IC-3669</t>
  </si>
  <si>
    <t>Fact#: 321535 Rec#: 29834 SUSANA HERMELINDA ANALUISA HARO</t>
  </si>
  <si>
    <t>IC-3668</t>
  </si>
  <si>
    <t>Fact#: 319917 Rec#: 29833 KETTY ARACELY GAROFALO LEON</t>
  </si>
  <si>
    <t>IC-3667</t>
  </si>
  <si>
    <t>Fact#: 319889 Rec#: 29832 JAIRO ALBERTO GOMEZ COELLO</t>
  </si>
  <si>
    <t>IC-3666</t>
  </si>
  <si>
    <t>Fact#: 319902 Rec#: 29831 ISABEL ROSARIO QUINDE SORIANO</t>
  </si>
  <si>
    <t>IC-3665</t>
  </si>
  <si>
    <t>Fact#: 320104 Rec#: 29830 CARLOS ALBERTO RENDON PALMA</t>
  </si>
  <si>
    <t>IC-3664</t>
  </si>
  <si>
    <t>Fact#: 317885-320624 Rec#: 29829 HERNAN ANTONIO ALVEAR MERCHAN</t>
  </si>
  <si>
    <t>IC-3663</t>
  </si>
  <si>
    <t>Fact#: 319863 Rec#: 29828 EVA MARIA VINUEZA OCAÑA</t>
  </si>
  <si>
    <t>IC-3662</t>
  </si>
  <si>
    <t>Fact#: 320128 Rec#: 29827 TERESA DE LA CRUZ TOSCANO BRITO</t>
  </si>
  <si>
    <t>IC-3661</t>
  </si>
  <si>
    <t>Fact#: 320222 Rec#: 29826 LUIS CARLOS ABAD YCAZA</t>
  </si>
  <si>
    <t>IC-3660</t>
  </si>
  <si>
    <t>Fact#: 319872 Rec#: 29825 ROBERTO MUZZIO NARANJO</t>
  </si>
  <si>
    <t>IC-3659</t>
  </si>
  <si>
    <t>Fact#: 320038 Rec#: 29824 FRANKLIN JOAQUIN  DOMINGUEZ VARGAS</t>
  </si>
  <si>
    <t>IC-3658</t>
  </si>
  <si>
    <t>Fact#: 321727 Rec#: 29823 ZULVY BEDON LAGOS</t>
  </si>
  <si>
    <t>IC-3657</t>
  </si>
  <si>
    <t>Fact#: 320107 Rec#: 29822 MANRIQUEZ SALAZAR MARIA PAZ</t>
  </si>
  <si>
    <t>IC-3656</t>
  </si>
  <si>
    <t>Fact#: 321939 Rec#: 29821 JOSE FRANCISCO  FERNANDEZ   ESPINOZA</t>
  </si>
  <si>
    <t>IC-3655</t>
  </si>
  <si>
    <t>Fact#: 320649 Rec#: 29820 RICARDO PABLO FALCONI DUEÑAS</t>
  </si>
  <si>
    <t>IC-3654</t>
  </si>
  <si>
    <t>Fact#: 306767-309568-312342 Rec#: 29879 EDDIE ENRIQUE HERRERA MEDINA</t>
  </si>
  <si>
    <t>IC-3653</t>
  </si>
  <si>
    <t>Fact#: 319888 Rec#: 29819 JUAN JOSE CHACON PACHECO</t>
  </si>
  <si>
    <t>IC-3652</t>
  </si>
  <si>
    <t>Fact#: 319866 Rec#: 29818 MARIA ROSA DUNN YCAZA</t>
  </si>
  <si>
    <t>IC-3651</t>
  </si>
  <si>
    <t>Fact#: 319884 Rec#: 29817 GISELLE MARIELA CLEMENTE VERA</t>
  </si>
  <si>
    <t>IC-3650</t>
  </si>
  <si>
    <t>Fact#: 321198 Rec#: 29816 CASTILLO PALMA DANIEL ALFREDO</t>
  </si>
  <si>
    <t>IC-3649</t>
  </si>
  <si>
    <t>Fact#: 320484 Rec#: 29815 CECILIA VIVIANA RUIZ MENDOZA</t>
  </si>
  <si>
    <t>IC-3648</t>
  </si>
  <si>
    <t>Fact#: 320382 Rec#: 29814 ANTONIO IGNACIO ARTEAGA FERAUD</t>
  </si>
  <si>
    <t>IC-3647</t>
  </si>
  <si>
    <t>Fact#: 318283-321010 Rec#: 12361 MENDEZ ROSALES GIOCONDA EREUTEIDA</t>
  </si>
  <si>
    <t>IC-3646</t>
  </si>
  <si>
    <t>Fact#: 320731 Rec#: 12360 CARLOS GREGORIO HURTADO MOSQUERA</t>
  </si>
  <si>
    <t>IC-3645</t>
  </si>
  <si>
    <t>Fact#: 319145-321866 Rec#: 12359 CARPIO ALVARADO CELIA MARYURI</t>
  </si>
  <si>
    <t>IC-3644</t>
  </si>
  <si>
    <t>Fact#: 321930 Rec#: 12358 RODRIGUEZ Y DUQUE JORGE</t>
  </si>
  <si>
    <t>IC-3643</t>
  </si>
  <si>
    <t>Fact#: 319652-322416 Rec#: 12357 CENTRO DE ECOGRAFIAS ECOBEBE S.A</t>
  </si>
  <si>
    <t>IC-3642</t>
  </si>
  <si>
    <t>Fact#: 320359 Rec#: 12356 RUFINA EPIFANIA ASPIAZU BONOSO</t>
  </si>
  <si>
    <t>IC-3641</t>
  </si>
  <si>
    <t>Fact#: 320386 Rec#: 12355 PACO OLMEDO ORNA AYMACANA</t>
  </si>
  <si>
    <t>IC-3640</t>
  </si>
  <si>
    <t>Fact#: 319722-322485 Rec#: 12354 CAMPOS VELEZ HENRRY GONZALO</t>
  </si>
  <si>
    <t>IC-3638</t>
  </si>
  <si>
    <t>Fact#: 321604 Rec#: 12353 MARCILLO COBOS DAVID FERNANDO</t>
  </si>
  <si>
    <t>IC-3637</t>
  </si>
  <si>
    <t>Fact#: 320675 Rec#: 12352 EVELYN SUSANA PITA CARRASCO</t>
  </si>
  <si>
    <t>IC-3636</t>
  </si>
  <si>
    <t>Fact#: 321045 Rec#: 12351 DUPRE MELLA HERNAN TADEO</t>
  </si>
  <si>
    <t>IC-3635</t>
  </si>
  <si>
    <t>Fact#: 317739-320479 Rec#: 12350 DIANA GISELLA JIMENEZ CABRERA</t>
  </si>
  <si>
    <t>IC-3634</t>
  </si>
  <si>
    <t>Fact#: 316422-319140-321860 Rec#: 12349 FRANCO BARRAGAN MARLON JULIO</t>
  </si>
  <si>
    <t>IC-3633</t>
  </si>
  <si>
    <t>Fact#: 318273-321000 Rec#: 12348 FLORES MARTINEZ RAQUEL VERONICA</t>
  </si>
  <si>
    <t>IC-3632</t>
  </si>
  <si>
    <t>Fact#: 318972-321670 Rec#: 12347 MAURICIO XAVIER  LEON RODRIGUEZ</t>
  </si>
  <si>
    <t>IC-3631</t>
  </si>
  <si>
    <t>Fact#: 314725-317400-320136 Rec#: 12346 MARIA EUGENIA TERAN JORDAN</t>
  </si>
  <si>
    <t>IC-3630</t>
  </si>
  <si>
    <t>Fact#: 316479-319192-321914 Rec#: 12345 LEON GARCIA MARCELA VERONICA</t>
  </si>
  <si>
    <t>IC-3629</t>
  </si>
  <si>
    <t>Fact#: 319117-321830 Rec#: 12344 SALAZAR ZULEYMAN FELIX ANTONIO</t>
  </si>
  <si>
    <t>IC-3628</t>
  </si>
  <si>
    <t>Fact#: 321596 Rec#: 12343 RUIZ RUIZ RAUL EDGARDO</t>
  </si>
  <si>
    <t>IC-3627</t>
  </si>
  <si>
    <t>Fact#: 314845-317521-320259 Rec#: 12342 OSWALDO PATRICIO MORENO COBEÑA</t>
  </si>
  <si>
    <t>IC-3626</t>
  </si>
  <si>
    <t>Fact#: 319331-322044 Rec#: 12341 CABEZAS QUINONEZ LEONELA KATHERINE</t>
  </si>
  <si>
    <t>IC-3625</t>
  </si>
  <si>
    <t>Fact#: 321777 Rec#: 12340 AVILES PEREZ ALFONSO</t>
  </si>
  <si>
    <t>IC-3624</t>
  </si>
  <si>
    <t>Fact#: 319921 Rec#: 12339 ADELAIDA BETHSAIDA BRIONES</t>
  </si>
  <si>
    <t>IC-3623</t>
  </si>
  <si>
    <t>Fact#: 320623 Rec#: 12338 LIGIA AZUCENA ARTEAGA VALENZUELA</t>
  </si>
  <si>
    <t>IC-3622</t>
  </si>
  <si>
    <t>Fact#: 320091 Rec#: 12337 CARLOS GUSTAVO PICO MONTALVAN</t>
  </si>
  <si>
    <t>IC-3621</t>
  </si>
  <si>
    <t>Fact#: 320016 Rec#: 12336 CARLOS GUSTAVO PICO MONTALVAN</t>
  </si>
  <si>
    <t>Fact#: 318284-321011 Rec#: 12335 DIAZ CHAMBA WALTER OVIDIO</t>
  </si>
  <si>
    <t>IC-3619</t>
  </si>
  <si>
    <t>Fact#: 314527-317200-319944 Rec#: 12334 YIRA DE LOS ANGELES  PESANTES VILLAMAR</t>
  </si>
  <si>
    <t>IC-3618</t>
  </si>
  <si>
    <t>Fact#: 317960-320696 Rec#: 12333 BEATRIZ MARIA DEL CARMEN PACHECO BALLESTEROS</t>
  </si>
  <si>
    <t>IC-3617</t>
  </si>
  <si>
    <t>Fact#: 320115 Rec#: 12332 NELIS MARIA PINARGOTE YEPEZ</t>
  </si>
  <si>
    <t>IC-3616</t>
  </si>
  <si>
    <t>Fact#: 319637-322401 Rec#: 12331 APOLO LOAYZA HECTOR IVAN</t>
  </si>
  <si>
    <t>IC-3615</t>
  </si>
  <si>
    <t>Fact#: 1170 Rec#: 12330 CACUANGO LINCANGO EDISON FABIAN</t>
  </si>
  <si>
    <t>IC-3614</t>
  </si>
  <si>
    <t>Fact#: 317546-320283 Rec#: 12329 LUCILA SOLANGE FLOR ORELLANA</t>
  </si>
  <si>
    <t>IC-3613</t>
  </si>
  <si>
    <t>Fact#: 318109-320841 Rec#: 12328 CORTEZ ORDOÑEZ GABY GERALDINE</t>
  </si>
  <si>
    <t>IC-3612</t>
  </si>
  <si>
    <t>Fact#: 315906-318608-321324 Rec#: 12327 GONZALEZ PENA WRLEY ARNULFO</t>
  </si>
  <si>
    <t>IC-3611</t>
  </si>
  <si>
    <t>Fact#: 317484-320218 Rec#: 12326 MARIA ELENA MORA LUZCANDO</t>
  </si>
  <si>
    <t>IC-3610</t>
  </si>
  <si>
    <t>Fact#: 319634-322398 Rec#: 12325 PACHECO CACERES DENISE ERIKA</t>
  </si>
  <si>
    <t>IC-3609</t>
  </si>
  <si>
    <t>Fact#: 319788-322552 Rec#: 12324 SPORTMEDIC.S.A</t>
  </si>
  <si>
    <t>IC-3608</t>
  </si>
  <si>
    <t>Fact#: 317831-320572 Rec#: 12323 MARCO VINICIO GONZALEZ LEDESMA</t>
  </si>
  <si>
    <t>IC-3607</t>
  </si>
  <si>
    <t>Fact#: 317830-320571 Rec#: 12322 MARGARITA MAGALI VILLAMAR AGUAYO</t>
  </si>
  <si>
    <t>IC-3606</t>
  </si>
  <si>
    <t>Fact#: 319082-321787 Rec#: 12321 MORENO GARCES LUZ DE LOURDES</t>
  </si>
  <si>
    <t>IC-3605</t>
  </si>
  <si>
    <t>Fact#: 321728 Rec#: 12320 CASTRO AGUA MARLON JOSE</t>
  </si>
  <si>
    <t>IC-3604</t>
  </si>
  <si>
    <t>Fact#: 1185 Rec#: 12319 CADENA CHONTASI OLGA MARIA</t>
  </si>
  <si>
    <t>IC-3603</t>
  </si>
  <si>
    <t>Fact#: 320885 Rec#: 12318 MERCHAN  PEREZ FABIAN BERNARDINO</t>
  </si>
  <si>
    <t>IC-3602</t>
  </si>
  <si>
    <t>Fact#: 320901 Rec#: 12317 SANCHEZ CARRIEL NARCISA DE JESUS</t>
  </si>
  <si>
    <t>IC-3601</t>
  </si>
  <si>
    <t>Fact#: 317554-320294 Rec#: 12316 ANDRES ENRIQUE COTERA GALLO</t>
  </si>
  <si>
    <t>IC-3600</t>
  </si>
  <si>
    <t>Fact#: 318586-321302 Rec#: 12315 MARTINEZ DAVILA YINET</t>
  </si>
  <si>
    <t>IC-3599</t>
  </si>
  <si>
    <t>Fact#: 315474-318168-320899 Rec#: 12314 HOLGUIN SUAREZ NELSON AMADOR</t>
  </si>
  <si>
    <t>IC-3598</t>
  </si>
  <si>
    <t>Fact#: 321992 Rec#: 12313 MORAN PINCAY PATRICIA YOLANDA</t>
  </si>
  <si>
    <t>IC-3597</t>
  </si>
  <si>
    <t>Fact#: 321510 Rec#: 12312 FLORES GORDILLO LUIS EDUARDO</t>
  </si>
  <si>
    <t>IC-3596</t>
  </si>
  <si>
    <t>Fact#: 318614-321330 Rec#: 12311 BERMELLO PONCE SALBADOR ATILIO</t>
  </si>
  <si>
    <t>IC-3595</t>
  </si>
  <si>
    <t>Fact#: 318320-321043 Rec#: 12310 GOMEZ CALDERON ALEXANDRA ELIZABETH</t>
  </si>
  <si>
    <t>IC-3594</t>
  </si>
  <si>
    <t>Fact#: 319895 Rec#: 12309 GIOVANNY NARVAEZ PORTILLA</t>
  </si>
  <si>
    <t>IC-3593</t>
  </si>
  <si>
    <t>Fact#: 320411 Rec#: 12308 OMAR JOSSUE GRANIZO HUAYAMAVE</t>
  </si>
  <si>
    <t>IC-3592</t>
  </si>
  <si>
    <t>Fact#: 319154-321877 Rec#: 12307 HERRERA CALVACHE JUAN CARLOS</t>
  </si>
  <si>
    <t>IC-3591</t>
  </si>
  <si>
    <t>Fact#: 320471 Rec#: 12306 CORA MARGARITA ROCIO GALLARDO CRUSELLAS</t>
  </si>
  <si>
    <t>IC-3590</t>
  </si>
  <si>
    <t>Fact#: 320437 Rec#: 12305 JAVIER ENRIQUE ARTEAGA MENENDEZ</t>
  </si>
  <si>
    <t>IC-3589</t>
  </si>
  <si>
    <t>Fact#: 321793 Rec#: 12304 CASTRO SAENZ DIANA INDIRA</t>
  </si>
  <si>
    <t>IC-3588</t>
  </si>
  <si>
    <t>Fact#: 319095-321804 Rec#: 12303 VELEZ LOZANO HECTOR EDUARDO</t>
  </si>
  <si>
    <t>IC-3587</t>
  </si>
  <si>
    <t>Fact#: 322505 Rec#: 29813 MARRIOTT S.A</t>
  </si>
  <si>
    <t>IC-3513</t>
  </si>
  <si>
    <t>Fact#: 319360 Rec#: 62105 DOLCA S.A  Cta# 000-015415 Ch# 15823</t>
  </si>
  <si>
    <t>IC-3501</t>
  </si>
  <si>
    <t>Fact#: 318694-321406 Rec#: 62103 LOPEZ JARA PATRICIO ALBERTO</t>
  </si>
  <si>
    <t>IC-3498</t>
  </si>
  <si>
    <t>Fact#: 319474 Rec#: 29812 PANATLANTIC LOGISTICS  S.A.</t>
  </si>
  <si>
    <t>IC-3496</t>
  </si>
  <si>
    <t>Fact#: 318739-321453 Rec#: 29811 JURADO LARREA FABRICIO GUSTAVO</t>
  </si>
  <si>
    <t>IC-3495</t>
  </si>
  <si>
    <t>Fact#: 317325-320063 Rec#: 29810 MAGALI ELIZABETH  CALDERON AVILA</t>
  </si>
  <si>
    <t>IC-3494</t>
  </si>
  <si>
    <t>Fact#: 319109-321819 Rec#: 62102 PARRAGA JOSE JUAN</t>
  </si>
  <si>
    <t>IC-3486</t>
  </si>
  <si>
    <t>Fact#: 319762-322526 Rec#: 62101 PROMOTORA OCCIDENTAL PROCCIDENT S.A</t>
  </si>
  <si>
    <t>IC-3481</t>
  </si>
  <si>
    <t>Fact#: 317181-319925 Rec#: 62100 NELLY MARIA  DIAZ FAGGIONI</t>
  </si>
  <si>
    <t>IC-3478</t>
  </si>
  <si>
    <t>Fact#: 320080 Rec#: 62099 MARIA DEL CARMEN VERA VALVERDE</t>
  </si>
  <si>
    <t>IC-3426</t>
  </si>
  <si>
    <t>Fact#: 321945 Rec#: 62098 SUAREZ FORTUN HENRY JUSTO</t>
  </si>
  <si>
    <t>IC-3413</t>
  </si>
  <si>
    <t>CARRION RODRIGUEZ RICHARD HAMILTON CANCELA TEELFONO 3909177 ABONA SGTE FACTURA</t>
  </si>
  <si>
    <t>AT-3023</t>
  </si>
  <si>
    <t>Fact#: 320208 Rec#: 29809 MARIA CRISTINA LOAIZA BREVI</t>
  </si>
  <si>
    <t>IC-3480</t>
  </si>
  <si>
    <t>Fact#: 319849 Rec#: 29808 Corporación Nacional de Telecomunicaciones-CNT EP</t>
  </si>
  <si>
    <t>IC-3479</t>
  </si>
  <si>
    <t>Fact#: 318648-321363 Rec#: 29804 MERA ESPINOZA LEONEL ANTONIO</t>
  </si>
  <si>
    <t>IC-3452</t>
  </si>
  <si>
    <t>Fact#: 319589 Rec#: 29803 ETYECU S A</t>
  </si>
  <si>
    <t>IC-3451</t>
  </si>
  <si>
    <t>Fact#: 318647-321362 Rec#: 29805 MERA ESPINOZA LEONEL ANTONIO</t>
  </si>
  <si>
    <t>IC-3450</t>
  </si>
  <si>
    <t>Fact#: 1147-962 Rec#: 29807 ARAMBULO VINCES GEIVER YASMANY</t>
  </si>
  <si>
    <t>IC-3449</t>
  </si>
  <si>
    <t>Fact#: 317413-320149 Rec#: 29802 VILLAO JURADO ANDREA BELEN</t>
  </si>
  <si>
    <t>IC-3448</t>
  </si>
  <si>
    <t>Fact#: 317313-320053 Rec#: 29801 CARMEN NARCISA  JURADO PAREDES</t>
  </si>
  <si>
    <t>IC-3447</t>
  </si>
  <si>
    <t>Fact#: 314627-317297-320039 Rec#: 29806 LUIS ENRIQUE  MATIAS YEPEZ</t>
  </si>
  <si>
    <t>IC-3446</t>
  </si>
  <si>
    <t>Fact#: 321666 Rec#: 29800 CASTAÑEDA RENDON JOFFRE AUGUSTO</t>
  </si>
  <si>
    <t>IC-3445</t>
  </si>
  <si>
    <t>Fact#: 318336-321059 Rec#: 29799 CARRION RODRIGUEZ RICHARD HAMILTON</t>
  </si>
  <si>
    <t>IC-3444</t>
  </si>
  <si>
    <t>Fact#: 320904 Rec#: 29798 VARGAS TORRES ZENIA</t>
  </si>
  <si>
    <t>IC-3443</t>
  </si>
  <si>
    <t>Fact#: 317151-319893 Rec#: 29797 JORGE ENRIQUE TRELLES MANTILLA</t>
  </si>
  <si>
    <t>IC-3442</t>
  </si>
  <si>
    <t>Fact#: 317800-320540 Rec#: 29796 MONICA LORENA OROZCO AVILES</t>
  </si>
  <si>
    <t>IC-3441</t>
  </si>
  <si>
    <t>Fact#: 319974 Rec#: 29795 ALVARO CORNEJO RODRIGUEZ</t>
  </si>
  <si>
    <t>IC-3440</t>
  </si>
  <si>
    <t>Fact#: 318111-320843 Rec#: 29794 LOPEZ PALACIOS DANNY CHRISTIAN</t>
  </si>
  <si>
    <t>IC-3439</t>
  </si>
  <si>
    <t>Fact#: 321048 Rec#: 29793 SOXO QUICHIMBO IVONNE ALEXANDRA</t>
  </si>
  <si>
    <t>IC-3438</t>
  </si>
  <si>
    <t>Fact#: 319168-321889 Rec#: 29792 MENDIETA VILLALVA ROSA MARIA</t>
  </si>
  <si>
    <t>IC-3437</t>
  </si>
  <si>
    <t>Fact#: 319880 Rec#: 29791 SIMON EMILIO BRIONES LOOR</t>
  </si>
  <si>
    <t>IC-3436</t>
  </si>
  <si>
    <t>Fact#: 320659 Rec#: 12302 MARITZA MABEL USHIÑA GIRALDO</t>
  </si>
  <si>
    <t>IC-3435</t>
  </si>
  <si>
    <t>Fact#: 320427 Rec#: 12301 ALEXANDER WELLINGTON ALVARADO CARRIEL</t>
  </si>
  <si>
    <t>IC-3434</t>
  </si>
  <si>
    <t>Fact#: 306903-309698-312470 Rec#: 12300 CESAR WILSON LARA NARVAEZ</t>
  </si>
  <si>
    <t>IC-3433</t>
  </si>
  <si>
    <t>Fact#: 321784 Rec#: 12299 CABANILLA CORREA JORGE LOBERTI</t>
  </si>
  <si>
    <t>IC-3432</t>
  </si>
  <si>
    <t>Fact#: 319243-321956 Rec#: 12298 JOSE ANTONIO  DIAZ ACOSTA</t>
  </si>
  <si>
    <t>IC-3431</t>
  </si>
  <si>
    <t>Fact#: 317718-320459 Rec#: 12297 WILINTON ALEXANDER GUZMAN MUÑETON</t>
  </si>
  <si>
    <t>IC-3430</t>
  </si>
  <si>
    <t>Fact#: 320830 Rec#: 12296 SUAREZ MAGALLANES JULIO ALFONSO</t>
  </si>
  <si>
    <t>IC-3429</t>
  </si>
  <si>
    <t>Fact#: 321742 Rec#: 12295 FRANCO RODRIGUEZ FEDERICO ENRIQUE</t>
  </si>
  <si>
    <t>IC-3428</t>
  </si>
  <si>
    <t>Fact#: 317761-320501 Rec#: 12294 MARTHA WENDY VILLEGAS MONTOYA</t>
  </si>
  <si>
    <t>IC-3427</t>
  </si>
  <si>
    <t>Fact#: 320832 Rec#: 12293 MORALES CASTRO SAMUEL</t>
  </si>
  <si>
    <t>IC-3425</t>
  </si>
  <si>
    <t>Fact#: 318640-321356 Rec#: 12292 CRUZ MONTANO CLAUDIA JOHANNA</t>
  </si>
  <si>
    <t>IC-3424</t>
  </si>
  <si>
    <t>Fact#: 321179 Rec#: 12291 ORTEGA CONFORME  JANET AURORA</t>
  </si>
  <si>
    <t>IC-3423</t>
  </si>
  <si>
    <t>Fact#: 310089-312849-315517 Rec#: 12290 ARIAS RIVERA SONIA CARMEN</t>
  </si>
  <si>
    <t>IC-3422</t>
  </si>
  <si>
    <t>Fact#: 321616 Rec#: 12289 BORBOR MORENO LUIS ANTONIO</t>
  </si>
  <si>
    <t>IC-3421</t>
  </si>
  <si>
    <t>Fact#: 1004-1191 Rec#: 12288 LEMA CHICAIZA FRANCISCO HERNAN</t>
  </si>
  <si>
    <t>IC-3420</t>
  </si>
  <si>
    <t>Fact#: 320881 Rec#: 12287 GUADAMUD BURGOS JORGE ULPIANO</t>
  </si>
  <si>
    <t>IC-3419</t>
  </si>
  <si>
    <t>Fact#: 321357 Rec#: 12286 LINDAO RODRIGUEZ STEFANY NARCISA</t>
  </si>
  <si>
    <t>IC-3418</t>
  </si>
  <si>
    <t>Fact#: 317806-320548 Rec#: 12285 DANILO ROMO LEROUX ZUÑIGA</t>
  </si>
  <si>
    <t>IC-3417</t>
  </si>
  <si>
    <t>Fact#: 321786 Rec#: 12284 BURBANO VARGAS LUIS ALEJANDRO</t>
  </si>
  <si>
    <t>IC-3416</t>
  </si>
  <si>
    <t>Fact#: 319355 Rec#: 12283 ASOCIACION DE PROPIETARIOS III ETAPA LONDRES</t>
  </si>
  <si>
    <t>IC-3415</t>
  </si>
  <si>
    <t>Fact#: 319942 Rec#: 12282 DOROTHY VIRGINIA ALBAN CANEPA</t>
  </si>
  <si>
    <t>IC-3414</t>
  </si>
  <si>
    <t>Fact#: 317638-320377 Rec#: 12281 ULISES MARTIN VARGAS FIGUEROA</t>
  </si>
  <si>
    <t>IC-3412</t>
  </si>
  <si>
    <t>Fact#: 321739 Rec#: 12280 VERA DOMINGUEZ JOSE MARCELO</t>
  </si>
  <si>
    <t>IC-3411</t>
  </si>
  <si>
    <t>Fact#: 313005-315667-318360 Rec#: 12279 COLINA MANZANAREZ LUIS MANUEL</t>
  </si>
  <si>
    <t>IC-3410</t>
  </si>
  <si>
    <t>Fact#: 319138-321858 Rec#: 12278 BAQUE MORA DARWIN EDWIN</t>
  </si>
  <si>
    <t>IC-3409</t>
  </si>
  <si>
    <t>Fact#: 318006-320742 Rec#: 12277 JESSICA VANESA METIGA GUARANDA</t>
  </si>
  <si>
    <t>IC-3405</t>
  </si>
  <si>
    <t>Fact#: 321276 Rec#: 12276 MOREIRA VELEZ MANUEL ISIDRO</t>
  </si>
  <si>
    <t>IC-3404</t>
  </si>
  <si>
    <t>Fact#: 320873 Rec#: 12275 BURGOS BRIONES MARIA PAMELA</t>
  </si>
  <si>
    <t>IC-3403</t>
  </si>
  <si>
    <t>Fact#: 318653-321369 Rec#: 12274 ORTEGA QUIMI ADRIANA ALEXANDRA</t>
  </si>
  <si>
    <t>IC-3402</t>
  </si>
  <si>
    <t>Fact#: 319166 Rec#: 12273 HERRERA CASTRO HUGO ANDRES</t>
  </si>
  <si>
    <t>IC-3401</t>
  </si>
  <si>
    <t>Fact#: 321488 Rec#: 12272 HERNANDEZ MARIA ISABEL</t>
  </si>
  <si>
    <t>IC-3400</t>
  </si>
  <si>
    <t>Fact#: 321097 Rec#: 12271 PILAY QUINDE ALEXI ANDRES</t>
  </si>
  <si>
    <t>IC-3399</t>
  </si>
  <si>
    <t>Fact#: 1220 Rec#: 12270 CRUZ JOSE AMABLE</t>
  </si>
  <si>
    <t>IC-3398</t>
  </si>
  <si>
    <t>Fact#: 321044 Rec#: 12269 VASQUEZ DORA JUAN JOSE</t>
  </si>
  <si>
    <t>IC-3377</t>
  </si>
  <si>
    <t>Fact#: 321590 Rec#: 12268 ARIAS AVILA JONATHAN DANIEL</t>
  </si>
  <si>
    <t>IC-3376</t>
  </si>
  <si>
    <t>Fact#: 321688 Rec#: 12267 BERMEO ANDRADE RITA AZUCENA</t>
  </si>
  <si>
    <t>IC-3375</t>
  </si>
  <si>
    <t>Fact#: 320797 Rec#: 12266 MOROCHO CRUZ ELIZABETH MERCEDEZ</t>
  </si>
  <si>
    <t>IC-3374</t>
  </si>
  <si>
    <t>Fact#: 318673-321386 Rec#: 12265 PANCHANA GONZALEZ GLADYS HAIDEE</t>
  </si>
  <si>
    <t>IC-3373</t>
  </si>
  <si>
    <t>Fact#: 321865 Rec#: 12264 MARIN RIVERA FREDDY OMAR</t>
  </si>
  <si>
    <t>IC-3372</t>
  </si>
  <si>
    <t>Fact#: 321997 Rec#: 12263 LOPEZ JIMENEZ ROSA MARGARITA</t>
  </si>
  <si>
    <t>IC-3371</t>
  </si>
  <si>
    <t>Fact#: 317870-320609 Rec#: 12262 LUIS ENRIQUE COLOMBO MALTA</t>
  </si>
  <si>
    <t>IC-3370</t>
  </si>
  <si>
    <t>Fact#: 317807-320549 Rec#: 12261 DAYANNA ANABELL BAQUERIZO AQUINO</t>
  </si>
  <si>
    <t>IC-3369</t>
  </si>
  <si>
    <t>Fact#: 318339-321062 Rec#: 12260 ALARCON MORALES JENNY ROCIO</t>
  </si>
  <si>
    <t>IC-3368</t>
  </si>
  <si>
    <t>Fact#: 319389-322155 Rec#: 62097 ASESORIA INTEGRAL EMASESOR S.A  Cta# 01-0576250 Ch# 1424</t>
  </si>
  <si>
    <t>IC-3366</t>
  </si>
  <si>
    <t>Fact#: 318740-321454 Rec#: 62096 ANDRADE AMOROZO AUGUSTO GUIDO</t>
  </si>
  <si>
    <t>IC-3365</t>
  </si>
  <si>
    <t>Fact#: 318190-320921 Rec#: 62095 MIGUEZ ACOSTA WILLIAM GERMAN</t>
  </si>
  <si>
    <t>IC-3364</t>
  </si>
  <si>
    <t>Fact#: 318329-321052 Rec#: 62094 ESPINOZA ZUNIGA ISABEL MARIA</t>
  </si>
  <si>
    <t>IC-3363</t>
  </si>
  <si>
    <t>Fact#: 315114-317805-320547 Rec#: 62093 CATHERINE NICOLE RUGEL CARRERA</t>
  </si>
  <si>
    <t>IC-3362</t>
  </si>
  <si>
    <t>Fact#: 319697-322463 Rec#: 62092 VELIZ RAMOS JOHN JIMMY</t>
  </si>
  <si>
    <t>IC-3359</t>
  </si>
  <si>
    <t>Fact#: 1107-1294 Rec#: 29790 CALLE DURAN DIEGO VINICIO</t>
  </si>
  <si>
    <t>IC-3350</t>
  </si>
  <si>
    <t>Fact#: 1321 Rec#: 29789 CALLE DURAN DIEGO VINICIO</t>
  </si>
  <si>
    <t>IC-3348</t>
  </si>
  <si>
    <t>Fact#: 315020-317703 Rec#: 29788 ANA KARINA GOMEZ ATIENCIA</t>
  </si>
  <si>
    <t>IC-3347</t>
  </si>
  <si>
    <t>Fact#: 320291 Rec#: 62091 GASTON ALLAND CORTEZ ESPINOZA</t>
  </si>
  <si>
    <t>IC-3345</t>
  </si>
  <si>
    <t>Fact#: 318872-321579 Rec#: 62090 ERAZO TIGRERO MARJORIE KATIUSKA</t>
  </si>
  <si>
    <t>IC-3338</t>
  </si>
  <si>
    <t>Fact#: 319476 Rec#: 29787 STEVEN MICHAEL RAMOS MEZA</t>
  </si>
  <si>
    <t>IC-3337</t>
  </si>
  <si>
    <t>Fact#: 319415 Rec#: 62054 INDUGLOBAL S.A</t>
  </si>
  <si>
    <t>IC-3336</t>
  </si>
  <si>
    <t>Fact#: 319667 Rec#: 62053 VUMILATINA MEDICINA PREPAGADA S.A.  Cta# 178-500236 Ch# 3120</t>
  </si>
  <si>
    <t>IC-3335</t>
  </si>
  <si>
    <t>Fact#: 317163 Rec#: 62052 HELENA ESTHER TAMAYO RIGAIL</t>
  </si>
  <si>
    <t>IC-3323</t>
  </si>
  <si>
    <t>Fact#: 309048-311839-314550 Rec#: 62051 MARITZA VERONICA MUÑOZ BRIONES</t>
  </si>
  <si>
    <t>IC-3299</t>
  </si>
  <si>
    <t>Fact#: 314552-317224-319966 Rec#: 62050 MARTHA ROCIO  TRIVIÑO GRIJALVA</t>
  </si>
  <si>
    <t>IC-3285</t>
  </si>
  <si>
    <t>Fact#: 319605 Rec#: 62049 GLOBAL BUSINESS NESSGLOB S.A.</t>
  </si>
  <si>
    <t>IC-3284</t>
  </si>
  <si>
    <t>Fact#: 319616 Rec#: 62048 CORRELARE S.A.</t>
  </si>
  <si>
    <t>IC-3283</t>
  </si>
  <si>
    <t>Fact#: 321906 Rec#: 62046 ESPINOSA ESPINOZA HUGO STANLEY</t>
  </si>
  <si>
    <t>IC-3270</t>
  </si>
  <si>
    <t>BYRON JOSE LEDESMA CARDENAS CANCELA TELEFONO 3908830 ABONA SGTE FACTURA</t>
  </si>
  <si>
    <t>AT-3022</t>
  </si>
  <si>
    <t>ROMMEL ANTONIO ZAMORA TRIGUERO CANCELA TELEFONO 3900174 ABONA SGTE FACTURA- PAGO WETSERN UNION</t>
  </si>
  <si>
    <t>AT-3021</t>
  </si>
  <si>
    <t>VILLON MATUTE TEODORO FRANCISCO CANCELA TELFONO 3902219 ABONA SGTE FACTURA</t>
  </si>
  <si>
    <t>AT-3020</t>
  </si>
  <si>
    <t>Fact#: 305057-307807-310541 Rec#: 12259 MOLINA PALMA WALTER DANIEL</t>
  </si>
  <si>
    <t>IC-3306</t>
  </si>
  <si>
    <t>Fact#: 312940-315604-318297 Rec#: 12258 FREIRE ORTIZ PEDRO PABLO</t>
  </si>
  <si>
    <t>IC-3301</t>
  </si>
  <si>
    <t>Fact#: 317916-320655 Rec#: 12257 ADRIANA DE LOS ANGELES CUENCA SALAZAR</t>
  </si>
  <si>
    <t>IC-3298</t>
  </si>
  <si>
    <t>Fact#: 313559-316168-318866 Rec#: 12256 VITE PICON JUAN CARLOS</t>
  </si>
  <si>
    <t>IC-3297</t>
  </si>
  <si>
    <t>Fact#: 315174-317865-320605 Rec#: 12255 ERICKA MARILU ROJAS LOPEZ</t>
  </si>
  <si>
    <t>IC-3296</t>
  </si>
  <si>
    <t>Fact#: 318802-321515 Rec#: 12254 GUZMAN JARAMILLO MAGALY DEL ROCIO</t>
  </si>
  <si>
    <t>IC-3295</t>
  </si>
  <si>
    <t>Fact#: 315546-318239-320971 Rec#: 12253 MACIAS PERUGACHI OSCAR ROLANDO</t>
  </si>
  <si>
    <t>IC-3294</t>
  </si>
  <si>
    <t>Fact#: 318543-321257 Rec#: 12252 ARROYO RUANO ENRRIQUE TOMAS</t>
  </si>
  <si>
    <t>IC-3293</t>
  </si>
  <si>
    <t>Fact#: 321768 Rec#: 12251 PENAFIEL VALLE MELISSA DEL ROCIO</t>
  </si>
  <si>
    <t>IC-3292</t>
  </si>
  <si>
    <t>Fact#: 320633 Rec#: 12250 MARIA ROBERTA MORENO DIAZ</t>
  </si>
  <si>
    <t>IC-3291</t>
  </si>
  <si>
    <t>Fact#: 321552 Rec#: 12249 MALDONADO VILLAMAR HUMBERTO MARTIN</t>
  </si>
  <si>
    <t>IC-3290</t>
  </si>
  <si>
    <t>Fact#: 321973 Rec#: 12248 LEON VILLALVA JUAN CARLOS</t>
  </si>
  <si>
    <t>IC-3289</t>
  </si>
  <si>
    <t>Mar/2020</t>
  </si>
  <si>
    <t>SALDO SEGÚN ESTADO DE CUENTA AL 31 DE MARZO DEL 2020</t>
  </si>
  <si>
    <t>SALDO SEGÚN LIBRO BANCOS AL 31 DE MARZO DEL 2020</t>
  </si>
  <si>
    <t>N/D BANCO PACIFICO DECIMO CUARTO SUELDO</t>
  </si>
  <si>
    <t>N/D BANCO PACIFICO FONDO DE RESERVA</t>
  </si>
  <si>
    <t>N/D BANCO PACIFICO ROLES DE PAGO 2DA QUINCENA MES DE ABRIL 2020</t>
  </si>
  <si>
    <t>NDL-21</t>
  </si>
  <si>
    <t>N/D BANCO PACIFICO PAGO DE 2DO ANTICIPO POR HONORARIOS PROFESIONALES MES DE ABRIL 2020, A PABLO BAQUERIZO DAVILA</t>
  </si>
  <si>
    <t>Fact#: 325385 Rec#: 30198 Corporación Nacional de Telecomunicaciones-CNT EP</t>
  </si>
  <si>
    <t>IC-5396</t>
  </si>
  <si>
    <t>Fact#: 325387 Rec#: 30197 Corporación Nacional de Telecomunicaciones-CNT EP</t>
  </si>
  <si>
    <t>IC-5395</t>
  </si>
  <si>
    <t>Fact#: 325159 Rec#: 30196 INDUSKAR S.A.</t>
  </si>
  <si>
    <t>IC-5393</t>
  </si>
  <si>
    <t>Fact#: 326765 Rec#: 30195 PUERO CUERO CARLOS JULIO</t>
  </si>
  <si>
    <t>IC-5392</t>
  </si>
  <si>
    <t>Fact#: 326986 Rec#: 30194 HERNANDEZ GOMEZ EDDY MAXIMO</t>
  </si>
  <si>
    <t>IC-5388</t>
  </si>
  <si>
    <t>Fact#: 325212 Rec#: 30193 ASISTMED ASISTENCIA A MEDICOS S.A.</t>
  </si>
  <si>
    <t>IC-5387</t>
  </si>
  <si>
    <t>Fact#: 325399 Rec#: 30192 LOURDES DEL ROCIO CHAVEZ VELEZ</t>
  </si>
  <si>
    <t>IC-5386</t>
  </si>
  <si>
    <t>Fact#: 325552 Rec#: 30191 BETTY EUVENIA ACOSTA CAJAPE</t>
  </si>
  <si>
    <t>IC-5385</t>
  </si>
  <si>
    <t>Fact#: 321968-324726-327512 Rec#: 12853 ELIAS CABRERA ANGELA MARIA</t>
  </si>
  <si>
    <t>IC-5384</t>
  </si>
  <si>
    <t>Fact#: 327563 Rec#: 12852 CEDENO ANGULO JAIRO RENE</t>
  </si>
  <si>
    <t>IC-5383</t>
  </si>
  <si>
    <t>Fact#: 321705-324454-327234 Rec#: 12851 ALVAREZ DOMINGUEZ KEVIN ANGELO</t>
  </si>
  <si>
    <t>IC-5382</t>
  </si>
  <si>
    <t>Fact#: 321393-324147-326923 Rec#: 12850 NIETO PIN ANDREA ISABELA</t>
  </si>
  <si>
    <t>IC-5381</t>
  </si>
  <si>
    <t>Fact#: 325657 Rec#: 12849 ALVARADO PIGUAVE CAROLIN JANET</t>
  </si>
  <si>
    <t>IC-5380</t>
  </si>
  <si>
    <t>Fact#: 327081 Rec#: 12848 MALDONADO VILLAMAR HUMBERTO MARTIN</t>
  </si>
  <si>
    <t>IC-5379</t>
  </si>
  <si>
    <t>Fact#: 324100-326874 Rec#: 12847 SOLEDISPA LAVAYEN DANNY ARNULFO</t>
  </si>
  <si>
    <t>IC-5378</t>
  </si>
  <si>
    <t>Fact#: 321081-323838-326608 Rec#: 12846 VALERO ZABALA  JULIA ELIZABETH</t>
  </si>
  <si>
    <t>IC-5377</t>
  </si>
  <si>
    <t>Fact#: 323484-326251 Rec#: 12845 LISETTE VICTORIA FRANCO CASTRO</t>
  </si>
  <si>
    <t>IC-5376</t>
  </si>
  <si>
    <t>Fact#: 320811-323559-326329 Rec#: 12844 MORA GUERRERO HILDA ANTONIETA</t>
  </si>
  <si>
    <t>IC-5375</t>
  </si>
  <si>
    <t>Fact#: 324046-326820 Rec#: 12843 YUNEZ PARRA JOSE MIGUEL</t>
  </si>
  <si>
    <t>IC-5374</t>
  </si>
  <si>
    <t>Fact#: 324042-326816 Rec#: 12842 YUNEZ PARRA JOSE MIGUEL</t>
  </si>
  <si>
    <t>IC-5373</t>
  </si>
  <si>
    <t>Fact#: 320591-323342-326107 Rec#: 12841 EDUARDO CAMPOSANO ULLOA</t>
  </si>
  <si>
    <t>IC-5372</t>
  </si>
  <si>
    <t>Fact#: 324612-327394 Rec#: 12840 MAJOJO MANZABA JOSE LUIS</t>
  </si>
  <si>
    <t>IC-5371</t>
  </si>
  <si>
    <t>Fact#: 325574 Rec#: 30190 MARIA ALEXANDRA  ECHEVERRIA VERA</t>
  </si>
  <si>
    <t>IC-5370</t>
  </si>
  <si>
    <t>Fact#: 327238 Rec#: 30189 ARANA BARROS AMBAR GEOVANA</t>
  </si>
  <si>
    <t>IC-5369</t>
  </si>
  <si>
    <t>Fact#: 323881-326652 Rec#: 30188 GUEVARA ACOSTA LUIS JAIRO</t>
  </si>
  <si>
    <t>IC-5368</t>
  </si>
  <si>
    <t>Fact#: 323519-326288 Rec#: 30186 GENOVESE CEVALLOS GIANCARLO CESAR</t>
  </si>
  <si>
    <t>IC-5339</t>
  </si>
  <si>
    <t>Fact#: 322778 Rec#: 30185 CHRISTIAN ARTHUR KONANZ SCHOTEL</t>
  </si>
  <si>
    <t>IC-5338</t>
  </si>
  <si>
    <t>BANCO PACIFICO TRANSFERENCIA PAGO DE FACTURA#20194217 CNEL EP</t>
  </si>
  <si>
    <t>Fact#: 325364-325386 Rec#: 30187 EMPRESA PUBLICA MUNICIPAL PARA LA GESTIÓN DE LA INNOVACIÓN  Y LA COMPETITIVIDAD, EP</t>
  </si>
  <si>
    <t>IC-5340</t>
  </si>
  <si>
    <t>Fact#: 325897 Rec#: 30184 CINTHIA VANESA PALMA JIMENEZ</t>
  </si>
  <si>
    <t>IC-5333</t>
  </si>
  <si>
    <t>Fact#: 326424 Rec#: 30183 VARGAS TORRES ZENIA</t>
  </si>
  <si>
    <t>IC-5332</t>
  </si>
  <si>
    <t>Fact#: 322941-325700 Rec#: 30182 CAROLINA GLORIA BRAVO TOMALA</t>
  </si>
  <si>
    <t>IC-5331</t>
  </si>
  <si>
    <t>Fact#: 324874 Rec#: 30181 ASOC. DE PROPIETARIOS URB. VIA AL SOL</t>
  </si>
  <si>
    <t>IC-5330</t>
  </si>
  <si>
    <t>Fact#: 326749 Rec#: 30180 UBILLA MORAN MARIANA JACQUELINE</t>
  </si>
  <si>
    <t>IC-5329</t>
  </si>
  <si>
    <t>Fact#: 322814-325571 Rec#: 30179 ALEX ENRIQUE  MARTINEZ ESPINOZA</t>
  </si>
  <si>
    <t>IC-5328</t>
  </si>
  <si>
    <t>Fact#: 324001-326774 Rec#: 12839 ALVARADO HOLGUIN HENRRY EDUARDO</t>
  </si>
  <si>
    <t>IC-5327</t>
  </si>
  <si>
    <t>Fact#: 321493-324244-327020 Rec#: 12838 RAMOS PACHAY JOSE MANUEL</t>
  </si>
  <si>
    <t>IC-5326</t>
  </si>
  <si>
    <t>Fact#: 317873-320611-323362-326127 Rec#: 12837 RODNNY XAVIER GONZALEZ RUIZ</t>
  </si>
  <si>
    <t>IC-5325</t>
  </si>
  <si>
    <t>Fact#: 323918-326690 Rec#: 12836 CHIRIBOGA GONZALEZ DIGNA MERCEDES</t>
  </si>
  <si>
    <t>IC-5324</t>
  </si>
  <si>
    <t>Fact#: 324034-326808 Rec#: 12835 MOREIRA VELEZ MANUEL ISIDRO</t>
  </si>
  <si>
    <t>IC-5323</t>
  </si>
  <si>
    <t>Fact#: 324185-326961 Rec#: 12834 TENORIO PRECIADO SUSANA MIRELLA</t>
  </si>
  <si>
    <t>IC-5322</t>
  </si>
  <si>
    <t>Fact#: 321520-324269-327045 Rec#: 12833 BALSECA CALVA GRACIELA RAQUEL</t>
  </si>
  <si>
    <t>IC-5321</t>
  </si>
  <si>
    <t>Fact#: 323967-326739 Rec#: 12832 MIRABAL RODRIGUEZ CRISTINA</t>
  </si>
  <si>
    <t>IC-5320</t>
  </si>
  <si>
    <t>Fact#: 323128-325889 Rec#: 12831 WILLINGTON HUGO ROSALES MEDINA</t>
  </si>
  <si>
    <t>IC-5319</t>
  </si>
  <si>
    <t>Fact#: 320242-323004-325764 Rec#: 12830 ANGEL RICARDO JAIME CATAGUA</t>
  </si>
  <si>
    <t>IC-5318</t>
  </si>
  <si>
    <t>Fact#: 323003-325763 Rec#: 12829 CARLOS GUILLERMO MUÑOZ GUTIERREZ</t>
  </si>
  <si>
    <t>IC-5317</t>
  </si>
  <si>
    <t>Fact#: 322531-325288 Rec#: 12828 ALVARADO BASURTO SEGUNDO GABRIEL</t>
  </si>
  <si>
    <t>IC-5316</t>
  </si>
  <si>
    <t>Fact#: 324137-326912 Rec#: 12827 QUIMI LOPEZ FROILAN TITO</t>
  </si>
  <si>
    <t>IC-5315</t>
  </si>
  <si>
    <t>Fact#: 323647-326417 Rec#: 12826 GUERRERO HOLGUIN JAIME GUSTAVO</t>
  </si>
  <si>
    <t>IC-5314</t>
  </si>
  <si>
    <t>Fact#: 1465-1673 Rec#: 12825 GUTIERREZ ALVAREZ TERESA EUGENIA</t>
  </si>
  <si>
    <t>IC-5313</t>
  </si>
  <si>
    <t>Fact#: 323986-326759 Rec#: 12824 GUAMAN IZA LILIANA ARACELY</t>
  </si>
  <si>
    <t>IC-5312</t>
  </si>
  <si>
    <t>Fact#: 320405-323163-325926 Rec#: 12823 BRYAN JOEL BURGOS GALARZA</t>
  </si>
  <si>
    <t>IC-5311</t>
  </si>
  <si>
    <t>Fact#: 322431-325187 Rec#: 30175 VUMILATINA MEDICINA PREPAGADA S.A.</t>
  </si>
  <si>
    <t>IC-5282</t>
  </si>
  <si>
    <t>N/D BANCO PACIFICO PAGO DE PLLAS. IESS FONDO DE RESERVA MES DE MAR-2020, COMP#19675646</t>
  </si>
  <si>
    <t>Fact#: 327456 Rec#: 30174 VARGAS ZAMBRANO HILDA MARIA</t>
  </si>
  <si>
    <t>IC-5281</t>
  </si>
  <si>
    <t>Fact#: 323422-326188 Rec#: 30173 LUIS ENRIQUE APOLINARIO ROJAS</t>
  </si>
  <si>
    <t>IC-5280</t>
  </si>
  <si>
    <t>Fact#: 322789-325546 Rec#: 30172 MARIA DOLORES COBOS MARMOLEJO</t>
  </si>
  <si>
    <t>IC-5279</t>
  </si>
  <si>
    <t>Fact#: 326244 Rec#: 12822 TANIA PAOLA ILLESCAS PIBAQUE</t>
  </si>
  <si>
    <t>IC-5278</t>
  </si>
  <si>
    <t>Fact#: 326863 Rec#: 12821 VALENCIA NIEVES BYRON BOLIVAR</t>
  </si>
  <si>
    <t>IC-5277</t>
  </si>
  <si>
    <t>Fact#: 318605-321321-324075-326849 Rec#: 12820 FERNANDEZ PACHECO DIANA ISABEL</t>
  </si>
  <si>
    <t>IC-5276</t>
  </si>
  <si>
    <t>Fact#: 324461-327241 Rec#: 12819 FIGUEROA MIRANDA MARTINA MONSERRATE</t>
  </si>
  <si>
    <t>IC-5275</t>
  </si>
  <si>
    <t>Fact#: 327311 Rec#: 12818 CABANILLA CORREA JORGE LOBERTI</t>
  </si>
  <si>
    <t>IC-5274</t>
  </si>
  <si>
    <t>Fact#: 323633-326403 Rec#: 12817 MERCHAN  PEREZ FABIAN BERNARDINO</t>
  </si>
  <si>
    <t>IC-5273</t>
  </si>
  <si>
    <t>Fact#: 324123-326898 Rec#: 12816 ORTEGA QUIMI ADRIANA ALEXANDRA</t>
  </si>
  <si>
    <t>IC-5272</t>
  </si>
  <si>
    <t>Fact#: 321549-324300-327077 Rec#: 12815 MARIN CESAR EDUARDO</t>
  </si>
  <si>
    <t>IC-5271</t>
  </si>
  <si>
    <t>Fact#: 326956 Rec#: 12814 ORTEGA ARGUELLO GISELLA LORENA</t>
  </si>
  <si>
    <t>IC-5270</t>
  </si>
  <si>
    <t>Fact#: 320496-323251-326016 Rec#: 12813 DELFIN NESTOR CALDERON GARCIA</t>
  </si>
  <si>
    <t>IC-5269</t>
  </si>
  <si>
    <t>Fact#: 320331-323089-325851 Rec#: 12812 PILAR MARYLIN ALCIVAR MORAN</t>
  </si>
  <si>
    <t>IC-5268</t>
  </si>
  <si>
    <t>Fact#: 318818-321527-324277-327054 Rec#: 12811 SANTANA GOMEZ CARLOS ALBERTO</t>
  </si>
  <si>
    <t>IC-5267</t>
  </si>
  <si>
    <t>Fact#: 320625-323378-326143 Rec#: 12810 GALO ENRIQUE ESTUPIÑAN VERA</t>
  </si>
  <si>
    <t>IC-5266</t>
  </si>
  <si>
    <t>Fact#: 319998-322765-325522 Rec#: 12809 JUAN CARLOS MANRIQUE CHEVASCO</t>
  </si>
  <si>
    <t>IC-5265</t>
  </si>
  <si>
    <t>Fact#: 1447-1655 Rec#: 12808 PAREDES PEREZ GUSTAVO XAVIER</t>
  </si>
  <si>
    <t>IC-5264</t>
  </si>
  <si>
    <t>Fact#: 319911-322677-325434 Rec#: 30171 ARTURO ALFONSO VELASCO TUTIVEN</t>
  </si>
  <si>
    <t>IC-5263</t>
  </si>
  <si>
    <t>Fact#: 322622-324873 Rec#: 30176 CONSORCIO ECUATORIANO DE TELECOMUNICACIONES S.A. CONECEL</t>
  </si>
  <si>
    <t>IC-5583</t>
  </si>
  <si>
    <t>Fact#: 325384 Rec#: 30178 OTECEL</t>
  </si>
  <si>
    <t>IC-5298</t>
  </si>
  <si>
    <t>Fact#: 325244 Rec#: 30170 CAMPOS VELEZ HENRRY GONZALO</t>
  </si>
  <si>
    <t>IC-5247</t>
  </si>
  <si>
    <t>Fact#: 327279 Rec#: 30169 ALFREDO GEOVANNY SANCHEZ BENAVIDES</t>
  </si>
  <si>
    <t>IC-5246</t>
  </si>
  <si>
    <t>Fact#: 320335-323092-325853 Rec#: 30168 KEVIN ALEXANDER PINO BERMELLO</t>
  </si>
  <si>
    <t>IC-5245</t>
  </si>
  <si>
    <t>Fact#: 322065-324805-327579 Rec#: 30167 ARMIJOS SALAZAR ANA ISABEL</t>
  </si>
  <si>
    <t>IC-5244</t>
  </si>
  <si>
    <t>Fact#: 325729 Rec#: 30166 GUILLERMO IGNACIO JORGE BAQUERIZO VASQUEZ</t>
  </si>
  <si>
    <t>IC-5243</t>
  </si>
  <si>
    <t>Fact#: 326632 Rec#: 30165 GONZALEZ SANCHEZ CESAR IVAN</t>
  </si>
  <si>
    <t>IC-5242</t>
  </si>
  <si>
    <t>Fact#: 326698 Rec#: 30164 PINCAY SILVA FERNANDO RAFAEL</t>
  </si>
  <si>
    <t>IC-5241</t>
  </si>
  <si>
    <t>Fact#: 320052-322820-325577 Rec#: 30163 MARIA EUGENIA  HERBAS HERRERA</t>
  </si>
  <si>
    <t>IC-5240</t>
  </si>
  <si>
    <t>Fact#: 325489 Rec#: 30162 JAVIER MAURICIO RODRIGO ALBAN</t>
  </si>
  <si>
    <t>IC-5239</t>
  </si>
  <si>
    <t>Fact#: 700 Rec#: 30161 CONSORCIO VEOLIA-PROACTIVA</t>
  </si>
  <si>
    <t>IC-5230</t>
  </si>
  <si>
    <t>Fact#: 701 Rec#: 30160 CONSORCIO VEOLIA-PROACTIVA</t>
  </si>
  <si>
    <t>IC-5229</t>
  </si>
  <si>
    <t>Fact#: 320821-323569-326339 Rec#: 30159 JOHN FRANCISCO IZQUIERDO ZAVALA</t>
  </si>
  <si>
    <t>IC-5228</t>
  </si>
  <si>
    <t>Fact#: 325617 Rec#: 30158 SILVIA XIMENA CHAVEZ CABRERA</t>
  </si>
  <si>
    <t>IC-5220</t>
  </si>
  <si>
    <t>Fact#: 325066 Rec#: 30157 CONSTRU-YA S.A.</t>
  </si>
  <si>
    <t>IC-5219</t>
  </si>
  <si>
    <t>transferencia de cuenta banco pacifico a produbanco</t>
  </si>
  <si>
    <t>DR-1070</t>
  </si>
  <si>
    <t>Fact#: 324621-327403 Rec#: 30156 ROSERO TEJADA RICARDO EMILIO</t>
  </si>
  <si>
    <t>IC-5217</t>
  </si>
  <si>
    <t>N/D por comisiones de western union por recaudacion 13/04/2020 al 23/04/2020</t>
  </si>
  <si>
    <t>ND-2</t>
  </si>
  <si>
    <t>Fact#: 322995-325755 Rec#: 30155 LUIS ANTONIO CARVAJAL TORAL</t>
  </si>
  <si>
    <t>IC-5216</t>
  </si>
  <si>
    <t>Fact#: 318166-320897-323646-326416 Rec#: 30154 GABRIELA NATHALY GONZALEZ BAÑOS</t>
  </si>
  <si>
    <t>IC-5209</t>
  </si>
  <si>
    <t>Fact#: 324708-327499 Rec#: 30153 SANCHEZ MEDINA FELIX</t>
  </si>
  <si>
    <t>IC-5208</t>
  </si>
  <si>
    <t>Fact#: 321862-324614-327396 Rec#: 30152 RUIZ UNDA ROBERTO ANTONIO</t>
  </si>
  <si>
    <t>IC-5207</t>
  </si>
  <si>
    <t>Fact#: 327449 Rec#: 30142 ESPINOSA ESPINOZA HUGO STANLEY</t>
  </si>
  <si>
    <t>IC-5124</t>
  </si>
  <si>
    <t>Fact#: 283601-285879-288175 Rec#: 30141 EXCELCALL ECUADOR</t>
  </si>
  <si>
    <t>IC-5122</t>
  </si>
  <si>
    <t>Fact#: 322002-324751-327537 Rec#: 30151 CHACON CALDERON SARITA MARIA DE LOS ANGEL</t>
  </si>
  <si>
    <t>IC-5152</t>
  </si>
  <si>
    <t>Fact#: 325208 Rec#: 30150 COMERCIALIZADORA DE PROUCTOS &amp; SERVICIOS ECUADOR S.A</t>
  </si>
  <si>
    <t>IC-5151</t>
  </si>
  <si>
    <t>Fact#: 326918 Rec#: 30149 VILLON SORIANO DIOSELINA SOLEDAD</t>
  </si>
  <si>
    <t>IC-5150</t>
  </si>
  <si>
    <t>Fact#: 325568 Rec#: 30148 WALTER ENRIQUE  BAJAÑA MEDINA</t>
  </si>
  <si>
    <t>IC-5149</t>
  </si>
  <si>
    <t>Fact#: 326722 Rec#: 30147 DUARTE DEMERA FRANCISCO JAVIER</t>
  </si>
  <si>
    <t>IC-5148</t>
  </si>
  <si>
    <t>Fact#: 324064-326838 Rec#: 30146 ROMMEL ANTONIO ZAMORA TRIGUERO</t>
  </si>
  <si>
    <t>IC-5147</t>
  </si>
  <si>
    <t>Fact#: 325521 Rec#: 30145 FREDDY RENE VALLEJO MEDRANDA</t>
  </si>
  <si>
    <t>IC-5146</t>
  </si>
  <si>
    <t>Fact#: 318431-321149-323904-326675 Rec#: 30144 VELEZ VITERI LENIN ENRIQUE</t>
  </si>
  <si>
    <t>IC-5145</t>
  </si>
  <si>
    <t>Fact#: 315014-317697-320438 Rec#: 12807 FABRICIO OLMEDO GRANDA QUESADA</t>
  </si>
  <si>
    <t>IC-5128</t>
  </si>
  <si>
    <t>Fact#: 325733 Rec#: 30143 MARIA CRISTINA LOAIZA BREVI</t>
  </si>
  <si>
    <t>IC-5126</t>
  </si>
  <si>
    <t>Fact#: 321298-324054-326828 Rec#: 30140 PALADINES RODRIGUEZ VICTOR EMILIO</t>
  </si>
  <si>
    <t>IC-5106</t>
  </si>
  <si>
    <t>Fact#: 325961 Rec#: 30138 ENRIQUE FEDERICO ARENAS PILATAXI</t>
  </si>
  <si>
    <t>IC-5086</t>
  </si>
  <si>
    <t>Fact#: 323199-325963 Rec#: 30137 ANA KARINA GOMEZ ATIENCIA</t>
  </si>
  <si>
    <t>IC-5084</t>
  </si>
  <si>
    <t>Fact#: 1434 Rec#: 30136 ZAPATA FLORES GILMAR FABRICIO</t>
  </si>
  <si>
    <t>IC-5083</t>
  </si>
  <si>
    <t>Fact#: 320831-323579-326349 Rec#: 30135 PERALTA RUA JOSE LUIS</t>
  </si>
  <si>
    <t>IC-5082</t>
  </si>
  <si>
    <t>Fact#: 320026-322792-325549 Rec#: 30134 HUGO ANTONIO SALMERON ACOSTA</t>
  </si>
  <si>
    <t>IC-5081</t>
  </si>
  <si>
    <t>Fact#: 276038-278247-280610 Rec#: 12806 MEDINA MATIAS FRANCISCA ELIZABETH</t>
  </si>
  <si>
    <t>IC-5078</t>
  </si>
  <si>
    <t>Fact#: 326254 Rec#: 30133 ANGEL ROGELIO PUMA MEDINA</t>
  </si>
  <si>
    <t>IC-5069</t>
  </si>
  <si>
    <t>Fact#: 322973 Rec#: 30132 MARIA CRISTINA LOAIZA BREVI</t>
  </si>
  <si>
    <t>IC-5068</t>
  </si>
  <si>
    <t>Fact#: 322237-324995 Rec#: 30131 ASESORIA ECONOMICA INTEGRAL ADVFINSERVICES S.A.</t>
  </si>
  <si>
    <t>IC-5066</t>
  </si>
  <si>
    <t>Fact#: 323724 Rec#: 30130 MACIAS PERUGACHI OSCAR ROLANDO</t>
  </si>
  <si>
    <t>IC-5064</t>
  </si>
  <si>
    <t>Fact#: 314459-317133-319876 Rec#: 30129 JUANA ISABEL MARMOL ESPINOZA</t>
  </si>
  <si>
    <t>IC-5053</t>
  </si>
  <si>
    <t>Fact#: 322848 Rec#: 30128 MARIA DEL CARMEN VERA VALVERDE</t>
  </si>
  <si>
    <t>IC-5052</t>
  </si>
  <si>
    <t>Fact#: 320900-323649 Rec#: 30127 GUTIERREZ CAJIAS ANDREA YOLANDA</t>
  </si>
  <si>
    <t>IC-5051</t>
  </si>
  <si>
    <t>Fact#: 322744 Rec#: 30126 MARIA GABRIELA TERAN SEVILLA</t>
  </si>
  <si>
    <t>IC-5050</t>
  </si>
  <si>
    <t>Fact#: 315212-317904-320643 Rec#: 12805 WILLIAM JONATHAN ALVAREZ ZAPATA</t>
  </si>
  <si>
    <t>IC-5045</t>
  </si>
  <si>
    <t>Fact#: 322249-325009 Rec#: 30125 OPENGROUP S.A.</t>
  </si>
  <si>
    <t>IC-5044</t>
  </si>
  <si>
    <t>Fact#: 324988 Rec#: 30123 WANHAI LINES ECUADOR S.A.</t>
  </si>
  <si>
    <t>IC-5038</t>
  </si>
  <si>
    <t>PAGO TARJ. CORP. CUOTA MES DE ABR-2020</t>
  </si>
  <si>
    <t>NDL-38</t>
  </si>
  <si>
    <t>Fact#: 323714 Rec#: 30124 RODRIGUEZ BADILLO GLENDA MARITZA</t>
  </si>
  <si>
    <t>IC-5039</t>
  </si>
  <si>
    <t>Fact#: 322718 Rec#: 30122 NORMA ELISA YEPEZ JIMENEZ</t>
  </si>
  <si>
    <t>IC-5028</t>
  </si>
  <si>
    <t>Fact#: 1189-1391 Rec#: 12804 CRUZ SANTANA MARCOS BOLIVAR</t>
  </si>
  <si>
    <t>IC-5027</t>
  </si>
  <si>
    <t>Fact#: 324025 Rec#: 12803 CAMPOVERDE AREVALO WILLIAM HERNAN</t>
  </si>
  <si>
    <t>IC-5026</t>
  </si>
  <si>
    <t>Fact#: 321958-324717 Rec#: 12802 MACHACILLA QUINCHE MARIO UBALDO</t>
  </si>
  <si>
    <t>IC-5025</t>
  </si>
  <si>
    <t>Fact#: 315698-318392-321114 Rec#: 12801 ROCAFUERTE FIGUEROA DILGLA MARIANELA</t>
  </si>
  <si>
    <t>IC-5024</t>
  </si>
  <si>
    <t>Fact#: 320893-323641 Rec#: 12800 CARRILLO ANCHUNDIA FLOR MARIA</t>
  </si>
  <si>
    <t>IC-5023</t>
  </si>
  <si>
    <t>Fact#: 324741 Rec#: 12799 CABRERA SOLORZANO NELSON CATITO</t>
  </si>
  <si>
    <t>IC-5022</t>
  </si>
  <si>
    <t>Fact#: 323047 Rec#: 12798 NUBIA CICELY LOPEZ CONTRERAS</t>
  </si>
  <si>
    <t>IC-5021</t>
  </si>
  <si>
    <t>Fact#: 323105 Rec#: 12797 ANDREA CANAHUATI CHAIN</t>
  </si>
  <si>
    <t>IC-5020</t>
  </si>
  <si>
    <t>Fact#: 320892-323640 Rec#: 12796 QUIÑONEZ VILLOTA KATTY ELIANA</t>
  </si>
  <si>
    <t>IC-5019</t>
  </si>
  <si>
    <t>Fact#: 323912 Rec#: 12795 RIVADENEIRA SACON GRACE ALEXANDRA</t>
  </si>
  <si>
    <t>IC-5018</t>
  </si>
  <si>
    <t>Fact#: 324585 Rec#: 12794 MERINO MORAN LUIS MIGUEL</t>
  </si>
  <si>
    <t>IC-4995</t>
  </si>
  <si>
    <t>Fact#: 324288 Rec#: 12793 MONTANO  VALDEZ AGUSTO</t>
  </si>
  <si>
    <t>IC-4994</t>
  </si>
  <si>
    <t>Fact#: 308045-310805-313532 Rec#: 12792 PITA PENAFIEL ALISON CAROLINA</t>
  </si>
  <si>
    <t>IC-4993</t>
  </si>
  <si>
    <t>Fact#: 323085 Rec#: 12791 ADRIANA ALEXANDRA CHIQUITO MOLINA</t>
  </si>
  <si>
    <t>IC-4992</t>
  </si>
  <si>
    <t>Fact#: 318876-321582-324337 Rec#: 12790 LEON MUNOZ LUCY DOMENICA</t>
  </si>
  <si>
    <t>IC-4991</t>
  </si>
  <si>
    <t>Fact#: 323383 Rec#: 12789 ALBERTO WILSON CHOEZ FIGUEROA</t>
  </si>
  <si>
    <t>IC-4990</t>
  </si>
  <si>
    <t>Fact#: 325127 Rec#: 30121 DATA TOOLS S.A.</t>
  </si>
  <si>
    <t>IC-5006</t>
  </si>
  <si>
    <t>Fact#: 323589 Rec#: 30120 LOPEZ PALACIOS DANNY CHRISTIAN</t>
  </si>
  <si>
    <t>IC-4996</t>
  </si>
  <si>
    <t>Fact#: 314782-317456-320194 Rec#: 12788 GALICIO VALERIO LAURIDO ROMERO</t>
  </si>
  <si>
    <t>IC-4989</t>
  </si>
  <si>
    <t>Fact#: 324622 Rec#: 12787 SANTANA MORENO SAUL AUGUSTO</t>
  </si>
  <si>
    <t>IC-4988</t>
  </si>
  <si>
    <t>Fact#: 318219-320952-323704 Rec#: 12786 EGAS LINO KEVIN STALIN</t>
  </si>
  <si>
    <t>IC-4987</t>
  </si>
  <si>
    <t>Fact#: 324225 Rec#: 12785 SANCHEZ QUINCHUELA INES MONICA</t>
  </si>
  <si>
    <t>IC-4986</t>
  </si>
  <si>
    <t>Fact#: 324404 Rec#: 12784 CORTEZ CANTOS  PEDRO PABLO</t>
  </si>
  <si>
    <t>IC-4985</t>
  </si>
  <si>
    <t>Fact#: 323546 Rec#: 12783 FREDDY PABLO  ENDARA SAAVEDRA</t>
  </si>
  <si>
    <t>IC-4984</t>
  </si>
  <si>
    <t>Fact#: 325280 Rec#: 12782 JARRIN LOPEZ VERONICA ELIZABETH</t>
  </si>
  <si>
    <t>IC-4983</t>
  </si>
  <si>
    <t>Fact#: 325328 Rec#: 12781 MERCHAN BALON CHRISTOPHER FERNANDO</t>
  </si>
  <si>
    <t>IC-4982</t>
  </si>
  <si>
    <t>Fact#: 313775-316387-319113 Rec#: 12780 MACIAS MIRANDA DELIA ADRIANA</t>
  </si>
  <si>
    <t>IC-4981</t>
  </si>
  <si>
    <t>Fact#: 323836 Rec#: 12779 MENDEZ VILLON CARMEN MARISOL</t>
  </si>
  <si>
    <t>IC-4980</t>
  </si>
  <si>
    <t>N/D BANCO PACIFICO PAGO DE PLLAS. IESS NORMALES MES DE MAR-2020</t>
  </si>
  <si>
    <t>Fact#: 323861 Rec#: 30119 GONZALEZ SANCHEZ CESAR IVAN</t>
  </si>
  <si>
    <t>IC-4965</t>
  </si>
  <si>
    <t>Fact#: 325210 Rec#: 30118 SERVICIO &amp; MANTENIMIENTO INDUSTRIAL MANSEINSAJAB S.A</t>
  </si>
  <si>
    <t>IC-4964</t>
  </si>
  <si>
    <t>Fact#: 1202-1403 Rec#: 12778 ZAMBRANO OLMEDO VERONICA PATRICIA</t>
  </si>
  <si>
    <t>IC-4962</t>
  </si>
  <si>
    <t>Fact#: 323541 Rec#: 12777 MINO DOYLET YOLANDA ABIGAIL</t>
  </si>
  <si>
    <t>IC-4961</t>
  </si>
  <si>
    <t>Fact#: 324756 Rec#: 12776 JIMENEZ OCHOA LUIS ENRIQUE</t>
  </si>
  <si>
    <t>IC-4960</t>
  </si>
  <si>
    <t>Fact#: 1418 Rec#: 12775 CRUZ JOSE AMABLE</t>
  </si>
  <si>
    <t>IC-4959</t>
  </si>
  <si>
    <t>Fact#: 324373 Rec#: 12774 CHANCAY SOLEDISPA VICTOR MANUEL</t>
  </si>
  <si>
    <t>IC-4958</t>
  </si>
  <si>
    <t>Fact#: 324398 Rec#: 12773 CHUCA CHANCAY ANDREA BETZABETH</t>
  </si>
  <si>
    <t>IC-4957</t>
  </si>
  <si>
    <t>Fact#: 324626 Rec#: 12772 ZAMBRANO RIVERA EDINSON EDGAR</t>
  </si>
  <si>
    <t>IC-4956</t>
  </si>
  <si>
    <t>Fact#: 324635 Rec#: 12771 FIGUEROA GAVELA SILVIA FABIOLA</t>
  </si>
  <si>
    <t>IC-4955</t>
  </si>
  <si>
    <t>Fact#: 323624 Rec#: 12770 DEL VALLE MONTECE SELENA MARIBEL</t>
  </si>
  <si>
    <t>IC-4954</t>
  </si>
  <si>
    <t>BANCO PACIFICO TRANSFERENCIA PAGO DE FACTURA#20064928 CNEL EP</t>
  </si>
  <si>
    <t>NDL-32</t>
  </si>
  <si>
    <t>BANCO PACIFICO TRANSFERENCIA PAGO DE FACTURA#20069463 CNEL EP</t>
  </si>
  <si>
    <t>BANCO PACIFICO TRANSFERENCIA PAGO DE FACTURA#1026496 CNEL EP</t>
  </si>
  <si>
    <t>BANCO PACIFICO TRANSFERENCIA PAGO DE FACTURA#681169 CNEL EP</t>
  </si>
  <si>
    <t>BANCO PACIFICO TRANSFERENCIA PAGO DE FACTURA#687562, CNEL EP</t>
  </si>
  <si>
    <t>BANCO PACIFICO TRANSFERENCIA PAGO DE FACTURA#20142084 CTV, PORTAL AL SOL, PERIODO:11 MAR AL 09 ABR 2020, COD:200017298429</t>
  </si>
  <si>
    <t>BANCO PACIFICO TRANSFERENCIA PAGO DE FACTURA#20101944, CNEL EP</t>
  </si>
  <si>
    <t>BANCO PACIFICO TRANSFERENCIA PAGO DE FACTURA#20055157, CNEL EP</t>
  </si>
  <si>
    <t>N/D BANCO PACIFICO PAGO DE PLLAS. IESS AJUSTE MES DE MAR-2020, COMP#127494542</t>
  </si>
  <si>
    <t>NDL-13</t>
  </si>
  <si>
    <t>N/D BANCO PACIFICO PAGO DE PLLAS. IESS NORMALES MES DE MAR-2020, COMP#127494367</t>
  </si>
  <si>
    <t>NDL-12</t>
  </si>
  <si>
    <t>N/D BANCO PACIFICO 1ER ANTICIPO A FACTURA POR HONORARIOS MES DE ABRIL 2020, PABLO BAQUERIZO D.</t>
  </si>
  <si>
    <t>NDL-11</t>
  </si>
  <si>
    <t>N/D BANCO PACIFICO PAGO DE 1ERA QUINCENA MES DE ABRIL 2020</t>
  </si>
  <si>
    <t>N/D BANCO PACIFICO PAGO DE FONDOS DE RESERVA MES DE MARZO 2020</t>
  </si>
  <si>
    <t>N/D BANCO PACIFICO PAGO DE PLLAS. IESS PRES. QUIROGRAFARIO MES DE MAR-2020</t>
  </si>
  <si>
    <t>N/D BANCO PACIFICO  PAGO DE PLLAS. IESS PREST. HIPOTECARIO MES DE MAR-2020</t>
  </si>
  <si>
    <t>Fact#: 323870 Rec#: 30116 NARANJO BENITES LUIS ALBERTO</t>
  </si>
  <si>
    <t>IC-4949</t>
  </si>
  <si>
    <t>Fact#: 323895 Rec#: 12769 SIMISTERRA MICOLTA RUBEN DARIO</t>
  </si>
  <si>
    <t>IC-4945</t>
  </si>
  <si>
    <t>Fact#: 323899 Rec#: 12768 VALLE GONZALEZ LIDIA ELIZABETH</t>
  </si>
  <si>
    <t>IC-4944</t>
  </si>
  <si>
    <t>Fact#: 323657 Rec#: 12767 CEVALLOS PLUAS JULIT LORENA</t>
  </si>
  <si>
    <t>IC-4943</t>
  </si>
  <si>
    <t>Fact#: 324073 Rec#: 12766 JIMA BRAVO  JOSE FLORENCIO</t>
  </si>
  <si>
    <t>IC-4942</t>
  </si>
  <si>
    <t>Fact#: 324771 Rec#: 12765 RODAS NEIRA MARCIA ELENA</t>
  </si>
  <si>
    <t>IC-4941</t>
  </si>
  <si>
    <t>Fact#: 321595-324350 Rec#: 12764 ALVAREZ BORRERO JUAN CARLOS</t>
  </si>
  <si>
    <t>IC-4940</t>
  </si>
  <si>
    <t>Fact#: 324609 Rec#: 12763 BAQUE MORA DARWIN EDWIN</t>
  </si>
  <si>
    <t>IC-4939</t>
  </si>
  <si>
    <t>BANCO PACIFICO TRANSFERENCIA PAGO DE FACTURAS#145645049, 145645045, 145645046, 145645047, 145645048 MES DE MAR 2020, CNT EP</t>
  </si>
  <si>
    <t>N/D BANCO PACIFICO, PAGO DE FACTURA#143102396, 143102395, 143102392, 143102393, 143102394 CNT EP MES DE FEB-2020</t>
  </si>
  <si>
    <t>N/D BANCO PACIFICO, PAGO DE FACTURA#12597 ASOC. MORADORES MATICES MES MAR-2020</t>
  </si>
  <si>
    <t>N/D BANCO PACIFICO, PAGO DE FACTURA#30202 ECUACOPIA MES DE MAR-2020</t>
  </si>
  <si>
    <t>Fact#: 325059 Rec#: 30115 CAROLINA DEL ROCIO GRANDA BARZOLA</t>
  </si>
  <si>
    <t>IC-4892</t>
  </si>
  <si>
    <t>Fact#: 322647 Rec#: 30114 SIMON EMILIO BRIONES LOOR</t>
  </si>
  <si>
    <t>IC-4889</t>
  </si>
  <si>
    <t>Fact#: 321285-324043 Rec#: 30113 RAMOS MARCILLO CATHERINE LISSETTE</t>
  </si>
  <si>
    <t>IC-4888</t>
  </si>
  <si>
    <t>Fact#: 322760 Rec#: 30112 BENILDA JESUS ACOSTA ZAMBRANO</t>
  </si>
  <si>
    <t>IC-4887</t>
  </si>
  <si>
    <t>Fact#: 325236 Rec#: 30111 GENERALAIR S. A</t>
  </si>
  <si>
    <t>IC-4886</t>
  </si>
  <si>
    <t>Fact#: 322795 Rec#: 30110 BETTY EUVENIA ACOSTA CAJAPE</t>
  </si>
  <si>
    <t>IC-4885</t>
  </si>
  <si>
    <t>Fact#: 322644 Rec#: 30109 JORGE ALFREDO FRANCO MORAN</t>
  </si>
  <si>
    <t>IC-4884</t>
  </si>
  <si>
    <t>Fact#: 323248 Rec#: 12762 ISABEL RODRIGUEZ RIZO</t>
  </si>
  <si>
    <t>IC-4883</t>
  </si>
  <si>
    <t>Fact#: 321428-324182 Rec#: 12761 MORENO GOMEZ DUQUE ALFREDO</t>
  </si>
  <si>
    <t>IC-4882</t>
  </si>
  <si>
    <t>Fact#: 321420-324173 Rec#: 12760 MORENO GOMEZ DUQUE ALFREDO</t>
  </si>
  <si>
    <t>IC-4881</t>
  </si>
  <si>
    <t>Fact#: 319894-322660 Rec#: 12759 EDDA GLADYS PARRALES GOMEZ</t>
  </si>
  <si>
    <t>IC-4880</t>
  </si>
  <si>
    <t>Fact#: 312265-314959-317641 Rec#: 12758 MARIA ELIZABETH SANTOS MACIAS</t>
  </si>
  <si>
    <t>IC-4879</t>
  </si>
  <si>
    <t>Fact#: 323225 Rec#: 12757 ANA ESTHER ANTEPARA ACOSTA</t>
  </si>
  <si>
    <t>IC-4878</t>
  </si>
  <si>
    <t>Fact#: 318016-320751-323503 Rec#: 12756 BILLY JOHN LARA FRANCO</t>
  </si>
  <si>
    <t>IC-4877</t>
  </si>
  <si>
    <t>N/D BANCO PACIFICO PAGO DE FACTURA#65309891 OTECEL S.A. PERIODO 08 MAR AL 07 ABR 2020</t>
  </si>
  <si>
    <t>N/D POR COMISIONES DE WESTERN UNION POR RECAUDACION DEL 01/04/2020 AL 11/04/2020</t>
  </si>
  <si>
    <t>Fact#: 324895 Rec#: 30117 LG ELECTRONICS PANAMA S.A</t>
  </si>
  <si>
    <t>IC-4953</t>
  </si>
  <si>
    <t>Fact#: 325039 Rec#: 30108 CHRISTIAN JAVIER MIDEROS ROMERO</t>
  </si>
  <si>
    <t>IC-4876</t>
  </si>
  <si>
    <t>Fact#: 322740 Rec#: 30107 ALVARO CORNEJO RODRIGUEZ</t>
  </si>
  <si>
    <t>IC-4875</t>
  </si>
  <si>
    <t>Fact#: 1335-1541 Rec#: 30106 JIMENEZ BERNAL TANIA BEATRIZ</t>
  </si>
  <si>
    <t>IC-4874</t>
  </si>
  <si>
    <t>Fact#: 1333-1539 Rec#: 30105 JIMENEZ BERNAL TANIA BEATRIZ</t>
  </si>
  <si>
    <t>IC-4873</t>
  </si>
  <si>
    <t>Fact#: 320753-323504 Rec#: 30104 TANHIA ELIZABETH SUAREZ CHANCAY</t>
  </si>
  <si>
    <t>IC-4872</t>
  </si>
  <si>
    <t>Fact#: 324618 Rec#: 12755 MARIN RIVERA FREDDY OMAR</t>
  </si>
  <si>
    <t>IC-4869</t>
  </si>
  <si>
    <t>Fact#: 322870 Rec#: 12754 PAZMIÑO COELLO JAIME MARCELO</t>
  </si>
  <si>
    <t>IC-4868</t>
  </si>
  <si>
    <t>Fact#: 324303 Rec#: 12753 MALDONADO VILLAMAR HUMBERTO MARTIN</t>
  </si>
  <si>
    <t>IC-4867</t>
  </si>
  <si>
    <t>Fact#: 1387 Rec#: 12752 CADENA CHONTASI OLGA MARIA</t>
  </si>
  <si>
    <t>IC-4866</t>
  </si>
  <si>
    <t>Fact#: 323975 Rec#: 12751 MAYEZA REGALADO JIMMY HARRY</t>
  </si>
  <si>
    <t>IC-4865</t>
  </si>
  <si>
    <t>Fact#: 325124 Rec#: 30103 SINERGIA MARIN SANCHEZ S.A. SINERMASA</t>
  </si>
  <si>
    <t>IC-4854</t>
  </si>
  <si>
    <t>Fact#: 320905-323655 Rec#: 12750 VILLEGAS LIRIANO YULIANA IRINA</t>
  </si>
  <si>
    <t>IC-4849</t>
  </si>
  <si>
    <t>Fact#: 325220-325246-325247-325248 Rec#: 30102 RUIZ ROMAN ROMMEL ELIAS</t>
  </si>
  <si>
    <t>IC-4850</t>
  </si>
  <si>
    <t>Fact#: 323629 Rec#: 12749 GUADAMUD BURGOS JORGE ULPIANO</t>
  </si>
  <si>
    <t>IC-4848</t>
  </si>
  <si>
    <t>Fact#: 323268 Rec#: 12748 JAVIER FEDERICO VILLON ANASTACIO</t>
  </si>
  <si>
    <t>IC-4847</t>
  </si>
  <si>
    <t>Fact#: 317901-320640-323392 Rec#: 12747 LOURDES DEL ROCIO JIMENEZ ACOSTA</t>
  </si>
  <si>
    <t>IC-4846</t>
  </si>
  <si>
    <t>Fact#: 321459-324211 Rec#: 12746 CUEVA SAREZ JENNIFER STEFANIA</t>
  </si>
  <si>
    <t>IC-4845</t>
  </si>
  <si>
    <t>AMERICAN EXPRESS CANCELACION DEBITO TARJETAS GUAYAQUIL- PAGO DE FACT 323102- 323050- 323154- 323412- 323440- 323575- 325198- 325201- 324278- 324422- 1452- 324571- 325071- 324647-324655- 324359- 324685- 325361- 320534 - 323287- 323932- POR DEP EN CTA</t>
  </si>
  <si>
    <t>NC-9</t>
  </si>
  <si>
    <t>VISA - MASTERCARD - PACIFICARD CANCELACION DEBITO TARJETAS GUAYAQUIL- PAGO DE FACT 322974- 324936- 323017- 323313- 325037- 325036- 325046- 323563- 323321- 324410- 1440- 324256</t>
  </si>
  <si>
    <t>NC-8</t>
  </si>
  <si>
    <t>VISA - MASTERCARD - PACIFICARD CANCELACION DEBITO TARJETAS GUAYAQUIL - PAGO DE FACT 324481</t>
  </si>
  <si>
    <t>NC-7</t>
  </si>
  <si>
    <t>Fact#: 322788 Rec#: 30101 ROSA CONSUELO  FIGUEROA MACIAS</t>
  </si>
  <si>
    <t>IC-4840</t>
  </si>
  <si>
    <t>Fact#: 320722-323472 Rec#: 30100 PRISCILLA DENISSE VINUEZA YEPEZ</t>
  </si>
  <si>
    <t>IC-4839</t>
  </si>
  <si>
    <t>Fact#: 1454 Rec#: 12745 SALINAS GONZALEZ JAIME PATRICIO</t>
  </si>
  <si>
    <t>IC-4838</t>
  </si>
  <si>
    <t>Fact#: 324830 Rec#: 12744 MITE LOPEZ JESSICA ALEXANDRA</t>
  </si>
  <si>
    <t>IC-4837</t>
  </si>
  <si>
    <t>Fact#: 317374-320111-322878 Rec#: 12743 VINUEZA GALLARDO CARLOS ENRIQUE</t>
  </si>
  <si>
    <t>IC-4836</t>
  </si>
  <si>
    <t>Fact#: 324636 Rec#: 12742 MORENO TELLO CELI DURINDANA</t>
  </si>
  <si>
    <t>IC-4835</t>
  </si>
  <si>
    <t>Fact#: 315326-318019-320754 Rec#: 12741 ROJAS ALVARIO JENNYFER JESSENIA</t>
  </si>
  <si>
    <t>IC-4834</t>
  </si>
  <si>
    <t>Fact#: 324369 Rec#: 12740 BORBOR MORENO LUIS ANTONIO</t>
  </si>
  <si>
    <t>IC-4833</t>
  </si>
  <si>
    <t>Fact#: 324663 Rec#: 30099 ESPINOSA ESPINOZA HUGO STANLEY</t>
  </si>
  <si>
    <t>IC-4782</t>
  </si>
  <si>
    <t>Fact#: 313609-316222-318920 Rec#: 12739 SANCHEZ CORDOVA ALEXIS ANTONIO</t>
  </si>
  <si>
    <t>IC-4770</t>
  </si>
  <si>
    <t>Fact#: 323477 Rec#: 12738 TANIA PAOLA ILLESCAS PIBAQUE</t>
  </si>
  <si>
    <t>IC-4769</t>
  </si>
  <si>
    <t>Fact#: 319334-322047-324786 Rec#: 12737 TRUJILL0 ELJURI ROBERTO FARID</t>
  </si>
  <si>
    <t>IC-4768</t>
  </si>
  <si>
    <t>Fact#: 323943 Rec#: 30139 CEDENO MUNOZ EDGAR ENRIQUE</t>
  </si>
  <si>
    <t>IC-5087</t>
  </si>
  <si>
    <t>Fact#: 319329-324781 Rec#: 30098 MONGE SCALDAFERRI ANDRES ALBERTO</t>
  </si>
  <si>
    <t>IC-4761</t>
  </si>
  <si>
    <t>Fact#: 323805 Rec#: 30097 SOXO QUICHIMBO IVONNE ALEXANDRA</t>
  </si>
  <si>
    <t>IC-4760</t>
  </si>
  <si>
    <t>Fact#: 1227-1425 Rec#: 12736 ANDRADE LANZL ADRIANA PATRICIA</t>
  </si>
  <si>
    <t>IC-4759</t>
  </si>
  <si>
    <t>Fact#: 324268 Rec#: 12735 CASTRO ALZAMORA DARWIN GABRIEL</t>
  </si>
  <si>
    <t>IC-4758</t>
  </si>
  <si>
    <t>Fact#: 1522 Rec#: 30095 CABEZAS GUERRA MARIA DEL CARMEN</t>
  </si>
  <si>
    <t>IC-4755</t>
  </si>
  <si>
    <t>Fact#: 319452-322218 Rec#: 30094 AMFORAPACKAGING S.A.</t>
  </si>
  <si>
    <t>IC-4754</t>
  </si>
  <si>
    <t>JAIME RICARDO ZUÑIGA RODRIGUEZ CANCELA TEELFONO 3903064 ABONA SGTE FACTURA</t>
  </si>
  <si>
    <t>AT-3037</t>
  </si>
  <si>
    <t>Fact#: 311719-317092-317101 Rec#: 30096 EMPRESA PUBLICA MUNICIPAL DE TELECOMUNICACIONES, AGUA POTABLE, ALCANTARILLADO Y SANEAMIENTO DE CUENCA. ETAPA EP.</t>
  </si>
  <si>
    <t>IC-4757</t>
  </si>
  <si>
    <t>Fact#: 324894 Rec#: 30093 DORCIEN S.A</t>
  </si>
  <si>
    <t>IC-4747</t>
  </si>
  <si>
    <t>Fact#: 318202-320934-323685 Rec#: 12734 ANDRADE ALVARADO NANCY NOEMI</t>
  </si>
  <si>
    <t>IC-4746</t>
  </si>
  <si>
    <t>Fact#: 322824 Rec#: 12733 LAURA BEATRIZ  ENCALADA ESPINOZA</t>
  </si>
  <si>
    <t>IC-4745</t>
  </si>
  <si>
    <t>Fact#: 1459 Rec#: 12732 ESPIN BIFARINI LOURDES TAMARA</t>
  </si>
  <si>
    <t>IC-4744</t>
  </si>
  <si>
    <t>Fact#: 322620 Rec#: 30092 Corporación Nacional de Telecomunicaciones-CNT EP</t>
  </si>
  <si>
    <t>IC-4743</t>
  </si>
  <si>
    <t>Fact#: 322625 Rec#: 30091 Corporación Nacional de Telecomunicaciones-CNT EP</t>
  </si>
  <si>
    <t>IC-4742</t>
  </si>
  <si>
    <t>Fact#: 324669 Rec#: 30090 VARGAS ZAMBRANO HILDA MARIA</t>
  </si>
  <si>
    <t>IC-4712</t>
  </si>
  <si>
    <t>Fact#: 324998 Rec#: 30089 STEVEN MICHAEL RAMOS MEZA</t>
  </si>
  <si>
    <t>IC-4710</t>
  </si>
  <si>
    <t>Fact#: 318843-321551-324302 Rec#: 12731 MENENDEZ GARCIA RODRIGO ANTONIO</t>
  </si>
  <si>
    <t>IC-4661</t>
  </si>
  <si>
    <t>Fact#: 322899 Rec#: 12730 ALVARADO PIGUAVE CAROLIN JANET</t>
  </si>
  <si>
    <t>IC-4660</t>
  </si>
  <si>
    <t>Fact#: 322881 Rec#: 12729 NELIS MARIA PINARGOTE YEPEZ</t>
  </si>
  <si>
    <t>IC-4659</t>
  </si>
  <si>
    <t>Fact#: 324790 Rec#: 12728 CEDENO ANGULO JAIRO RENE</t>
  </si>
  <si>
    <t>IC-4658</t>
  </si>
  <si>
    <t>Fact#: 323482 Rec#: 12727 CARLOS GREGORIO HURTADO MOSQUERA</t>
  </si>
  <si>
    <t>IC-4657</t>
  </si>
  <si>
    <t>Fact#: 323531 Rec#: 12726 GONZALEZ MELLA CRISTIAN ALEJANDRO</t>
  </si>
  <si>
    <t>IC-4656</t>
  </si>
  <si>
    <t>N/D PACIFICO LIQ. VACACIONES A SÁNCHEZ CALDERÓN TANIA PERIODO 14/OCT/2018 AL 13/OCT/2019 Y 14/OCT/2019 AL 13/OCT/2020</t>
  </si>
  <si>
    <t>NDL-39</t>
  </si>
  <si>
    <t>Fact#: 324565 Rec#: 12725 CERCADO MENDOZA MARIA AUXILIADORA</t>
  </si>
  <si>
    <t>IC-4655</t>
  </si>
  <si>
    <t>Fact#: 323427 Rec#: 12724 EVELYN SUSANA PITA CARRASCO</t>
  </si>
  <si>
    <t>IC-4654</t>
  </si>
  <si>
    <t>Fact#: 310557-313291-315939 Rec#: 12723 MEDINA PLUAS BRYAN GUILLERMO</t>
  </si>
  <si>
    <t>IC-4653</t>
  </si>
  <si>
    <t>Fact#: 1371 Rec#: 12722 CACUANGO LINCANGO EDISON FABIAN</t>
  </si>
  <si>
    <t>IC-4652</t>
  </si>
  <si>
    <t>Fact#: 324547 Rec#: 12721 PAREDES TORRES ANGELA DEL ROSARIO</t>
  </si>
  <si>
    <t>IC-4651</t>
  </si>
  <si>
    <t>Fact#: 324778 Rec#: 12720 GARCIA SORIANO LUZ MARIA</t>
  </si>
  <si>
    <t>IC-4650</t>
  </si>
  <si>
    <t>Fact#: 323625 Rec#: 12719 CABEZA BENITEZ MONSERRATE FATIMA</t>
  </si>
  <si>
    <t>IC-4614</t>
  </si>
  <si>
    <t>Fact#: 324089 Rec#: 12718 VALENCIA NIEVES BYRON BOLIVAR</t>
  </si>
  <si>
    <t>IC-4613</t>
  </si>
  <si>
    <t>Fact#: 323854 Rec#: 12717 PILAY QUINDE ALEXI ANDRES</t>
  </si>
  <si>
    <t>IC-4612</t>
  </si>
  <si>
    <t>Fact#: 325263 Rec#: 30088 MARRIOTT S.A</t>
  </si>
  <si>
    <t>IC-4610</t>
  </si>
  <si>
    <t>Fact#: 325334-325335 Rec#: 30087 TOPFOOD CIA. LTDA.</t>
  </si>
  <si>
    <t>IC-4609</t>
  </si>
  <si>
    <t>Fact#: 321315-324069 Rec#: 30086 FALCONI DUEÑAS ELISA MARIA</t>
  </si>
  <si>
    <t>IC-4608</t>
  </si>
  <si>
    <t>Fact#: 325000 Rec#: 30085 DUPROCSA S.A.</t>
  </si>
  <si>
    <t>IC-4601</t>
  </si>
  <si>
    <t>Fact#: 325131 Rec#: 30084 INDUVERIKA S.A.</t>
  </si>
  <si>
    <t>IC-4600</t>
  </si>
  <si>
    <t>Fact#: 324991 Rec#: 30083 BELLUSCIO S.A.</t>
  </si>
  <si>
    <t>IC-4599</t>
  </si>
  <si>
    <t>Fact#: 325114 Rec#: 30082 AGUIRRE AGUIRRE BEXY DEL ROCIO</t>
  </si>
  <si>
    <t>IC-4598</t>
  </si>
  <si>
    <t>Fact#: 325118 Rec#: 30081 SORIANO LEON  GUSTAVO FERNANDO</t>
  </si>
  <si>
    <t>IC-4597</t>
  </si>
  <si>
    <t>Fact#: 324888 Rec#: 30080 AUTOMEKANO CIA. LTDA</t>
  </si>
  <si>
    <t>IC-4596</t>
  </si>
  <si>
    <t>Fact#: 324883 Rec#: 30079 ASOC. DE PROPIETARIOS URB. TERRASOL</t>
  </si>
  <si>
    <t>IC-4595</t>
  </si>
  <si>
    <t>Fact#: 323338 Rec#: 30078 CARLOS ADALBERTO SALAVARRIA PALMA</t>
  </si>
  <si>
    <t>IC-4594</t>
  </si>
  <si>
    <t>Fact#: 323289 Rec#: 30077 FERNANDO XAVIER DROUET CEDEÑO</t>
  </si>
  <si>
    <t>IC-4593</t>
  </si>
  <si>
    <t>Fact#: 322769 Rec#: 30076 PAULA JESUS SALAZAR MACIAS</t>
  </si>
  <si>
    <t>IC-4592</t>
  </si>
  <si>
    <t>Fact#: 323757 Rec#: 30075 TRUJILLO LOPEZ DIANA CAROLINA</t>
  </si>
  <si>
    <t>IC-4591</t>
  </si>
  <si>
    <t>Fact#: 323642 Rec#: 30074 GILBERT SILVA CECILIA MARIA</t>
  </si>
  <si>
    <t>IC-4590</t>
  </si>
  <si>
    <t>Fact#: 324285 Rec#: 30073 SUSANA HERMELINDA ANALUISA HARO</t>
  </si>
  <si>
    <t>IC-4589</t>
  </si>
  <si>
    <t>Fact#: 322683 Rec#: 30072 KETTY ARACELY GAROFALO LEON</t>
  </si>
  <si>
    <t>IC-4588</t>
  </si>
  <si>
    <t>Fact#: 322668 Rec#: 30071 ISABEL ROSARIO QUINDE SORIANO</t>
  </si>
  <si>
    <t>IC-4587</t>
  </si>
  <si>
    <t>Fact#: 323207 Rec#: 30070 CARLOS BENJAMIN ROSALES PINO</t>
  </si>
  <si>
    <t>IC-4586</t>
  </si>
  <si>
    <t>Fact#: 323073 Rec#: 30069 GUILLERMO ELOY SERRANO GOMEZ</t>
  </si>
  <si>
    <t>IC-4585</t>
  </si>
  <si>
    <t>Fact#: 322729 Rec#: 30068 JOSE JOAQUIN OLMEDO CASTELLO</t>
  </si>
  <si>
    <t>IC-4584</t>
  </si>
  <si>
    <t>Fact#: 323054 Rec#: 30067 JUAN XAVIER BENEDETI RIPALDA</t>
  </si>
  <si>
    <t>IC-4583</t>
  </si>
  <si>
    <t>Fact#: 320085-322853 Rec#: 30066 DUNNYA MARLENE VILLAVICENCIO LUZURIAGA</t>
  </si>
  <si>
    <t>IC-4582</t>
  </si>
  <si>
    <t>Fact#: 322655 Rec#: 30065 JAIRO ALBERTO GOMEZ COELLO</t>
  </si>
  <si>
    <t>IC-4581</t>
  </si>
  <si>
    <t>Fact#: 323889 Rec#: 30064 ESPANA BAJANA STEFANIA ELIZABETH</t>
  </si>
  <si>
    <t>IC-4580</t>
  </si>
  <si>
    <t>Fact#: 322977 Rec#: 30063 LUIS EDUARDO SANCHEZ TIMM</t>
  </si>
  <si>
    <t>IC-4579</t>
  </si>
  <si>
    <t>Fact#: 322866 Rec#: 30062 BONILLA ALCIVAR MARIANA VERONICA</t>
  </si>
  <si>
    <t>IC-4578</t>
  </si>
  <si>
    <t>Fact#: 322965 Rec#: 30061 GISELLA MARIA YUNES ANDRADE</t>
  </si>
  <si>
    <t>IC-4577</t>
  </si>
  <si>
    <t>Fact#: 322722 Rec#: 30060 MONICA CRIOLLO SALAZAR</t>
  </si>
  <si>
    <t>IC-4576</t>
  </si>
  <si>
    <t>Fact#: 322873 Rec#: 30059 UVIDIA SALTOS  CARLOS BOLIVAR</t>
  </si>
  <si>
    <t>IC-4575</t>
  </si>
  <si>
    <t>Fact#: 324127 Rec#: 30058 PERALTA BENITEZ ROBERTO ELIAS</t>
  </si>
  <si>
    <t>IC-4574</t>
  </si>
  <si>
    <t>Fact#: 322799 Rec#: 30057 FAUSTO EDUARDO  CARBO RIVERA</t>
  </si>
  <si>
    <t>IC-4573</t>
  </si>
  <si>
    <t>Fact#: 322737 Rec#: 30056 LUIS CESAR GAMARRA GONZALES</t>
  </si>
  <si>
    <t>IC-4572</t>
  </si>
  <si>
    <t>Fact#: 322857 Rec#: 30055 ANA LUCRECIA  CABRERA GARCIA</t>
  </si>
  <si>
    <t>IC-4571</t>
  </si>
  <si>
    <t>Fact#: 322874 Rec#: 30054 MANRIQUEZ SALAZAR MARIA PAZ</t>
  </si>
  <si>
    <t>IC-4570</t>
  </si>
  <si>
    <t>Fact#: 324696 Rec#: 30053 JOSE FRANCISCO  FERNANDEZ   ESPINOZA</t>
  </si>
  <si>
    <t>IC-4569</t>
  </si>
  <si>
    <t>Fact#: 323400 Rec#: 30052 RICARDO PABLO FALCONI DUEÑAS</t>
  </si>
  <si>
    <t>IC-4568</t>
  </si>
  <si>
    <t>Fact#: 322871 Rec#: 30051 CARLOS ALBERTO RENDON PALMA</t>
  </si>
  <si>
    <t>IC-4567</t>
  </si>
  <si>
    <t>Fact#: 323377 Rec#: 30050 HERNAN ANTONIO ALVEAR MERCHAN</t>
  </si>
  <si>
    <t>IC-4566</t>
  </si>
  <si>
    <t>Fact#: 322631 Rec#: 30049 EVA MARIA VINUEZA OCAÑA</t>
  </si>
  <si>
    <t>IC-4565</t>
  </si>
  <si>
    <t>Fact#: 322894 Rec#: 30048 TERESA DE LA CRUZ TOSCANO BRITO</t>
  </si>
  <si>
    <t>IC-4564</t>
  </si>
  <si>
    <t>Fact#: 322986 Rec#: 30047 LUIS CARLOS ABAD YCAZA</t>
  </si>
  <si>
    <t>IC-4563</t>
  </si>
  <si>
    <t>Fact#: 322634 Rec#: 30046 MARIA ROSA DUNN YCAZA</t>
  </si>
  <si>
    <t>IC-4562</t>
  </si>
  <si>
    <t>Fact#: 324475 Rec#: 30045 ZULVY BEDON LAGOS</t>
  </si>
  <si>
    <t>IC-4561</t>
  </si>
  <si>
    <t>Fact#: 323956 Rec#: 30044 CASTILLO PALMA DANIEL ALFREDO</t>
  </si>
  <si>
    <t>IC-4560</t>
  </si>
  <si>
    <t>Fact#: 321390-324144 Rec#: 30043 CANDO REYES JOSE MAURICIO</t>
  </si>
  <si>
    <t>IC-4559</t>
  </si>
  <si>
    <t>Fact#: 322654 Rec#: 30042 JUAN JOSE CHACON PACHECO</t>
  </si>
  <si>
    <t>IC-4558</t>
  </si>
  <si>
    <t>Fact#: 322651 Rec#: 30041 GISELLE MARIELA CLEMENTE VERA</t>
  </si>
  <si>
    <t>IC-4557</t>
  </si>
  <si>
    <t>Fact#: 323217 Rec#: 30040 EDDIE ENRIQUE HERRERA MEDINA</t>
  </si>
  <si>
    <t>IC-4556</t>
  </si>
  <si>
    <t>Fact#: 322804 Rec#: 30039 FRANKLIN JOAQUIN  DOMINGUEZ VARGAS</t>
  </si>
  <si>
    <t>IC-4555</t>
  </si>
  <si>
    <t>Fact#: 323240 Rec#: 30038 CECILIA VIVIANA RUIZ MENDOZA</t>
  </si>
  <si>
    <t>IC-4554</t>
  </si>
  <si>
    <t>Fact#: 322723 Rec#: 30037 JENNY CEDEÑO CAAMAÑO</t>
  </si>
  <si>
    <t>IC-4553</t>
  </si>
  <si>
    <t>Fact#: 323137 Rec#: 30036 ANTONIO IGNACIO ARTEAGA FERAUD</t>
  </si>
  <si>
    <t>IC-4552</t>
  </si>
  <si>
    <t>Fact#: 324437 Rec#: 30035 RODRIGUEZ CARRASCO JOICCE MOISES</t>
  </si>
  <si>
    <t>IC-4551</t>
  </si>
  <si>
    <t>Fact#: 322811 Rec#: 30034 WALTER ENRIQUE  BAJAÑA MEDINA</t>
  </si>
  <si>
    <t>IC-4550</t>
  </si>
  <si>
    <t>Fact#: 320214-322978 Rec#: 30033 JAIME RICARDO ZUÑIGA RODRIGUEZ</t>
  </si>
  <si>
    <t>IC-4549</t>
  </si>
  <si>
    <t>Fact#: 320606-323357 Rec#: 30032 RICARDO ARMANDO COLOMA MOLINA</t>
  </si>
  <si>
    <t>IC-4548</t>
  </si>
  <si>
    <t>Fact#: 317542-320279-323039 Rec#: 30031 MARCOS GABRIEL ECHEVERRIA GUTIERREZ</t>
  </si>
  <si>
    <t>IC-4547</t>
  </si>
  <si>
    <t>Fact#: 322969 Rec#: 30030 GUILLERMO IGNACIO JORGE BAQUERIZO VASQUEZ</t>
  </si>
  <si>
    <t>IC-4546</t>
  </si>
  <si>
    <t>Fact#: 323654 Rec#: 30029 VARGAS TORRES ZENIA</t>
  </si>
  <si>
    <t>IC-4545</t>
  </si>
  <si>
    <t>Fact#: 1256-1455 Rec#: 12716 CHAVEZ ZAMBRANO BRYAN SEBASTIAN</t>
  </si>
  <si>
    <t>IC-4544</t>
  </si>
  <si>
    <t>Fact#: 319070-321771-324518 Rec#: 12715 JIMENEZ VELIZ JONNY UFREDO</t>
  </si>
  <si>
    <t>IC-4543</t>
  </si>
  <si>
    <t>Fact#: 324202 Rec#: 12714 ROSERO MERCADO ELSA KARINA</t>
  </si>
  <si>
    <t>IC-4542</t>
  </si>
  <si>
    <t>Fact#: 318708-321422-324175 Rec#: 12713 BRAVO BRIONES JOSE FEDERICO</t>
  </si>
  <si>
    <t>IC-4541</t>
  </si>
  <si>
    <t>Fact#: 316497-319207-321927 Rec#: 30028 ROMERO RODRIGUEZ EDGARDO ERNESTO</t>
  </si>
  <si>
    <t>IC-4540</t>
  </si>
  <si>
    <t>Fact#: 317581-320321-323079 Rec#: 30027 MARIA FERNANDA CHANG ESTRELLA</t>
  </si>
  <si>
    <t>IC-4539</t>
  </si>
  <si>
    <t>Fact#: 320578-323328 Rec#: 30026 CARMEN ELIZABETH BELTRAN GARCES</t>
  </si>
  <si>
    <t>IC-4535</t>
  </si>
  <si>
    <t>Abr/2020</t>
  </si>
  <si>
    <t>D</t>
  </si>
  <si>
    <t>SALDO SEGÚN ESTADO DE CUENTA AL 30 DE ABRIL DEL 2020</t>
  </si>
  <si>
    <t>SALDO SEGÚN LIBRO BANCOS AL 30 DE ABRIL DEL 2020</t>
  </si>
  <si>
    <t>SALDO SEGÚN LIBRO BANCOS AL 31 DE MAYO DEL 2020</t>
  </si>
  <si>
    <t>SALDO SEGÚN ESTADO DE CUENTA AL 31 DE MAYO DEL 2020</t>
  </si>
  <si>
    <t>Fact#: 330203 Rec#: 13272 VILLAMAR CARRANZA MARISOL DEL PILAR</t>
  </si>
  <si>
    <t>IC-6649</t>
  </si>
  <si>
    <t>Fact#: 317610-320351-323108-325869-328620 Rec#: 13271 RUBEN DARIO QUIMIS JESUS</t>
  </si>
  <si>
    <t>IC-6648</t>
  </si>
  <si>
    <t>Fact#: 329934 Rec#: 13270 LUCAS VALAREZO CRISTINA EVELIN</t>
  </si>
  <si>
    <t>IC-6647</t>
  </si>
  <si>
    <t>Fact#: 328901 Rec#: 13269 SARA DEL CONSUELO OCHOA VELASCO</t>
  </si>
  <si>
    <t>IC-6646</t>
  </si>
  <si>
    <t>Fact#: 326473-329236 Rec#: 13268 EGAS LINO KEVIN STALIN</t>
  </si>
  <si>
    <t>IC-6645</t>
  </si>
  <si>
    <t>N/D TRANSFERENCIA PAGO DE FACTURA#435 LEADING EDGE AUDIT &amp; CONSULTING CIA. LTDA.</t>
  </si>
  <si>
    <t>Fact#: 323168-325931-328682 Rec#: 13267 OMAR JOSSUE GRANIZO HUAYAMAVE</t>
  </si>
  <si>
    <t>IC-6644</t>
  </si>
  <si>
    <t>Fact#: 324602-327384-330155 Rec#: 13266 AVILES CRESPO LEONOR STEPHANY</t>
  </si>
  <si>
    <t>IC-6643</t>
  </si>
  <si>
    <t>Fact#: 329957 Rec#: 13265 MORA SANCHEZ DIANA LISSETH</t>
  </si>
  <si>
    <t>IC-6642</t>
  </si>
  <si>
    <t>Fact#: 329167 Rec#: 13264 MERCHAN  PEREZ FABIAN BERNARDINO</t>
  </si>
  <si>
    <t>IC-6641</t>
  </si>
  <si>
    <t>Fact#: 322968-325728-328477 Rec#: 13263 JENNIFER MARITZA BAJAÑA MERCHAN</t>
  </si>
  <si>
    <t>IC-6640</t>
  </si>
  <si>
    <t>Fact#: 310075-312835-315503 Rec#: 13262 CHESME BONILLA NATIVIDAD ELIZABETH</t>
  </si>
  <si>
    <t>IC-6639</t>
  </si>
  <si>
    <t>Fact#: 323231-325996-328749 Rec#: 13261 BLANCA VERONICA LITARDO CANARTE</t>
  </si>
  <si>
    <t>IC-6638</t>
  </si>
  <si>
    <t>Fact#: 321277-324035-326809-329575 Rec#: 13260 ESCANDON DIAZ FRANCISCO DAVID</t>
  </si>
  <si>
    <t>IC-6637</t>
  </si>
  <si>
    <t>Fact#: 329007 Rec#: 13259 CARLOS GREGORIO HURTADO MOSQUERA</t>
  </si>
  <si>
    <t>IC-6636</t>
  </si>
  <si>
    <t>Fact#: 326410-329174 Rec#: 13258 QUIÑONEZ VILLOTA KATTY ELIANA</t>
  </si>
  <si>
    <t>IC-6635</t>
  </si>
  <si>
    <t>Fact#: 330165 Rec#: 13257 MAJOJO MANZABA JOSE LUIS</t>
  </si>
  <si>
    <t>IC-6634</t>
  </si>
  <si>
    <t>Fact#: 324633-327415-330186 Rec#: 13256 LAUZO MARISCAL MANUEL DAVID</t>
  </si>
  <si>
    <t>IC-6633</t>
  </si>
  <si>
    <t>Fact#: 328660 Rec#: 13255 CARLOS ENRIQUE TAPIA TAPIA</t>
  </si>
  <si>
    <t>IC-6632</t>
  </si>
  <si>
    <t>Fact#: 328597 Rec#: 13254 ADRIANA ALEXANDRA CHIQUITO MOLINA</t>
  </si>
  <si>
    <t>IC-6631</t>
  </si>
  <si>
    <t>Fact#: 330008 Rec#: 30416 ARANA BARROS AMBAR GEOVANA</t>
  </si>
  <si>
    <t>IC-6575</t>
  </si>
  <si>
    <t>Fact#: 330440 Rec#: 30415 ANGEL ROGELIO PUMA MEDINA</t>
  </si>
  <si>
    <t>IC-6574</t>
  </si>
  <si>
    <t>Fact#: 329012 Rec#: 30414 ANGEL ROGELIO PUMA MEDINA</t>
  </si>
  <si>
    <t>IC-6573</t>
  </si>
  <si>
    <t>N/D TRANSFERENCIA ROLES DE PAGO 2DA QUINCENA MES DE MAYO 2020</t>
  </si>
  <si>
    <t>N/D TRANSFERENCIA PAGO DE 2DO ANTICIPO A FACTURA#406 POR HONORARIOS PROFESIONALES A PABLO BAQUERIZO DAVILA</t>
  </si>
  <si>
    <t>Fact#: 329459 Rec#: 30412 PERALTA AVILES MIGUEL ANGEL</t>
  </si>
  <si>
    <t>IC-6571</t>
  </si>
  <si>
    <t>Fact#: 329754 Rec#: 30411 HERNANDEZ GOMEZ EDDY MAXIMO</t>
  </si>
  <si>
    <t>IC-6570</t>
  </si>
  <si>
    <t>Fact#: 317466-320202-322967-325727-328476 Rec#: 30410 EVELYN ROSANGELA ARGUELLO JURADO</t>
  </si>
  <si>
    <t>IC-6569</t>
  </si>
  <si>
    <t>Fact#: 324853-327619-330416 Rec#: 30409 MALDONADO CORDOVA SARA MARIELA</t>
  </si>
  <si>
    <t>IC-6568</t>
  </si>
  <si>
    <t>Fact#: 328146 Rec#: 30408 LOURDES DEL ROCIO CHAVEZ VELEZ</t>
  </si>
  <si>
    <t>IC-6567</t>
  </si>
  <si>
    <t>Fact#: 322888-325646-328397 Rec#: 30407 VALAREZO GUZMAN SAUL DE JESUS</t>
  </si>
  <si>
    <t>IC-6566</t>
  </si>
  <si>
    <t>Fact#: 322300-325058-327826 Rec#: 30406 EDGAR MARCELO MERA VASQUEZ</t>
  </si>
  <si>
    <t>IC-6565</t>
  </si>
  <si>
    <t>Fact#: 1902 Rec#: 30405 ALVAREZ MOLINA PAUL ALEJANDRO</t>
  </si>
  <si>
    <t>IC-6564</t>
  </si>
  <si>
    <t>Fact#: 329728 Rec#: 13229 TENORIO PRECIADO SUSANA MIRELLA</t>
  </si>
  <si>
    <t>IC-6563</t>
  </si>
  <si>
    <t>Fact#: 320660-323411-326177-328933 Rec#: 13228 NEISI LORENA CHONG MELGAR</t>
  </si>
  <si>
    <t>IC-6562</t>
  </si>
  <si>
    <t>Fact#: 323296-326061-328815 Rec#: 13227 AIMARA RODRIGUEZ FERNANDEZ</t>
  </si>
  <si>
    <t>IC-6561</t>
  </si>
  <si>
    <t>Fact#: 320317-323075-325837-328587 Rec#: 13226 JANETH CATALINA DAVILA TOMALA</t>
  </si>
  <si>
    <t>IC-6560</t>
  </si>
  <si>
    <t>Fact#: 323335-326100-328854 Rec#: 13225 EDISON FERNANDO MERA CASTAÑEDA</t>
  </si>
  <si>
    <t>IC-6559</t>
  </si>
  <si>
    <t>Fact#: 315211-317903-320642 Rec#: 13224 JOSE LUIS MUÑIZ MERCHAN</t>
  </si>
  <si>
    <t>IC-6558</t>
  </si>
  <si>
    <t>Fact#: 329574 Rec#: 13223 MOREIRA VELEZ MANUEL ISIDRO</t>
  </si>
  <si>
    <t>IC-6557</t>
  </si>
  <si>
    <t>Fact#: 313199-315853-318552 Rec#: 13222 ZAMBRANO MOREIRA ARTURO JOSE</t>
  </si>
  <si>
    <t>IC-6556</t>
  </si>
  <si>
    <t>Fact#: 321410-324165-326941-329708 Rec#: 13221 ACEBO NARANJO NESTOR ANTONIO</t>
  </si>
  <si>
    <t>IC-6555</t>
  </si>
  <si>
    <t>Fact#: 1688-1876 Rec#: 13220 CORREA CUNIN GRACIELA PIEDAD</t>
  </si>
  <si>
    <t>IC-6554</t>
  </si>
  <si>
    <t>Fact#: 322725-325483-328232 Rec#: 13219 MORAIMA SEMINARIO TOLEDO</t>
  </si>
  <si>
    <t>IC-6553</t>
  </si>
  <si>
    <t>Fact#: 320600-323351-326116-328870 Rec#: 13218 IVAN PATRICIO MERA VALLEJO</t>
  </si>
  <si>
    <t>IC-6552</t>
  </si>
  <si>
    <t>Fact#: 328278 Rec#: 13216 BELINDA LEONOR QUIJANO GOMEZ</t>
  </si>
  <si>
    <t>IC-6547</t>
  </si>
  <si>
    <t>Fact#: 330081 Rec#: 13215 CABANILLA CORREA JORGE LOBERTI</t>
  </si>
  <si>
    <t>IC-6546</t>
  </si>
  <si>
    <t>Fact#: 322709-325466-328215 Rec#: 13214 LUIS MANUEL COBOS ARANA</t>
  </si>
  <si>
    <t>IC-6545</t>
  </si>
  <si>
    <t>Fact#: 327408-330179 Rec#: 13213 ZAMBRANO RIVERA EDINSON EDGAR</t>
  </si>
  <si>
    <t>IC-6544</t>
  </si>
  <si>
    <t>Fact#: 320158-322924-325682-328432 Rec#: 13212 CARLOS ENRIQUE  ULLAURI VELA</t>
  </si>
  <si>
    <t>IC-6543</t>
  </si>
  <si>
    <t>Fact#: 319018-321714-324463-327243-330013 Rec#: 13211 BARREIRO BELLETTINI RUBEN JESUS</t>
  </si>
  <si>
    <t>IC-6542</t>
  </si>
  <si>
    <t>Fact#: 329921 Rec#: 13210 CHANCAY SOLEDISPA VICTOR MANUEL</t>
  </si>
  <si>
    <t>IC-6541</t>
  </si>
  <si>
    <t>Fact#: 322018-324761-330341 Rec#: 13209 ALCIVAR GARRIDO FABRICIO ANTONIO</t>
  </si>
  <si>
    <t>IC-6540</t>
  </si>
  <si>
    <t>Fact#: 321449-324201-326977-329745 Rec#: 13208 MACAS CHAUCA CARLOS ALBERTO</t>
  </si>
  <si>
    <t>IC-6539</t>
  </si>
  <si>
    <t>Fact#: 327128-329897 Rec#: 13207 ALVAREZ BORRERO JUAN CARLOS</t>
  </si>
  <si>
    <t>IC-6538</t>
  </si>
  <si>
    <t>Fact#: 323083-325845-328595 Rec#: 13206 CARLOS JOSE SALAZAR ALBAN</t>
  </si>
  <si>
    <t>IC-6537</t>
  </si>
  <si>
    <t>Fact#: 329050 Rec#: 13205 LEON PIN OSWALDO NEMECIO</t>
  </si>
  <si>
    <t>IC-6536</t>
  </si>
  <si>
    <t>Fact#: 320761-323511-326279-329039 Rec#: 13204 MERO MANTUANO DARWIN IVAN</t>
  </si>
  <si>
    <t>IC-6535</t>
  </si>
  <si>
    <t>Fact#: 328325 Rec#: 30404 MARIA ALEXANDRA  ECHEVERRIA VERA</t>
  </si>
  <si>
    <t>IC-6534</t>
  </si>
  <si>
    <t>Fact#: 322746-325504-328254 Rec#: 30403 OMAR  PALADINES CORDOVA</t>
  </si>
  <si>
    <t>IC-6533</t>
  </si>
  <si>
    <t>Fact#: 320165-322931-325689 Rec#: 30426 LUIS DANIEL CHIANG GUERRERO</t>
  </si>
  <si>
    <t>IC-6651</t>
  </si>
  <si>
    <t>Fact#: 320164-322930-325688-328438 Rec#: 30425 LUIS DANIEL CHIANG GUERRERO</t>
  </si>
  <si>
    <t>IC-6650</t>
  </si>
  <si>
    <t>Fact#: 329386 Rec#: 30401 PERALTA CASTILLO ELSA DEL ROCIO</t>
  </si>
  <si>
    <t>IC-6500</t>
  </si>
  <si>
    <t>Fact#: 329583 Rec#: 30400 RAMOS MARCILLO CATHERINE LISSETTE</t>
  </si>
  <si>
    <t>IC-6499</t>
  </si>
  <si>
    <t>Fact#: 321119-323875-326646-329412 Rec#: 30399 BERNAL MORAN ALEX XAVIER</t>
  </si>
  <si>
    <t>IC-6498</t>
  </si>
  <si>
    <t>Fact#: 330113 Rec#: 30398 MONTES BRIONES JEFFERSON ANTONIO</t>
  </si>
  <si>
    <t>IC-6497</t>
  </si>
  <si>
    <t>Fact#: 306603-309415-312198 Rec#: 13203 RIGOBERTO PRIMO TOALA OVIEDO</t>
  </si>
  <si>
    <t>IC-6496</t>
  </si>
  <si>
    <t>Fact#: 324489-327270-330040 Rec#: 13202 FRANCO RODRIGUEZ FEDERICO ENRIQUE</t>
  </si>
  <si>
    <t>IC-6495</t>
  </si>
  <si>
    <t>Fact#: 329072 Rec#: 13201 MINO DOYLET YOLANDA ABIGAIL</t>
  </si>
  <si>
    <t>IC-6494</t>
  </si>
  <si>
    <t>Fact#: 328786 Rec#: 13200 JAVIER FEDERICO VILLON ANASTACIO</t>
  </si>
  <si>
    <t>IC-6493</t>
  </si>
  <si>
    <t>Fact#: 323957-326729-329494 Rec#: 13199 VILLEGAS BASTIDAS JOSE ALFREDO</t>
  </si>
  <si>
    <t>IC-6492</t>
  </si>
  <si>
    <t>Fact#: 320058-322826-325583-328334 Rec#: 13198 HAYDEE GANDIOSA  FALUGIANI MORA</t>
  </si>
  <si>
    <t>IC-6491</t>
  </si>
  <si>
    <t>Fact#: 321619-324372-327150-329920 Rec#: 13197 REYES PINCAY JORGE VICTOR</t>
  </si>
  <si>
    <t>IC-6490</t>
  </si>
  <si>
    <t>Fact#: 324301-327078-329847 Rec#: 13196 SARMIENTO VIVEROS ALEXANDRA ELIZABETH</t>
  </si>
  <si>
    <t>IC-6489</t>
  </si>
  <si>
    <t>Fact#: 1626-1814 Rec#: 13195 CRUZ JOSE AMABLE</t>
  </si>
  <si>
    <t>IC-6488</t>
  </si>
  <si>
    <t>Fact#: 323416-326182-328938 Rec#: 13194 CARMEN LUISA PORTUGAL JACOME</t>
  </si>
  <si>
    <t>IC-6487</t>
  </si>
  <si>
    <t>Fact#: 323958-326730-329495 Rec#: 13193 APOLO QUEZADA IVAN RAMIRO</t>
  </si>
  <si>
    <t>IC-6486</t>
  </si>
  <si>
    <t>Fact#: 317135-319878-322645-325402-328150 Rec#: 13192 JANNETH DEL ROCIO ALCIVAR MOLINA</t>
  </si>
  <si>
    <t>IC-6485</t>
  </si>
  <si>
    <t>Fact#: 323969-326741-329506 Rec#: 13191 ESPINOZA MORAN JORGE FERNANDO</t>
  </si>
  <si>
    <t>IC-6484</t>
  </si>
  <si>
    <t>Fact#: 323616-326386-329150 Rec#: 13190 PINO MATAMOROS GALO EFRAIN</t>
  </si>
  <si>
    <t>IC-6483</t>
  </si>
  <si>
    <t>Fact#: 1846 Rec#: 13189 ZABALA BARRIONUEVO RITA CECILIA</t>
  </si>
  <si>
    <t>IC-6482</t>
  </si>
  <si>
    <t>Fact#: 324082-326856-329621 Rec#: 13188 MORENO OVIEDO LUIS ITALO</t>
  </si>
  <si>
    <t>IC-6481</t>
  </si>
  <si>
    <t>Fact#: 324589-327371-330142 Rec#: 13187 BASANTES CHILUIZA RAUL</t>
  </si>
  <si>
    <t>IC-6480</t>
  </si>
  <si>
    <t>Fact#: 322484-325243-328001 Rec#: 13186 BLOISE CORTAZAR LUIGI BRUNO</t>
  </si>
  <si>
    <t>IC-6479</t>
  </si>
  <si>
    <t>Fact#: 329086 Rec#: 13185 ORTIZ CARRILLO ROBERTO JAVIER</t>
  </si>
  <si>
    <t>IC-6478</t>
  </si>
  <si>
    <t>Fact#: 327418-330189 Rec#: 13184 MORENO TELLO CELI DURINDANA</t>
  </si>
  <si>
    <t>IC-6477</t>
  </si>
  <si>
    <t>Fact#: 320787-323538-326308-329069 Rec#: 13183 NIETO BARQUET OSCAR AHMED</t>
  </si>
  <si>
    <t>IC-6476</t>
  </si>
  <si>
    <t>Fact#: 328127 Rec#: 30402 Corporación Nacional de Telecomunicaciones-CNT EP</t>
  </si>
  <si>
    <t>IC-6526</t>
  </si>
  <si>
    <t>Fact#: 330049 Rec#: 30397 ALFREDO GEOVANNY SANCHEZ BENAVIDES</t>
  </si>
  <si>
    <t>IC-6454</t>
  </si>
  <si>
    <t>Fact#: 328490 Rec#: 30396 CESAR AUGUSTO BAQUERIZO AROSEMENA</t>
  </si>
  <si>
    <t>IC-6453</t>
  </si>
  <si>
    <t>Fact#: 330329 Rec#: 30395 CHACON CALDERON SARITA MARIA DE LOS ANGEL</t>
  </si>
  <si>
    <t>IC-6452</t>
  </si>
  <si>
    <t>Fact#: 328152 Rec#: 30394 SIMON EMILIO BRIONES LOOR</t>
  </si>
  <si>
    <t>IC-6451</t>
  </si>
  <si>
    <t>Fact#: 319973-322739-325497-328246 Rec#: 30393 LAURO DAVID TORRES CARRILLO</t>
  </si>
  <si>
    <t>IC-6450</t>
  </si>
  <si>
    <t>Fact#: 321624-324376-327155-329925 Rec#: 30392 GAVILANEZ GUTIERREZ CHRISTIAN DAVID</t>
  </si>
  <si>
    <t>IC-6449</t>
  </si>
  <si>
    <t>Fact#: 330427 Rec#: 13182 TUMBACO VERA JOSE LUIS</t>
  </si>
  <si>
    <t>IC-6444</t>
  </si>
  <si>
    <t>Fact#: 319918-322684-325441-328189 Rec#: 13181 MELVA PATRICIA TORRES ALMEIDA</t>
  </si>
  <si>
    <t>IC-6443</t>
  </si>
  <si>
    <t>Fact#: 323661-326431-329194 Rec#: 13180 GOMEZ LOPEZ SAMUEL ELEODORO</t>
  </si>
  <si>
    <t>IC-6442</t>
  </si>
  <si>
    <t>Fact#: 316248-318947-321647 Rec#: 13179 ORTIZ REVELO MARLON ANIBAL</t>
  </si>
  <si>
    <t>IC-6441</t>
  </si>
  <si>
    <t>Fact#: 321966-324725-327511-330301 Rec#: 13178 MANCERO AGUAS LOURDES PAOLA</t>
  </si>
  <si>
    <t>IC-6440</t>
  </si>
  <si>
    <t>Fact#: 324083-326857-329622 Rec#: 13177 NEIRA PILLASAGUA ROSA DEL CARMEN</t>
  </si>
  <si>
    <t>IC-6439</t>
  </si>
  <si>
    <t>Fact#: 321870-324623-327405-330176 Rec#: 13176 MACIAS GRACIA JOHNNY FRANCISCO</t>
  </si>
  <si>
    <t>IC-6438</t>
  </si>
  <si>
    <t>Fact#: 327561-330356 Rec#: 13175 TRUJILL0 ELJURI ROBERTO FARID</t>
  </si>
  <si>
    <t>IC-6437</t>
  </si>
  <si>
    <t>Fact#: 322099-324839-330405 Rec#: 13174 VALVERDE MACAY CARLOS ARTURO</t>
  </si>
  <si>
    <t>IC-6436</t>
  </si>
  <si>
    <t>Fact#: 311146-313856-316453 Rec#: 13173 MUNOZ PROANO HUGO</t>
  </si>
  <si>
    <t>IC-6435</t>
  </si>
  <si>
    <t>Fact#: 324789-327562-330358 Rec#: 13172 PHILCO BAQUE JORGE FERNANDO</t>
  </si>
  <si>
    <t>IC-6434</t>
  </si>
  <si>
    <t>Fact#: 329513 Rec#: 13171 UBILLA MORAN MARIANA JACQUELINE</t>
  </si>
  <si>
    <t>IC-6433</t>
  </si>
  <si>
    <t>Fact#: 324239-327015-329783 Rec#: 13170 HERNANDEZ MARIA ISABEL</t>
  </si>
  <si>
    <t>IC-6432</t>
  </si>
  <si>
    <t>Fact#: 322290-325049-327817 Rec#: 13169 ALLINPUBLICIDAD&amp;MARKETING S A</t>
  </si>
  <si>
    <t>IC-6431</t>
  </si>
  <si>
    <t>Fact#: 318014-320749-323501-326268-329028 Rec#: 13168 CARLOS FERNANDO BERMELLO MEZA</t>
  </si>
  <si>
    <t>IC-6430</t>
  </si>
  <si>
    <t>Fact#: 317399-320134-322900-325658-328408 Rec#: 13167 CAJAS MARISCAL JAVIER IGNACIO</t>
  </si>
  <si>
    <t>IC-6429</t>
  </si>
  <si>
    <t>Fact#: 320771-323521-326290-329051 Rec#: 13166 ESTEFANO ATTILIO LANATA GARAICOA</t>
  </si>
  <si>
    <t>IC-6428</t>
  </si>
  <si>
    <t>Fact#: 322203-324962-327731 Rec#: 13165 ALEJANDRA ANDREA CALASANZ VALLE</t>
  </si>
  <si>
    <t>IC-6426</t>
  </si>
  <si>
    <t>Fact#: 329659 Rec#: 13164 VELIZ CASTRO RICARDO XAVIER</t>
  </si>
  <si>
    <t>IC-6425</t>
  </si>
  <si>
    <t>Fact#: 330221 Rec#: 30391 ESPINOSA ESPINOZA HUGO STANLEY</t>
  </si>
  <si>
    <t>IC-6359</t>
  </si>
  <si>
    <t>Fact#: 324957-325078-325379 Rec#: 30390 MEGADATOS S.A.</t>
  </si>
  <si>
    <t>IC-6358</t>
  </si>
  <si>
    <t>N/D TRANSFERENCIA PAGO DE FACTURA#193492 ARCOTEL PAGO DE 1ER TRIMESTRE MES ENE A MAR 2020</t>
  </si>
  <si>
    <t>NDL-42</t>
  </si>
  <si>
    <t>N/D TRANSFERENCIA PAGO DE FACTURA#193401 ARCOTEL PAGO DE 1ER TRIMESTRE MES ENE A MAR 2020</t>
  </si>
  <si>
    <t>NDL-41</t>
  </si>
  <si>
    <t>N/D TRANSFERENCIA PAGO DE FACTURA#193400 ARCOTEL 1ER TRIMESTRE ENE A MAR 2020</t>
  </si>
  <si>
    <t>NDL-40</t>
  </si>
  <si>
    <t>Fact#: 328478 Rec#: 30389 GUILLERMO IGNACIO JORGE BAQUERIZO VASQUEZ</t>
  </si>
  <si>
    <t>IC-6357</t>
  </si>
  <si>
    <t>Fact#: 323571-326341-329104 Rec#: 30388 RUIZ VELEZ LIBIA KARINA</t>
  </si>
  <si>
    <t>IC-6356</t>
  </si>
  <si>
    <t>Fact#: 323401-326167-328923 Rec#: 30387 XAVIER ALFREDO ZANABRIA VILLAMAR</t>
  </si>
  <si>
    <t>IC-6355</t>
  </si>
  <si>
    <t>Fact#: 330196 Rec#: 30386 MEDINA FLORES DANIEL FRANCISCO</t>
  </si>
  <si>
    <t>IC-6354</t>
  </si>
  <si>
    <t>Fact#: 328322 Rec#: 30385 ALEX ENRIQUE  MARTINEZ ESPINOZA</t>
  </si>
  <si>
    <t>IC-6353</t>
  </si>
  <si>
    <t>Fact#: 329397 Rec#: 30384 GONZALEZ SANCHEZ CESAR IVAN</t>
  </si>
  <si>
    <t>IC-6352</t>
  </si>
  <si>
    <t>Fact#: 318440-321156-323913-326685-329450 Rec#: 30383 HINOJOSA RABASCO OLGA MORAYMA</t>
  </si>
  <si>
    <t>IC-6351</t>
  </si>
  <si>
    <t>Fact#: 326585-329350 Rec#: 30382 CARRION RODRIGUEZ RICHARD HAMILTON</t>
  </si>
  <si>
    <t>IC-6350</t>
  </si>
  <si>
    <t>Fact#: 320434-323190-325954-328705 Rec#: 30381 AMADA ZORAIDA ORMAZA PEREZ</t>
  </si>
  <si>
    <t>IC-6349</t>
  </si>
  <si>
    <t>Fact#: 322675-325432-328180 Rec#: 30380 VICTOR ANTONIO AGUSTO ALVARADO</t>
  </si>
  <si>
    <t>IC-6348</t>
  </si>
  <si>
    <t>Fact#: 326286-329046 Rec#: 30379 REYES MARTINEZ WILLIE RICARDO</t>
  </si>
  <si>
    <t>IC-6347</t>
  </si>
  <si>
    <t>Fact#: 328417 Rec#: 30378 RODRIGUEZ Y DUQUE JORGE</t>
  </si>
  <si>
    <t>IC-6346</t>
  </si>
  <si>
    <t>Fact#: 325605-328356 Rec#: 30377 MARIA DEL CARMEN VERA VALVERDE</t>
  </si>
  <si>
    <t>IC-6345</t>
  </si>
  <si>
    <t>Fact#: 327196-329966 Rec#: 30376 CASTAÑEDA RENDON JOFFRE AUGUSTO</t>
  </si>
  <si>
    <t>IC-6344</t>
  </si>
  <si>
    <t>Fact#: 328319 Rec#: 30375 WALTER ENRIQUE  BAJAÑA MEDINA</t>
  </si>
  <si>
    <t>IC-6343</t>
  </si>
  <si>
    <t>Fact#: 328638 Rec#: 13163 JESSICA LORENA TRIANA VELIS</t>
  </si>
  <si>
    <t>IC-6342</t>
  </si>
  <si>
    <t>Fact#: 329603 Rec#: 13162 ROMMEL ANTONIO ZAMORA TRIGUERO</t>
  </si>
  <si>
    <t>IC-6341</t>
  </si>
  <si>
    <t>Fact#: 321574-324329-327107-329876 Rec#: 13161 ROMO VILLAFUERTE MARIA ISABEL</t>
  </si>
  <si>
    <t>IC-6340</t>
  </si>
  <si>
    <t>Fact#: 324428-327208-329978 Rec#: 13160 GUAMANQUISPE FLORES ESPERANZA ANTONIETA</t>
  </si>
  <si>
    <t>IC-6339</t>
  </si>
  <si>
    <t>Fact#: 327601-330398 Rec#: 13159 MITE LOPEZ JESSICA ALEXANDRA</t>
  </si>
  <si>
    <t>IC-6338</t>
  </si>
  <si>
    <t>Fact#: 323745-326514-329277 Rec#: 13158 SEN SANG GARCIA LENIN CESAR</t>
  </si>
  <si>
    <t>IC-6337</t>
  </si>
  <si>
    <t>Fact#: 322798-325555-328306 Rec#: 13157 ARMANDO ROBERTO  YAGUAL BRITO</t>
  </si>
  <si>
    <t>IC-6336</t>
  </si>
  <si>
    <t>Fact#: 324528-327309-330079 Rec#: 13156 PERALTA RODRIGUEZ MARLON SANTIAGO</t>
  </si>
  <si>
    <t>IC-6335</t>
  </si>
  <si>
    <t>Fact#: 319956-322721-325479-328228 Rec#: 13155 ALFREDO BARRIGA HOLGUIN</t>
  </si>
  <si>
    <t>IC-6334</t>
  </si>
  <si>
    <t>Fact#: 323360-326125-328880 Rec#: 13154 LUIS ENRIQUE COLOMBO MALTA</t>
  </si>
  <si>
    <t>IC-6333</t>
  </si>
  <si>
    <t>Fact#: 322768-325525-328276 Rec#: 13153 MARCOS ROBERTO CALDERON VELASQUEZ</t>
  </si>
  <si>
    <t>IC-6332</t>
  </si>
  <si>
    <t>Fact#: 324140-326916-329682 Rec#: 13152 PANCHANA GONZALEZ GLADYS HAIDEE</t>
  </si>
  <si>
    <t>IC-6331</t>
  </si>
  <si>
    <t>Fact#: 318350-321076-323832-326602-329367 Rec#: 13151 ARCE TRONCOSO YULLY CATALINA</t>
  </si>
  <si>
    <t>IC-6330</t>
  </si>
  <si>
    <t>Fact#: 322876-325633-328384 Rec#: 13150 ARCE FLORES NORBERTO</t>
  </si>
  <si>
    <t>IC-6329</t>
  </si>
  <si>
    <t>Fact#: 328897 Rec#: 13149 GALO ENRIQUE ESTUPIÑAN VERA</t>
  </si>
  <si>
    <t>IC-6328</t>
  </si>
  <si>
    <t>Fact#: 322687-325444-328192 Rec#: 13148 ADELAIDA BETHSAIDA BRIONES</t>
  </si>
  <si>
    <t>IC-6327</t>
  </si>
  <si>
    <t>Fact#: 320959-323711-326480-329243 Rec#: 13147 PERALTA GODOY JORGE DAVID</t>
  </si>
  <si>
    <t>IC-6326</t>
  </si>
  <si>
    <t>Fact#: 329239 Rec#: 13146 TOMALA SANCAN JORGE LUIS</t>
  </si>
  <si>
    <t>IC-6325</t>
  </si>
  <si>
    <t>Fact#: 329034 Rec#: 13145 TOMALA SANCAN JORGE LUIS</t>
  </si>
  <si>
    <t>IC-6324</t>
  </si>
  <si>
    <t>Fact#: 326427-329190 Rec#: 13144 CEVALLOS PLUAS JULIT LORENA</t>
  </si>
  <si>
    <t>IC-6323</t>
  </si>
  <si>
    <t>Fact#: 329523 Rec#: 13143 GUAMAN IZA LILIANA ARACELY</t>
  </si>
  <si>
    <t>IC-6322</t>
  </si>
  <si>
    <t>Fact#: 327689 Rec#: 13142 CRUSBET S.A</t>
  </si>
  <si>
    <t>IC-6321</t>
  </si>
  <si>
    <t>Fact#: 320919-323671-326441-329204 Rec#: 13141 CHACHA MOREIRA SINTIA PAOLA</t>
  </si>
  <si>
    <t>IC-6320</t>
  </si>
  <si>
    <t>Fact#: 318128-320861-323609-326379-329142 Rec#: 13140 NAREA BAJANA ANGELA DEL CARMEN</t>
  </si>
  <si>
    <t>IC-6319</t>
  </si>
  <si>
    <t>Fact#: 319317-322028 Rec#: 30373 MARTINEZ PUGA XAVIER ENRRIQUE</t>
  </si>
  <si>
    <t>IC-6302</t>
  </si>
  <si>
    <t>Fact#: 326843-329608 Rec#: 30372 FALCONI DUEÑAS ELISA MARIA</t>
  </si>
  <si>
    <t>IC-6301</t>
  </si>
  <si>
    <t>Fact#: 318147-320879-323627-326397-329161 Rec#: 30370 MURILLO MIRANDA GUILLERMO XAVIER</t>
  </si>
  <si>
    <t>IC-6299</t>
  </si>
  <si>
    <t>Fact#: 327752 Rec#: 30306 YARECUADOR CIA. LTDA</t>
  </si>
  <si>
    <t>IC-6298</t>
  </si>
  <si>
    <t>Fact#: 328368 Rec#: 30369 SILVIA XIMENA CHAVEZ CABRERA</t>
  </si>
  <si>
    <t>IC-6297</t>
  </si>
  <si>
    <t>Fact#: 323274-326039-328792 Rec#: 30367 MARIA GRACIA PEREZ VALVERDE</t>
  </si>
  <si>
    <t>IC-6295</t>
  </si>
  <si>
    <t>Fact#: 328993 Rec#: 13139 NARCISA MIRELLA ANDRADE SALTOS</t>
  </si>
  <si>
    <t>IC-6281</t>
  </si>
  <si>
    <t>Fact#: 323747-326516-329279 Rec#: 13138 ARROBA VALENCIA  JULIO ZENON</t>
  </si>
  <si>
    <t>IC-6280</t>
  </si>
  <si>
    <t>Fact#: 326148-328903 Rec#: 13137 ALBERTO WILSON CHOEZ FIGUEROA</t>
  </si>
  <si>
    <t>IC-6279</t>
  </si>
  <si>
    <t>Fact#: 320414-323171-325934-328685 Rec#: 13136 NORMA TATIANA ORELLANA LUNA</t>
  </si>
  <si>
    <t>IC-6278</t>
  </si>
  <si>
    <t>Fact#: 329546 Rec#: 13135 ASTUDILLO JARA ISRAEL WILLIAM</t>
  </si>
  <si>
    <t>IC-6277</t>
  </si>
  <si>
    <t>Fact#: 318295-321020-323775-326544-329309 Rec#: 13134 VERA POSLIGUA MARIA ALEXANDRA</t>
  </si>
  <si>
    <t>IC-6276</t>
  </si>
  <si>
    <t>Fact#: 328861 Rec#: 13133 EDUARDO CAMPOSANO ULLOA</t>
  </si>
  <si>
    <t>IC-6273</t>
  </si>
  <si>
    <t>Fact#: 320303-323061-325823-328573 Rec#: 13132 MARIA DEL ROSARIO GUZMAN MASPONS</t>
  </si>
  <si>
    <t>IC-6272</t>
  </si>
  <si>
    <t>Fact#: 324215-326991-329759 Rec#: 13131 CORDOVA REYES CARLOS HORACIO</t>
  </si>
  <si>
    <t>IC-6271</t>
  </si>
  <si>
    <t>Fact#: 328332 Rec#: 13130 LAURA BEATRIZ  ENCALADA ESPINOZA</t>
  </si>
  <si>
    <t>IC-6270</t>
  </si>
  <si>
    <t>Fact#: 324540-327321-330091 Rec#: 13129 CASTRO SAENZ DIANA INDIRA</t>
  </si>
  <si>
    <t>IC-6269</t>
  </si>
  <si>
    <t>Fact#: 321471-324224-327000-329768 Rec#: 13128 ZAMBRANO COLLAGUAZO HECTOR FABIAN</t>
  </si>
  <si>
    <t>IC-6268</t>
  </si>
  <si>
    <t>Fact#: 320087-322855-325612-328363 Rec#: 13127 ANGELA MARIA ANA  FERAUD MANSSUR</t>
  </si>
  <si>
    <t>IC-6267</t>
  </si>
  <si>
    <t>Fact#: 318433-326677-329442 Rec#: 13126 RODRIGUEZ ENRIQUES FERNANDO FAVIAN</t>
  </si>
  <si>
    <t>IC-6266</t>
  </si>
  <si>
    <t>Fact#: 328224 Rec#: 13125 NORMA ELISA YEPEZ JIMENEZ</t>
  </si>
  <si>
    <t>IC-6265</t>
  </si>
  <si>
    <t>Fact#: 329732 Rec#: 13124 ROBALINO VALENCIA  SPARTA SUSANA</t>
  </si>
  <si>
    <t>IC-6264</t>
  </si>
  <si>
    <t>Fact#: 323465-326232-328990 Rec#: 13123 MARJORIE LUISA SCOTLAND TUTIVEN</t>
  </si>
  <si>
    <t>IC-6263</t>
  </si>
  <si>
    <t>Fact#: 329125 Rec#: 13122 VASQUEZ AYALA MARIA DE LOURDES</t>
  </si>
  <si>
    <t>IC-6262</t>
  </si>
  <si>
    <t>CRISPIN ALTAMIRANO  MONICA ELIZABETH CANCELA TELEFONO 3909124 ABONA SGTE FACTURA</t>
  </si>
  <si>
    <t>Fact#: 323492-326259-329017 Rec#: 30371 DANIELA MELISSA MORAN RUGEL</t>
  </si>
  <si>
    <t>IC-6300</t>
  </si>
  <si>
    <t>Fact#: 328483 Rec#: 30368 MARIA CRISTINA LOAIZA BREVI</t>
  </si>
  <si>
    <t>IC-6296</t>
  </si>
  <si>
    <t>Fact#: 323117-325878-328629 Rec#: 13121 JONATHAN XAVIER RIVAS FIGUEROA</t>
  </si>
  <si>
    <t>IC-6242</t>
  </si>
  <si>
    <t>Fact#: 323315-326080-328834 Rec#: 13120 AMADA ORQUIDEA CAICEDO TREJO</t>
  </si>
  <si>
    <t>IC-6241</t>
  </si>
  <si>
    <t>Fact#: 324114-326889-329655 Rec#: 13119 RONQUILLO LOPEZ BIRMANIA NURY</t>
  </si>
  <si>
    <t>IC-6240</t>
  </si>
  <si>
    <t>Fact#: 330377 Rec#: 13118 LINDAO CEDENO KATHERIN LIZBETH</t>
  </si>
  <si>
    <t>IC-6239</t>
  </si>
  <si>
    <t>N/D TRANSFERENCIA CNT EP PAGO DE FACTURA#147302962, 147302961, 147302960, 147302959</t>
  </si>
  <si>
    <t>NDL-35</t>
  </si>
  <si>
    <t>Fact#: 322947-325706-328455 Rec#: 13117 YANIRA SUGEY ANGULO MARTINEZ</t>
  </si>
  <si>
    <t>IC-6238</t>
  </si>
  <si>
    <t>Fact#: 320121-322887-325645-328396 Rec#: 13116 ZAVALA ICAZA VICTOR HUGO</t>
  </si>
  <si>
    <t>IC-6237</t>
  </si>
  <si>
    <t>Fact#: 323279-326044-328798 Rec#: 13115 FELIX EDUARDO CARRERA CEDEÑO</t>
  </si>
  <si>
    <t>IC-6236</t>
  </si>
  <si>
    <t>Fact#: 329805 Rec#: 13114 FLORES GORDILLO LUIS EDUARDO</t>
  </si>
  <si>
    <t>IC-6235</t>
  </si>
  <si>
    <t>Fact#: 328413 Rec#: 13113 ASTUDILLO AYORA CECILIA FILOMENA</t>
  </si>
  <si>
    <t>IC-6234</t>
  </si>
  <si>
    <t>Fact#: 323550-326320-329081 Rec#: 13112 GOMEZ SALAZAR CARLOS ALBERTO</t>
  </si>
  <si>
    <t>IC-6233</t>
  </si>
  <si>
    <t>Fact#: 324486-327267-330037 Rec#: 13111 VERA DOMINGUEZ JOSE MARCELO</t>
  </si>
  <si>
    <t>IC-6232</t>
  </si>
  <si>
    <t>Fact#: 321167-323924-326696-329461 Rec#: 13110 GUTIERREZ HERNANDEZ RICARDO ALBERTO</t>
  </si>
  <si>
    <t>IC-6231</t>
  </si>
  <si>
    <t>Fact#: 324219-326995-329763 Rec#: 13109 GUAMANQUISPE FLORES TERESA ISABEL</t>
  </si>
  <si>
    <t>IC-6230</t>
  </si>
  <si>
    <t>Fact#: 326571-329336 Rec#: 13108 VASQUEZ DORA JUAN JOSE</t>
  </si>
  <si>
    <t>IC-6229</t>
  </si>
  <si>
    <t>Fact#: 293457-295957-298550 Rec#: 13107 DENISSE JUDITH FLORES HUERTA</t>
  </si>
  <si>
    <t>IC-6228</t>
  </si>
  <si>
    <t>Fact#: 323288-326053-328807 Rec#: 13106 PEDRO JAVIER BAQUERIZO SUAREZ</t>
  </si>
  <si>
    <t>IC-6227</t>
  </si>
  <si>
    <t>Fact#: 317009-319735-322499 Rec#: 13105 MORAN BURGOS KARINA ELIZABETH</t>
  </si>
  <si>
    <t>IC-6226</t>
  </si>
  <si>
    <t>Fact#: 324330-327108-329877 Rec#: 13104 RENDON REGALADO MARIANA SOLANGE</t>
  </si>
  <si>
    <t>IC-6225</t>
  </si>
  <si>
    <t>Fact#: 326013-328765 Rec#: 13103 ISABEL RODRIGUEZ RIZO</t>
  </si>
  <si>
    <t>IC-6224</t>
  </si>
  <si>
    <t>Fact#: 296619-299198-301844 Rec#: 13102 CAJAS BOHORQUEZ FREDDY XAVIER</t>
  </si>
  <si>
    <t>IC-6223</t>
  </si>
  <si>
    <t>Fact#: 323898-326669-329434 Rec#: 13101 MEDINA BORJA LEONARDO JAVIER</t>
  </si>
  <si>
    <t>IC-6222</t>
  </si>
  <si>
    <t>Fact#: 328601 Rec#: 13100 PILAR MARYLIN ALCIVAR MORAN</t>
  </si>
  <si>
    <t>IC-6221</t>
  </si>
  <si>
    <t>Fact#: 328116 Rec#: 30366 EMPRESA PUBLICA MUNICIPAL PARA LA GESTIÓN DE LA INNOVACIÓN  Y LA COMPETITIVIDAD, EP</t>
  </si>
  <si>
    <t>IC-6248</t>
  </si>
  <si>
    <t>Fact#: 329684 Rec#: 30365 VILLON SORIANO DIOSELINA SOLEDAD</t>
  </si>
  <si>
    <t>IC-6246</t>
  </si>
  <si>
    <t>Fact#: 328818 Rec#: 30364 CATHERINE NICOLE RUGEL CARRERA</t>
  </si>
  <si>
    <t>IC-6245</t>
  </si>
  <si>
    <t>Fact#: 328148 Rec#: 30363 JUANA ISABEL MARMOL ESPINOZA</t>
  </si>
  <si>
    <t>IC-6244</t>
  </si>
  <si>
    <t>Fact#: 328289 Rec#: 30362 PABLO ENRIQUE GONZENBACH IGLESIAS</t>
  </si>
  <si>
    <t>IC-6243</t>
  </si>
  <si>
    <t>Fact#: 1663 Rec#: 13099 CHAVEZ ZAMBRANO BRYAN SEBASTIAN</t>
  </si>
  <si>
    <t>IC-6220</t>
  </si>
  <si>
    <t>Fact#: 325327-328085 Rec#: 13098 BRODERIN S.A</t>
  </si>
  <si>
    <t>IC-6219</t>
  </si>
  <si>
    <t>Fact#: 321098-323855-326626 Rec#: 13097 VALLEJO MARTINEZ LEIDIZ DIANA</t>
  </si>
  <si>
    <t>IC-6218</t>
  </si>
  <si>
    <t>Fact#: 310383-313129-315784 Rec#: 13096 CRISPIN ALTAMIRANO  MONICA ELIZABETH</t>
  </si>
  <si>
    <t>IC-6217</t>
  </si>
  <si>
    <t>Fact#: 322921-325679 Rec#: 13095 VARELA LOOR MARIA MONSERRATE</t>
  </si>
  <si>
    <t>IC-6216</t>
  </si>
  <si>
    <t>Fact#: 324746-327533 Rec#: 13094 VERA DEL PEZO DOLORES VICTORIA</t>
  </si>
  <si>
    <t>IC-6215</t>
  </si>
  <si>
    <t>Fact#: 322658-325415 Rec#: 13093 LIDIA JUDITH OJEDA RUIZ</t>
  </si>
  <si>
    <t>IC-6214</t>
  </si>
  <si>
    <t>Fact#: 321963-324722-327508 Rec#: 13092 NIETO CORDERO EDYIMAR JOSEFINA</t>
  </si>
  <si>
    <t>IC-6213</t>
  </si>
  <si>
    <t>Fact#: 323183-325947 Rec#: 13091 ALEXANDER WELLINGTON ALVARADO CARRIEL</t>
  </si>
  <si>
    <t>IC-6212</t>
  </si>
  <si>
    <t>Fact#: 320883-323631-326401 Rec#: 13090 SAN LUCAS PEÑA SHEYLA</t>
  </si>
  <si>
    <t>IC-6211</t>
  </si>
  <si>
    <t>Fact#: 323505-326273 Rec#: 13089 PRECIADO MOREIRA GABRIELA STEFANIA</t>
  </si>
  <si>
    <t>IC-6210</t>
  </si>
  <si>
    <t>Fact#: 324078-326852 Rec#: 13088 GONZALEZ PENA WRLEY ARNULFO</t>
  </si>
  <si>
    <t>IC-6209</t>
  </si>
  <si>
    <t>Fact#: 323122-325883 Rec#: 13087 ERICK LUIS GARCIA CONTRERAS</t>
  </si>
  <si>
    <t>IC-6208</t>
  </si>
  <si>
    <t>Fact#: 327417 Rec#: 13086 FIGUEROA GAVELA SILVIA FABIOLA</t>
  </si>
  <si>
    <t>IC-6207</t>
  </si>
  <si>
    <t>Fact#: 327541 Rec#: 13085 JIMENEZ OCHOA LUIS ENRIQUE</t>
  </si>
  <si>
    <t>IC-6206</t>
  </si>
  <si>
    <t>Fact#: 314865-317543-320280 Rec#: 13084 SANTIAGO ISRAEL PUERTAS SOLANO</t>
  </si>
  <si>
    <t>IC-6205</t>
  </si>
  <si>
    <t>Fact#: 325919 Rec#: 13083 CARLOS WELLINGTON CHOEZ VERA</t>
  </si>
  <si>
    <t>IC-6204</t>
  </si>
  <si>
    <t>Fact#: 321824-324569-327351 Rec#: 13082 CHOEZ BRAVO JOSE ANTONIO</t>
  </si>
  <si>
    <t>IC-6203</t>
  </si>
  <si>
    <t>Fact#: 322434-325190-327949-328134 Rec#: 30361 ADVANCED POS SOLUTIONS INC</t>
  </si>
  <si>
    <t>IC-6202</t>
  </si>
  <si>
    <t>Fact#: 325434 Rec#: 30360 ARTURO ALFONSO VELASCO TUTIVEN</t>
  </si>
  <si>
    <t>IC-6200</t>
  </si>
  <si>
    <t>Fact#: 328713 Rec#: 30359 ENRIQUE FEDERICO ARENAS PILATAXI</t>
  </si>
  <si>
    <t>IC-6196</t>
  </si>
  <si>
    <t>N/D TRANSFERENCIA PAGO DE FODETEL 1% PRIMER TRIMESTRE ENE A MAR 2020</t>
  </si>
  <si>
    <t>Fact#: 327778 Rec#: 30358 OPENGROUP S.A.</t>
  </si>
  <si>
    <t>IC-6192</t>
  </si>
  <si>
    <t>Fact#: 325800 Rec#: 30357 MARCOS GABRIEL ECHEVERRIA GUTIERREZ</t>
  </si>
  <si>
    <t>IC-6189</t>
  </si>
  <si>
    <t>Fact#: 323797-326566 Rec#: 30356 DELGADO VINTIMILLA CARLOS FERNANDO</t>
  </si>
  <si>
    <t>IC-6188</t>
  </si>
  <si>
    <t>Fact#: 320100-322867-325624 Rec#: 30355 SALAZAR CARRILLO MARIA ANDREA</t>
  </si>
  <si>
    <t>IC-6187</t>
  </si>
  <si>
    <t>Fact#: 322602-325360 Rec#: 30354 INDUSTRIAL JUVENALIS S.A.</t>
  </si>
  <si>
    <t>IC-6186</t>
  </si>
  <si>
    <t>Fact#: 322480-325239-327997 Rec#: 13081 JARRIN GONZAGA LUIS ALFONSO</t>
  </si>
  <si>
    <t>IC-6185</t>
  </si>
  <si>
    <t>Fact#: 322761-325519 Rec#: 13080 BRUMELL OMAR AGUIAR PEREZ</t>
  </si>
  <si>
    <t>IC-6184</t>
  </si>
  <si>
    <t>Fact#: 328046 Rec#: 13079 ALVARADO BASURTO SEGUNDO GABRIEL</t>
  </si>
  <si>
    <t>IC-6183</t>
  </si>
  <si>
    <t>Fact#: 315926-318628-321342 Rec#: 13078 MACIAS MACIAS JOSE ANDRES</t>
  </si>
  <si>
    <t>IC-6182</t>
  </si>
  <si>
    <t>Fact#: 315370-318066-320799 Rec#: 13077 MACIAS MACIAS JOSE ANDRES</t>
  </si>
  <si>
    <t>IC-6181</t>
  </si>
  <si>
    <t>Fact#: 314937-317618-320358 Rec#: 13076 MAGALY BETSABETH NAVARRETE LOOR</t>
  </si>
  <si>
    <t>IC-6180</t>
  </si>
  <si>
    <t>Fact#: 325893 Rec#: 13075 ULISES MARTIN VARGAS FIGUEROA</t>
  </si>
  <si>
    <t>IC-6179</t>
  </si>
  <si>
    <t>Fact#: 323256-326021 Rec#: 13074 MARTHA WENDY VILLEGAS MONTOYA</t>
  </si>
  <si>
    <t>IC-6178</t>
  </si>
  <si>
    <t>Fact#: 324189-326965 Rec#: 13073 ROBALINO VALENCIA  SPARTA SUSANA</t>
  </si>
  <si>
    <t>IC-6177</t>
  </si>
  <si>
    <t>Fact#: 324551-327332 Rec#: 13072 BARZOLA ARREAGA IVAN ABEL</t>
  </si>
  <si>
    <t>IC-6176</t>
  </si>
  <si>
    <t>ROBALINO VALENCIA  SPARTA SUSANA CANCELA TELEFONO 3900516 ABONA SGTE FACTURA</t>
  </si>
  <si>
    <t>AT-3059</t>
  </si>
  <si>
    <t>PAGO TARJ. CORP. CUOTA MES DE MAY-2020</t>
  </si>
  <si>
    <t>NDL-44</t>
  </si>
  <si>
    <t>Fact#: 326493 Rec#: 30374 MACIAS PERUGACHI OSCAR ROLANDO</t>
  </si>
  <si>
    <t>IC-6306</t>
  </si>
  <si>
    <t>Fact#: 314536-317210-319953 Rec#: 30353 MARIO FABRICIO ZALAMAR GALDOS</t>
  </si>
  <si>
    <t>IC-6162</t>
  </si>
  <si>
    <t>Fact#: 321639-324389-327168 Rec#: 30352 CASTRO CASTILLO BYRON MANUEL</t>
  </si>
  <si>
    <t>IC-6160</t>
  </si>
  <si>
    <t>Fact#: 317947-320682-323433-326199 Rec#: 13071 LEUCADIO JUVENAL ANCHUNDIA PARRALES</t>
  </si>
  <si>
    <t>IC-6158</t>
  </si>
  <si>
    <t>Fact#: 320015-322782-325539 Rec#: 13070 CAROLA MISHEL ABISAAB MEDINA</t>
  </si>
  <si>
    <t>IC-6157</t>
  </si>
  <si>
    <t>Fact#: 321251-324009-326782 Rec#: 13069 ASTUDILLO JARA ISRAEL WILLIAM</t>
  </si>
  <si>
    <t>IC-6156</t>
  </si>
  <si>
    <t>Fact#: 321462-324214-326990 Rec#: 13068 MONTANO ARROYO CARLINA INES</t>
  </si>
  <si>
    <t>IC-6155</t>
  </si>
  <si>
    <t>Fact#: 321152-323907-326679 Rec#: 13067 VELASQUEZ POLIT NINA NATASHA</t>
  </si>
  <si>
    <t>IC-6154</t>
  </si>
  <si>
    <t>Fact#: 320012-322779-325536 Rec#: 13066 JOSE ARTURO ORMAZABAL DELGADO</t>
  </si>
  <si>
    <t>IC-6153</t>
  </si>
  <si>
    <t>Fact#: 324134-326909 Rec#: 13065 VALENCIA MEDINA JOSE RICARDO</t>
  </si>
  <si>
    <t>IC-6152</t>
  </si>
  <si>
    <t>Fact#: 318000-320737-323488-326255 Rec#: 13064 PAUL FERNANDO SEGURA MACIAS</t>
  </si>
  <si>
    <t>IC-6151</t>
  </si>
  <si>
    <t>Fact#: 323158-325921 Rec#: 13063 LUIS GALO IDROBO ACEBO</t>
  </si>
  <si>
    <t>IC-6150</t>
  </si>
  <si>
    <t>Fact#: 327001 Rec#: 13062 SANCHEZ QUINCHUELA INES MONICA</t>
  </si>
  <si>
    <t>IC-6149</t>
  </si>
  <si>
    <t>Fact#: 326316 Rec#: 13061 FREDDY PABLO  ENDARA SAAVEDRA</t>
  </si>
  <si>
    <t>IC-6148</t>
  </si>
  <si>
    <t>Fact#: 321791-324538-327319 Rec#: 13060 PONCE CARRIEL BRENDA LIZETH</t>
  </si>
  <si>
    <t>IC-6147</t>
  </si>
  <si>
    <t>Fact#: 315552-318245-320975 Rec#: 13059 MARURI FLORES JACINTO FERNANDO</t>
  </si>
  <si>
    <t>IC-6146</t>
  </si>
  <si>
    <t>Fact#: 320652-323403-326169 Rec#: 13058 ALEX RICARDO POLIT LUNA</t>
  </si>
  <si>
    <t>IC-6145</t>
  </si>
  <si>
    <t>Fact#: 320007-322774-325531 Rec#: 13057 VICENTE GABRIEL VINUEZA MERINO</t>
  </si>
  <si>
    <t>IC-6144</t>
  </si>
  <si>
    <t>Fact#: 323680-326450 Rec#: 13056 SELLAN SELLAN EMILIA MARGARITA</t>
  </si>
  <si>
    <t>IC-6143</t>
  </si>
  <si>
    <t>Fact#: 324766-327549 Rec#: 13055 MONTEALEGRE PEDRO JOAQUIN</t>
  </si>
  <si>
    <t>IC-6142</t>
  </si>
  <si>
    <t>Fact#: 327198 Rec#: 13054 MERINO GONZALEZ KELLY JESSENIA</t>
  </si>
  <si>
    <t>IC-6141</t>
  </si>
  <si>
    <t>Fact#: 322781-325538 Rec#: 30351 PABLO ENRIQUE GONZENBACH IGLESIAS</t>
  </si>
  <si>
    <t>IC-6130</t>
  </si>
  <si>
    <t>Fact#: 323023-325783 Rec#: 30350 MANUEL ISAIAS TAPIA LOPEZ</t>
  </si>
  <si>
    <t>IC-6129</t>
  </si>
  <si>
    <t>Fact#: 322980-325740 Rec#: 30349 CESAR AUGUSTO BAQUERIZO AROSEMENA</t>
  </si>
  <si>
    <t>IC-6128</t>
  </si>
  <si>
    <t>Fact#: 324510-327291 Rec#: 30348 BUSTAMANTE TORRES CAMILO EDUARDO</t>
  </si>
  <si>
    <t>IC-6127</t>
  </si>
  <si>
    <t>Fact#: 320521-323276-326041 Rec#: 13053 HOLGER ALFREDO TOMALA DE LA ROSA</t>
  </si>
  <si>
    <t>IC-6126</t>
  </si>
  <si>
    <t>Fact#: 323055-325817 Rec#: 13052 CARLOS IVAN AGUIRRE GARCIA</t>
  </si>
  <si>
    <t>IC-6125</t>
  </si>
  <si>
    <t>Fact#: 326394 Rec#: 13051 DEL VALLE MONTECE SELENA MARIBEL</t>
  </si>
  <si>
    <t>IC-6124</t>
  </si>
  <si>
    <t>Fact#: 327147 Rec#: 13050 BORBOR MORENO LUIS ANTONIO</t>
  </si>
  <si>
    <t>IC-6123</t>
  </si>
  <si>
    <t>Fact#: 322261-325021-327789 Rec#: 13049 FILUS S.A</t>
  </si>
  <si>
    <t>IC-6122</t>
  </si>
  <si>
    <t>Fact#: 324563-327344 Rec#: 13048 PARRAGA JOSE JUAN</t>
  </si>
  <si>
    <t>IC-6121</t>
  </si>
  <si>
    <t>Fact#: 696-697 Rec#: 30347 F.V - AREA ANDINA S.A.</t>
  </si>
  <si>
    <t>IC-6101</t>
  </si>
  <si>
    <t>Fact#: 325958 Rec#: 30346 MARIA FERNANDA GONZALEZ MITE</t>
  </si>
  <si>
    <t>IC-6088</t>
  </si>
  <si>
    <t>Fact#: 325855 Rec#: 30345 RAUL JOSE CAÑIZARES GARAICOA</t>
  </si>
  <si>
    <t>IC-6087</t>
  </si>
  <si>
    <t>Fact#: 326893 Rec#: 30344 VELIZ CASTRO RICARDO XAVIER</t>
  </si>
  <si>
    <t>IC-6086</t>
  </si>
  <si>
    <t>Fact#: 322909-325667 Rec#: 30343 RODRIGUEZ Y DUQUE JORGE</t>
  </si>
  <si>
    <t>IC-6085</t>
  </si>
  <si>
    <t>Fact#: 324946-327715 Rec#: 30342 JORGE RODRIGUEZ Y DUQUE</t>
  </si>
  <si>
    <t>IC-6084</t>
  </si>
  <si>
    <t>Fact#: 324099-326873 Rec#: 30341 SANCHEZ EGAS LIZETH MARITZA</t>
  </si>
  <si>
    <t>IC-6083</t>
  </si>
  <si>
    <t>Fact#: 327833 Rec#: 30340 CONSTRU-YA S.A.</t>
  </si>
  <si>
    <t>IC-6082</t>
  </si>
  <si>
    <t>Fact#: 1579 Rec#: 13047 CACUANGO LINCANGO EDISON FABIAN</t>
  </si>
  <si>
    <t>IC-6081</t>
  </si>
  <si>
    <t>Fact#: 323020-325780 Rec#: 13046 OSWALDO PATRICIO MORENO COBEÑA</t>
  </si>
  <si>
    <t>IC-6080</t>
  </si>
  <si>
    <t>Fact#: 321202-323960-326732 Rec#: 13045 INTRIAGO TORRES NARCISA JANETH</t>
  </si>
  <si>
    <t>IC-6079</t>
  </si>
  <si>
    <t>Fact#: 323099-325860 Rec#: 13044 KEVIN BLADIMIR PONCE GREFA</t>
  </si>
  <si>
    <t>IC-6078</t>
  </si>
  <si>
    <t>Fact#: 320009-322776-325533 Rec#: 13043 GRACIELA ELENA CAMACHO COELLO</t>
  </si>
  <si>
    <t>IC-6077</t>
  </si>
  <si>
    <t>Fact#: 315065-317753-320493 Rec#: 13042 ALFREDO DANIEL SOLIS CHIQUITO</t>
  </si>
  <si>
    <t>IC-6076</t>
  </si>
  <si>
    <t>Fact#: 327625 Rec#: 13041 GONZALES LOJA MARIA FERNANDA</t>
  </si>
  <si>
    <t>IC-6075</t>
  </si>
  <si>
    <t>Fact#: 324407-327187 Rec#: 13040 MORA SANCHEZ DIANA LISSETH</t>
  </si>
  <si>
    <t>IC-6074</t>
  </si>
  <si>
    <t>Fact#: 323233-325998 Rec#: 13039 SEGUNDO PATRICIO ALMACHE AGUIRRE</t>
  </si>
  <si>
    <t>IC-6073</t>
  </si>
  <si>
    <t>Fact#: 319123-321839-324586-327368 Rec#: 13038 RIVERA PINTO RAMONA ELIZABETH</t>
  </si>
  <si>
    <t>IC-6072</t>
  </si>
  <si>
    <t>Fact#: 323126-325887 Rec#: 13037 JESSICA LORENA TRIANA VELIS</t>
  </si>
  <si>
    <t>IC-6071</t>
  </si>
  <si>
    <t>Fact#: 323828-326597 Rec#: 13036 RUBEN DARIO HIDALGO MUÑOZ</t>
  </si>
  <si>
    <t>IC-6070</t>
  </si>
  <si>
    <t>Fact#: 323449-326215 Rec#: 13035 CESAR VICENTE ALDAZABAL ALZAMORA</t>
  </si>
  <si>
    <t>IC-6069</t>
  </si>
  <si>
    <t>PAZMIÑO COELLO JAIME MARCELO CANCELA TELEFONO 3960331 ABONA SGTE FACTURA- PAGO WESTERN UNION</t>
  </si>
  <si>
    <t>AT-3042</t>
  </si>
  <si>
    <t>Fact#: 1642 Rec#: 30337 ZAPATA FLORES GILMAR FABRICIO</t>
  </si>
  <si>
    <t>IC-6060</t>
  </si>
  <si>
    <t>Fact#: 324271-327047 Rec#: 13034 CHALEN NAZATE GLENDA GIMABEL</t>
  </si>
  <si>
    <t>IC-6041</t>
  </si>
  <si>
    <t>Fact#: 325831 Rec#: 13033 JUAN CARLOS SANCHEZ AGUAS</t>
  </si>
  <si>
    <t>IC-6040</t>
  </si>
  <si>
    <t>Fact#: 317981-320718-323468-326235 Rec#: 13032 NARCISA MIRELLA ANDRADE SALTOS</t>
  </si>
  <si>
    <t>IC-6039</t>
  </si>
  <si>
    <t>Fact#: 301705-304362-307114 Rec#: 13031 LEON PIN OSWALDO NEMECIO</t>
  </si>
  <si>
    <t>IC-6038</t>
  </si>
  <si>
    <t>Fact#: 309944-312705-315385 Rec#: 13030 LARA CASIERRA MARIA PIEDAD</t>
  </si>
  <si>
    <t>IC-6037</t>
  </si>
  <si>
    <t>Fact#: 321609-324363-327141 Rec#: 13029 MONCAYO CORTEZ FRANCISCA YOVANNY</t>
  </si>
  <si>
    <t>IC-6036</t>
  </si>
  <si>
    <t>Fact#: 1599 Rec#: 13028 CRUZ SANTANA MARCOS BOLIVAR</t>
  </si>
  <si>
    <t>IC-6035</t>
  </si>
  <si>
    <t>Fact#: 320413-323170-325933 Rec#: 13027 RAQUEL YOLANDA POSADA RAMIREZ</t>
  </si>
  <si>
    <t>IC-6034</t>
  </si>
  <si>
    <t>Fact#: 326425 Rec#: 13026 VILLEGAS LIRIANO YULIANA IRINA</t>
  </si>
  <si>
    <t>IC-6033</t>
  </si>
  <si>
    <t>Fact#: 321243-324002-326775 Rec#: 13025 GUERRERO CRESPIN JULIO ENRIQUE</t>
  </si>
  <si>
    <t>IC-6032</t>
  </si>
  <si>
    <t>N/D TRANSFERENCIA PAGO DE FACTURA#148-999-020936175 CTV, COD:200017298429, PORTAL AL SOL</t>
  </si>
  <si>
    <t>N/D TRANSFERENCIA PAGO DE FACTURA#20929865 CNEL EP</t>
  </si>
  <si>
    <t>N/D TRANSFERENCIA PAGO DE 1ER ANTICIPO POR HONORARIOS PROFESIONALES MES DE MAYO 2020, A PABLO BAQUERIZO DAVILA</t>
  </si>
  <si>
    <t>N/D TRANSFERENCIA PAGO DE FONDOS DE RESERVA MES DE ABRIL 2020</t>
  </si>
  <si>
    <t>NDL-10</t>
  </si>
  <si>
    <t>N/D TRANSFERENCIA PAGO DE 1ERA QUINCENA MES DE MAYO 2020</t>
  </si>
  <si>
    <t>N/D TRANSFERENCIA PAGO PLLAS. IESS NORMALES MES DE ABRIL 2020, COMP#26407772 A PABLO BAQUERIZO DAVILA</t>
  </si>
  <si>
    <t>N/D POR COMISIONES DE WESTERN UNION POR RECAUDACION DEL 08 AL 14 DE MAYO 2020</t>
  </si>
  <si>
    <t>Fact#: 320278-323038-325799 Rec#: 30339 XIMENA DE LOURDES VASQUEZ HINOJOSA</t>
  </si>
  <si>
    <t>IC-6062</t>
  </si>
  <si>
    <t>Fact#: 327887 Rec#: 30338 DATA TOOLS S.A.</t>
  </si>
  <si>
    <t>IC-6061</t>
  </si>
  <si>
    <t>Fact#: 326579 Rec#: 30336 ARIAS SALAZAR KATHERINE JUSETH</t>
  </si>
  <si>
    <t>IC-6047</t>
  </si>
  <si>
    <t>Fact#: 322239-324997-327766 Rec#: 30335 ANEMASA S.A.</t>
  </si>
  <si>
    <t>IC-6046</t>
  </si>
  <si>
    <t>Fact#: 322165-324927-327696 Rec#: 30334 SOLUCIONES SEGURAS S.A</t>
  </si>
  <si>
    <t>IC-6045</t>
  </si>
  <si>
    <t>Fact#: 324993-327762 Rec#: 30333 AUTOMERCADO S.A.</t>
  </si>
  <si>
    <t>IC-6044</t>
  </si>
  <si>
    <t>Fact#: 319472-322236-324994-327763 Rec#: 30332 AUTOMERCADO S.A.</t>
  </si>
  <si>
    <t>IC-6043</t>
  </si>
  <si>
    <t>Fact#: 325518 Rec#: 30331 BENILDA JESUS ACOSTA ZAMBRANO</t>
  </si>
  <si>
    <t>IC-6042</t>
  </si>
  <si>
    <t>Fact#: 320425-323182-325945 Rec#: 13024 LORENA LISSET NUÑEZ RODRIGUEZ</t>
  </si>
  <si>
    <t>IC-6031</t>
  </si>
  <si>
    <t>Fact#: 326625 Rec#: 13023 PILAY QUINDE ALEXI ANDRES</t>
  </si>
  <si>
    <t>IC-6030</t>
  </si>
  <si>
    <t>Fact#: 323414-326180 Rec#: 13022 NIZA ALEJANDRA MARRIOT CAICEDO</t>
  </si>
  <si>
    <t>IC-6029</t>
  </si>
  <si>
    <t>Fact#: 324355-327133 Rec#: 13021 CASTRO BARZOLA KEVIN JONATHAN</t>
  </si>
  <si>
    <t>IC-6028</t>
  </si>
  <si>
    <t>Fact#: 317676-320416-323173-325936 Rec#: 13020 PATRICIA IVETTE ANCHUNDIA MESTANZA</t>
  </si>
  <si>
    <t>IC-6027</t>
  </si>
  <si>
    <t>Fact#: 321834-324580-327362 Rec#: 13018 GUALAN HIDALGO MARCO ANTONIO</t>
  </si>
  <si>
    <t>IC-6026</t>
  </si>
  <si>
    <t>Fact#: 321835-324581-327363 Rec#: 13019 GUALAN HIDALGO MARCO ANTONIO</t>
  </si>
  <si>
    <t>IC-6025</t>
  </si>
  <si>
    <t>Fact#: 320846-323592-326362 Rec#: 13017 VASQUEZ AYALA MARIA DE LOURDES</t>
  </si>
  <si>
    <t>IC-6024</t>
  </si>
  <si>
    <t>Fact#: 321070-323827-326596 Rec#: 13016 CEDENO CEVALLOS ALEJANDRO EUGENIO</t>
  </si>
  <si>
    <t>IC-6023</t>
  </si>
  <si>
    <t>Fact#: 325417 Rec#: 13015 EDDA GLADYS PARRALES GOMEZ</t>
  </si>
  <si>
    <t>IC-6022</t>
  </si>
  <si>
    <t>Fact#: 321888-324643-327425 Rec#: 13014 MEDINA FLORES DANIEL FRANCISCO</t>
  </si>
  <si>
    <t>IC-6021</t>
  </si>
  <si>
    <t>Fact#: 328086 Rec#: 13013 MERCHAN BALON CHRISTOPHER FERNANDO</t>
  </si>
  <si>
    <t>IC-6020</t>
  </si>
  <si>
    <t>Fact#: 328038 Rec#: 13012 JARRIN LOPEZ VERONICA ELIZABETH</t>
  </si>
  <si>
    <t>IC-6019</t>
  </si>
  <si>
    <t>Fact#: 325382 Rec#: 30330 CONSORCIO ECUATORIANO DE TELECOMUNICACIONES S.A. CONECEL</t>
  </si>
  <si>
    <t>IC-6011</t>
  </si>
  <si>
    <t>Fact#: 327664 Rec#: 30329 LG ELECTRONICS PANAMA S.A</t>
  </si>
  <si>
    <t>IC-6010</t>
  </si>
  <si>
    <t>Fact#: 328132 Rec#: 30328 GUEVARA ACOSTA LUIS JAIRO</t>
  </si>
  <si>
    <t>IC-6009</t>
  </si>
  <si>
    <t>N/D TRANSFERENCIA PAGO DE FACTURA#147302963 CNT EP, CONSUMO TELEFÓNICO</t>
  </si>
  <si>
    <t>NDL-36</t>
  </si>
  <si>
    <t>N/D TRANSFERENCIA PAGO DE FACTURA#833183 CNEL EP</t>
  </si>
  <si>
    <t>NDL-34</t>
  </si>
  <si>
    <t>N/D TRANSFERENCIA PAGO DE FACTURA#1330855 CNEL EP</t>
  </si>
  <si>
    <t>N/D TRANSFERENCIA PAGO DE FACTURA#914542 CNEL EP</t>
  </si>
  <si>
    <t>N/D TRANSFERENCIA PAGO DE FACTURA#20794697 CNEL EP</t>
  </si>
  <si>
    <t>N/D TRANSFERENCIA PAGO DE FACTURA#20876604 CNEL EP</t>
  </si>
  <si>
    <t>N/D TRANSFERENCIA PAGO DE FACTURA#20904623 CNEL EP</t>
  </si>
  <si>
    <t>N/D TRANSFERENCIA PAGO DE FACTURA#20840431 CNEL EP</t>
  </si>
  <si>
    <t>N/D TRANSFERENCIA PAGO PLLAS. IESS FONDOS DE RESERVA MES DE ABRIL 2020, COMP#19752591</t>
  </si>
  <si>
    <t>N/D TRANSFERENCIA PAGO PLLAS. IESS PREST. HIPOTECARIO MES DE ABRIL 2020, COMP#8639175</t>
  </si>
  <si>
    <t>N/D TRANSFERENCIA PAGO PLLAS. IESS PREST. QUIROGRAFARIO MES DE ABRIL 2020, COMP#26407772</t>
  </si>
  <si>
    <t>N/D TRANSFERENCIA PAGO PLLAS. IESS AJUSTE MES DE ABRIL 2020, COMP#128732133</t>
  </si>
  <si>
    <t>N/D TRANSFERENCIA PAGO PLLAS. IESS NORMALES MES DE ABRIL 2020, COMP#128704181</t>
  </si>
  <si>
    <t>Fact#: 317396-320131-322897-325655 Rec#: 30327 AGUILERA PAZMIÑO FREDDY ERNESTO</t>
  </si>
  <si>
    <t>IC-6003</t>
  </si>
  <si>
    <t>Fact#: 320819-323567-326337 Rec#: 30326 QUINTO BAZAN JOHNN HENRY</t>
  </si>
  <si>
    <t>IC-6002</t>
  </si>
  <si>
    <t>Fact#: 327807 Rec#: 30325 CHRISTIAN JAVIER MIDEROS ROMERO</t>
  </si>
  <si>
    <t>IC-6001</t>
  </si>
  <si>
    <t>Fact#: 322383-325140-327900 Rec#: 30324 YIDEASA S.A</t>
  </si>
  <si>
    <t>IC-6000</t>
  </si>
  <si>
    <t>Fact#: 1178-1379-1587 Rec#: 30323 GUATEMAL COLIMBA JUAN BAUTISTA</t>
  </si>
  <si>
    <t>IC-5999</t>
  </si>
  <si>
    <t>Fact#: 323011-325771 Rec#: 30322 ZHU ZHIPENG</t>
  </si>
  <si>
    <t>IC-5998</t>
  </si>
  <si>
    <t>Fact#: 323814-326583 Rec#: 30321 WAN CHEN ZULEIKA</t>
  </si>
  <si>
    <t>IC-5997</t>
  </si>
  <si>
    <t>Fact#: 318296-321021-323776-326545 Rec#: 13011 CHICHANDE DIAZ LUIS ENRIQUE</t>
  </si>
  <si>
    <t>IC-5996</t>
  </si>
  <si>
    <t>Fact#: 326670 Rec#: 13010 VALLE GONZALEZ LIDIA ELIZABETH</t>
  </si>
  <si>
    <t>IC-5995</t>
  </si>
  <si>
    <t>Fact#: 324325-327103 Rec#: 13009 CABELLO CHIRIGUAYA DAVID ELIAS</t>
  </si>
  <si>
    <t>IC-5994</t>
  </si>
  <si>
    <t>Fact#: 319246-321957-324716 Rec#: 13008 PEREDO TIGSI KEYLA THALIA</t>
  </si>
  <si>
    <t>IC-5993</t>
  </si>
  <si>
    <t>Fact#: 325310-328068 Rec#: 13007 W E C A R E   S.A</t>
  </si>
  <si>
    <t>IC-5992</t>
  </si>
  <si>
    <t>Fact#: 321131-323887-326658 Rec#: 13006 PONCE ANDRADE KERLY KARINA</t>
  </si>
  <si>
    <t>IC-5991</t>
  </si>
  <si>
    <t>Fact#: 324583-327365 Rec#: 13005 PONCE BURGOS NORMA ISABEL</t>
  </si>
  <si>
    <t>IC-5990</t>
  </si>
  <si>
    <t>Fact#: 324582-327364 Rec#: 13004 PONCE BURGOS NORMA ISABEL</t>
  </si>
  <si>
    <t>IC-5989</t>
  </si>
  <si>
    <t>Fact#: 318154-320887-323635-326405 Rec#: 13003 SALTOS RODRIGUEZ ANDREA EDITH</t>
  </si>
  <si>
    <t>IC-5988</t>
  </si>
  <si>
    <t>Fact#: 322361-325117-327879 Rec#: 13002 SALTOS RODRIGUEZ ANDREA EDITH</t>
  </si>
  <si>
    <t>IC-5987</t>
  </si>
  <si>
    <t>Fact#: 325061-327829 Rec#: 13001 JORGE ARTURO ZANABRIA VILLAMAR</t>
  </si>
  <si>
    <t>IC-5986</t>
  </si>
  <si>
    <t>Fact#: 327400 Rec#: 13000 MARIN RIVERA FREDDY OMAR</t>
  </si>
  <si>
    <t>IC-5985</t>
  </si>
  <si>
    <t>Fact#: 324401-327181 Rec#: 12999 CORDOBA EIDER JOSE</t>
  </si>
  <si>
    <t>IC-5984</t>
  </si>
  <si>
    <t>Fact#: 320574-323325-326090 Rec#: 12998 NANCY ESTHELA SANCHEZ</t>
  </si>
  <si>
    <t>IC-5983</t>
  </si>
  <si>
    <t>Fact#: 324892-327661 Rec#: 30320 SOLVESA  ECUADOR S.A</t>
  </si>
  <si>
    <t>IC-5981</t>
  </si>
  <si>
    <t>Fact#: 325398 Rec#: 30319 KATHERINE MALENA CHILUIZA GARCIA</t>
  </si>
  <si>
    <t>IC-5980</t>
  </si>
  <si>
    <t>Fact#: 322198 Rec#: 30318 MEGADATOS S.A.</t>
  </si>
  <si>
    <t>IC-5979</t>
  </si>
  <si>
    <t>N/D BANCO PACIFICO PAGO DE FACTURA#65998232 OTECEL S.A.</t>
  </si>
  <si>
    <t>Fact#: 320741-323492 Rec#: 30317 DANIELA MELISSA MORAN RUGEL</t>
  </si>
  <si>
    <t>IC-5959</t>
  </si>
  <si>
    <t>Fact#: 325401 Rec#: 30316 JORGE ALFREDO FRANCO MORAN</t>
  </si>
  <si>
    <t>IC-5954</t>
  </si>
  <si>
    <t>Fact#: 322666-325423 Rec#: 30315 NERY LILIANA OCHOA BAQUE</t>
  </si>
  <si>
    <t>IC-5953</t>
  </si>
  <si>
    <t>Fact#: 321025-323782-326551 Rec#: 30314 CASTILLO RIVERA RUTH NOEMI</t>
  </si>
  <si>
    <t>IC-5952</t>
  </si>
  <si>
    <t>Fact#: 323868-326639 Rec#: 30313 PINO MAULME ENRIQUE GABRIEL</t>
  </si>
  <si>
    <t>IC-5951</t>
  </si>
  <si>
    <t>Fact#: 327643 Rec#: 30312 ASOC. DE PROPIETARIOS URB. VIA AL SOL</t>
  </si>
  <si>
    <t>IC-5950</t>
  </si>
  <si>
    <t>Fact#: 320988-323740-326509 Rec#: 12997 CASTRO DORADO MARJORIE LUCIA</t>
  </si>
  <si>
    <t>IC-5949</t>
  </si>
  <si>
    <t>Fact#: 318598-321314-324068-326842 Rec#: 12996 MUNOZ CASTRO JULEXI ALEXANDRA</t>
  </si>
  <si>
    <t>IC-5948</t>
  </si>
  <si>
    <t>Fact#: 318256-320986-323737-326506 Rec#: 12995 PARRAGA CEDENO JOSE VIRGILIO</t>
  </si>
  <si>
    <t>IC-5947</t>
  </si>
  <si>
    <t>Fact#: 324536-327317 Rec#: 12994 SANDOVAL MORALES MARGARITA DE LAS MERCEDES</t>
  </si>
  <si>
    <t>IC-5946</t>
  </si>
  <si>
    <t>Fact#: 327328 Rec#: 12993 PAREDES TORRES ANGELA DEL ROSARIO</t>
  </si>
  <si>
    <t>IC-5945</t>
  </si>
  <si>
    <t>Fact#: 324683-327473 Rec#: 12992 MERA NERO JHONNY ALEXANDER</t>
  </si>
  <si>
    <t>IC-5944</t>
  </si>
  <si>
    <t>Fact#: 321779-324525-327306 Rec#: 12991 BURGOS GOYA MARLIE  KATHERINE</t>
  </si>
  <si>
    <t>IC-5943</t>
  </si>
  <si>
    <t>Fact#: 321012-323765-326534 Rec#: 12990 ZAMBRANO MOREIRA LUIS ALFREDO</t>
  </si>
  <si>
    <t>IC-5942</t>
  </si>
  <si>
    <t>Fact#: 324659-327441 Rec#: 12989 LOPEZ MALDONADO CARLOS ROLANDO</t>
  </si>
  <si>
    <t>IC-5941</t>
  </si>
  <si>
    <t>Fact#: 323257-326022 Rec#: 12988 ROSA DEL CARMEN SANCHEZ PORTILLA</t>
  </si>
  <si>
    <t>IC-5940</t>
  </si>
  <si>
    <t>Fact#: 321009-323762-326531 Rec#: 12987 DE LA O CHACON JOSEPH CHRISTIAN</t>
  </si>
  <si>
    <t>IC-5939</t>
  </si>
  <si>
    <t>Fact#: 325957 Rec#: 12986 JAVIER ENRIQUE ARTEAGA MENENDEZ</t>
  </si>
  <si>
    <t>IC-5938</t>
  </si>
  <si>
    <t>Fact#: 322567-325324-328082 Rec#: 12985 ALBAN CASTRO VIVIANA</t>
  </si>
  <si>
    <t>IC-5937</t>
  </si>
  <si>
    <t>Fact#: 321396-324150-326926 Rec#: 12984 BORJA MESIAS SEGUNDO ALFREDO</t>
  </si>
  <si>
    <t>IC-5936</t>
  </si>
  <si>
    <t>Fact#: 324657-327439 Rec#: 12982 SANCHEZ PEREZ FRANCISCO ROBERTO</t>
  </si>
  <si>
    <t>IC-5934</t>
  </si>
  <si>
    <t>Fact#: 324807-327581 Rec#: 12981 LINDAO CEDENO KATHERIN LIZBETH</t>
  </si>
  <si>
    <t>IC-5933</t>
  </si>
  <si>
    <t>Fact#: 321972-324729-327516 Rec#: 12980 HENRIQUEZ PAZMINO EVELIN MARGARITA</t>
  </si>
  <si>
    <t>IC-5932</t>
  </si>
  <si>
    <t>SALAZAR TELLO NICOLAS EDUARDO ABONA SGTES FACTURAS</t>
  </si>
  <si>
    <t>AT-3066</t>
  </si>
  <si>
    <t>Fact#: 322525-325282-328040 Rec#: 30311 SKYCELL.SA</t>
  </si>
  <si>
    <t>IC-5907</t>
  </si>
  <si>
    <t>Fact#: 326641 Rec#: 30310 NARANJO BENITES LUIS ALBERTO</t>
  </si>
  <si>
    <t>IC-5905</t>
  </si>
  <si>
    <t>Fact#: 325019-327787 Rec#: 30309 ELECTROMOOM S.A.</t>
  </si>
  <si>
    <t>IC-5904</t>
  </si>
  <si>
    <t>Fact#: 1662 Rec#: 12979 SALINAS GONZALEZ JAIME PATRICIO</t>
  </si>
  <si>
    <t>IC-5903</t>
  </si>
  <si>
    <t>Fact#: 321118-323874-326645 Rec#: 12978 ROMAN ALVARADO LILIAN ISIDORA</t>
  </si>
  <si>
    <t>IC-5902</t>
  </si>
  <si>
    <t>Fact#: 1509 Rec#: 12977 ALVAREZ MOLINA PAUL ALEJANDRO</t>
  </si>
  <si>
    <t>IC-5901</t>
  </si>
  <si>
    <t>Fact#: 313391-316027-318725 Rec#: 12976 CHRISTIAN GIOVANNY MUÑOZ RIVERA</t>
  </si>
  <si>
    <t>IC-5900</t>
  </si>
  <si>
    <t>Fact#: 327552 Rec#: 12975 MORA FUENTES ALONSO GABRIEL</t>
  </si>
  <si>
    <t>IC-5899</t>
  </si>
  <si>
    <t>Fact#: 327350 Rec#: 12974 MACIAS MIRANDA DELIA ADRIANA</t>
  </si>
  <si>
    <t>IC-5898</t>
  </si>
  <si>
    <t>Fact#: 325158-327918 Rec#: 12973 SILVA PALMA VILMA NOEMI</t>
  </si>
  <si>
    <t>IC-5897</t>
  </si>
  <si>
    <t>Fact#: 323936-326708 Rec#: 12972 CHAVEZ ZAMBRANO MARIA DOLORES</t>
  </si>
  <si>
    <t>IC-5896</t>
  </si>
  <si>
    <t>Fact#: 323490-326257 Rec#: 12971 ALEXANDRE FABIAN MARTINEZ CARRION</t>
  </si>
  <si>
    <t>IC-5895</t>
  </si>
  <si>
    <t>Fact#: 320302-323059-325821 Rec#: 12970 JESUS NEREYDA CHIQUITO VERA</t>
  </si>
  <si>
    <t>IC-5894</t>
  </si>
  <si>
    <t>Fact#: 318429-321147-323902-326673 Rec#: 12969 PENAFIEL TAPIA FRANCISCO MIGUEL</t>
  </si>
  <si>
    <t>IC-5893</t>
  </si>
  <si>
    <t>Fact#: 320193-322959-325718 Rec#: 30308 CRISTOBAL ELIEZER CORREA REYES</t>
  </si>
  <si>
    <t>IC-5886</t>
  </si>
  <si>
    <t>Fact#: 327827 Rec#: 30307 CAROLINA DEL ROCIO GRANDA BARZOLA</t>
  </si>
  <si>
    <t>IC-5876</t>
  </si>
  <si>
    <t>Fact#: 304018-306777-309578 Rec#: 30305 JEAN PAUL ESPINOZA CONSTANTE</t>
  </si>
  <si>
    <t>IC-5869</t>
  </si>
  <si>
    <t>Fact#: 319995-322762 Rec#: 30304 LOURDES JANET BRITO GUILLEN</t>
  </si>
  <si>
    <t>IC-5868</t>
  </si>
  <si>
    <t>Fact#: 323497-326264 Rec#: 30303 MARCELA CAROLINA BEDON BEDOYA</t>
  </si>
  <si>
    <t>IC-5867</t>
  </si>
  <si>
    <t>Fact#: 320082-322850-325607 Rec#: 30302 ROSA MARGARITA  BARRIGA CANTOS</t>
  </si>
  <si>
    <t>IC-5866</t>
  </si>
  <si>
    <t>Fact#: 323140-325902 Rec#: 30301 FEDERICO GUILLERMO VARAS CHIQUITO</t>
  </si>
  <si>
    <t>IC-5865</t>
  </si>
  <si>
    <t>Fact#: 326359 Rec#: 30300 LOPEZ PALACIOS DANNY CHRISTIAN</t>
  </si>
  <si>
    <t>IC-5864</t>
  </si>
  <si>
    <t>Fact#: 325404 Rec#: 30299 SIMON EMILIO BRIONES LOOR</t>
  </si>
  <si>
    <t>IC-5863</t>
  </si>
  <si>
    <t>Fact#: 325627 Rec#: 12968 PAZMIÑO COELLO JAIME MARCELO</t>
  </si>
  <si>
    <t>IC-5862</t>
  </si>
  <si>
    <t>Fact#: 318892-321599-324353-327131 Rec#: 12967 MARQUEZ SELLAN NICOLAS AGAPITO</t>
  </si>
  <si>
    <t>IC-5861</t>
  </si>
  <si>
    <t>Fact#: 323934-326706 Rec#: 12966 ORTEGA CONFORME  JANET AURORA</t>
  </si>
  <si>
    <t>IC-5860</t>
  </si>
  <si>
    <t>Fact#: 326311 Rec#: 12965 MINO DOYLET YOLANDA ABIGAIL</t>
  </si>
  <si>
    <t>IC-5859</t>
  </si>
  <si>
    <t>Fact#: 321931-324687-327479 Rec#: 12964 GALLEGOS VERA ALEX AUGUSTO</t>
  </si>
  <si>
    <t>IC-5858</t>
  </si>
  <si>
    <t>Fact#: 324865-327631 Rec#: 12963 TUMBACO VERA JOSE LUIS</t>
  </si>
  <si>
    <t>IC-5857</t>
  </si>
  <si>
    <t>Fact#: 322089-324829-327600 Rec#: 30298 JARAMILLO JALON JOSE GABRIEL</t>
  </si>
  <si>
    <t>IC-5851</t>
  </si>
  <si>
    <t>Fact#: 324983-327752 Rec#: 30297 YARECUADOR CIA. LTDA</t>
  </si>
  <si>
    <t>IC-5850</t>
  </si>
  <si>
    <t>Fact#: 319989-322754-325512 Rec#: 12962 EDDY MANUEL CHAVEZ CEDEÑO</t>
  </si>
  <si>
    <t>IC-5839</t>
  </si>
  <si>
    <t>Fact#: 324570-327352 Rec#: 12961 LAURIDO ROMERO MOISES ARGENIS</t>
  </si>
  <si>
    <t>IC-5838</t>
  </si>
  <si>
    <t>Fact#: 323817-326586 Rec#: 12960 ESPINOSA CORDOVA TEODULO FRANCISCO</t>
  </si>
  <si>
    <t>IC-5837</t>
  </si>
  <si>
    <t>Fact#: 323872-326643 Rec#: 12959 PENA PAREDES PEDRO PABLO</t>
  </si>
  <si>
    <t>IC-5836</t>
  </si>
  <si>
    <t>Fact#: 320773-323523-326292 Rec#: 12958 MINCHALA ZAMBRANO TOBIA ANDRES</t>
  </si>
  <si>
    <t>IC-5835</t>
  </si>
  <si>
    <t>Fact#: 326587 Rec#: 30295 LOGROÑO REYES VICENTE JAVIER</t>
  </si>
  <si>
    <t>IC-5846</t>
  </si>
  <si>
    <t>Fact#: 318365-321088-323846-326616 Rec#: 30294 ALVEAR MUNOZ JUAN RAUL</t>
  </si>
  <si>
    <t>IC-5844</t>
  </si>
  <si>
    <t>Fact#: 324882-327651 Rec#: 30293 ASOC. PRO. NEW YORK 12 DE SEPTIEMBRE</t>
  </si>
  <si>
    <t>IC-5843</t>
  </si>
  <si>
    <t>Fact#: 324875-327644 Rec#: 30292 ASOC. PRO. NEW YORK 12 DE SEPTIEMBRE</t>
  </si>
  <si>
    <t>IC-5842</t>
  </si>
  <si>
    <t>Fact#: 327994 Rec#: 30291 GENERALAIR S. A</t>
  </si>
  <si>
    <t>IC-5841</t>
  </si>
  <si>
    <t>Fact#: 326574 Rec#: 30290 SOXO QUICHIMBO IVONNE ALEXANDRA</t>
  </si>
  <si>
    <t>IC-5840</t>
  </si>
  <si>
    <t>Fact#: 320806-323555-326325 Rec#: 12957 ORTIZ CARRILLO ROBERTO JAVIER</t>
  </si>
  <si>
    <t>IC-5834</t>
  </si>
  <si>
    <t>Fact#: 317594-320334-323091 Rec#: 12956 MIRIAM ISABEL CRUZ REVELO</t>
  </si>
  <si>
    <t>IC-5833</t>
  </si>
  <si>
    <t>Fact#: 312292-314986-317666 Rec#: 12955 DIEGO FRANCISCO PONCE MENDOZA</t>
  </si>
  <si>
    <t>IC-5832</t>
  </si>
  <si>
    <t>Fact#: 327088 Rec#: 12954 POLANCO SOTOMAYOR MARIANA DEL CARMEN</t>
  </si>
  <si>
    <t>IC-5831</t>
  </si>
  <si>
    <t>Fact#: 318849-321558-324309-327087 Rec#: 12953 POLANCO SOTOMAYOR MARIANA DEL CARMEN</t>
  </si>
  <si>
    <t>IC-5830</t>
  </si>
  <si>
    <t>Fact#: 315095-317785-320523 Rec#: 12952 EINER JOSE VALENCIA BUSTAMANTE</t>
  </si>
  <si>
    <t>IC-5829</t>
  </si>
  <si>
    <t>Fact#: 312633-315315-318007 Rec#: 12951 MONICA DEL ROCIO VARGAS VARGAS</t>
  </si>
  <si>
    <t>IC-5828</t>
  </si>
  <si>
    <t>Fact#: 323116-325877 Rec#: 12950 RUBEN ESTEBAN URRUTIA VINUEZA</t>
  </si>
  <si>
    <t>IC-5827</t>
  </si>
  <si>
    <t>Fact#: 326399 Rec#: 12949 GUADAMUD BURGOS JORGE ULPIANO</t>
  </si>
  <si>
    <t>IC-5826</t>
  </si>
  <si>
    <t>Fact#: 324382-327161 Rec#: 12948 GOMEZ VERA NATALY ELIZABETH</t>
  </si>
  <si>
    <t>IC-5825</t>
  </si>
  <si>
    <t>Fact#: 326033 Rec#: 12947 JAVIER FEDERICO VILLON ANASTACIO</t>
  </si>
  <si>
    <t>IC-5801</t>
  </si>
  <si>
    <t>Fact#: 324800-327574 Rec#: 12946 ZAPATA ROMERO ROBERTO DRUVAL</t>
  </si>
  <si>
    <t>IC-5800</t>
  </si>
  <si>
    <t>Fact#: 324650-327432 Rec#: 12945 VILLAMAR CARRANZA MARISOL DEL PILAR</t>
  </si>
  <si>
    <t>IC-5799</t>
  </si>
  <si>
    <t>Fact#: 291714-294040-296540 Rec#: 12944 PEREZ CASTRO MARIANA DE JESUS</t>
  </si>
  <si>
    <t>IC-5798</t>
  </si>
  <si>
    <t>Fact#: 324019-326792 Rec#: 12943 MINA MONTANO JUVER RUBEN</t>
  </si>
  <si>
    <t>IC-5797</t>
  </si>
  <si>
    <t>Fact#: 324132-326907 Rec#: 12942 ANZULES LEMA JUAN GABRIEL</t>
  </si>
  <si>
    <t>IC-5796</t>
  </si>
  <si>
    <t>Fact#: 320619-323371-326136 Rec#: 12941 JAIME EDUARDO JARRIN CRUZ</t>
  </si>
  <si>
    <t>IC-5795</t>
  </si>
  <si>
    <t>Fact#: 322529-325286-328044 Rec#: 12940 DULCOSTA S.A.</t>
  </si>
  <si>
    <t>IC-5794</t>
  </si>
  <si>
    <t>Fact#: 323446-326212 Rec#: 12939 BEATRIZ MARIA DEL CARMEN PACHECO BALLESTEROS</t>
  </si>
  <si>
    <t>IC-5793</t>
  </si>
  <si>
    <t>Fact#: 320920-323672-326442 Rec#: 12938 CHAVEZ GUAYARA ANDREINA PILAR</t>
  </si>
  <si>
    <t>IC-5792</t>
  </si>
  <si>
    <t>Fact#: 327663 Rec#: 30289 DORCIEN S.A</t>
  </si>
  <si>
    <t>IC-5791</t>
  </si>
  <si>
    <t>Fact#: 326122 Rec#: 30288 RICARDO ARMANDO COLOMA MOLINA</t>
  </si>
  <si>
    <t>IC-5790</t>
  </si>
  <si>
    <t>Fact#: 323299-326064 Rec#: 30287 CATHERINE NICOLE RUGEL CARRERA</t>
  </si>
  <si>
    <t>IC-5789</t>
  </si>
  <si>
    <t>Fact#: 318043-320778-323528-326297 Rec#: 30286 MARTILLO BUSTAMANTE JIMMY JAVIER</t>
  </si>
  <si>
    <t>IC-5788</t>
  </si>
  <si>
    <t>Fact#: 324465-327245 Rec#: 30285 MORA REYES JOSE FRANK</t>
  </si>
  <si>
    <t>IC-5787</t>
  </si>
  <si>
    <t>Fact#: 324141-326917 Rec#: 12937 SAMPEDRO BASURTO MARIA JULIANA</t>
  </si>
  <si>
    <t>IC-5786</t>
  </si>
  <si>
    <t>Fact#: 324850-327617 Rec#: 12936 PENA MUENTES MARCELA EDELMIRA</t>
  </si>
  <si>
    <t>IC-5785</t>
  </si>
  <si>
    <t>Fact#: 323548-326318 Rec#: 12935 MOROCHO CRUZ ELIZABETH MERCEDEZ</t>
  </si>
  <si>
    <t>IC-5784</t>
  </si>
  <si>
    <t>Fact#: 320949-323701-326470 Rec#: 12934 PINCAY RUIZ VICENTA MARLENE</t>
  </si>
  <si>
    <t>IC-5783</t>
  </si>
  <si>
    <t>AMERICAN EXPRESS CANCELACION DEBITO TARJETAS GUAYAQUIL- PAGO DE FACT 323005 - 325765- 325863- 325811 - 325917- 326178- 320668 - 323420 - 326186 - 326206- 325035 - 327803- 326345- 327957 - 327960 - 326704 - 327055- 327202- 327353- 327137- 327477- 327429</t>
  </si>
  <si>
    <t>VISA - MASTERCARD - PACIFICARD CANCELACION DEBITO TARJETAS GUAYAQUIL- PAGO DE FACT 325734 - 327705- 325777- 326078- 327804- 327805- 327814- 326333- 326086- 327190- 1648- 327032</t>
  </si>
  <si>
    <t>VISA - MASTERCARD - PACIFICARD CANCELACION DEBITO TARJETAS GUAYAQUIL- PAGO DE FACT 327261</t>
  </si>
  <si>
    <t>Fact#: 328092-328093 Rec#: 30284 TOPFOOD CIA. LTDA.</t>
  </si>
  <si>
    <t>IC-5771</t>
  </si>
  <si>
    <t>Fact#: 325757 Rec#: 30283 CAROLINA AMALIA IDROVO PIEDRAHITA</t>
  </si>
  <si>
    <t>IC-5761</t>
  </si>
  <si>
    <t>Fact#: 325249-328007 Rec#: 30282 BAJANA DE LA ROSA SANTIAGO EDISON</t>
  </si>
  <si>
    <t>IC-5760</t>
  </si>
  <si>
    <t>Fact#: 323007-325767 Rec#: 30281 HENRY LENY BETANCOURT VITERI</t>
  </si>
  <si>
    <t>IC-5759</t>
  </si>
  <si>
    <t>Fact#: 323578-326348 Rec#: 12933 SUAREZ MAGALLANES JULIO ALFONSO</t>
  </si>
  <si>
    <t>IC-5758</t>
  </si>
  <si>
    <t>Fact#: 325271-328029 Rec#: 12932 REX PLASTICS S.A.</t>
  </si>
  <si>
    <t>IC-5757</t>
  </si>
  <si>
    <t>Fact#: 322785-325542 Rec#: 12931 MARCOS ALFREDO CHANG HI FONG</t>
  </si>
  <si>
    <t>IC-5756</t>
  </si>
  <si>
    <t>Fact#: 326978 Rec#: 12930 ROSERO MERCADO ELSA KARINA</t>
  </si>
  <si>
    <t>IC-5755</t>
  </si>
  <si>
    <t>Fact#: 327151 Rec#: 12929 CHANCAY SOLEDISPA VICTOR MANUEL</t>
  </si>
  <si>
    <t>IC-5754</t>
  </si>
  <si>
    <t>Fact#: 327177 Rec#: 12928 CHUCA CHANCAY ANDREA BETZABETH</t>
  </si>
  <si>
    <t>IC-5753</t>
  </si>
  <si>
    <t>Fact#: 326467 Rec#: 12927 VERA GUZMAN SILVIA AZUCENA</t>
  </si>
  <si>
    <t>IC-5752</t>
  </si>
  <si>
    <t>Fact#: 1667 Rec#: 12926 ESPIN BIFARINI LOURDES TAMARA</t>
  </si>
  <si>
    <t>IC-5751</t>
  </si>
  <si>
    <t>Fact#: 327136 Rec#: 12925 MARCILLO COBOS DAVID FERNANDO</t>
  </si>
  <si>
    <t>IC-5750</t>
  </si>
  <si>
    <t>Fact#: 320828-323576-326346 Rec#: 12924 ARIAS FLORES ENRIQUE SEBASTIAN</t>
  </si>
  <si>
    <t>IC-5749</t>
  </si>
  <si>
    <t>Fact#: 324476-327256 Rec#: 12923 CASTRO AGUA MARLON JOSE</t>
  </si>
  <si>
    <t>IC-5748</t>
  </si>
  <si>
    <t>Fact#: 1450-1658 Rec#: 12922 ZABALA BARRIONUEVO RITA CECILIA</t>
  </si>
  <si>
    <t>IC-5747</t>
  </si>
  <si>
    <t>Fact#: 327299 Rec#: 12921 JIMENEZ VELIZ JONNY UFREDO</t>
  </si>
  <si>
    <t>IC-5746</t>
  </si>
  <si>
    <t>Fact#: 323147-325910 Rec#: 12920 CARLOS ENRIQUE TAPIA TAPIA</t>
  </si>
  <si>
    <t>IC-5745</t>
  </si>
  <si>
    <t>Fact#: 325279-328037 Rec#: 12919 SOLIS REYES OMAR MICHAEL</t>
  </si>
  <si>
    <t>IC-5744</t>
  </si>
  <si>
    <t>Fact#: 322661-325418 Rec#: 12918 GIOVANNY NARVAEZ PORTILLA</t>
  </si>
  <si>
    <t>IC-5743</t>
  </si>
  <si>
    <t>Fact#: 327885 Rec#: 30280 SINERGIA MARIN SANCHEZ S.A. SINERMASA</t>
  </si>
  <si>
    <t>IC-5708</t>
  </si>
  <si>
    <t>Fact#: 327767 Rec#: 30279 STEVEN MICHAEL RAMOS MEZA</t>
  </si>
  <si>
    <t>IC-5706</t>
  </si>
  <si>
    <t>Fact#: 324743-327531 Rec#: 30278 MORAN PINCAY PATRICIA YOLANDA</t>
  </si>
  <si>
    <t>IC-5615</t>
  </si>
  <si>
    <t>Fact#: 326817 Rec#: 30277 RAMOS MARCILLO CATHERINE LISSETTE</t>
  </si>
  <si>
    <t>IC-5614</t>
  </si>
  <si>
    <t>Fact#: 325370-328118 Rec#: 30276 SERVICIO DE OFICINA COMPUTARIZADO SEROFICOM S.A.</t>
  </si>
  <si>
    <t>IC-5613</t>
  </si>
  <si>
    <t>Fact#: 323850-326621 Rec#: 30275 PERALTA CASTILLO ELSA DEL ROCIO</t>
  </si>
  <si>
    <t>IC-5612</t>
  </si>
  <si>
    <t>Fact#: 326737 Rec#: 30274 MANRIQUE OSORIO XAVIER ENRIQUE</t>
  </si>
  <si>
    <t>IC-5611</t>
  </si>
  <si>
    <t>Fact#: 320196-322961-325721 Rec#: 30273 ANDRES DAVID AGUIRRE PALACIOS</t>
  </si>
  <si>
    <t>IC-5610</t>
  </si>
  <si>
    <t>Fact#: 323324-326089 Rec#: 30272 MELCHOR MAURICIO VALENCIA PEREZ</t>
  </si>
  <si>
    <t>IC-5609</t>
  </si>
  <si>
    <t>Fact#: 323753-326522 Rec#: 30271 FLORES MARTINEZ RAQUEL VERONICA</t>
  </si>
  <si>
    <t>IC-5608</t>
  </si>
  <si>
    <t>Fact#: 322756-325514 Rec#: 30270 GLORIA ISABEL MITE LEON</t>
  </si>
  <si>
    <t>IC-5607</t>
  </si>
  <si>
    <t>Fact#: 325498 Rec#: 30269 ALVARO CORNEJO RODRIGUEZ</t>
  </si>
  <si>
    <t>IC-5606</t>
  </si>
  <si>
    <t>Fact#: 323574-326344 Rec#: 12917 ALBA VANESSA MANZO BARZOLA</t>
  </si>
  <si>
    <t>IC-5605</t>
  </si>
  <si>
    <t>Fact#: 315984-318685-321398 Rec#: 12916 ORELLANA CALDERON JUAN CARLOS</t>
  </si>
  <si>
    <t>IC-5604</t>
  </si>
  <si>
    <t>Fact#: 323118-325879 Rec#: 12915 TERESA LEONOR SALAZAR PLUAS</t>
  </si>
  <si>
    <t>IC-5603</t>
  </si>
  <si>
    <t>Fact#: 324122-326897 Rec#: 12914 DESINTONIO HUAYAMAVE ALBERTO LUIS</t>
  </si>
  <si>
    <t>IC-5602</t>
  </si>
  <si>
    <t>Fact#: 325581 Rec#: 12913 LAURA BEATRIZ  ENCALADA ESPINOZA</t>
  </si>
  <si>
    <t>IC-5601</t>
  </si>
  <si>
    <t>Fact#: 326223 Rec#: 12912 GLORIA ELEANNE PERERA NOA</t>
  </si>
  <si>
    <t>IC-5600</t>
  </si>
  <si>
    <t>Fact#: 321702-324451-327231 Rec#: 12911 ALZAMORA ALVARADO HECTOR JAVIER</t>
  </si>
  <si>
    <t>IC-5599</t>
  </si>
  <si>
    <t>Fact#: 324385-327164 Rec#: 12910 LUCAS VALAREZO CRISTINA EVELIN</t>
  </si>
  <si>
    <t>IC-5598</t>
  </si>
  <si>
    <t>Fact#: 320965-323718-326487 Rec#: 12909 SAMANIEGO LAVAYEN YESENIA ELIZABETH</t>
  </si>
  <si>
    <t>IC-5597</t>
  </si>
  <si>
    <t>Fact#: 326606 Rec#: 12908 MENDEZ VILLON CARMEN MARISOL</t>
  </si>
  <si>
    <t>IC-5596</t>
  </si>
  <si>
    <t>Fact#: 325639 Rec#: 12907 NELIS MARIA PINARGOTE YEPEZ</t>
  </si>
  <si>
    <t>IC-5595</t>
  </si>
  <si>
    <t>Fact#: 323941-326713 Rec#: 12906 CORTEZ AVILES PEDRO ROGELIO</t>
  </si>
  <si>
    <t>IC-5594</t>
  </si>
  <si>
    <t>Fact#: 326193 Rec#: 12905 EVELYN SUSANA PITA CARRASCO</t>
  </si>
  <si>
    <t>IC-5593</t>
  </si>
  <si>
    <t>Fact#: 325847 Rec#: 12904 ADRIANA ALEXANDRA CHIQUITO MOLINA</t>
  </si>
  <si>
    <t>IC-5592</t>
  </si>
  <si>
    <t>Fact#: 320628-323381-326146 Rec#: 12903 SARA DEL CONSUELO OCHOA VELASCO</t>
  </si>
  <si>
    <t>IC-5591</t>
  </si>
  <si>
    <t>Fact#: 323063-325825 Rec#: 12902 CINDY LORENA BAJAÑA BELTRAN</t>
  </si>
  <si>
    <t>IC-5590</t>
  </si>
  <si>
    <t>Fact#: 316461-319178-321900 Rec#: 12901 PILAY ALVARADO MARIA BELEN</t>
  </si>
  <si>
    <t>IC-5589</t>
  </si>
  <si>
    <t>Fact#: 322940-325699 Rec#: 12900 JULIO CESAR MONCAYO CRESPIN</t>
  </si>
  <si>
    <t>IC-5588</t>
  </si>
  <si>
    <t>Fact#: 1721 Rec#: 30267 CABEZAS GUERRA MARIA DEL CARMEN</t>
  </si>
  <si>
    <t>IC-5561</t>
  </si>
  <si>
    <t>Fact#: 1163-1359-1563 Rec#: 30296 HERRERA CIFUENTES ESTUARDO WLADIMIR</t>
  </si>
  <si>
    <t>IC-5848</t>
  </si>
  <si>
    <t>Fact#: 321468-324220-326996 Rec#: 30266 TAFUR MOSQUERA AMPARO JACQUELINE</t>
  </si>
  <si>
    <t>IC-5556</t>
  </si>
  <si>
    <t>Fact#: 327760 Rec#: 30265 BELLUSCIO S.A.</t>
  </si>
  <si>
    <t>IC-5536</t>
  </si>
  <si>
    <t>Fact#: 327769 Rec#: 30264 DUPROCSA S.A.</t>
  </si>
  <si>
    <t>IC-5535</t>
  </si>
  <si>
    <t>Fact#: 327891 Rec#: 30263 INDUVERIKA S.A.</t>
  </si>
  <si>
    <t>IC-5534</t>
  </si>
  <si>
    <t>Fact#: 327877 Rec#: 30262 AGUIRRE AGUIRRE BEXY DEL ROCIO</t>
  </si>
  <si>
    <t>IC-5533</t>
  </si>
  <si>
    <t>Fact#: 324878-327647 Rec#: 30261 EFFICACITAS CONSULTORA CIA.LTDA.</t>
  </si>
  <si>
    <t>IC-5532</t>
  </si>
  <si>
    <t>Fact#: 324880-327649 Rec#: 30260 EFFICACITAS CONSULTORA CIA.LTDA.</t>
  </si>
  <si>
    <t>IC-5531</t>
  </si>
  <si>
    <t>Fact#: 324879-327648 Rec#: 30259 EFFICACITAS CONSULTORA CIA.LTDA.</t>
  </si>
  <si>
    <t>IC-5530</t>
  </si>
  <si>
    <t>Fact#: 327657 Rec#: 30258 AUTOMEKANO CIA. LTDA</t>
  </si>
  <si>
    <t>IC-5529</t>
  </si>
  <si>
    <t>Fact#: 327652 Rec#: 30257 ASOC. DE PROPIETARIOS URB. TERRASOL</t>
  </si>
  <si>
    <t>IC-5528</t>
  </si>
  <si>
    <t>Fact#: 327880 Rec#: 30256 SORIANO LEON  GUSTAVO FERNANDO</t>
  </si>
  <si>
    <t>IC-5527</t>
  </si>
  <si>
    <t>Fact#: 325610 Rec#: 30255 DUNNYA MARLENE VILLAVICENCIO LUZURIAGA</t>
  </si>
  <si>
    <t>IC-5526</t>
  </si>
  <si>
    <t>Fact#: 325412 Rec#: 30254 JAIRO ALBERTO GOMEZ COELLO</t>
  </si>
  <si>
    <t>IC-5525</t>
  </si>
  <si>
    <t>Fact#: 325526 Rec#: 30253 PAULA JESUS SALAZAR MACIAS</t>
  </si>
  <si>
    <t>IC-5524</t>
  </si>
  <si>
    <t>Fact#: 326526 Rec#: 30252 TRUJILLO LOPEZ DIANA CAROLINA</t>
  </si>
  <si>
    <t>IC-5523</t>
  </si>
  <si>
    <t>Fact#: 326984 Rec#: 30251 VINUEZA GARCIA EDISON EDUARDO</t>
  </si>
  <si>
    <t>IC-5522</t>
  </si>
  <si>
    <t>Fact#: 325971 Rec#: 30250 CARLOS BENJAMIN ROSALES PINO</t>
  </si>
  <si>
    <t>IC-5521</t>
  </si>
  <si>
    <t>Fact#: 325835 Rec#: 30249 GUILLERMO ELOY SERRANO GOMEZ</t>
  </si>
  <si>
    <t>IC-5520</t>
  </si>
  <si>
    <t>Fact#: 325487 Rec#: 30248 JOSE JOAQUIN OLMEDO CASTELLO</t>
  </si>
  <si>
    <t>IC-5519</t>
  </si>
  <si>
    <t>Fact#: 325816 Rec#: 30247 JUAN XAVIER BENEDETI RIPALDA</t>
  </si>
  <si>
    <t>IC-5518</t>
  </si>
  <si>
    <t>Fact#: 326054 Rec#: 30246 FERNANDO XAVIER DROUET CEDEÑO</t>
  </si>
  <si>
    <t>IC-5517</t>
  </si>
  <si>
    <t>Fact#: 326412 Rec#: 30245 GILBERT SILVA CECILIA MARIA</t>
  </si>
  <si>
    <t>IC-5516</t>
  </si>
  <si>
    <t>Fact#: 326660 Rec#: 30244 ESPANA BAJANA STEFANIA ELIZABETH</t>
  </si>
  <si>
    <t>IC-5515</t>
  </si>
  <si>
    <t>Fact#: 325737 Rec#: 30243 LUIS EDUARDO SANCHEZ TIMM</t>
  </si>
  <si>
    <t>IC-5514</t>
  </si>
  <si>
    <t>Fact#: 325623 Rec#: 30242 BONILLA ALCIVAR MARIANA VERONICA</t>
  </si>
  <si>
    <t>IC-5513</t>
  </si>
  <si>
    <t>Fact#: 327062 Rec#: 30241 SUSANA HERMELINDA ANALUISA HARO</t>
  </si>
  <si>
    <t>IC-5512</t>
  </si>
  <si>
    <t>Fact#: 325440 Rec#: 30240 KETTY ARACELY GAROFALO LEON</t>
  </si>
  <si>
    <t>IC-5511</t>
  </si>
  <si>
    <t>Fact#: 325725 Rec#: 30239 GISELLA MARIA YUNES ANDRADE</t>
  </si>
  <si>
    <t>IC-5510</t>
  </si>
  <si>
    <t>Fact#: 325480 Rec#: 30238 MONICA CRIOLLO SALAZAR</t>
  </si>
  <si>
    <t>IC-5509</t>
  </si>
  <si>
    <t>Fact#: 325630 Rec#: 30237 UVIDIA SALTOS  CARLOS BOLIVAR</t>
  </si>
  <si>
    <t>IC-5508</t>
  </si>
  <si>
    <t>Fact#: 326902 Rec#: 30236 PERALTA BENITEZ ROBERTO ELIAS</t>
  </si>
  <si>
    <t>IC-5507</t>
  </si>
  <si>
    <t>Fact#: 325556 Rec#: 30235 FAUSTO EDUARDO  CARBO RIVERA</t>
  </si>
  <si>
    <t>IC-5506</t>
  </si>
  <si>
    <t>Fact#: 326103 Rec#: 30234 CARLOS ADALBERTO SALAVARRIA PALMA</t>
  </si>
  <si>
    <t>IC-5505</t>
  </si>
  <si>
    <t>Fact#: 325425 Rec#: 30233 ISABEL ROSARIO QUINDE SORIANO</t>
  </si>
  <si>
    <t>IC-5504</t>
  </si>
  <si>
    <t>Fact#: 325495 Rec#: 30232 LUIS CESAR GAMARRA GONZALES</t>
  </si>
  <si>
    <t>IC-5503</t>
  </si>
  <si>
    <t>Fact#: 325614 Rec#: 30231 ANA LUCRECIA  CABRERA GARCIA</t>
  </si>
  <si>
    <t>IC-5502</t>
  </si>
  <si>
    <t>Fact#: 325631 Rec#: 30230 MANRIQUEZ SALAZAR MARIA PAZ</t>
  </si>
  <si>
    <t>IC-5501</t>
  </si>
  <si>
    <t>Fact#: 327487 Rec#: 30229 JOSE FRANCISCO  FERNANDEZ   ESPINOZA</t>
  </si>
  <si>
    <t>IC-5500</t>
  </si>
  <si>
    <t>Fact#: 326166 Rec#: 30228 RICARDO PABLO FALCONI DUEÑAS</t>
  </si>
  <si>
    <t>IC-5499</t>
  </si>
  <si>
    <t>Fact#: 325628 Rec#: 30227 CARLOS ALBERTO RENDON PALMA</t>
  </si>
  <si>
    <t>IC-5498</t>
  </si>
  <si>
    <t>Fact#: 326142 Rec#: 30226 HERNAN ANTONIO ALVEAR MERCHAN</t>
  </si>
  <si>
    <t>IC-5497</t>
  </si>
  <si>
    <t>Fact#: 325388 Rec#: 30225 EVA MARIA VINUEZA OCAÑA</t>
  </si>
  <si>
    <t>IC-5496</t>
  </si>
  <si>
    <t>Fact#: 325652 Rec#: 30224 TERESA DE LA CRUZ TOSCANO BRITO</t>
  </si>
  <si>
    <t>IC-5495</t>
  </si>
  <si>
    <t>Fact#: 325746 Rec#: 30223 LUIS CARLOS ABAD YCAZA</t>
  </si>
  <si>
    <t>IC-5494</t>
  </si>
  <si>
    <t>Fact#: 327255 Rec#: 30222 ZULVY BEDON LAGOS</t>
  </si>
  <si>
    <t>IC-5493</t>
  </si>
  <si>
    <t>Fact#: 326728 Rec#: 30221 CASTILLO PALMA DANIEL ALFREDO</t>
  </si>
  <si>
    <t>IC-5492</t>
  </si>
  <si>
    <t>Fact#: 326920 Rec#: 30220 CANDO REYES JOSE MAURICIO</t>
  </si>
  <si>
    <t>IC-5491</t>
  </si>
  <si>
    <t>Fact#: 325408 Rec#: 30219 GISELLE MARIELA CLEMENTE VERA</t>
  </si>
  <si>
    <t>IC-5490</t>
  </si>
  <si>
    <t>Fact#: 325982 Rec#: 30218 EDDIE ENRIQUE HERRERA MEDINA</t>
  </si>
  <si>
    <t>IC-5489</t>
  </si>
  <si>
    <t>Fact#: 325561 Rec#: 30217 FRANKLIN JOAQUIN  DOMINGUEZ VARGAS</t>
  </si>
  <si>
    <t>IC-5488</t>
  </si>
  <si>
    <t>Fact#: 326005 Rec#: 30216 CECILIA VIVIANA RUIZ MENDOZA</t>
  </si>
  <si>
    <t>IC-5487</t>
  </si>
  <si>
    <t>Fact#: 325481 Rec#: 30215 JENNY CEDEÑO CAAMAÑO</t>
  </si>
  <si>
    <t>IC-5486</t>
  </si>
  <si>
    <t>Fact#: 325411 Rec#: 30214 JUAN JOSE CHACON PACHECO</t>
  </si>
  <si>
    <t>IC-5485</t>
  </si>
  <si>
    <t>Fact#: 325391 Rec#: 30213 MARIA ROSA DUNN YCAZA</t>
  </si>
  <si>
    <t>IC-5484</t>
  </si>
  <si>
    <t>Fact#: 325899 Rec#: 30212 ANTONIO IGNACIO ARTEAGA FERAUD</t>
  </si>
  <si>
    <t>IC-5483</t>
  </si>
  <si>
    <t>Fact#: 319868-322636-325393 Rec#: 30211 LORENA VANONI ARMIJOS</t>
  </si>
  <si>
    <t>IC-5482</t>
  </si>
  <si>
    <t>Fact#: 323376-326141 Rec#: 30210 LIGIA AZUCENA ARTEAGA VALENZUELA</t>
  </si>
  <si>
    <t>IC-5481</t>
  </si>
  <si>
    <t>Fact#: 323768-326537 Rec#: 30209 LOZANO OTERO RICARDO REIMONDI LOZANO OTERO</t>
  </si>
  <si>
    <t>IC-5480</t>
  </si>
  <si>
    <t>Fact#: 325475 Rec#: 30208 NORMA ELISA YEPEZ JIMENEZ</t>
  </si>
  <si>
    <t>IC-5479</t>
  </si>
  <si>
    <t>Fact#: 324797-327571 Rec#: 30207 MAZZINI RIVADENEIRA VALERIE GEOVANNA</t>
  </si>
  <si>
    <t>IC-5478</t>
  </si>
  <si>
    <t>Fact#: 321050-323807-326576 Rec#: 30206 PAZ SANCHEZ ROXANA MICHELLE</t>
  </si>
  <si>
    <t>IC-5477</t>
  </si>
  <si>
    <t>Fact#: 323556-326326 Rec#: 30205 SALAZAR JAIME CECILIA NARCISA</t>
  </si>
  <si>
    <t>IC-5476</t>
  </si>
  <si>
    <t>Fact#: 1740 Rec#: 30204 JIMENEZ BERNAL TANIA BEATRIZ</t>
  </si>
  <si>
    <t>IC-5475</t>
  </si>
  <si>
    <t>Fact#: 1738 Rec#: 30203 JIMENEZ BERNAL TANIA BEATRIZ</t>
  </si>
  <si>
    <t>IC-5474</t>
  </si>
  <si>
    <t>Fact#: 327559 Rec#: 30202 MONGE SCALDAFERRI ANDRES ALBERTO</t>
  </si>
  <si>
    <t>IC-5473</t>
  </si>
  <si>
    <t>Fact#: 327346 Rec#: 12899 CERCADO MENDOZA MARIA AUXILIADORA</t>
  </si>
  <si>
    <t>IC-5472</t>
  </si>
  <si>
    <t>Fact#: 324065-326839 Rec#: 12898 AVILA ORTIZ GEOVANNY FABRICIO</t>
  </si>
  <si>
    <t>IC-5471</t>
  </si>
  <si>
    <t>Fact#: 326476 Rec#: 12897 TOMALA SANCAN JORGE LUIS</t>
  </si>
  <si>
    <t>IC-5470</t>
  </si>
  <si>
    <t>Fact#: 326274 Rec#: 12896 TOMALA SANCAN JORGE LUIS</t>
  </si>
  <si>
    <t>IC-5469</t>
  </si>
  <si>
    <t>Fact#: 326987 Rec#: 12895 CUEVA SAREZ JENNIFER STEFANIA</t>
  </si>
  <si>
    <t>IC-5468</t>
  </si>
  <si>
    <t>Fact#: 324261-327037 Rec#: 12894 FLORES GORDILLO LUIS EDUARDO</t>
  </si>
  <si>
    <t>IC-5467</t>
  </si>
  <si>
    <t>Fact#: 326747 Rec#: 12893 MAYEZA REGALADO JIMMY HARRY</t>
  </si>
  <si>
    <t>IC-5466</t>
  </si>
  <si>
    <t>Fact#: 324139-326915 Rec#: 12892 BOLANO HURTADO SUGEY MERY</t>
  </si>
  <si>
    <t>IC-5465</t>
  </si>
  <si>
    <t>Fact#: 326249 Rec#: 12891 CARLOS GREGORIO HURTADO MOSQUERA</t>
  </si>
  <si>
    <t>IC-5464</t>
  </si>
  <si>
    <t>Fact#: 318815-321526-324276-327052 Rec#: 12890 VERA VELOZ LISSETTE IRENE</t>
  </si>
  <si>
    <t>IC-5463</t>
  </si>
  <si>
    <t>Fact#: 318504-321218-323978-326750 Rec#: 12889 INTRIAGO GANCHOZO ANGELA MERCEDES</t>
  </si>
  <si>
    <t>IC-5462</t>
  </si>
  <si>
    <t>Fact#: 324742-327530 Rec#: 12888 CARREÑO ACOSTA JESUS LAUREANO</t>
  </si>
  <si>
    <t>IC-5461</t>
  </si>
  <si>
    <t>Fact#: 320494-323249-326014 Rec#: 12887 CESAR ORLANDO VALLEJO VERA</t>
  </si>
  <si>
    <t>IC-5460</t>
  </si>
  <si>
    <t>Fact#: 327522 Rec#: 12886 JUMBO NARANJO LORENA DE LOURDES</t>
  </si>
  <si>
    <t>IC-5459</t>
  </si>
  <si>
    <t>Fact#: 1595 Rec#: 12885 CADENA CHONTASI OLGA MARIA</t>
  </si>
  <si>
    <t>IC-5458</t>
  </si>
  <si>
    <t>Fact#: 322770-325527 Rec#: 12884 BELINDA LEONOR QUIJANO GOMEZ</t>
  </si>
  <si>
    <t>IC-5457</t>
  </si>
  <si>
    <t>Fact#: 321433-324186-326962 Rec#: 12883 ORTEGA CHAVEZ JUANA ALEJANDRINA</t>
  </si>
  <si>
    <t>IC-5456</t>
  </si>
  <si>
    <t>Fact#: 324698-327489 Rec#: 12882 MOROCHO AGURTO VIVIANA MANUELA</t>
  </si>
  <si>
    <t>IC-5455</t>
  </si>
  <si>
    <t>Fact#: 323042-325803 Rec#: 12881 LUCILA SOLANGE FLOR ORELLANA</t>
  </si>
  <si>
    <t>IC-5454</t>
  </si>
  <si>
    <t>Fact#: 323348-326113 Rec#: 12880 MOISES ROBERTO FRANCO ANDRADE</t>
  </si>
  <si>
    <t>IC-5453</t>
  </si>
  <si>
    <t>Fact#: 328021 Rec#: 30201 MARRIOTT S.A</t>
  </si>
  <si>
    <t>IC-5436</t>
  </si>
  <si>
    <t>Fact#: 318113-320845-323591-326361 Rec#: 12879 CARRIEL DELGADO SIRLYS JADIRA</t>
  </si>
  <si>
    <t>IC-5422</t>
  </si>
  <si>
    <t>Fact#: 323819-326588 Rec#: 12878 ALARCON MORALES JENNY ROCIO</t>
  </si>
  <si>
    <t>IC-5421</t>
  </si>
  <si>
    <t>Fact#: 320166-322932-325690 Rec#: 30200 IVONNE MARCELA MONTERO ZAMBRANO</t>
  </si>
  <si>
    <t>IC-5429</t>
  </si>
  <si>
    <t>Fact#: 323264-326029 Rec#: 12877 TEODOMIRO MAYO</t>
  </si>
  <si>
    <t>IC-5420</t>
  </si>
  <si>
    <t>Fact#: 324822-327594 Rec#: 12876 MENDEZ LAINEZ RUTH ELIZABETH</t>
  </si>
  <si>
    <t>IC-5419</t>
  </si>
  <si>
    <t>Fact#: 324229-327005 Rec#: 12875 NAULA ANZOATEGUI ANA MARIA</t>
  </si>
  <si>
    <t>IC-5418</t>
  </si>
  <si>
    <t>Fact#: 326684 Rec#: 12874 RIVADENEIRA SACON GRACE ALEXANDRA</t>
  </si>
  <si>
    <t>IC-5417</t>
  </si>
  <si>
    <t>Fact#: 326395 Rec#: 12873 CABEZA BENITEZ MONSERRATE FATIMA</t>
  </si>
  <si>
    <t>IC-5416</t>
  </si>
  <si>
    <t>Fact#: 315943-318643-321358 Rec#: 12872 VILLALBA TOMALA GABRIEL FERNANDO</t>
  </si>
  <si>
    <t>IC-5415</t>
  </si>
  <si>
    <t>Fact#: 324798-327573 Rec#: 12871 MUNOZ PINARGOTE LISBETH ALEXANDRA</t>
  </si>
  <si>
    <t>IC-5414</t>
  </si>
  <si>
    <t>Fact#: 324178-326954 Rec#: 12870 PAREDES LOPEZ NARCISA DEL CARMEN</t>
  </si>
  <si>
    <t>IC-5413</t>
  </si>
  <si>
    <t>Fact#: 325750 Rec#: 30199 JUAN GABRIEL RODRIGUEZ FERNANDEZ</t>
  </si>
  <si>
    <t>IC-5428</t>
  </si>
  <si>
    <t>Fact#: 323991-326764 Rec#: 12869 YUMBLA MENDIETA MONICA ELIZABETH</t>
  </si>
  <si>
    <t>IC-5412</t>
  </si>
  <si>
    <t>Fact#: 320314-323072-325834 Rec#: 12868 GINGER LIZBETH GOMEZ CALDERON</t>
  </si>
  <si>
    <t>IC-5411</t>
  </si>
  <si>
    <t>Fact#: 324384-327163 Rec#: 12867 ZAVALA TORO CRUZ SISIBEL</t>
  </si>
  <si>
    <t>IC-5410</t>
  </si>
  <si>
    <t>Fact#: 1685 Rec#: 12866 SANGUNA RON TANIA GRICELDA</t>
  </si>
  <si>
    <t>IC-5409</t>
  </si>
  <si>
    <t>Fact#: 320462-323218-325983 Rec#: 12865 MARITZA ALEXANDRA CHOEZ PONCE</t>
  </si>
  <si>
    <t>IC-5408</t>
  </si>
  <si>
    <t>Fact#: 323394-326160 Rec#: 12864 JACKELINE LUCIA LOOR ORTEGA</t>
  </si>
  <si>
    <t>IC-5407</t>
  </si>
  <si>
    <t>Fact#: 320364-323120-325881 Rec#: 12863 CARLA MARIA GARCIA ANDRADE</t>
  </si>
  <si>
    <t>IC-5406</t>
  </si>
  <si>
    <t>Fact#: 326847 Rec#: 12862 JIMA BRAVO  JOSE FLORENCIO</t>
  </si>
  <si>
    <t>IC-5405</t>
  </si>
  <si>
    <t>Fact#: 327367 Rec#: 12861 MERINO MORAN LUIS MIGUEL</t>
  </si>
  <si>
    <t>IC-5404</t>
  </si>
  <si>
    <t>Fact#: 324679-327467 Rec#: 12860 MORAN MOSQUERA JORGE RAMON</t>
  </si>
  <si>
    <t>IC-5403</t>
  </si>
  <si>
    <t>Fact#: 318822-321530-324280-327057 Rec#: 12859 YAGUAREMA GUEVARA RUTH ALEXANDRA</t>
  </si>
  <si>
    <t>IC-5402</t>
  </si>
  <si>
    <t>Fact#: 323355-326120 Rec#: 12858 CESAR AURELIO BARRERA MORALES</t>
  </si>
  <si>
    <t>IC-5401</t>
  </si>
  <si>
    <t>Fact#: 320996-323748-326517 Rec#: 12857 ELIZALDE MAZZINI PAULINA GABRIELA</t>
  </si>
  <si>
    <t>IC-5400</t>
  </si>
  <si>
    <t>Fact#: 323101-325862 Rec#: 12856 SANDRA DEL ROCIO PESANTES GONZALEZ</t>
  </si>
  <si>
    <t>IC-5399</t>
  </si>
  <si>
    <t>Fact#: 324449-327229 Rec#: 12855 VITE CALDERON PEDRO PABLO</t>
  </si>
  <si>
    <t>IC-5398</t>
  </si>
  <si>
    <t>Fact#: 323777-326546 Rec#: 12854 FREIRE ORTIZ PEDRO PABLO</t>
  </si>
  <si>
    <t>IC-5397</t>
  </si>
  <si>
    <t>May/2020</t>
  </si>
  <si>
    <t>TRANSFERENCIAS GIRADAS Y NO COBRADOS</t>
  </si>
  <si>
    <t>N/D TRANSFERENCIA ROLES DE PAGO 2DA QUINCENA MES DE JUNIO 2020</t>
  </si>
  <si>
    <t>N/D TRANSFERENCIA PAGO DE FACTURA#407 POR HONORARIOS PROFESIONALES MES DE JUNIO 2020, A PABLO BAQUERIZO</t>
  </si>
  <si>
    <t>Fact#: 331260 Rec#: 30785 LUIS DANIEL CHIANG GUERRERO</t>
  </si>
  <si>
    <t>IC-8557</t>
  </si>
  <si>
    <t>Fact#: 331259 Rec#: 30784 LUIS DANIEL CHIANG GUERRERO</t>
  </si>
  <si>
    <t>IC-8556</t>
  </si>
  <si>
    <t>Fact#: 330948 Rec#: 30717 Corporación Nacional de Telecomunicaciones-CNT EP</t>
  </si>
  <si>
    <t>IC-8074</t>
  </si>
  <si>
    <t>Fact#: 330947 Rec#: 30716 Corporación Nacional de Telecomunicaciones-CNT EP</t>
  </si>
  <si>
    <t>IC-8073</t>
  </si>
  <si>
    <t>Fact#: 325045-327813-330616 Rec#: 30650 SERVICITY C A</t>
  </si>
  <si>
    <t>IC-7861</t>
  </si>
  <si>
    <t>Fact#: 330569 Rec#: 30649 ANEMASA S.A.</t>
  </si>
  <si>
    <t>IC-7860</t>
  </si>
  <si>
    <t>Fact#: 330565 Rec#: 30648 AUTOMERCADO S.A.</t>
  </si>
  <si>
    <t>IC-7859</t>
  </si>
  <si>
    <t>Fact#: 330566 Rec#: 30647 AUTOMERCADO S.A.</t>
  </si>
  <si>
    <t>IC-7858</t>
  </si>
  <si>
    <t>Fact#: 329373-332217 Rec#: 30646 VALERO ZABALA  JULIA ELIZABETH</t>
  </si>
  <si>
    <t>IC-7857</t>
  </si>
  <si>
    <t>Fact#: 332250 Rec#: 30645 PINO MAULME ENRIQUE GABRIEL</t>
  </si>
  <si>
    <t>IC-7856</t>
  </si>
  <si>
    <t>Fact#: 332780 Rec#: 13634 CHANCAY SOLEDISPA VICTOR MANUEL</t>
  </si>
  <si>
    <t>IC-7843</t>
  </si>
  <si>
    <t>Fact#: 317528-320266-323026-325786-328537-331360 Rec#: 13633 YOLANDA DE FATIMA SOTO CORTAZAR</t>
  </si>
  <si>
    <t>IC-7842</t>
  </si>
  <si>
    <t>Fact#: 329102-331941 Rec#: 13632 JOHN FRANCISCO IZQUIERDO ZAVALA</t>
  </si>
  <si>
    <t>IC-7841</t>
  </si>
  <si>
    <t>Fact#: 328698-331527 Rec#: 13631 ALEXANDER WELLINGTON ALVARADO CARRIEL</t>
  </si>
  <si>
    <t>IC-7840</t>
  </si>
  <si>
    <t>Fact#: 330138-332998 Rec#: 13630 MERINO MORAN LUIS MIGUEL</t>
  </si>
  <si>
    <t>IC-7839</t>
  </si>
  <si>
    <t>Fact#: 331907 Rec#: 13629 NIETO BARQUET OSCAR AHMED</t>
  </si>
  <si>
    <t>IC-7838</t>
  </si>
  <si>
    <t>Fact#: 332179 Rec#: 13628 VASQUEZ DORA JUAN JOSE</t>
  </si>
  <si>
    <t>IC-7837</t>
  </si>
  <si>
    <t>Fact#: 331433 Rec#: 13627 DENISSE JUDITH FLORES HUERTA</t>
  </si>
  <si>
    <t>IC-7836</t>
  </si>
  <si>
    <t>Fact#: 328210-331029 Rec#: 13626 ALBA REBECA BOHORQUEZ JACOME</t>
  </si>
  <si>
    <t>IC-7835</t>
  </si>
  <si>
    <t>Fact#: 331077 Rec#: 13625 ELSIE RUTH  ZERDA BARRENO</t>
  </si>
  <si>
    <t>IC-7834</t>
  </si>
  <si>
    <t>Fact#: 331785 Rec#: 13624 EVELYN SUSANA PITA CARRASCO</t>
  </si>
  <si>
    <t>IC-7833</t>
  </si>
  <si>
    <t>Fact#: 333278 Rec#: 13623 MITE LOPEZ JESSICA ALEXANDRA</t>
  </si>
  <si>
    <t>IC-7832</t>
  </si>
  <si>
    <t>Fact#: 329968-332828 Rec#: 13622 MERINO GONZALEZ KELLY JESSENIA</t>
  </si>
  <si>
    <t>IC-7831</t>
  </si>
  <si>
    <t>Fact#: 332763 Rec#: 13621 MARCILLO COBOS DAVID FERNANDO</t>
  </si>
  <si>
    <t>IC-7830</t>
  </si>
  <si>
    <t>Fact#: 331312 Rec#: 13620 CESAR AUGUSTO BAQUERIZO AROSEMENA</t>
  </si>
  <si>
    <t>IC-7829</t>
  </si>
  <si>
    <t>Fact#: 324275-327051-329819-332675 Rec#: 13619 ROVELLO VALENCIA JOSE ROMAN</t>
  </si>
  <si>
    <t>IC-7827</t>
  </si>
  <si>
    <t>Fact#: 324671-327459-330231-333092 Rec#: 13618 PACHECO SARANGO LAURA AMERICA</t>
  </si>
  <si>
    <t>IC-7825</t>
  </si>
  <si>
    <t>Fact#: 331910 Rec#: 13617 MINO DOYLET YOLANDA ABIGAIL</t>
  </si>
  <si>
    <t>IC-7821</t>
  </si>
  <si>
    <t>Fact#: 329409-332255 Rec#: 13616 PENA PAREDES PEDRO PABLO</t>
  </si>
  <si>
    <t>IC-7820</t>
  </si>
  <si>
    <t>Fact#: 332006 Rec#: 13615 ROMERO LITARDO FRANCISCO XAVIER</t>
  </si>
  <si>
    <t>IC-7819</t>
  </si>
  <si>
    <t>Fact#: 328554-331378 Rec#: 13614 LUCILA SOLANGE FLOR ORELLANA</t>
  </si>
  <si>
    <t>IC-7818</t>
  </si>
  <si>
    <t>Fact#: 328567-331391 Rec#: 13613 CARLOS IVAN AGUIRRE GARCIA</t>
  </si>
  <si>
    <t>IC-7816</t>
  </si>
  <si>
    <t>Fact#: 329815-332671 Rec#: 13612 CHALEN NAZATE GLENDA GIMABEL</t>
  </si>
  <si>
    <t>IC-7815</t>
  </si>
  <si>
    <t>Fact#: 332868 Rec#: 30643 ARANA BARROS AMBAR GEOVANA</t>
  </si>
  <si>
    <t>IC-7796</t>
  </si>
  <si>
    <t>Fact#: 1366 Rec#: 30642 INFINITYGROUP S.A</t>
  </si>
  <si>
    <t>IC-7784</t>
  </si>
  <si>
    <t>Fact#: 330967 Rec#: 30641 LOURDES DEL ROCIO CHAVEZ VELEZ</t>
  </si>
  <si>
    <t>IC-7783</t>
  </si>
  <si>
    <t>Fact#: 330375-333256 Rec#: 30640 ARMIJOS SALAZAR ANA ISABEL</t>
  </si>
  <si>
    <t>IC-7782</t>
  </si>
  <si>
    <t>Fact#: 330354-333237 Rec#: 30639 MONGE SCALDAFERRI ANDRES ALBERTO</t>
  </si>
  <si>
    <t>IC-7781</t>
  </si>
  <si>
    <t>Fact#: 330465 Rec#: 30638 DORCIEN S.A</t>
  </si>
  <si>
    <t>IC-7780</t>
  </si>
  <si>
    <t>Fact#: 332353 Rec#: 30637 MANRIQUE OSORIO XAVIER ENRIQUE</t>
  </si>
  <si>
    <t>IC-7779</t>
  </si>
  <si>
    <t>Fact#: 332230 Rec#: 30636 PERALTA CASTILLO ELSA DEL ROCIO</t>
  </si>
  <si>
    <t>IC-7778</t>
  </si>
  <si>
    <t>Fact#: 332241 Rec#: 30635 GONZALEZ SANCHEZ CESAR IVAN</t>
  </si>
  <si>
    <t>IC-7777</t>
  </si>
  <si>
    <t>Fact#: 329090-331929 Rec#: 13611 MORA GUERRERO HILDA ANTONIETA</t>
  </si>
  <si>
    <t>IC-7762</t>
  </si>
  <si>
    <t>Fact#: 332400 Rec#: 13610 CAICHE ROMERO GRACE SOFIA</t>
  </si>
  <si>
    <t>IC-7761</t>
  </si>
  <si>
    <t>Fact#: 332289 Rec#: 13609 RODRIGUEZ ENRIQUES FERNANDO FAVIAN</t>
  </si>
  <si>
    <t>IC-7760</t>
  </si>
  <si>
    <t>Fact#: 331052 Rec#: 13608 MORAIMA SEMINARIO TOLEDO</t>
  </si>
  <si>
    <t>IC-7759</t>
  </si>
  <si>
    <t>Fact#: 324495-327276-330046-332906 Rec#: 13607 VARGAS PARRALES CARLOS JORGE</t>
  </si>
  <si>
    <t>IC-7758</t>
  </si>
  <si>
    <t>Fact#: 331445 Rec#: 13606 ANDREA CANAHUATI CHAIN</t>
  </si>
  <si>
    <t>IC-7757</t>
  </si>
  <si>
    <t>Fact#: 332640 Rec#: 13605 FIGUEROA RIOS MIGUEL IBSEN</t>
  </si>
  <si>
    <t>IC-7756</t>
  </si>
  <si>
    <t>Fact#: 321249-324007-326780-329544-332395 Rec#: 13604 GRANADOS MUTIS JUAN PABLO</t>
  </si>
  <si>
    <t>IC-7755</t>
  </si>
  <si>
    <t>Fact#: 329444-332291 Rec#: 13603 VELASQUEZ POLIT NINA NATASHA</t>
  </si>
  <si>
    <t>IC-7754</t>
  </si>
  <si>
    <t>Fact#: 330844 Rec#: 13602 SOLIS REYES OMAR MICHAEL</t>
  </si>
  <si>
    <t>IC-7753</t>
  </si>
  <si>
    <t>Fact#: 332939 Rec#: 13601 PERALTA RODRIGUEZ MARLON SANTIAGO</t>
  </si>
  <si>
    <t>IC-7752</t>
  </si>
  <si>
    <t>Fact#: 324471-327251-330021-332881 Rec#: 13600 ANZOATEGUI SANTOS WENDY STEFANIA</t>
  </si>
  <si>
    <t>IC-7751</t>
  </si>
  <si>
    <t>Fact#: 331461 Rec#: 13599 CARLA MARIA GARCIA ANDRADE</t>
  </si>
  <si>
    <t>IC-7750</t>
  </si>
  <si>
    <t>Fact#: 332941 Rec#: 13598 CABANILLA CORREA JORGE LOBERTI</t>
  </si>
  <si>
    <t>IC-7749</t>
  </si>
  <si>
    <t>Fact#: 312812-315481-318177 Rec#: 13597 HERBAS MORALES CHRISTIAN ALFREDO</t>
  </si>
  <si>
    <t>IC-7748</t>
  </si>
  <si>
    <t>Fact#: 317017-319744-322507 Rec#: 30634 VIEJO ALEJANDRO NORMA ILIANA</t>
  </si>
  <si>
    <t>IC-7734</t>
  </si>
  <si>
    <t>Fact#: 331850 Rec#: 30633 ANGEL ROGELIO PUMA MEDINA</t>
  </si>
  <si>
    <t>IC-7733</t>
  </si>
  <si>
    <t>Fact#: 333082 Rec#: 30632 ESPINOSA ESPINOZA HUGO STANLEY</t>
  </si>
  <si>
    <t>IC-7732</t>
  </si>
  <si>
    <t>ANGEL ROGELIO PUMA MEDINA CNCELA TELEFONO 3908304 ABONA SGTE FACTURA</t>
  </si>
  <si>
    <t>AT-3076</t>
  </si>
  <si>
    <t>Fact#: 330239-333100 Rec#: 13596 MORAN MOSQUERA JORGE RAMON</t>
  </si>
  <si>
    <t>IC-7716</t>
  </si>
  <si>
    <t>Fact#: 332362 Rec#: 13595 MAYEZA REGALADO JIMMY HARRY</t>
  </si>
  <si>
    <t>IC-7715</t>
  </si>
  <si>
    <t>Fact#: 328874-331708 Rec#: 13594 CESAR AURELIO BARRERA MORALES</t>
  </si>
  <si>
    <t>IC-7714</t>
  </si>
  <si>
    <t>Fact#: 324205-326981-329749-332604 Rec#: 30631 JURADO LARREA FABRICIO GUSTAVO</t>
  </si>
  <si>
    <t>IC-7731</t>
  </si>
  <si>
    <t>Fact#: 1029-1214-1412-1620-1808-2004 Rec#: 13593 TIO ALVAREZ ADRIAN</t>
  </si>
  <si>
    <t>IC-7713</t>
  </si>
  <si>
    <t>Fact#: 324267-327043-329811-332667 Rec#: 13592 JURADO VELEZ JONNY EUGENIO</t>
  </si>
  <si>
    <t>IC-7712</t>
  </si>
  <si>
    <t>Fact#: 323232-325997-328750-331579 Rec#: 13591 LUIS FERNANDO RODRIGUEZ TAPIA</t>
  </si>
  <si>
    <t>IC-7711</t>
  </si>
  <si>
    <t>Fact#: 331599 Rec#: 13590 DELFIN NESTOR CALDERON GARCIA</t>
  </si>
  <si>
    <t>IC-7710</t>
  </si>
  <si>
    <t>Fact#: 328628-331457 Rec#: 13589 RUBEN ESTEBAN URRUTIA VINUEZA</t>
  </si>
  <si>
    <t>IC-7709</t>
  </si>
  <si>
    <t>Fact#: 332309 Rec#: 13588 GUTIERREZ HERNANDEZ RICARDO ALBERTO</t>
  </si>
  <si>
    <t>IC-7708</t>
  </si>
  <si>
    <t>Fact#: 328154-330974 Rec#: 13587 ORLANDO BOLIVAR RAMOS CRUZ</t>
  </si>
  <si>
    <t>IC-7707</t>
  </si>
  <si>
    <t>Fact#: 329538-332389 Rec#: 13586 ALVARADO HOLGUIN HENRRY EDUARDO</t>
  </si>
  <si>
    <t>IC-7706</t>
  </si>
  <si>
    <t>Fact#: 321452-324204-326980-329748-332603 Rec#: 13585 GUERRERO RENDON VICTORIA EDITA</t>
  </si>
  <si>
    <t>IC-7705</t>
  </si>
  <si>
    <t>Fact#: 330297-333158 Rec#: 13584 NIETO CORDERO EDYIMAR JOSEFINA</t>
  </si>
  <si>
    <t>IC-7704</t>
  </si>
  <si>
    <t>Fact#: 330674 Rec#: 30630 CIPORT &amp; TECNAC CIPTE C.L</t>
  </si>
  <si>
    <t>IC-7730</t>
  </si>
  <si>
    <t>Fact#: 330696 Rec#: 30629 DATA TOOLS S.A.</t>
  </si>
  <si>
    <t>IC-7729</t>
  </si>
  <si>
    <t>Fact#: 331195 Rec#: 30628 BONILLA ALCIVAR MARIANA VERONICA</t>
  </si>
  <si>
    <t>IC-7728</t>
  </si>
  <si>
    <t>Fact#: 330949 Rec#: 30627 OTECEL</t>
  </si>
  <si>
    <t>IC-7727</t>
  </si>
  <si>
    <t>Fact#: 318585-321301-324057-326831-329596-332447 Rec#: 30626 MONTESDEOCA ZAMBRANO SILVIA MARIA</t>
  </si>
  <si>
    <t>IC-7703</t>
  </si>
  <si>
    <t>Fact#: 318583-321299-324055-326829-329594-332445 Rec#: 30625 MONTESDEOCA ZAMBRANO SILVIA MARIA</t>
  </si>
  <si>
    <t>IC-7702</t>
  </si>
  <si>
    <t>Fact#: 323998-326771-329535-332386 Rec#: 30624 SILVA ARMAS MARIA TERESA</t>
  </si>
  <si>
    <t>IC-7701</t>
  </si>
  <si>
    <t>Fact#: 331923 Rec#: 30623 TENENUELA CEPEDA MARIA MANUELA</t>
  </si>
  <si>
    <t>IC-7700</t>
  </si>
  <si>
    <t>Fact#: 330992 Rec#: 30622 RAFAEL VICENTE ERAZO FALQUEZ</t>
  </si>
  <si>
    <t>IC-7699</t>
  </si>
  <si>
    <t>Fact#: 331884 Rec#: 30621 REYES MARTINEZ WILLIE RICARDO</t>
  </si>
  <si>
    <t>IC-7698</t>
  </si>
  <si>
    <t>Fact#: 332121 Rec#: 13583 SEN SANG GARCIA LENIN CESAR</t>
  </si>
  <si>
    <t>IC-7694</t>
  </si>
  <si>
    <t>Fact#: 332346 Rec#: 13582 APOLO QUEZADA IVAN RAMIRO</t>
  </si>
  <si>
    <t>IC-7693</t>
  </si>
  <si>
    <t>Fact#: 332529 Rec#: 13581 VALENCIA MEDINA JOSE RICARDO</t>
  </si>
  <si>
    <t>IC-7692</t>
  </si>
  <si>
    <t>Fact#: 328581-331406 Rec#: 13580 JUAN CARLOS SANCHEZ AGUAS</t>
  </si>
  <si>
    <t>IC-7691</t>
  </si>
  <si>
    <t>Fact#: 331114 Rec#: 13579 MARCOS ALFREDO CHANG HI FONG</t>
  </si>
  <si>
    <t>IC-7690</t>
  </si>
  <si>
    <t>Fact#: 332900 Rec#: 13578 FRANCO RODRIGUEZ FEDERICO ENRIQUE</t>
  </si>
  <si>
    <t>IC-7689</t>
  </si>
  <si>
    <t>Fact#: 329205-332045 Rec#: 13577 CHAVEZ GUAYARA ANDREINA PILAR</t>
  </si>
  <si>
    <t>IC-7688</t>
  </si>
  <si>
    <t>Fact#: 331270 Rec#: 13576 JULIO CESAR MONCAYO CRESPIN</t>
  </si>
  <si>
    <t>IC-7687</t>
  </si>
  <si>
    <t>Fact#: 322906-325664-328414-331235 Rec#: 13575 LOPEZ LOPEZ WASHINGTON FERMIN</t>
  </si>
  <si>
    <t>IC-7686</t>
  </si>
  <si>
    <t>Fact#: 332080 Rec#: 13574 TOMALA SANCAN JORGE LUIS</t>
  </si>
  <si>
    <t>IC-7685</t>
  </si>
  <si>
    <t>Fact#: 331872 Rec#: 13573 TOMALA SANCAN JORGE LUIS</t>
  </si>
  <si>
    <t>IC-7684</t>
  </si>
  <si>
    <t>Fact#: 317826-320568-323319-326084-328838-331672 Rec#: 13572 WILMER RIGOBERTO ROMERO ROBLES</t>
  </si>
  <si>
    <t>IC-7683</t>
  </si>
  <si>
    <t>Fact#: 332364 Rec#: 13571 UBILLA MORAN MARIANA JACQUELINE</t>
  </si>
  <si>
    <t>IC-7682</t>
  </si>
  <si>
    <t>Fact#: 331199 Rec#: 13570 PAZMIÑO COELLO JAIME MARCELO</t>
  </si>
  <si>
    <t>IC-7681</t>
  </si>
  <si>
    <t>Fact#: 331146 Rec#: 30620 MARIA ALEXANDRA  ECHEVERRIA VERA</t>
  </si>
  <si>
    <t>IC-7661</t>
  </si>
  <si>
    <t>Fact#: 331189 Rec#: 30619 SILVIA XIMENA CHAVEZ CABRERA</t>
  </si>
  <si>
    <t>IC-7653</t>
  </si>
  <si>
    <t>Fact#: 331939 Rec#: 30618 QUINTO BAZAN JOHNN HENRY</t>
  </si>
  <si>
    <t>IC-7648</t>
  </si>
  <si>
    <t>Fact#: 331961 Rec#: 30617 LOPEZ PALACIOS DANNY CHRISTIAN</t>
  </si>
  <si>
    <t>IC-7647</t>
  </si>
  <si>
    <t>Fact#: 1174-1375-1583-1772-1968-986 Rec#: 30616 GAVILANEZ MEDINA MIRIAM PATRICIA</t>
  </si>
  <si>
    <t>IC-7646</t>
  </si>
  <si>
    <t>Fact#: 321524-324274-327050-329818-332674 Rec#: 30615 SALAS PLUAS PAULO ROBERTO</t>
  </si>
  <si>
    <t>IC-7645</t>
  </si>
  <si>
    <t>Fact#: 331647 Rec#: 30614 AIMARA RODRIGUEZ FERNANDEZ</t>
  </si>
  <si>
    <t>IC-7644</t>
  </si>
  <si>
    <t>Fact#: 328509-331331 Rec#: 30613 CAROLINA AMALIA IDROVO PIEDRAHITA</t>
  </si>
  <si>
    <t>IC-7643</t>
  </si>
  <si>
    <t>Fact#: 323172-325935-328686-331515 Rec#: 30612 CAROLINA ALICIA EGAS NUÑEZ</t>
  </si>
  <si>
    <t>IC-7642</t>
  </si>
  <si>
    <t>Fact#: 324113-326888-329654-332508 Rec#: 30611 GARCIA BAJANA NAYITH ALEJANDRO</t>
  </si>
  <si>
    <t>IC-7641</t>
  </si>
  <si>
    <t>Fact#: 323454-326220-328978-331816 Rec#: 13569 ELIDA DEL CARMEN MOREIRA VELEZ</t>
  </si>
  <si>
    <t>IC-7640</t>
  </si>
  <si>
    <t>Fact#: 331398 Rec#: 13568 MARIA DEL ROSARIO GUZMAN MASPONS</t>
  </si>
  <si>
    <t>IC-7639</t>
  </si>
  <si>
    <t>Fact#: 331754 Rec#: 13567 ROBERTO GABRIEL QUINDE DIAZ</t>
  </si>
  <si>
    <t>IC-7638</t>
  </si>
  <si>
    <t>Fact#: 331831 Rec#: 13566 NARCISA MIRELLA ANDRADE SALTOS</t>
  </si>
  <si>
    <t>IC-7637</t>
  </si>
  <si>
    <t>Fact#: 331153 Rec#: 13565 LAURA BEATRIZ  ENCALADA ESPINOZA</t>
  </si>
  <si>
    <t>IC-7636</t>
  </si>
  <si>
    <t>Fact#: 331205 Rec#: 13564 ARCE FLORES NORBERTO</t>
  </si>
  <si>
    <t>IC-7635</t>
  </si>
  <si>
    <t>Fact#: 332817 Rec#: 13563 MORA SANCHEZ DIANA LISSETH</t>
  </si>
  <si>
    <t>IC-7634</t>
  </si>
  <si>
    <t>Fact#: 330345-333218 Rec#: 13562 MONTEALEGRE PEDRO JOAQUIN</t>
  </si>
  <si>
    <t>IC-7633</t>
  </si>
  <si>
    <t>Fact#: 331964 Rec#: 13561 VASQUEZ AYALA MARIA DE LOURDES</t>
  </si>
  <si>
    <t>IC-7632</t>
  </si>
  <si>
    <t>Fact#: 318879-321586-324341-327119-329888-332746 Rec#: 13560 CORNEJO FLORES JOEL BEN HUR</t>
  </si>
  <si>
    <t>IC-7631</t>
  </si>
  <si>
    <t>Fact#: 331808 Rec#: 13559 BEATRIZ MARIA DEL CARMEN PACHECO BALLESTEROS</t>
  </si>
  <si>
    <t>IC-7630</t>
  </si>
  <si>
    <t>Fact#: 333311 Rec#: 13558 TUMBACO VERA JOSE LUIS</t>
  </si>
  <si>
    <t>IC-7629</t>
  </si>
  <si>
    <t>Fact#: 321303-324059-326833-329598-332449 Rec#: 13557 SALCEDO ISBELL JENNIFFER MICHELLE</t>
  </si>
  <si>
    <t>IC-7628</t>
  </si>
  <si>
    <t>Fact#: 318676-321389-324143-326919-329685-332539 Rec#: 13556 HUALCA ALVARADO GERARDO VLADIMIR</t>
  </si>
  <si>
    <t>IC-7627</t>
  </si>
  <si>
    <t>Fact#: 327726-327845 Rec#: 30610 MEGADATOS S.A.</t>
  </si>
  <si>
    <t>IC-7611</t>
  </si>
  <si>
    <t>Fact#: 330580 Rec#: 30609 OPENGROUP S.A.</t>
  </si>
  <si>
    <t>IC-7606</t>
  </si>
  <si>
    <t>Fact#: 333946-336890 Rec#: 31060 SERGIO ANDRES SEMMINARIO VALENZUELA</t>
  </si>
  <si>
    <t>IC-9988</t>
  </si>
  <si>
    <t>Fact#: 331043 Rec#: 30608 NORMA ELISA YEPEZ JIMENEZ</t>
  </si>
  <si>
    <t>IC-7604</t>
  </si>
  <si>
    <t>Fact#: 328171-330991 Rec#: 30607 NERY LILIANA OCHOA BAQUE</t>
  </si>
  <si>
    <t>IC-7603</t>
  </si>
  <si>
    <t>Fact#: 331110 Rec#: 30606 PABLO ENRIQUE GONZENBACH IGLESIAS</t>
  </si>
  <si>
    <t>IC-7602</t>
  </si>
  <si>
    <t>Fact#: 328449-331271 Rec#: 30605 CAROLINA GLORIA BRAVO TOMALA</t>
  </si>
  <si>
    <t>IC-7601</t>
  </si>
  <si>
    <t>Fact#: 2100 Rec#: 30604 ALVAREZ MOLINA PAUL ALEJANDRO</t>
  </si>
  <si>
    <t>IC-7600</t>
  </si>
  <si>
    <t>Fact#: 330999 Rec#: 30603 VICTOR ANTONIO AGUSTO ALVARADO</t>
  </si>
  <si>
    <t>IC-7599</t>
  </si>
  <si>
    <t>Fact#: 328452-331274 Rec#: 30602 GRACIELA GUADALUPE MEREJILDO VERA</t>
  </si>
  <si>
    <t>IC-7598</t>
  </si>
  <si>
    <t>Fact#: 325502-328251-331071 Rec#: 30601 MARIA GABRIELA TERAN SEVILLA</t>
  </si>
  <si>
    <t>IC-7597</t>
  </si>
  <si>
    <t>Fact#: 331031 Rec#: 30600 SIXTER ABRAHAM ECHEVERRIA ORTIZ</t>
  </si>
  <si>
    <t>IC-7596</t>
  </si>
  <si>
    <t>Fact#: 330061-332921 Rec#: 30599 BUSTAMANTE TORRES CAMILO EDUARDO</t>
  </si>
  <si>
    <t>IC-7595</t>
  </si>
  <si>
    <t>Fact#: 333198 Rec#: 30598 CHACON CALDERON SARITA MARIA DE LOS ANGEL</t>
  </si>
  <si>
    <t>IC-7594</t>
  </si>
  <si>
    <t>Fact#: 331595 Rec#: 13555 ISABEL RODRIGUEZ RIZO</t>
  </si>
  <si>
    <t>IC-7589</t>
  </si>
  <si>
    <t>Fact#: 330719 Rec#: 13554 CORPORACION GUERRERO DEL CAMPO CORPGUECONSA</t>
  </si>
  <si>
    <t>IC-7588</t>
  </si>
  <si>
    <t>Fact#: 330718 Rec#: 13553 CORPORACION GUERRERO DEL CAMPO CORPGUECONSA</t>
  </si>
  <si>
    <t>IC-7587</t>
  </si>
  <si>
    <t>Fact#: 330590 Rec#: 13552 LABORATORIOS RENALABSA S A</t>
  </si>
  <si>
    <t>IC-7586</t>
  </si>
  <si>
    <t>Fact#: 331695 Rec#: 13551 EDUARDO CAMPOSANO ULLOA</t>
  </si>
  <si>
    <t>IC-7585</t>
  </si>
  <si>
    <t>Fact#: 332573 Rec#: 13550 ZARUMA ROMERO GENESIS MERCEDES</t>
  </si>
  <si>
    <t>IC-7584</t>
  </si>
  <si>
    <t>Fact#: 325990-328742-331571 Rec#: 13549 ANA ESTHER ANTEPARA ACOSTA</t>
  </si>
  <si>
    <t>IC-7583</t>
  </si>
  <si>
    <t>Fact#: 318741-321455-324207-326983-329751-332606 Rec#: 13548 FERNANDEZ ZAMBRANO ELSA VIOLETA</t>
  </si>
  <si>
    <t>IC-7582</t>
  </si>
  <si>
    <t>Fact#: 319200-321922-324680-327468-330240-333101 Rec#: 13547 MOREIRA FARINO FATIMA CAROLA</t>
  </si>
  <si>
    <t>IC-7581</t>
  </si>
  <si>
    <t>Fact#: 319947-322713-325470-328219-331038 Rec#: 13546 LINO MARTIN  BRITO BRITO</t>
  </si>
  <si>
    <t>IC-7580</t>
  </si>
  <si>
    <t>Fact#: 330117-332977 Rec#: 13545 CERCADO MENDOZA MARIA AUXILIADORA</t>
  </si>
  <si>
    <t>IC-7579</t>
  </si>
  <si>
    <t>Fact#: 331099 Rec#: 13544 BELINDA LEONOR QUIJANO GOMEZ</t>
  </si>
  <si>
    <t>IC-7578</t>
  </si>
  <si>
    <t>Fact#: 331680 Rec#: 13543 EDWIN ANDRES REYES TOALA</t>
  </si>
  <si>
    <t>IC-7577</t>
  </si>
  <si>
    <t>Fact#: 301514-304175-306929 Rec#: 13542 CESAR RAUL SAMANIEGO SERPA</t>
  </si>
  <si>
    <t>IC-7576</t>
  </si>
  <si>
    <t>Fact#: 333239 Rec#: 13541 TRUJILL0 ELJURI ROBERTO FARID</t>
  </si>
  <si>
    <t>IC-7575</t>
  </si>
  <si>
    <t>Fact#: 302715-313617-316230 Rec#: 13540 BAQUERIZO SOTO LAURA ELIZABETH</t>
  </si>
  <si>
    <t>IC-7574</t>
  </si>
  <si>
    <t>Fact#: 323469-326236-328994-331832 Rec#: 13539 NEY AQUILES APOLINARIO RODRIGUEZ</t>
  </si>
  <si>
    <t>IC-7573</t>
  </si>
  <si>
    <t>Fact#: 322927-325685-328435-331256 Rec#: 13538 LAINEZ FERNANDEZ LUDYS LADIMIRA</t>
  </si>
  <si>
    <t>IC-7572</t>
  </si>
  <si>
    <t>Fact#: 331542 Rec#: 30597 ENRIQUE FEDERICO ARENAS PILATAXI</t>
  </si>
  <si>
    <t>IC-7571</t>
  </si>
  <si>
    <t>N/D PACIFICO PAGO DE FACTURA C. THALIA VICTORIA POR CNEL EP</t>
  </si>
  <si>
    <t>N/D PACIFICO PAGO DE FACTURA#1643618 CNEL EP</t>
  </si>
  <si>
    <t>N/D PACIFICO PAGO DE FACTURA#21705191 CNEL EP</t>
  </si>
  <si>
    <t>N/D PACIFICO PAGO DE FACTURA#21708650 CNEL EP</t>
  </si>
  <si>
    <t>Fact#: 325101-325111-327867-327874-330672-330681 Rec#: 30596 AVICOLA FERNANDEZ S.A.</t>
  </si>
  <si>
    <t>IC-7605</t>
  </si>
  <si>
    <t>Fact#: 315577-318270-320998 Rec#: 13537 SALAZAR VELEZ ERIKA MARIA</t>
  </si>
  <si>
    <t>IC-7559</t>
  </si>
  <si>
    <t>Fact#: 324644-327426-330197-333057 Rec#: 30595 MENDIETA VILLALVA ROSA MARIA</t>
  </si>
  <si>
    <t>IC-7554</t>
  </si>
  <si>
    <t>Fact#: 331298 Rec#: 30594 EVELYN ROSANGELA ARGUELLO JURADO</t>
  </si>
  <si>
    <t>IC-7553</t>
  </si>
  <si>
    <t>Fact#: 321623-324375-327154-329924-332783 Rec#: 30593 ROCA AGUILERA FRANCISCO</t>
  </si>
  <si>
    <t>IC-7552</t>
  </si>
  <si>
    <t>Fact#: 322805-325562-328313-331134 Rec#: 30592 LUIS ENRIQUE  MATIAS YEPEZ</t>
  </si>
  <si>
    <t>IC-7551</t>
  </si>
  <si>
    <t>Fact#: 331305 Rec#: 30591 MARIA CRISTINA LOAIZA BREVI</t>
  </si>
  <si>
    <t>IC-7523</t>
  </si>
  <si>
    <t>Fact#: 331074 Rec#: 30590 OMAR  PALADINES CORDOVA</t>
  </si>
  <si>
    <t>IC-7518</t>
  </si>
  <si>
    <t>Fact#: 1830 Rec#: 30589 ZAPATA FLORES GILMAR FABRICIO</t>
  </si>
  <si>
    <t>IC-7513</t>
  </si>
  <si>
    <t>Fact#: 708-709 Rec#: 30588 F.V - AREA ANDINA S.A.</t>
  </si>
  <si>
    <t>IC-7512</t>
  </si>
  <si>
    <t>Fact#: 330560 Rec#: 30587 WANHAI LINES ECUADOR S.A.</t>
  </si>
  <si>
    <t>IC-7511</t>
  </si>
  <si>
    <t>Fact#: 330972 Rec#: 30586 SIMON EMILIO BRIONES LOOR</t>
  </si>
  <si>
    <t>IC-7505</t>
  </si>
  <si>
    <t>Fact#: 331177 Rec#: 30585 MARIA DEL CARMEN VERA VALVERDE</t>
  </si>
  <si>
    <t>IC-7504</t>
  </si>
  <si>
    <t>Fact#: 329344-332187 Rec#: 30584 ARIAS SALAZAR KATHERINE JUSETH</t>
  </si>
  <si>
    <t>IC-7503</t>
  </si>
  <si>
    <t>Fact#: 318001-320738-323489-326256-329014-331852 Rec#: 30583 JAVIER ALEJANDRO PAREDES SALTOS</t>
  </si>
  <si>
    <t>IC-7502</t>
  </si>
  <si>
    <t>Fact#: 328551-331374 Rec#: 30582 MARCOS GABRIEL ECHEVERRIA GUTIERREZ</t>
  </si>
  <si>
    <t>IC-7501</t>
  </si>
  <si>
    <t>Fact#: 327316-330086-332946 Rec#: 30581 REYES SOLIS  MARJORIE YOLANDA</t>
  </si>
  <si>
    <t>IC-7500</t>
  </si>
  <si>
    <t>Fact#: 310829-313561-316170 Rec#: 13536 GALAZ GALAZ CARMEN GLORIA</t>
  </si>
  <si>
    <t>IC-7499</t>
  </si>
  <si>
    <t>N/D TRANSFERENCIA PAGO DE FACTURAS#149773459, 149773460, 149773461, 149773462, 149773463 CNT EP MES DE MAYO 2020</t>
  </si>
  <si>
    <t>Fact#: 321603-324357-327135-329904 Rec#: 13535 SANCHEZ AGUILAR SORAYA PATRICIA</t>
  </si>
  <si>
    <t>IC-7491</t>
  </si>
  <si>
    <t>Fact#: 328375 Rec#: 13534 SALAZAR CARRILLO MARIA ANDREA</t>
  </si>
  <si>
    <t>IC-7490</t>
  </si>
  <si>
    <t>Fact#: 323032-325792-328543 Rec#: 13533 EVELYN DAYANA LINO DELGADO</t>
  </si>
  <si>
    <t>IC-7489</t>
  </si>
  <si>
    <t>Fact#: 320677-323429-326195-328952 Rec#: 13532 ALEXANDRA JACKELINE SANCHEZ ZAMBRANO</t>
  </si>
  <si>
    <t>IC-7488</t>
  </si>
  <si>
    <t>Fact#: 321042-323800-326569-329334 Rec#: 13531 DUENAS RUIZ TERESA EDITH</t>
  </si>
  <si>
    <t>IC-7487</t>
  </si>
  <si>
    <t>AT-3074</t>
  </si>
  <si>
    <t>PAGO ANTICIPO TARJ. CORP. CUOTA MES DE JUNIO-2020</t>
  </si>
  <si>
    <t>NDL-45</t>
  </si>
  <si>
    <t>N/D PACIFICO PAGO A FACTURA#151973917 CNT EP, CONSUMO TELEFÓNICO</t>
  </si>
  <si>
    <t>N/D PACIFICO PAGO DE FACTURA#21559843 CNEL EP</t>
  </si>
  <si>
    <t>N/D PACIFICO PAGO DE FACTURA#1328473 CNEL EP</t>
  </si>
  <si>
    <t>Fact#: 327971-330778 Rec#: 30580 ASISTMED ASISTENCIA A MEDICOS S.A.</t>
  </si>
  <si>
    <t>IC-7483</t>
  </si>
  <si>
    <t>Fact#: 326271-329031 Rec#: 30579 TANHIA ELIZABETH SUAREZ CHANCAY</t>
  </si>
  <si>
    <t>IC-7482</t>
  </si>
  <si>
    <t>Fact#: 328652 Rec#: 30578 FEDERICO GUILLERMO VARAS CHIQUITO</t>
  </si>
  <si>
    <t>IC-7481</t>
  </si>
  <si>
    <t>Fact#: 325290-328048-330855 Rec#: 13530 SALMAN JARAMILLO MILTON RAFAEL</t>
  </si>
  <si>
    <t>IC-7480</t>
  </si>
  <si>
    <t>Fact#: 329391 Rec#: 13529 VALLEJO MARTINEZ LEIDIZ DIANA</t>
  </si>
  <si>
    <t>IC-7479</t>
  </si>
  <si>
    <t>Fact#: 325172-327931-330740 Rec#: 13528 CENTRO DE ECOGRAFIAS ECOBEBE S.A</t>
  </si>
  <si>
    <t>IC-7478</t>
  </si>
  <si>
    <t>Fact#: 324730-327517-330307 Rec#: 13527 LEON VILLALVA JUAN CARLOS</t>
  </si>
  <si>
    <t>IC-7477</t>
  </si>
  <si>
    <t>Fact#: 318997-321693-324443-327223-329993 Rec#: 13526 RODRIGUEZ REYES JINSOP ORLIN</t>
  </si>
  <si>
    <t>IC-7476</t>
  </si>
  <si>
    <t>Fact#: 312441-315130-317820 Rec#: 13525 BLANCA GERARDINA VILLAVICENCIO RAMON</t>
  </si>
  <si>
    <t>IC-7475</t>
  </si>
  <si>
    <t>Fact#: 325154-327914-330723 Rec#: 13524 PACHECO CACERES DENISE ERIKA</t>
  </si>
  <si>
    <t>IC-7474</t>
  </si>
  <si>
    <t>Fact#: 302524-305189-307962 Rec#: 13523 MORALES GUARANDA SERGIO ANTONIO</t>
  </si>
  <si>
    <t>IC-7473</t>
  </si>
  <si>
    <t>Fact#: 329769 Rec#: 13522 SANCHEZ QUINCHUELA INES MONICA</t>
  </si>
  <si>
    <t>IC-7472</t>
  </si>
  <si>
    <t>Fact#: 325972-328724 Rec#: 13521 JOHANNA MARICELA CARRANZA ANCHUNDIA</t>
  </si>
  <si>
    <t>IC-7471</t>
  </si>
  <si>
    <t>Fact#: 322022 Rec#: 13520 LLERAS EVARISTO RAFAEL GUSTAVO</t>
  </si>
  <si>
    <t>IC-7470</t>
  </si>
  <si>
    <t>Fact#: 324405-327185-329955 Rec#: 13519 MOLINA MOLINA PEDRO ANDRES</t>
  </si>
  <si>
    <t>IC-7469</t>
  </si>
  <si>
    <t>Fact#: 324870-327634-330432 Rec#: 30577 VERA  CARCHIPULLA DOUGLAS  JOEL</t>
  </si>
  <si>
    <t>IC-7467</t>
  </si>
  <si>
    <t>PAGO TARJ. CORP. CUOTA MES DE JUN-2020</t>
  </si>
  <si>
    <t>Fact#: 322697-325454-328202 Rec#: 30576 JENNY FELICIA PERALTA HATI</t>
  </si>
  <si>
    <t>IC-7450</t>
  </si>
  <si>
    <t>Fact#: 328264 Rec#: 30575 GLORIA ISABEL MITE LEON</t>
  </si>
  <si>
    <t>IC-7449</t>
  </si>
  <si>
    <t>Fact#: 330349 Rec#: 13518 LETTY DEL CISNE DAVILA ROMO</t>
  </si>
  <si>
    <t>IC-7448</t>
  </si>
  <si>
    <t>Fact#: 324058-326832-329597 Rec#: 13517 MARTINEZ DAVILA YINET</t>
  </si>
  <si>
    <t>IC-7447</t>
  </si>
  <si>
    <t>Fact#: 320389-323144-325907-328657 Rec#: 13516 ANGEL FERNANDO ERAS GALARZA</t>
  </si>
  <si>
    <t>IC-7446</t>
  </si>
  <si>
    <t>Fact#: 324111-326886-329651 Rec#: 13515 CRUZ MONTANO CLAUDIA JOHANNA</t>
  </si>
  <si>
    <t>IC-7445</t>
  </si>
  <si>
    <t>Fact#: 329755 Rec#: 13514 CUEVA SAREZ JENNIFER STEFANIA</t>
  </si>
  <si>
    <t>IC-7444</t>
  </si>
  <si>
    <t>Fact#: 329628 Rec#: 13513 VALENCIA NIEVES BYRON BOLIVAR</t>
  </si>
  <si>
    <t>IC-7443</t>
  </si>
  <si>
    <t>Fact#: 328820 Rec#: 13512 DAYANNA ANABELL BAQUERIZO AQUINO</t>
  </si>
  <si>
    <t>IC-7442</t>
  </si>
  <si>
    <t>Fact#: 330929 Rec#: 13511 SERVICIO DE OFICINA COMPUTARIZADO SEROFICOM S.A.</t>
  </si>
  <si>
    <t>IC-7441</t>
  </si>
  <si>
    <t>Fact#: 323410-326176-328932 Rec#: 13510 MARITZA MABEL USHIÑA GIRALDO</t>
  </si>
  <si>
    <t>IC-7440</t>
  </si>
  <si>
    <t>Fact#: 330491 Rec#: 13509 CRUSBET S.A</t>
  </si>
  <si>
    <t>IC-7439</t>
  </si>
  <si>
    <t>Fact#: 320503-323258-326023-328776 Rec#: 13508 YOFFRE TEODORO ROQUE APOLO</t>
  </si>
  <si>
    <t>IC-7438</t>
  </si>
  <si>
    <t>Fact#: 328341 Rec#: 13507 NELLY YOLANDA  SALCEDO BOWEN</t>
  </si>
  <si>
    <t>IC-7437</t>
  </si>
  <si>
    <t>Fact#: 328677 Rec#: 13506 DIEGO FRANCISCO PONCE MENDOZA</t>
  </si>
  <si>
    <t>IC-7436</t>
  </si>
  <si>
    <t>Fact#: 1912 Rec#: 30574 CABEZAS GUERRA MARIA DEL CARMEN</t>
  </si>
  <si>
    <t>IC-7414</t>
  </si>
  <si>
    <t>Fact#: 330925 Rec#: 30718 EMPRESA PUBLICA MUNICIPAL PARA LA GESTIÓN DE LA INNOVACIÓN  Y LA COMPETITIVIDAD, EP</t>
  </si>
  <si>
    <t>IC-8075</t>
  </si>
  <si>
    <t>Fact#: 322353-325110-327873-330680 Rec#: 30573 ETYECU S A</t>
  </si>
  <si>
    <t>IC-7413</t>
  </si>
  <si>
    <t>Fact#: 320980-323732-326501-329264 Rec#: 30572 BAJANA DE LA ROSA SANTIAGO EDISON</t>
  </si>
  <si>
    <t>IC-7412</t>
  </si>
  <si>
    <t>Fact#: 330814 Rec#: 30571 BAJANA DE LA ROSA SANTIAGO EDISON</t>
  </si>
  <si>
    <t>IC-7411</t>
  </si>
  <si>
    <t>Fact#: 1272-1471-1679-1867 Rec#: 13505 GUERRERO CASTRO ROSA ELVIRA</t>
  </si>
  <si>
    <t>IC-7410</t>
  </si>
  <si>
    <t>Fact#: 329746 Rec#: 13504 ROSERO MERCADO ELSA KARINA</t>
  </si>
  <si>
    <t>IC-7409</t>
  </si>
  <si>
    <t>Fact#: 325272-328030-330837 Rec#: 13503 WEISSON CEDENO GLADYS LORENA</t>
  </si>
  <si>
    <t>IC-7408</t>
  </si>
  <si>
    <t>Fact#: 329435 Rec#: 13502 VALLE GONZALEZ LIDIA ELIZABETH</t>
  </si>
  <si>
    <t>IC-7407</t>
  </si>
  <si>
    <t>Fact#: 324857-327623-330420 Rec#: 13501 ALVARADO CALDERON LUIS ENRIQUE</t>
  </si>
  <si>
    <t>IC-7406</t>
  </si>
  <si>
    <t>Fact#: 323673-326443-329206 Rec#: 13500 MIGUEZ ACOSTA WILLIAM GERMAN</t>
  </si>
  <si>
    <t>IC-7405</t>
  </si>
  <si>
    <t>Fact#: 323809-326578-329343 Rec#: 13499 ESPINOZA ZUNIGA ISABEL MARIA</t>
  </si>
  <si>
    <t>IC-7404</t>
  </si>
  <si>
    <t>Fact#: 1787 Rec#: 13498 CRUZ SANTANA MARCOS BOLIVAR</t>
  </si>
  <si>
    <t>IC-7403</t>
  </si>
  <si>
    <t>Fact#: 324603-327385-330156 Rec#: 13497 BACA GARAYCOA HILDA SHELLMA</t>
  </si>
  <si>
    <t>IC-7402</t>
  </si>
  <si>
    <t>Fact#: 296948-299529-302156 Rec#: 13496 GALARZA JARAMILLO RICHARD GUISEPPE</t>
  </si>
  <si>
    <t>IC-7401</t>
  </si>
  <si>
    <t>Fact#: 329165 Rec#: 13495 SAN LUCAS PEÑA SHEYLA</t>
  </si>
  <si>
    <t>IC-7400</t>
  </si>
  <si>
    <t>Fact#: 323852-326623 Rec#: 30570 PAZMINO PRIETO SIXTO JAVIER</t>
  </si>
  <si>
    <t>IC-7398</t>
  </si>
  <si>
    <t>N/D TRANSFERENCIA PAGO DE FONDOS DE RESERVA MES DE MAYO 2020</t>
  </si>
  <si>
    <t>N/D TRANSFERENCIA 1ER ANTICIPO A FACTURA POR HONORARIOS PROFESIONALES, A PABLO BAQUERIZO</t>
  </si>
  <si>
    <t>N/D TRANSFERENCIA ROLES DE PAGO 1ERA QUINCENA MES DE JUNIO 2020</t>
  </si>
  <si>
    <t>Fact#: 712 Rec#: 30872 CONSORCIO VEOLIA-PROACTIVA</t>
  </si>
  <si>
    <t>IC-9025</t>
  </si>
  <si>
    <t>Fact#: 325557-328308 Rec#: 30569 NELSON SAVITRI  VELASCO PAZMIÑO</t>
  </si>
  <si>
    <t>IC-7388</t>
  </si>
  <si>
    <t>Fact#: 325946-328697 Rec#: 30568 CARLOS EDUARDO CARVAJAL LOOR</t>
  </si>
  <si>
    <t>IC-7387</t>
  </si>
  <si>
    <t>Fact#: 325219-327978-330785 Rec#: 30567 RAMIREZ TAMAYO ENMA MERCEDES</t>
  </si>
  <si>
    <t>IC-7386</t>
  </si>
  <si>
    <t>Fact#: 325228-327987-330794 Rec#: 30566 RAMIREZ TAMAYO ENMA MERCEDES</t>
  </si>
  <si>
    <t>IC-7385</t>
  </si>
  <si>
    <t>Fact#: 321746-324493-327274-330044 Rec#: 13494 MENDEZ CARABALI FREDDY MANUEL</t>
  </si>
  <si>
    <t>IC-7384</t>
  </si>
  <si>
    <t>Fact#: 318333-321056-323813-326582-329347 Rec#: 13493 GUERRERO SPOONER IVON KATHERINE</t>
  </si>
  <si>
    <t>IC-7383</t>
  </si>
  <si>
    <t>Fact#: 1768 Rec#: 13492 CACUANGO LINCANGO EDISON FABIAN</t>
  </si>
  <si>
    <t>IC-7382</t>
  </si>
  <si>
    <t>Fact#: 324364-327142-329911 Rec#: 13491 BONES CORDOVA GUIDO EDUARDO</t>
  </si>
  <si>
    <t>IC-7381</t>
  </si>
  <si>
    <t>Fact#: 322809-325566-328317 Rec#: 13490 GREI DOLORES  DELGADO FARIA</t>
  </si>
  <si>
    <t>IC-7380</t>
  </si>
  <si>
    <t>Fact#: 323322-326087-328841 Rec#: 13489 MARGARITA MAGALI VILLAMAR AGUAYO</t>
  </si>
  <si>
    <t>IC-7379</t>
  </si>
  <si>
    <t>Fact#: 323323-326088-328842 Rec#: 13488 MARCO VINICIO GONZALEZ LEDESMA</t>
  </si>
  <si>
    <t>IC-7378</t>
  </si>
  <si>
    <t>Fact#: 320538-323290-326055-328809 Rec#: 13487 KATTIA MARIA JOSEFINA CARDENAS FREIRE</t>
  </si>
  <si>
    <t>IC-7377</t>
  </si>
  <si>
    <t>Fact#: 326043-328797 Rec#: 13486 BYRON JOSE LEDESMA CARDENAS</t>
  </si>
  <si>
    <t>IC-7376</t>
  </si>
  <si>
    <t>Fact#: 329663 Rec#: 13485 DESINTONIO HUAYAMAVE ALBERTO LUIS</t>
  </si>
  <si>
    <t>IC-7375</t>
  </si>
  <si>
    <t>Fact#: 326411-329175 Rec#: 13484 CARRILLO ANCHUNDIA FLOR MARIA</t>
  </si>
  <si>
    <t>IC-7374</t>
  </si>
  <si>
    <t>Fact#: 324672-327460-330232 Rec#: 13483 LEON GARCIA MARCELA VERONICA</t>
  </si>
  <si>
    <t>IC-7373</t>
  </si>
  <si>
    <t>Fact#: 320902-323651-326421-329184 Rec#: 13482 GAVINO LARREATEGUI  JUAN ALFREDO</t>
  </si>
  <si>
    <t>IC-7372</t>
  </si>
  <si>
    <t>Fact#: 311918-314626-317296 Rec#: 30565 ROSA MARGARITA  FLOR ALTAFUYA</t>
  </si>
  <si>
    <t>IC-7366</t>
  </si>
  <si>
    <t>Fact#: 329463 Rec#: 30564 PINCAY SILVA FERNANDO RAFAEL</t>
  </si>
  <si>
    <t>IC-7365</t>
  </si>
  <si>
    <t>Fact#: 330610 Rec#: 30563 CHRISTIAN JAVIER MIDEROS ROMERO</t>
  </si>
  <si>
    <t>IC-7364</t>
  </si>
  <si>
    <t>Fact#: 329100 Rec#: 30562 QUINTO BAZAN JOHNN HENRY</t>
  </si>
  <si>
    <t>IC-7363</t>
  </si>
  <si>
    <t>Fact#: 328149 Rec#: 30561 JORGE ALFREDO FRANCO MORAN</t>
  </si>
  <si>
    <t>IC-7362</t>
  </si>
  <si>
    <t>Fact#: 325915-328665 Rec#: 30560 ALFREDO GEOVANNY SANCHEZ BENAVIDES</t>
  </si>
  <si>
    <t>IC-7361</t>
  </si>
  <si>
    <t>Fact#: 328270 Rec#: 30559 LOURDES JANET BRITO GUILLEN</t>
  </si>
  <si>
    <t>IC-7360</t>
  </si>
  <si>
    <t>Fact#: 318357-321083-323839-326609-329374 Rec#: 13481 JAIME MENDOZA JIMMY JHON</t>
  </si>
  <si>
    <t>IC-7350</t>
  </si>
  <si>
    <t>Fact#: 1861 Rec#: 13480 GUTIERREZ ALVAREZ TERESA EUGENIA</t>
  </si>
  <si>
    <t>IC-7349</t>
  </si>
  <si>
    <t>Fact#: 328640 Rec#: 13479 WILLINGTON HUGO ROSALES MEDINA</t>
  </si>
  <si>
    <t>IC-7348</t>
  </si>
  <si>
    <t>Fact#: 330322 Rec#: 13478 CARREÑO ACOSTA JESUS LAUREANO</t>
  </si>
  <si>
    <t>IC-7347</t>
  </si>
  <si>
    <t>Fact#: 328949 Rec#: 13477 EVELYN SUSANA PITA CARRASCO</t>
  </si>
  <si>
    <t>IC-7346</t>
  </si>
  <si>
    <t>Fact#: 330281 Rec#: 13476 SANCHEZ MEDINA FELIX</t>
  </si>
  <si>
    <t>IC-7345</t>
  </si>
  <si>
    <t>Fact#: 313068-315729-318423 Rec#: 13475 SANTOS VELASQUEZ HENRY STEEVEN</t>
  </si>
  <si>
    <t>IC-7344</t>
  </si>
  <si>
    <t>Fact#: 326864-329629 Rec#: 13474 LAZARO CEVALLOS KEVIN JESUS</t>
  </si>
  <si>
    <t>IC-7343</t>
  </si>
  <si>
    <t>Fact#: 330136 Rec#: 13473 PONCE BURGOS NORMA ISABEL</t>
  </si>
  <si>
    <t>IC-7342</t>
  </si>
  <si>
    <t>Fact#: 330135 Rec#: 13472 PONCE BURGOS NORMA ISABEL</t>
  </si>
  <si>
    <t>IC-7341</t>
  </si>
  <si>
    <t>Fact#: 328632 Rec#: 13471 CARLA MARIA GARCIA ANDRADE</t>
  </si>
  <si>
    <t>IC-7340</t>
  </si>
  <si>
    <t>Fact#: 317965-320700-323450-326216-328974 Rec#: 13470 DAVID PETER CHAVEZ GUALE</t>
  </si>
  <si>
    <t>IC-7339</t>
  </si>
  <si>
    <t>Fact#: 321153-323908-326680-329445 Rec#: 13469 FLOR MAZZINI LADY FABIANA</t>
  </si>
  <si>
    <t>IC-7338</t>
  </si>
  <si>
    <t>Fact#: 328327 Rec#: 13468 OSCAR HUMBERTO  BRITO GUILLEN</t>
  </si>
  <si>
    <t>IC-7337</t>
  </si>
  <si>
    <t>Fact#: 330370 Rec#: 13467 ZAPATA ROMERO ROBERTO DRUVAL</t>
  </si>
  <si>
    <t>IC-7336</t>
  </si>
  <si>
    <t>Fact#: 312565-315251-317942 Rec#: 13466 NELSON ENRIQUE FLORES ENRIQUEZ</t>
  </si>
  <si>
    <t>IC-7335</t>
  </si>
  <si>
    <t>Fact#: 327641-330442 Rec#: 13465 ANDRADE VILLAMAR FRANCHESCO FERNANDO</t>
  </si>
  <si>
    <t>IC-7334</t>
  </si>
  <si>
    <t>Fact#: 313372-316010-318710 Rec#: 13464 TUAREZ MORALES EDISON ULDARICO</t>
  </si>
  <si>
    <t>IC-7333</t>
  </si>
  <si>
    <t>Fact#: 323480-326247-329005 Rec#: 13463 GABRIEL CLEMENTE MEJIA MATA</t>
  </si>
  <si>
    <t>IC-7332</t>
  </si>
  <si>
    <t>Fact#: 330555 Rec#: 30558 YARECUADOR CIA. LTDA</t>
  </si>
  <si>
    <t>IC-7331</t>
  </si>
  <si>
    <t>Fact#: 329723 Rec#: 13462 ORTEGA ARGUELLO GISELLA LORENA</t>
  </si>
  <si>
    <t>IC-7311</t>
  </si>
  <si>
    <t>Fact#: 323406-326172-328928 Rec#: 13461 ADRIANA DE LOS ANGELES CUENCA SALAZAR</t>
  </si>
  <si>
    <t>IC-7310</t>
  </si>
  <si>
    <t>Fact#: 324710-327500-330283 Rec#: 13460 ARAUJO AGUIRRE JUAN JOSE</t>
  </si>
  <si>
    <t>IC-7309</t>
  </si>
  <si>
    <t>Fact#: 329999 Rec#: 13459 VITE CALDERON PEDRO PABLO</t>
  </si>
  <si>
    <t>IC-7299</t>
  </si>
  <si>
    <t>Fact#: 1240-1438-1646-1834 Rec#: 13458 JARAMILLO MONTANO JESSICA XIMENA</t>
  </si>
  <si>
    <t>IC-7298</t>
  </si>
  <si>
    <t>Fact#: 328970 Rec#: 13457 BEATRIZ MARIA DEL CARMEN PACHECO BALLESTEROS</t>
  </si>
  <si>
    <t>IC-7297</t>
  </si>
  <si>
    <t>Fact#: 328676 Rec#: 13456 BRYAN JOEL BURGOS GALARZA</t>
  </si>
  <si>
    <t>IC-7296</t>
  </si>
  <si>
    <t>Fact#: 329813 Rec#: 13455 BALSECA CALVA GRACIELA RAQUEL</t>
  </si>
  <si>
    <t>IC-7295</t>
  </si>
  <si>
    <t>Fact#: 323632-326402-329166 Rec#: 13454 ROMERO LITARDO FRANCISCO XAVIER</t>
  </si>
  <si>
    <t>IC-7294</t>
  </si>
  <si>
    <t>Fact#: 323600-326370-329133 Rec#: 13453 SANI CERON LINDA MARICELA</t>
  </si>
  <si>
    <t>IC-7293</t>
  </si>
  <si>
    <t>N/D PACIFICO PAGO A FACTURA#21512456 CNEL EP</t>
  </si>
  <si>
    <t>N/D TRANSFERENCIA PAGO DE FACTURA#1162938 CNEL EP</t>
  </si>
  <si>
    <t>NDL-15</t>
  </si>
  <si>
    <t>Fact#: 330466 Rec#: 30557 LG ELECTRONICS PANAMA S.A</t>
  </si>
  <si>
    <t>IC-7306</t>
  </si>
  <si>
    <t>Fact#: 330589 Rec#: 30556 ELECTROMOOM S.A.</t>
  </si>
  <si>
    <t>IC-7303</t>
  </si>
  <si>
    <t>Fact#: 329404 Rec#: 30555 PINO MAULME ENRIQUE GABRIEL</t>
  </si>
  <si>
    <t>IC-7302</t>
  </si>
  <si>
    <t>Fact#: 322250-325010 Rec#: 30554 EIKON S.A.</t>
  </si>
  <si>
    <t>IC-7301</t>
  </si>
  <si>
    <t>Fact#: 322635-325392-328139 Rec#: 30553 STEFFIE GALLESE DE DUNN</t>
  </si>
  <si>
    <t>IC-7300</t>
  </si>
  <si>
    <t>Fact#: 309795-312561-315247 Rec#: 13452 BETSY DEL ROCIO GARCIA CASTRO</t>
  </si>
  <si>
    <t>IC-7292</t>
  </si>
  <si>
    <t>Fact#: 318563-321278-324036-326810-329576 Rec#: 13451 BRITO ANDRADE MILTON KLEBER</t>
  </si>
  <si>
    <t>IC-7291</t>
  </si>
  <si>
    <t>Fact#: 323617-326387-329151 Rec#: 13450 ZAMBRANO CASTRO JOSE JAIR</t>
  </si>
  <si>
    <t>IC-7290</t>
  </si>
  <si>
    <t>Fact#: 322407-325163-327922-330731 Rec#: 13449 SOLUCIONES GLOBALES S.A GLOBFAST</t>
  </si>
  <si>
    <t>IC-7289</t>
  </si>
  <si>
    <t>Fact#: 322408-325164-327923-330732 Rec#: 13448 SOLUCIONES GLOBALES S.A GLOBFAST</t>
  </si>
  <si>
    <t>IC-7288</t>
  </si>
  <si>
    <t>Fact#: 322958-325717-328466 Rec#: 13447 MARIA PIEDAD MONTALVAN CAMPOVERDE</t>
  </si>
  <si>
    <t>IC-7287</t>
  </si>
  <si>
    <t>Fact#: 319215-321934-324692-330258 Rec#: 13446 PENAFIEL MOSQUERA MIRNA LORGIA</t>
  </si>
  <si>
    <t>IC-7286</t>
  </si>
  <si>
    <t>Fact#: 329180 Rec#: 13445 GUERRERO HOLGUIN JAIME GUSTAVO</t>
  </si>
  <si>
    <t>IC-7285</t>
  </si>
  <si>
    <t>Fact#: 329466 Rec#: 13444 CAMPOS MANZABA ESTEFANIA XIOMARA</t>
  </si>
  <si>
    <t>IC-7284</t>
  </si>
  <si>
    <t>Fact#: 326666-329431 Rec#: 13443 SIMISTERRA MICOLTA RUBEN DARIO</t>
  </si>
  <si>
    <t>IC-7283</t>
  </si>
  <si>
    <t>INGRESO POR DEPOSITO TELCONET BCO PACIFICO POR DEP EN CTA #DOC 8665</t>
  </si>
  <si>
    <t>DR-1768</t>
  </si>
  <si>
    <t>N/D PACIFICO PAGO DE FACTURA#21490210 CNEL EP</t>
  </si>
  <si>
    <t>N/D TRANSFERENCIA PAGO DE FACTURA#149773463 CNT EP</t>
  </si>
  <si>
    <t>N/D PAGO DE PLLAS. IESS AJUSTES MES DE MAYO 2020, COMP#129829583</t>
  </si>
  <si>
    <t>N/D PAGO DE PLLAS. IESS NORMALES MES DE MAYO 2020, COMP#129818228</t>
  </si>
  <si>
    <t>N/D PAGO DE PLLAS. IESS PREST. HIPOTECARIO MES DE MAYO 2020, COMP#8800369</t>
  </si>
  <si>
    <t>N/D PAGO DE PLLAS. IESS PRESTAMO QUIROGRAFARIO MES DE MAYO 2020, COMP#27003706</t>
  </si>
  <si>
    <t>N/D PAGO DE PLLAS. IESS FONDOS DE RESERVA MES DE MAYO 2020, COMP#19850669</t>
  </si>
  <si>
    <t>N/D PAGO DE PLLAS. IESS NORMALES MES DE MAYO 2020, COMP#129830274, A PABLO BAQUERIZO</t>
  </si>
  <si>
    <t>N/D POR COMISIONES DE WESTERN UNION POR RECAUDACION DEL 01/06/2020 al 10/06/2020</t>
  </si>
  <si>
    <t>ND-3</t>
  </si>
  <si>
    <t xml:space="preserve">REVERSO POR INGRESO POR PAGO TELCONET POR ERROR, BCO PACIFICO POR DEP EN CTA #DOC 24448430 </t>
  </si>
  <si>
    <t xml:space="preserve">REVERSO POR INGRESO POR PAGO TELCONET POR ERROR, BCO PACIFICO POR DEP EN CTA #DOC 24448428 </t>
  </si>
  <si>
    <t>Fact#: 330801 Rec#: 30547 GENERALAIR S. A</t>
  </si>
  <si>
    <t>IC-7854</t>
  </si>
  <si>
    <t>Fact#: 322429-325185-327944-330752 Rec#: 30552 ROSERO CRUZ MARIA AUXILIADORA</t>
  </si>
  <si>
    <t>IC-7268</t>
  </si>
  <si>
    <t>Fact#: 316087-318784-321496 Rec#: 30551 MARTINEZ LEN LEONARDO ROBERTO</t>
  </si>
  <si>
    <t>IC-7267</t>
  </si>
  <si>
    <t>Fact#: 324435-327215-329985 Rec#: 30550 JIMENEZ ALVAREZ GARY WINDER</t>
  </si>
  <si>
    <t>IC-7264</t>
  </si>
  <si>
    <t>Fact#: 320563-323316-326081-328835 Rec#: 30549 ROSANA LETICIA VIOLA</t>
  </si>
  <si>
    <t>IC-7263</t>
  </si>
  <si>
    <t>Fact#: 330498 Rec#: 30548 SOLUCIONES SEGURAS S.A</t>
  </si>
  <si>
    <t>IC-7262</t>
  </si>
  <si>
    <t>Fact#: 328268 Rec#: 30546 BENILDA JESUS ACOSTA ZAMBRANO</t>
  </si>
  <si>
    <t>IC-7260</t>
  </si>
  <si>
    <t>Fact#: 328515 Rec#: 30545 CARLOS GUILLERMO MUÑOZ GUTIERREZ</t>
  </si>
  <si>
    <t>IC-7259</t>
  </si>
  <si>
    <t>Fact#: 328297 Rec#: 30544 MARIA DOLORES COBOS MARMOLEJO</t>
  </si>
  <si>
    <t>IC-7258</t>
  </si>
  <si>
    <t>Fact#: 324497-327278-330048 Rec#: 13442 BUSTAMANTE CHUQUIMARCA SANDRA ELIZABETH</t>
  </si>
  <si>
    <t>IC-7257</t>
  </si>
  <si>
    <t>Fact#: 330391 Rec#: 13441 MENDEZ LAINEZ RUTH ELIZABETH</t>
  </si>
  <si>
    <t>IC-7256</t>
  </si>
  <si>
    <t>Fact#: 329872 Rec#: 13440 CABELLO CHIRIGUAYA DAVID ELIAS</t>
  </si>
  <si>
    <t>IC-7255</t>
  </si>
  <si>
    <t>Fact#: 324066-326840-329605 Rec#: 13439 CEDENO VILLAVICENCIO ROBERTO ANTONIO</t>
  </si>
  <si>
    <t>IC-7254</t>
  </si>
  <si>
    <t>Fact#: 321965-324724-327510-330299 Rec#: 13438 CHOEZ ANCHUNDIA WILTER ANTONIO</t>
  </si>
  <si>
    <t>IC-7253</t>
  </si>
  <si>
    <t>Fact#: 329310 Rec#: 13437 CHICHANDE DIAZ LUIS ENRIQUE</t>
  </si>
  <si>
    <t>IC-7252</t>
  </si>
  <si>
    <t>Fact#: 330115 Rec#: 13436 PARRAGA JOSE JUAN</t>
  </si>
  <si>
    <t>IC-7251</t>
  </si>
  <si>
    <t>Fact#: 323460-326227-328985 Rec#: 13435 JUVIKA JOHANNA CABUYALES HUACON</t>
  </si>
  <si>
    <t>IC-7250</t>
  </si>
  <si>
    <t>Fact#: 326850-329615 Rec#: 13434 SEGOVIA TOMALA DENNIS ABEL</t>
  </si>
  <si>
    <t>IC-7249</t>
  </si>
  <si>
    <t>Fact#: 1799 Rec#: 13433 ZAMBRANO OLMEDO VERONICA PATRICIA</t>
  </si>
  <si>
    <t>IC-7248</t>
  </si>
  <si>
    <t>Fact#: 321911-327455-330227 Rec#: 13432 IZQUIERDO NOBOA ANDREA STEFANIA</t>
  </si>
  <si>
    <t>IC-7247</t>
  </si>
  <si>
    <t>Fact#: 308058-310819-313549 Rec#: 13431 ESPINOZA HERRERA MIGUEL ANGEL</t>
  </si>
  <si>
    <t>IC-7246</t>
  </si>
  <si>
    <t>Fact#: 328240 Rec#: 30543 MESIAS JOHN VALENCIA MONAR</t>
  </si>
  <si>
    <t>IC-7245</t>
  </si>
  <si>
    <t>Fact#: 330637 Rec#: 30541 CONSTRU-YA S.A.</t>
  </si>
  <si>
    <t>IC-7243</t>
  </si>
  <si>
    <t>Fact#: 322166-324928-327697 Rec#: 30540 GRANITECSA S.A</t>
  </si>
  <si>
    <t>IC-7242</t>
  </si>
  <si>
    <t>Fact#: 330754 Rec#: 30539 VUMILATINA MEDICINA PREPAGADA S.A.</t>
  </si>
  <si>
    <t>IC-7232</t>
  </si>
  <si>
    <t>SANDRA PATRICIA MOREJON LLANOS CANCLEA TELFONO 3945486 ABONA SGTE FACTURA</t>
  </si>
  <si>
    <t>AT-3069</t>
  </si>
  <si>
    <t>FREIRE ANDRADE PAOLA MARIA CANCELA TELEFONO 3902381 ABONA SGTE FACTURA</t>
  </si>
  <si>
    <t>AT-3068</t>
  </si>
  <si>
    <t>Fact#: 320867-323615-326385-329149 Rec#: 30542 BURAYE ZURITA MARIA  FERNANDA</t>
  </si>
  <si>
    <t>IC-7244</t>
  </si>
  <si>
    <t>Fact#: 328328 Rec#: 30538 MARIA EUGENIA  HERBAS HERRERA</t>
  </si>
  <si>
    <t>IC-7227</t>
  </si>
  <si>
    <t>Fact#: 328247 Rec#: 30537 ALVARO CORNEJO RODRIGUEZ</t>
  </si>
  <si>
    <t>IC-7226</t>
  </si>
  <si>
    <t>Fact#: 328876 Rec#: 30536 RICARDO ARMANDO COLOMA MOLINA</t>
  </si>
  <si>
    <t>IC-7225</t>
  </si>
  <si>
    <t>Fact#: 328534 Rec#: 30535 MANUEL ISAIAS TAPIA LOPEZ</t>
  </si>
  <si>
    <t>IC-7224</t>
  </si>
  <si>
    <t>Fact#: 324284-327061-329829 Rec#: 30534 ALVARADO PEREZ OSCAR ANTONIO</t>
  </si>
  <si>
    <t>IC-7223</t>
  </si>
  <si>
    <t>Fact#: 323620-326390-329154 Rec#: 13430 BRITO LAVAYEN BEATRIZ TERESA</t>
  </si>
  <si>
    <t>IC-7222</t>
  </si>
  <si>
    <t>Fact#: 1446-1654-1842 Rec#: 13429 AGUDELO GOMEZ ANGELA MARIA</t>
  </si>
  <si>
    <t>IC-7221</t>
  </si>
  <si>
    <t>Fact#: 315134-317824-320565 Rec#: 13428 JOHNN FRANCISCO PACHECO FIGUEROA</t>
  </si>
  <si>
    <t>IC-7220</t>
  </si>
  <si>
    <t>Fact#: 315133-317823-320564 Rec#: 13427 JOHNN FRANCISCO PACHECO FIGUEROA</t>
  </si>
  <si>
    <t>IC-7219</t>
  </si>
  <si>
    <t>Fact#: 314881-317559-320299 Rec#: 13426 JOHNN FRANCISCO PACHECO FIGUEROA</t>
  </si>
  <si>
    <t>IC-7218</t>
  </si>
  <si>
    <t>Fact#: 300089-302649-305295 Rec#: 13425 CHELE TORO OSCAR EULICES</t>
  </si>
  <si>
    <t>IC-7217</t>
  </si>
  <si>
    <t>Fact#: 329299 Rec#: 13424 ZAMBRANO MOREIRA LUIS ALFREDO</t>
  </si>
  <si>
    <t>IC-7216</t>
  </si>
  <si>
    <t>Fact#: 323350-326115-328869 Rec#: 13423 RUTH ANGELICA VERDEZOTO GAIBOR</t>
  </si>
  <si>
    <t>IC-7215</t>
  </si>
  <si>
    <t>Fact#: 329931 Rec#: 13422 GOMEZ VERA NATALY ELIZABETH</t>
  </si>
  <si>
    <t>IC-7214</t>
  </si>
  <si>
    <t>Fact#: 322378-325135-327895-330704 Rec#: 13421 COOPERATIVA DE AHORRO Y CREDITO MUSHUK YUYAY-CHIMBORAZO LTDA</t>
  </si>
  <si>
    <t>IC-7213</t>
  </si>
  <si>
    <t>Fact#: 329449 Rec#: 13420 RIVADENEIRA SACON GRACE ALEXANDRA</t>
  </si>
  <si>
    <t>IC-7212</t>
  </si>
  <si>
    <t>Fact#: 322216-324975-327744-330547 Rec#: 13419 SERVICIOS MEDICOS SUMEDCA S.A.</t>
  </si>
  <si>
    <t>IC-7211</t>
  </si>
  <si>
    <t>Fact#: 317691-320432-323188-325952-328703 Rec#: 13418 BERNABE LEONEL MARCILLO MARCILLO</t>
  </si>
  <si>
    <t>IC-7210</t>
  </si>
  <si>
    <t>Fact#: 329077 Rec#: 13417 FREDDY PABLO  ENDARA SAAVEDRA</t>
  </si>
  <si>
    <t>IC-7209</t>
  </si>
  <si>
    <t>Fact#: 324012-326785-329549 Rec#: 13416 CAICHE ROMERO GRACE SOFIA</t>
  </si>
  <si>
    <t>IC-7208</t>
  </si>
  <si>
    <t>Fact#: 324654-327436-330207 Rec#: 13415 RAQUEL MARLENE AMAIQUEMA ILLESCAS</t>
  </si>
  <si>
    <t>IC-7207</t>
  </si>
  <si>
    <t>Fact#: 321676-324426-327206-329976 Rec#: 13414 MACAS VERA CARLOS ERNESTO</t>
  </si>
  <si>
    <t>IC-7206</t>
  </si>
  <si>
    <t>Fact#: 327079-329848 Rec#: 13413 MENENDEZ GARCIA RODRIGO ANTONIO</t>
  </si>
  <si>
    <t>IC-7205</t>
  </si>
  <si>
    <t>Fact#: 323621-326391-329155 Rec#: 13412 BURGOS BRIONES MARIA PAMELA</t>
  </si>
  <si>
    <t>IC-7204</t>
  </si>
  <si>
    <t>Fact#: 317741-320481-323238-326003-328756 Rec#: 13411 MONICA JOHANA MURILLO NARANJO</t>
  </si>
  <si>
    <t>IC-7203</t>
  </si>
  <si>
    <t>N/D BANCO PACIFICO OTECEL S.A. CANCELACIÓN FACTURA#66721772 POR PLAN CORP. 08-May-2020 al 07-Jun-2020</t>
  </si>
  <si>
    <t>Fact#: 703-704 Rec#: 30533 F.V - AREA ANDINA S.A.</t>
  </si>
  <si>
    <t>IC-7198</t>
  </si>
  <si>
    <t>Fact#: 330453 Rec#: 30532 ASOC. PRO. NEW YORK 12 DE SEPTIEMBRE</t>
  </si>
  <si>
    <t>IC-7197</t>
  </si>
  <si>
    <t>Fact#: 330446 Rec#: 30531 ASOC. PRO. NEW YORK 12 DE SEPTIEMBRE</t>
  </si>
  <si>
    <t>IC-7196</t>
  </si>
  <si>
    <t>Fact#: 319970-322736-325494-328243 Rec#: 30530 FREDDY MAURICIO SARANGO MARTINEZ</t>
  </si>
  <si>
    <t>IC-7195</t>
  </si>
  <si>
    <t>Fact#: 320144-322910-325668-328418 Rec#: 30529 HUGO RENE LUNA</t>
  </si>
  <si>
    <t>IC-7194</t>
  </si>
  <si>
    <t>Fact#: 330632 Rec#: 30528 JORGE ARTURO ZANABRIA VILLAMAR</t>
  </si>
  <si>
    <t>IC-7193</t>
  </si>
  <si>
    <t>Fact#: 1776 Rec#: 30527 GUATEMAL COLIMBA JUAN BAUTISTA</t>
  </si>
  <si>
    <t>IC-7192</t>
  </si>
  <si>
    <t>Fact#: 329675 Rec#: 13410 VALENCIA MEDINA JOSE RICARDO</t>
  </si>
  <si>
    <t>IC-7189</t>
  </si>
  <si>
    <t>Fact#: 330891 Rec#: 13409 BRODERIN S.A</t>
  </si>
  <si>
    <t>IC-7188</t>
  </si>
  <si>
    <t>Fact#: 320346-323103-325864-328615 Rec#: 13408 HOLGER FREDDY CAMPOVERDE CARBAJO</t>
  </si>
  <si>
    <t>IC-7187</t>
  </si>
  <si>
    <t>Fact#: 318531-321245-324004-326777-329541 Rec#: 13407 VENEGAS ARTEAGA CARLOS ALFREDO</t>
  </si>
  <si>
    <t>IC-7186</t>
  </si>
  <si>
    <t>Fact#: 328767 Rec#: 13406 CESAR ORLANDO VALLEJO VERA</t>
  </si>
  <si>
    <t>IC-7185</t>
  </si>
  <si>
    <t>Fact#: 1850 Rec#: 13405 SALINAS GONZALEZ JAIME PATRICIO</t>
  </si>
  <si>
    <t>IC-7182</t>
  </si>
  <si>
    <t>Fact#: 321380-324133-326908-329674 Rec#: 13404 ESTUPINAN PEREZ EDUARDO</t>
  </si>
  <si>
    <t>IC-7179</t>
  </si>
  <si>
    <t>Fact#: 323734-326503-329266 Rec#: 13403 SALEM ONETO MARIA AUXILIADORA</t>
  </si>
  <si>
    <t>IC-7175</t>
  </si>
  <si>
    <t>Fact#: 323650-326420-329183 Rec#: 13402 SANCHEZ CARRIEL NARCISA DE JESUS</t>
  </si>
  <si>
    <t>IC-7174</t>
  </si>
  <si>
    <t>Fact#: 329607 Rec#: 13401 MUNOZ CASTRO JULEXI ALEXANDRA</t>
  </si>
  <si>
    <t>IC-7173</t>
  </si>
  <si>
    <t>Fact#: 321092-323849-326620-329385 Rec#: 13400 RODRIGUEZ  SALAZAR DANIEL</t>
  </si>
  <si>
    <t>IC-7172</t>
  </si>
  <si>
    <t>Fact#: 323906-326678-329443 Rec#: 13399 MARURI HERRERA JAQUELINE DEL ROCIO</t>
  </si>
  <si>
    <t>IC-7171</t>
  </si>
  <si>
    <t>Fact#: 313058-315718-318412 Rec#: 13398 ROMERO LOPEZ ANDRES ROBERTO</t>
  </si>
  <si>
    <t>IC-7170</t>
  </si>
  <si>
    <t>Fact#: 320347-323104-325865-328616 Rec#: 13397 UBALDO HELIODORO MOTOCHE MEDINA</t>
  </si>
  <si>
    <t>IC-7169</t>
  </si>
  <si>
    <t>Fact#: 325241-327999-330806 Rec#: 13396 LAGOS LAKE ALEJANDRO ANDRE</t>
  </si>
  <si>
    <t>IC-7168</t>
  </si>
  <si>
    <t>Fact#: 325138-327898-330707 Rec#: 13395 LAGOS LAKE ALEJANDRO ANDRE</t>
  </si>
  <si>
    <t>IC-7167</t>
  </si>
  <si>
    <t>Fact#: 325368-330927 Rec#: 13394 LAGOS LAKE ALEJANDRO ANDRE</t>
  </si>
  <si>
    <t>IC-7166</t>
  </si>
  <si>
    <t>Fact#: 329407 Rec#: 13393 ROCAFUERTE FIGUEROA DILGLA MARIANELA</t>
  </si>
  <si>
    <t>IC-7165</t>
  </si>
  <si>
    <t>INGRESO POR DEPOSITO TELCONET BCO PACIFICO POR DEP EN CTA #DOC 26457744</t>
  </si>
  <si>
    <t>DR-1767</t>
  </si>
  <si>
    <t>INGRESO POR PAGO TELCONET , BCO PACIFICO POR DEP EN CTA #DOC 24448428</t>
  </si>
  <si>
    <t>DR-1422</t>
  </si>
  <si>
    <t>INGRESO POR PAGO TELCONET , BCO PACIFICO POR DEP EN CTA #DOC 24448430</t>
  </si>
  <si>
    <t>DR-1421</t>
  </si>
  <si>
    <t>Fact#: 329187 Rec#: 30525 VARGAS TORRES ZENIA</t>
  </si>
  <si>
    <t>IC-7143</t>
  </si>
  <si>
    <t>Fact#: 328470 Rec#: 30524 ANDRES DAVID AGUIRRE PALACIOS</t>
  </si>
  <si>
    <t>IC-7142</t>
  </si>
  <si>
    <t>Fact#: 327637-330437 Rec#: 30523 BENAVIDES QUIMI KAREN RUSHELL</t>
  </si>
  <si>
    <t>IC-7141</t>
  </si>
  <si>
    <t>Fact#: 317363-320101-322868-325625-328376 Rec#: 30522 CALLE VACA LORENA GICELLA</t>
  </si>
  <si>
    <t>IC-7140</t>
  </si>
  <si>
    <t>Fact#: 322673-325430-328178 Rec#: 30521 FATIMA LEONOR AGUILAR MURILLO</t>
  </si>
  <si>
    <t>IC-7139</t>
  </si>
  <si>
    <t>Fact#: 329331 Rec#: 30520 DELGADO VINTIMILLA CARLOS FERNANDO</t>
  </si>
  <si>
    <t>IC-7138</t>
  </si>
  <si>
    <t>Fact#: 329371 Rec#: 13392 MENDEZ VILLON CARMEN MARISOL</t>
  </si>
  <si>
    <t>IC-7137</t>
  </si>
  <si>
    <t>Fact#: 330087 Rec#: 13391 SANDOVAL MORALES MARGARITA DE LAS MERCEDES</t>
  </si>
  <si>
    <t>IC-7136</t>
  </si>
  <si>
    <t>Fact#: 320497-323252-326017-328770 Rec#: 13390 CECILIA ISABEL PORTILLA ESPINOZA</t>
  </si>
  <si>
    <t>IC-7135</t>
  </si>
  <si>
    <t>Fact#: 321063-323820-326589-329354 Rec#: 13389 GONZALEZ MURO CARLOS LUIS</t>
  </si>
  <si>
    <t>IC-7134</t>
  </si>
  <si>
    <t>Fact#: 325896-328647 Rec#: 13388 MARIA ELIZABETH SANTOS MACIAS</t>
  </si>
  <si>
    <t>IC-7133</t>
  </si>
  <si>
    <t>Fact#: 328163 Rec#: 13387 LIDIA JUDITH OJEDA RUIZ</t>
  </si>
  <si>
    <t>IC-7132</t>
  </si>
  <si>
    <t>Fact#: 317978-320715-323464-326231-328989 Rec#: 13386 MARIA PIEDAD VIVAR MARCILLO</t>
  </si>
  <si>
    <t>IC-7131</t>
  </si>
  <si>
    <t>Fact#: 330334 Rec#: 13385 JIMENEZ OCHOA LUIS ENRIQUE</t>
  </si>
  <si>
    <t>IC-7130</t>
  </si>
  <si>
    <t>Fact#: 329637 Rec#: 13384 CEVALLOS ORVEN AMADITA</t>
  </si>
  <si>
    <t>IC-7129</t>
  </si>
  <si>
    <t>Fact#: 323228-325993-328746 Rec#: 13383 CORA MARGARITA ROCIO GALLARDO CRUSELLAS</t>
  </si>
  <si>
    <t>IC-7128</t>
  </si>
  <si>
    <t>Fact#: 325319-328077-330883 Rec#: 13382 TRSC ENTERPRISES S.A</t>
  </si>
  <si>
    <t>IC-7125</t>
  </si>
  <si>
    <t>Fact#: 323783-326552-329317 Rec#: 13381 YANEZ ARROYO LUIS ALBERTO</t>
  </si>
  <si>
    <t>IC-7124</t>
  </si>
  <si>
    <t>Fact#: 321236-323995-326768-329532 Rec#: 13380 CHOLOTA OQUENDO JORDAN GONZALO</t>
  </si>
  <si>
    <t>IC-7123</t>
  </si>
  <si>
    <t>Fact#: 322367-325123-327884-330692 Rec#: 13379 SANCHEZ TIMM RAFAEL ANDRES</t>
  </si>
  <si>
    <t>IC-7122</t>
  </si>
  <si>
    <t>Fact#: 322205-324964-327733-330536 Rec#: 13378 REFRIGERACIÓN INDUSTRIAL CORNEJO REFRICOR-EC CIA.</t>
  </si>
  <si>
    <t>IC-7121</t>
  </si>
  <si>
    <t>Fact#: 322204-324963-327732-330535 Rec#: 13377 REFRIGERACIÓN INDUSTRIAL CORNEJO REFRICOR-EC CIA.</t>
  </si>
  <si>
    <t>IC-7120</t>
  </si>
  <si>
    <t>Fact#: 320225-322989-325749-328500 Rec#: 13376 LISETTE JOHANNA MEZA VEGA</t>
  </si>
  <si>
    <t>IC-7119</t>
  </si>
  <si>
    <t>Fact#: 321766-324513-327294-330064 Rec#: 13375 CAMPOVERDE BARZOLA ALEXANDRA JACQUELINE</t>
  </si>
  <si>
    <t>IC-7118</t>
  </si>
  <si>
    <t>Fact#: 1488-1698-1887 Rec#: 13374 CRUZ CESAR BELISARIO</t>
  </si>
  <si>
    <t>IC-7117</t>
  </si>
  <si>
    <t>Fact#: 318581-321297-324053-326827-329592 Rec#: 13373 MORILLO GRIBORIO JUAN PABLO</t>
  </si>
  <si>
    <t>IC-7116</t>
  </si>
  <si>
    <t>Fact#: 328131 Rec#: 30518 OTECEL</t>
  </si>
  <si>
    <t>IC-7112</t>
  </si>
  <si>
    <t>Fact#: 325179-327938 Rec#: 30515 PAYLESS SHOESOURCE ECUADOR CIA. LTDA.</t>
  </si>
  <si>
    <t>IC-7095</t>
  </si>
  <si>
    <t>IBAÑEZ VASCONES MARIA CECILIA ABONA SGTES FACTURAS, BCO PACIFICO POR TRANSFERENCIA #DOC 1641</t>
  </si>
  <si>
    <t>AT-3109</t>
  </si>
  <si>
    <t>Fact#: 329438 Rec#: 13372 PENAFIEL TAPIA FRANCISCO MIGUEL</t>
  </si>
  <si>
    <t>IC-7115</t>
  </si>
  <si>
    <t>Fact#: 330228 Rec#: 30517 VARGAS ZAMBRANO HILDA MARIA</t>
  </si>
  <si>
    <t>IC-7098</t>
  </si>
  <si>
    <t>Fact#: 1855 Rec#: 13371 ESPIN BIFARINI LOURDES TAMARA</t>
  </si>
  <si>
    <t>IC-7083</t>
  </si>
  <si>
    <t>Fact#: 324238-327014-329782 Rec#: 13370 CABRERA JIMENES FAUSTO IBAN</t>
  </si>
  <si>
    <t>IC-7082</t>
  </si>
  <si>
    <t>Fact#: 327504-330291 Rec#: 13369 MACHACILLA QUINCHE MARIO UBALDO</t>
  </si>
  <si>
    <t>IC-7081</t>
  </si>
  <si>
    <t>Fact#: 320446-323201-325965-328717 Rec#: 13368 JONATHAN SAHI ALVES BAUTISTA</t>
  </si>
  <si>
    <t>IC-7080</t>
  </si>
  <si>
    <t>Fact#: 329109 Rec#: 13367 ARIAS FLORES ENRIQUE SEBASTIAN</t>
  </si>
  <si>
    <t>IC-7079</t>
  </si>
  <si>
    <t>Fact#: 329285 Rec#: 13366 FLORES MARTINEZ RAQUEL VERONICA</t>
  </si>
  <si>
    <t>IC-7078</t>
  </si>
  <si>
    <t>Fact#: 328407 Rec#: 13365 ALVARADO PIGUAVE CAROLIN JANET</t>
  </si>
  <si>
    <t>IC-7077</t>
  </si>
  <si>
    <t>Fact#: 326301-329062 Rec#: 13364 GONZALEZ MELLA CRISTIAN ALEJANDRO</t>
  </si>
  <si>
    <t>IC-7076</t>
  </si>
  <si>
    <t>Fact#: 329773 Rec#: 13363 NAULA ANZOATEGUI ANA MARIA</t>
  </si>
  <si>
    <t>IC-7075</t>
  </si>
  <si>
    <t>Fact#: 329411 Rec#: 13362 ROMAN ALVARADO LILIAN ISIDORA</t>
  </si>
  <si>
    <t>IC-7074</t>
  </si>
  <si>
    <t>Fact#: 323235-326000-328753 Rec#: 13361 EDGAR JUNIOR ESPINOZA BAJAÑA</t>
  </si>
  <si>
    <t>IC-7073</t>
  </si>
  <si>
    <t>Fact#: 320862-323610-326380-329143 Rec#: 13360 MAYI CECIBEL VILLACRES GUZMAN</t>
  </si>
  <si>
    <t>IC-7072</t>
  </si>
  <si>
    <t>Fact#: 320716-323466-326233-328991 Rec#: 13359 MAYI CECIBEL VILLACRES GUZMAN</t>
  </si>
  <si>
    <t>IC-7071</t>
  </si>
  <si>
    <t>Fact#: 328575 Rec#: 13358 CINDY LORENA BAJAÑA BELTRAN</t>
  </si>
  <si>
    <t>IC-7070</t>
  </si>
  <si>
    <t>ANDREA CANAHUATI CHAIN CANCELA TEELFONO 3909867 ABONA SGTE FACTURA</t>
  </si>
  <si>
    <t>AT-3065</t>
  </si>
  <si>
    <t>Fact#: 325381-328130 Rec#: 30519 CONSORCIO ECUATORIANO DE TELECOMUNICACIONES S.A. CONECEL</t>
  </si>
  <si>
    <t>IC-7114</t>
  </si>
  <si>
    <t>Fact#: 1930 Rec#: 30514 JIMENEZ BERNAL TANIA BEATRIZ</t>
  </si>
  <si>
    <t>IC-7090</t>
  </si>
  <si>
    <t>Fact#: 328775 Rec#: 30513 ROSA DEL CARMEN SANCHEZ PORTILLA</t>
  </si>
  <si>
    <t>IC-7089</t>
  </si>
  <si>
    <t>Fact#: 330367 Rec#: 30512 MAZZINI RIVADENEIRA VALERIE GEOVANNA</t>
  </si>
  <si>
    <t>IC-7088</t>
  </si>
  <si>
    <t>Fact#: 327969-330776 Rec#: 30511 SERVICIO &amp; MANTENIMIENTO INDUSTRIAL MANSEINSAJAB S.A</t>
  </si>
  <si>
    <t>IC-7087</t>
  </si>
  <si>
    <t>Fact#: 322794-325551-328302 Rec#: 30510 JORGE JOSE  TORBAY GONZALEZ</t>
  </si>
  <si>
    <t>IC-7086</t>
  </si>
  <si>
    <t>Fact#: 1928 Rec#: 30509 JIMENEZ BERNAL TANIA BEATRIZ</t>
  </si>
  <si>
    <t>IC-7085</t>
  </si>
  <si>
    <t>Fact#: 330445 Rec#: 30508 ASOC. DE PROPIETARIOS URB. VIA AL SOL</t>
  </si>
  <si>
    <t>IC-7084</t>
  </si>
  <si>
    <t>Fact#: 330211 Rec#: 13357 SANCHEZ PEREZ FRANCISCO ROBERTO</t>
  </si>
  <si>
    <t>IC-7069</t>
  </si>
  <si>
    <t>Fact#: 317742-320482-323239-326004-328757 Rec#: 13356 PEDRO LUIS ZAPATA CEVALLOS</t>
  </si>
  <si>
    <t>IC-7068</t>
  </si>
  <si>
    <t>Fact#: 323808-326577-329342 Rec#: 13355 COROZO CORTEZ VICTOR LELY</t>
  </si>
  <si>
    <t>IC-7067</t>
  </si>
  <si>
    <t>Fact#: 323770-326539-329304 Rec#: 13354 VERA RODRIGUEZ CHRISTIAN ORLANDO</t>
  </si>
  <si>
    <t>IC-7066</t>
  </si>
  <si>
    <t>Fact#: 325351-328109-330920 Rec#: 13353 VDS C.C.C</t>
  </si>
  <si>
    <t>IC-7065</t>
  </si>
  <si>
    <t>Fact#: 325866-328617 Rec#: 13352 ANDREA CANAHUATI CHAIN</t>
  </si>
  <si>
    <t>IC-7064</t>
  </si>
  <si>
    <t>Fact#: 328782 Rec#: 13351 TEODOMIRO MAYO</t>
  </si>
  <si>
    <t>IC-7063</t>
  </si>
  <si>
    <t>Fact#: 328916 Rec#: 13350 JACKELINE LUCIA LOOR ORTEGA</t>
  </si>
  <si>
    <t>IC-7062</t>
  </si>
  <si>
    <t>Fact#: 329850 Rec#: 13349 MALDONADO VILLAMAR HUMBERTO MARTIN</t>
  </si>
  <si>
    <t>IC-7061</t>
  </si>
  <si>
    <t>Fact#: 322258-325018-327786-330588 Rec#: 13348 JIMENEZ &amp; JIMENEZ, ABOGADOS Y COMPAÑIA</t>
  </si>
  <si>
    <t>IC-7060</t>
  </si>
  <si>
    <t>Fact#: 323044-325805-328556 Rec#: 13347 FLOR VIOLETA CALIZ MARCILLO</t>
  </si>
  <si>
    <t>IC-7059</t>
  </si>
  <si>
    <t>Fact#: 327184-329954 Rec#: 13346 CORTEZ CANTOS  PEDRO PABLO</t>
  </si>
  <si>
    <t>IC-7058</t>
  </si>
  <si>
    <t>Fact#: 315754-318452-321168 Rec#: 13345 GUARDINI PRIETO ADOLFO GIUSEPPE</t>
  </si>
  <si>
    <t>IC-7057</t>
  </si>
  <si>
    <t>Fact#: 324714-327502-330288 Rec#: 13344 JOSE ANTONIO  DIAZ ACOSTA</t>
  </si>
  <si>
    <t>IC-7056</t>
  </si>
  <si>
    <t>Fact#: 320840-323586-326356-329119 Rec#: 13343 CHIQUITO PIHUAVE CHRISTIAN EDUARDO</t>
  </si>
  <si>
    <t>IC-7055</t>
  </si>
  <si>
    <t>Fact#: 330463 Rec#: 30507 SOLVESA  ECUADOR S.A</t>
  </si>
  <si>
    <t>IC-7049</t>
  </si>
  <si>
    <t>Fact#: 1527-1726-1917 Rec#: 30506 CALLE DURAN DIEGO VINICIO</t>
  </si>
  <si>
    <t>IC-7048</t>
  </si>
  <si>
    <t>VISA - MASTERCARD - PACIFICARD CANCELACION DEBITO TARJETAS GUAYAQUIL- PAGO DE FACT 328484- 330508- 328528- 328832- 330606- 330617- 330607- 329095- 328840- 329960- 1836- 329800</t>
  </si>
  <si>
    <t>VISA - MASTERCARD - PACIFICARD CANCELACION DEBITO TARJETAS GUAYAQUIL-PAGO DE FACT 330031</t>
  </si>
  <si>
    <t>AMERICAN EXPRESS CANCELACION DEBITO TARJETAS GUAYAQUIL- PAGO DE FACT 328517- 328614- 328562- 328934- 328942-328964- 330605- 329108- 330764- 330767- 329469- 329823  - 329972- 330124- 327429- 330200- 327437- 330208- 329906- 330249- 330320- 330924</t>
  </si>
  <si>
    <t>Fact#: 328213-331032 Rec#: 31058 SERGIO ANDRES SEMMINARIO VALENZUELA</t>
  </si>
  <si>
    <t>IC-9986</t>
  </si>
  <si>
    <t>Fact#: 328125 Rec#: 30526 Corporación Nacional de Telecomunicaciones-CNT EP</t>
  </si>
  <si>
    <t>IC-7159</t>
  </si>
  <si>
    <t>Fact#: 321031-323789-326558-329323 Rec#: 30505 DURAN POLIT MARIA DANIELLA</t>
  </si>
  <si>
    <t>IC-6996</t>
  </si>
  <si>
    <t>Fact#: 324925-327694-330496 Rec#: 30504 IGLESIA DE JESUCRISTO SUD</t>
  </si>
  <si>
    <t>IC-6995</t>
  </si>
  <si>
    <t>Fact#: 329339 Rec#: 30503 SOXO QUICHIMBO IVONNE ALEXANDRA</t>
  </si>
  <si>
    <t>IC-6994</t>
  </si>
  <si>
    <t>Fact#: 329764 Rec#: 30502 TAFUR MOSQUERA AMPARO JACQUELINE</t>
  </si>
  <si>
    <t>IC-6993</t>
  </si>
  <si>
    <t>Fact#: 324287-327064-329832 Rec#: 30501 ALCIVAR MENDOZA MARIANA CONCEPCION</t>
  </si>
  <si>
    <t>IC-6992</t>
  </si>
  <si>
    <t>Fact#: 322706-325463-328212 Rec#: 30500 SIXTER ABRAHAM ECHEVERRIA ORTIZ</t>
  </si>
  <si>
    <t>IC-6991</t>
  </si>
  <si>
    <t>Fact#: 324861-327627-330423 Rec#: 30499 FLORES ORTEGA MERCEDES ROCIO</t>
  </si>
  <si>
    <t>IC-6990</t>
  </si>
  <si>
    <t>Fact#: 329111 Rec#: 13342 SUAREZ MAGALLANES JULIO ALFONSO</t>
  </si>
  <si>
    <t>IC-6979</t>
  </si>
  <si>
    <t>Fact#: 328867 Rec#: 13341 MOISES ROBERTO FRANCO ANDRADE</t>
  </si>
  <si>
    <t>IC-6978</t>
  </si>
  <si>
    <t>Fact#: 324383-327162-329932 Rec#: 13340 BARRAZUETA PERDOMO EDUARDO DANIEL</t>
  </si>
  <si>
    <t>IC-6977</t>
  </si>
  <si>
    <t>Fact#: 318604-321320-324074-326848-329613 Rec#: 13339 ALCIVAR MACIAS ROLANDO ANTONIO</t>
  </si>
  <si>
    <t>IC-6976</t>
  </si>
  <si>
    <t>Fact#: 329933 Rec#: 13338 ZAVALA TORO CRUZ SISIBEL</t>
  </si>
  <si>
    <t>IC-6975</t>
  </si>
  <si>
    <t>Fact#: 322749-325507-328257 Rec#: 13337 ELSIE RUTH  ZERDA BARRENO</t>
  </si>
  <si>
    <t>IC-6974</t>
  </si>
  <si>
    <t>Fact#: 327188-329958 Rec#: 13336 LEON ANDRADE CRISTIAN ALFREDO</t>
  </si>
  <si>
    <t>IC-6973</t>
  </si>
  <si>
    <t>Fact#: 322319-325077-327844-330648 Rec#: 13335 YAGLODVIAL S.A.</t>
  </si>
  <si>
    <t>IC-6972</t>
  </si>
  <si>
    <t>Fact#: 322318-325076-327843-330647 Rec#: 13334 YAGLODVIAL S.A.</t>
  </si>
  <si>
    <t>IC-6971</t>
  </si>
  <si>
    <t>Fact#: 1784 Rec#: 13333 CADENA CHONTASI OLGA MARIA</t>
  </si>
  <si>
    <t>IC-6970</t>
  </si>
  <si>
    <t>Fact#: 323391-326157-328912 Rec#: 13332 VILMA NINFA MORA MORA</t>
  </si>
  <si>
    <t>IC-6969</t>
  </si>
  <si>
    <t>Fact#: 324543-327324-330095 Rec#: 13331 CABRERA GOMEZ MARTHA INES</t>
  </si>
  <si>
    <t>IC-6968</t>
  </si>
  <si>
    <t>Fact#: 330188 Rec#: 13330 FIGUEROA GAVELA SILVIA FABIOLA</t>
  </si>
  <si>
    <t>IC-6967</t>
  </si>
  <si>
    <t>Fact#: 328769 Rec#: 13329 DELFIN NESTOR CALDERON GARCIA</t>
  </si>
  <si>
    <t>IC-6966</t>
  </si>
  <si>
    <t>Fact#: 329079 Rec#: 13328 MOROCHO CRUZ ELIZABETH MERCEDEZ</t>
  </si>
  <si>
    <t>IC-6965</t>
  </si>
  <si>
    <t>Fact#: 319239-321951-324709-330282 Rec#: 13327 VASQUEZ MONCAYO GUIDO MANUEL</t>
  </si>
  <si>
    <t>IC-6964</t>
  </si>
  <si>
    <t>Fact#: 321421-324174-326950-329717 Rec#: 13326 CONSTANTE GARCIA VICKY POALA</t>
  </si>
  <si>
    <t>IC-6963</t>
  </si>
  <si>
    <t>Fact#: 320976-323728-326497-329260 Rec#: 13325 ANANGONO COTTO ALEXANDRA MARIBEL</t>
  </si>
  <si>
    <t>IC-6962</t>
  </si>
  <si>
    <t>Fact#: 324492-327273-330043 Rec#: 13324 SIMBALA PADILLA CARLOS EDUARDO</t>
  </si>
  <si>
    <t>IC-6961</t>
  </si>
  <si>
    <t>Fact#: 328669 Rec#: 13323 CARLOS WELLINGTON CHOEZ VERA</t>
  </si>
  <si>
    <t>IC-6960</t>
  </si>
  <si>
    <t>Fact#: 320306-323064-325826 Rec#: 30498 JUANA DEL ROCIO LOPEZ CANDELARIO</t>
  </si>
  <si>
    <t>IC-6924</t>
  </si>
  <si>
    <t>Fact#: 322142-324904-327673-330475 Rec#: 30494 LAUDE S.A. LAUDESA ADMINISTRADORA DE FONDOS Y FIDEICOMISOS</t>
  </si>
  <si>
    <t>IC-7862</t>
  </si>
  <si>
    <t>Fact#: 1955 Rec#: 30497 HERRERA CIFUENTES ESTUARDO WLADIMIR</t>
  </si>
  <si>
    <t>IC-6920</t>
  </si>
  <si>
    <t>Fact#: 317967-320703-323453-326219-328977 Rec#: 30496 EFREN AUGUSTO FREIRE VALENCIA</t>
  </si>
  <si>
    <t>IC-6919</t>
  </si>
  <si>
    <t>Fact#: 328519 Rec#: 30495 HENRY LENY BETANCOURT VITERI</t>
  </si>
  <si>
    <t>IC-6918</t>
  </si>
  <si>
    <t>Fact#: 329302 Rec#: 30493 LOZANO OTERO RICARDO REIMONDI LOZANO OTERO</t>
  </si>
  <si>
    <t>IC-6916</t>
  </si>
  <si>
    <t>Fact#: 320774-323524-326293-329054 Rec#: 13322 VASQUEZ GOMEZ FREDDY DOLORES</t>
  </si>
  <si>
    <t>IC-6907</t>
  </si>
  <si>
    <t>Fact#: 321970-327514-330304 Rec#: 13321 MALDONADO SEGURA MARIA DANIELA</t>
  </si>
  <si>
    <t>IC-6906</t>
  </si>
  <si>
    <t>Fact#: 321506-324257-327033-329801 Rec#: 13320 QUINONEZ MINA DARLIS LUCIA</t>
  </si>
  <si>
    <t>IC-6905</t>
  </si>
  <si>
    <t>Fact#: 329528 Rec#: 13319 YUMBLA MENDIETA MONICA ELIZABETH</t>
  </si>
  <si>
    <t>IC-6904</t>
  </si>
  <si>
    <t>Fact#: 321175-323930-326702-329467 Rec#: 13318 ARGUELLO VACILIA HILDA ARACELLY</t>
  </si>
  <si>
    <t>IC-6903</t>
  </si>
  <si>
    <t>Fact#: 305981-308800-311600 Rec#: 13317 ITURRALDE CALAHORRANO VICTOR ALFREDO</t>
  </si>
  <si>
    <t>IC-6902</t>
  </si>
  <si>
    <t>Fact#: 324152-326928-329695 Rec#: 13316 GUADALUPE REMACHE SILVIA FABIOLA</t>
  </si>
  <si>
    <t>IC-6901</t>
  </si>
  <si>
    <t>Fact#: 329916 Rec#: 13315 BORBOR MORENO LUIS ANTONIO</t>
  </si>
  <si>
    <t>IC-6900</t>
  </si>
  <si>
    <t>Fact#: 326958-329725 Rec#: 13314 MORENO GOMEZ DUQUE ALFREDO</t>
  </si>
  <si>
    <t>IC-6899</t>
  </si>
  <si>
    <t>Fact#: 326949-329716 Rec#: 13313 MORENO GOMEZ DUQUE ALFREDO</t>
  </si>
  <si>
    <t>IC-6898</t>
  </si>
  <si>
    <t>Fact#: 322859-325616-328367 Rec#: 13312 CARLOS GUSTAVO PICO MONTALVAN</t>
  </si>
  <si>
    <t>IC-6897</t>
  </si>
  <si>
    <t>Fact#: 322783-325540-328291 Rec#: 13311 CARLOS GUSTAVO PICO MONTALVAN</t>
  </si>
  <si>
    <t>IC-6896</t>
  </si>
  <si>
    <t>Fact#: 329471 Rec#: 13310 ORTEGA CONFORME  JANET AURORA</t>
  </si>
  <si>
    <t>IC-6895</t>
  </si>
  <si>
    <t>Fact#: 328288 Rec#: 13309 SANDRA PATRICIA MOREJON LLANOS</t>
  </si>
  <si>
    <t>IC-6894</t>
  </si>
  <si>
    <t>Fact#: 321484-324235-327011-329779 Rec#: 13308 GARCIA FRIAS LUIS ALBERTO</t>
  </si>
  <si>
    <t>IC-6893</t>
  </si>
  <si>
    <t>Fact#: 321538-324289-327066-329834 Rec#: 13307 GAMEZ CUELLAR PEDRO NASARIO</t>
  </si>
  <si>
    <t>IC-6892</t>
  </si>
  <si>
    <t>Fact#: 328708 Rec#: 13306 JAVIER ENRIQUE ARTEAGA MENENDEZ</t>
  </si>
  <si>
    <t>IC-6891</t>
  </si>
  <si>
    <t>Fact#: 320506-323261-326026-328779 Rec#: 13305 MATILDE PILAR MORA QUIROZ</t>
  </si>
  <si>
    <t>IC-6890</t>
  </si>
  <si>
    <t>Fact#: 321451-324203-326979-329747 Rec#: 13304 CALONGE GUERRERO JAIR</t>
  </si>
  <si>
    <t>IC-6889</t>
  </si>
  <si>
    <t>Fact#: 322982-325742-328493 Rec#: 13303 MARIA ELENA MORA LUZCANDO</t>
  </si>
  <si>
    <t>IC-6888</t>
  </si>
  <si>
    <t>Fact#: 310222-312980-315643 Rec#: 13302 BOSQUEZ PINCAY LILIAN MARLENE</t>
  </si>
  <si>
    <t>IC-6887</t>
  </si>
  <si>
    <t>Fact#: 322902-325660-328410 Rec#: 13301 MARIA EUGENIA TERAN JORDAN</t>
  </si>
  <si>
    <t>IC-6886</t>
  </si>
  <si>
    <t>Fact#: 328293 Rec#: 13300 MARCOS ALFREDO CHANG HI FONG</t>
  </si>
  <si>
    <t>IC-6885</t>
  </si>
  <si>
    <t>Fact#: 328611 Rec#: 13299 KEVIN BLADIMIR PONCE GREFA</t>
  </si>
  <si>
    <t>IC-6884</t>
  </si>
  <si>
    <t>Fact#: 313898-316492 Rec#: 13298 BASURTO LOOR ESTEFANIA EUGENIA</t>
  </si>
  <si>
    <t>IC-6883</t>
  </si>
  <si>
    <t>Fact#: 313897-316491-319202 Rec#: 13297 BASURTO LOOR ESTEFANIA EUGENIA</t>
  </si>
  <si>
    <t>IC-6882</t>
  </si>
  <si>
    <t>Fact#: 324195-326971-329739 Rec#: 13296 JIMBO ANDRADE KEVIN ISAAC</t>
  </si>
  <si>
    <t>IC-6881</t>
  </si>
  <si>
    <t>Fact#: 330001 Rec#: 13295 ALZAMORA ALVARADO HECTOR JAVIER</t>
  </si>
  <si>
    <t>IC-6880</t>
  </si>
  <si>
    <t>Fact#: 324062-326836-329601 Rec#: 13294 SALAZAR TELLO NICOLAS EDUARDO</t>
  </si>
  <si>
    <t>IC-6879</t>
  </si>
  <si>
    <t>Fact#: 321553-324304-327082-329851 Rec#: 13293 MOELLER GOMEZ ROMMY LEE</t>
  </si>
  <si>
    <t>IC-6878</t>
  </si>
  <si>
    <t>Fact#: 320236-322998-325758-328510 Rec#: 30492 JAVIER SANTIAGO GUZHÑAY ANDRADE</t>
  </si>
  <si>
    <t>IC-6877</t>
  </si>
  <si>
    <t>Fact#: 329529 Rec#: 30490 PUERO CUERO CARLOS JULIO</t>
  </si>
  <si>
    <t>IC-6857</t>
  </si>
  <si>
    <t>Fact#: 276008-278219-280586 Rec#: 30489 ARELLANO VELEZ NORMA ERIKA</t>
  </si>
  <si>
    <t>IC-6856</t>
  </si>
  <si>
    <t>Fact#: 327757 Rec#: 30488 WANHAI LINES ECUADOR S.A.</t>
  </si>
  <si>
    <t>IC-6855</t>
  </si>
  <si>
    <t>Fact#: 330693 Rec#: 30487 SINERGIA MARIN SANCHEZ S.A. SINERMASA</t>
  </si>
  <si>
    <t>IC-6854</t>
  </si>
  <si>
    <t>Fact#: 329352 Rec#: 30516 LOGROÑO REYES VICENTE JAVIER</t>
  </si>
  <si>
    <t>IC-7097</t>
  </si>
  <si>
    <t>Fact#: 330828 Rec#: 30491 MARRIOTT S.A</t>
  </si>
  <si>
    <t>IC-6876</t>
  </si>
  <si>
    <t>Fact#: 322322-322330-325080-325088-327847-327855-330651-330659 Rec#: 30486 MULTICOMPRAS S.A.</t>
  </si>
  <si>
    <t>IC-6853</t>
  </si>
  <si>
    <t>Fact#: 310681-313408-316044 Rec#: 30485 MUNOZ CANTOS MARIA FERNANDA</t>
  </si>
  <si>
    <t>IC-6852</t>
  </si>
  <si>
    <t>Fact#: 328895 Rec#: 30484 LIGIA AZUCENA ARTEAGA VALENZUELA</t>
  </si>
  <si>
    <t>IC-6851</t>
  </si>
  <si>
    <t>Fact#: 321035-323793-326562-329327 Rec#: 30483 ALVARADO ALAVA FREDDY LENIN</t>
  </si>
  <si>
    <t>IC-6850</t>
  </si>
  <si>
    <t>Fact#: 326336-329098 Rec#: 30482 JERVIS BASURTO KENYA SORAYA</t>
  </si>
  <si>
    <t>IC-6849</t>
  </si>
  <si>
    <t>Fact#: 329002 Rec#: 30481 TANIA PAOLA ILLESCAS PIBAQUE</t>
  </si>
  <si>
    <t>IC-6848</t>
  </si>
  <si>
    <t>Fact#: 330563 Rec#: 30480 BELLUSCIO S.A.</t>
  </si>
  <si>
    <t>IC-6847</t>
  </si>
  <si>
    <t>Fact#: 330684 Rec#: 30479 AGUIRRE AGUIRRE BEXY DEL ROCIO</t>
  </si>
  <si>
    <t>IC-6846</t>
  </si>
  <si>
    <t>Fact#: 330572 Rec#: 30478 DUPROCSA S.A.</t>
  </si>
  <si>
    <t>IC-6845</t>
  </si>
  <si>
    <t>Fact#: 330700 Rec#: 30477 INDUVERIKA S.A.</t>
  </si>
  <si>
    <t>IC-6844</t>
  </si>
  <si>
    <t>Fact#: 330449 Rec#: 30476 EFFICACITAS CONSULTORA CIA.LTDA.</t>
  </si>
  <si>
    <t>IC-6843</t>
  </si>
  <si>
    <t>Fact#: 330451 Rec#: 30475 EFFICACITAS CONSULTORA CIA.LTDA.</t>
  </si>
  <si>
    <t>IC-6842</t>
  </si>
  <si>
    <t>Fact#: 330450 Rec#: 30474 EFFICACITAS CONSULTORA CIA.LTDA.</t>
  </si>
  <si>
    <t>IC-6841</t>
  </si>
  <si>
    <t>Fact#: 330687 Rec#: 30473 SORIANO LEON  GUSTAVO FERNANDO</t>
  </si>
  <si>
    <t>IC-6840</t>
  </si>
  <si>
    <t>Fact#: 330459 Rec#: 30472 AUTOMEKANO CIA. LTDA</t>
  </si>
  <si>
    <t>IC-6839</t>
  </si>
  <si>
    <t>Fact#: 330454 Rec#: 30471 ASOC. DE PROPIETARIOS URB. TERRASOL</t>
  </si>
  <si>
    <t>IC-6838</t>
  </si>
  <si>
    <t>Fact#: 328808 Rec#: 30470 FERNANDO XAVIER DROUET CEDEÑO</t>
  </si>
  <si>
    <t>IC-6837</t>
  </si>
  <si>
    <t>Fact#: 329176 Rec#: 30469 GILBERT SILVA CECILIA MARIA</t>
  </si>
  <si>
    <t>IC-6836</t>
  </si>
  <si>
    <t>Fact#: 329425 Rec#: 30468 ESPANA BAJANA STEFANIA ELIZABETH</t>
  </si>
  <si>
    <t>IC-6835</t>
  </si>
  <si>
    <t>Fact#: 328487 Rec#: 30467 LUIS EDUARDO SANCHEZ TIMM</t>
  </si>
  <si>
    <t>IC-6834</t>
  </si>
  <si>
    <t>Fact#: 329752 Rec#: 30466 VINUEZA GARCIA EDISON EDUARDO</t>
  </si>
  <si>
    <t>IC-6833</t>
  </si>
  <si>
    <t>Fact#: 328474 Rec#: 30465 GISELLA MARIA YUNES ANDRADE</t>
  </si>
  <si>
    <t>IC-6832</t>
  </si>
  <si>
    <t>Fact#: 328361 Rec#: 30464 DUNNYA MARLENE VILLAVICENCIO LUZURIAGA</t>
  </si>
  <si>
    <t>IC-6831</t>
  </si>
  <si>
    <t>Fact#: 328160 Rec#: 30463 JAIRO ALBERTO GOMEZ COELLO</t>
  </si>
  <si>
    <t>IC-6830</t>
  </si>
  <si>
    <t>Fact#: 328173 Rec#: 30462 ISABEL ROSARIO QUINDE SORIANO</t>
  </si>
  <si>
    <t>IC-6829</t>
  </si>
  <si>
    <t>Fact#: 328723 Rec#: 30461 CARLOS BENJAMIN ROSALES PINO</t>
  </si>
  <si>
    <t>IC-6828</t>
  </si>
  <si>
    <t>Fact#: 328585 Rec#: 30460 GUILLERMO ELOY SERRANO GOMEZ</t>
  </si>
  <si>
    <t>IC-6827</t>
  </si>
  <si>
    <t>Fact#: 328236 Rec#: 30459 JOSE JOAQUIN OLMEDO CASTELLO</t>
  </si>
  <si>
    <t>IC-6826</t>
  </si>
  <si>
    <t>Fact#: 328566 Rec#: 30458 JUAN XAVIER BENEDETI RIPALDA</t>
  </si>
  <si>
    <t>IC-6825</t>
  </si>
  <si>
    <t>Fact#: 328277 Rec#: 30457 PAULA JESUS SALAZAR MACIAS</t>
  </si>
  <si>
    <t>IC-6824</t>
  </si>
  <si>
    <t>Fact#: 329289 Rec#: 30456 TRUJILLO LOPEZ DIANA CAROLINA</t>
  </si>
  <si>
    <t>IC-6823</t>
  </si>
  <si>
    <t>Fact#: 328374 Rec#: 30455 BONILLA ALCIVAR MARIANA VERONICA</t>
  </si>
  <si>
    <t>IC-6822</t>
  </si>
  <si>
    <t>Fact#: 329830 Rec#: 30454 SUSANA HERMELINDA ANALUISA HARO</t>
  </si>
  <si>
    <t>IC-6821</t>
  </si>
  <si>
    <t>Fact#: 328188 Rec#: 30453 KETTY ARACELY GAROFALO LEON</t>
  </si>
  <si>
    <t>IC-6820</t>
  </si>
  <si>
    <t>Fact#: 328229 Rec#: 30452 MONICA CRIOLLO SALAZAR</t>
  </si>
  <si>
    <t>IC-6819</t>
  </si>
  <si>
    <t>Fact#: 328381 Rec#: 30451 UVIDIA SALTOS  CARLOS BOLIVAR</t>
  </si>
  <si>
    <t>IC-6818</t>
  </si>
  <si>
    <t>Fact#: 329668 Rec#: 30450 PERALTA BENITEZ ROBERTO ELIAS</t>
  </si>
  <si>
    <t>IC-6817</t>
  </si>
  <si>
    <t>Fact#: 328307 Rec#: 30449 FAUSTO EDUARDO  CARBO RIVERA</t>
  </si>
  <si>
    <t>IC-6816</t>
  </si>
  <si>
    <t>Fact#: 328857 Rec#: 30448 CARLOS ADALBERTO SALAVARRIA PALMA</t>
  </si>
  <si>
    <t>IC-6815</t>
  </si>
  <si>
    <t>Fact#: 328244 Rec#: 30447 LUIS CESAR GAMARRA GONZALES</t>
  </si>
  <si>
    <t>IC-6814</t>
  </si>
  <si>
    <t>Fact#: 328365 Rec#: 30446 ANA LUCRECIA  CABRERA GARCIA</t>
  </si>
  <si>
    <t>IC-6813</t>
  </si>
  <si>
    <t>Fact#: 328649 Rec#: 30445 ANTONIO IGNACIO ARTEAGA FERAUD</t>
  </si>
  <si>
    <t>IC-6812</t>
  </si>
  <si>
    <t>Fact#: 328382 Rec#: 30444 MANRIQUEZ SALAZAR MARIA PAZ</t>
  </si>
  <si>
    <t>IC-6811</t>
  </si>
  <si>
    <t>Fact#: 330266 Rec#: 30443 JOSE FRANCISCO  FERNANDEZ   ESPINOZA</t>
  </si>
  <si>
    <t>IC-6810</t>
  </si>
  <si>
    <t>Fact#: 328922 Rec#: 30442 RICARDO PABLO FALCONI DUEÑAS</t>
  </si>
  <si>
    <t>IC-6809</t>
  </si>
  <si>
    <t>Fact#: 328379 Rec#: 30441 CARLOS ALBERTO RENDON PALMA</t>
  </si>
  <si>
    <t>IC-6808</t>
  </si>
  <si>
    <t>Fact#: 328896 Rec#: 30440 HERNAN ANTONIO ALVEAR MERCHAN</t>
  </si>
  <si>
    <t>IC-6807</t>
  </si>
  <si>
    <t>Fact#: 328135 Rec#: 30439 EVA MARIA VINUEZA OCAÑA</t>
  </si>
  <si>
    <t>IC-6806</t>
  </si>
  <si>
    <t>Fact#: 328403 Rec#: 30438 TERESA DE LA CRUZ TOSCANO BRITO</t>
  </si>
  <si>
    <t>IC-6805</t>
  </si>
  <si>
    <t>Fact#: 328497 Rec#: 30437 LUIS CARLOS ABAD YCAZA</t>
  </si>
  <si>
    <t>IC-6804</t>
  </si>
  <si>
    <t>Fact#: 328156 Rec#: 30436 GISELLE MARIELA CLEMENTE VERA</t>
  </si>
  <si>
    <t>IC-6803</t>
  </si>
  <si>
    <t>Fact#: 328734 Rec#: 30435 EDDIE ENRIQUE HERRERA MEDINA</t>
  </si>
  <si>
    <t>IC-6802</t>
  </si>
  <si>
    <t>Fact#: 328312 Rec#: 30434 FRANKLIN JOAQUIN  DOMINGUEZ VARGAS</t>
  </si>
  <si>
    <t>IC-6801</t>
  </si>
  <si>
    <t>Fact#: 328159 Rec#: 30433 JUAN JOSE CHACON PACHECO</t>
  </si>
  <si>
    <t>IC-6800</t>
  </si>
  <si>
    <t>Fact#: 328138 Rec#: 30432 MARIA ROSA DUNN YCAZA</t>
  </si>
  <si>
    <t>IC-6799</t>
  </si>
  <si>
    <t>Fact#: 330025 Rec#: 30431 ZULVY BEDON LAGOS</t>
  </si>
  <si>
    <t>IC-6798</t>
  </si>
  <si>
    <t>Fact#: 329493 Rec#: 30430 CASTILLO PALMA DANIEL ALFREDO</t>
  </si>
  <si>
    <t>IC-6797</t>
  </si>
  <si>
    <t>Fact#: 329686 Rec#: 30429 CANDO REYES JOSE MAURICIO</t>
  </si>
  <si>
    <t>IC-6796</t>
  </si>
  <si>
    <t>Fact#: 328230 Rec#: 30428 JENNY CEDEÑO CAAMAÑO</t>
  </si>
  <si>
    <t>IC-6795</t>
  </si>
  <si>
    <t>Fact#: 300124-316203-318901 Rec#: 13292 GARCIA PALMA NEYDA MERCEDES</t>
  </si>
  <si>
    <t>IC-6711</t>
  </si>
  <si>
    <t>Fact#: 329947 Rec#: 13291 CHUCA CHANCAY ANDREA BETZABETH</t>
  </si>
  <si>
    <t>IC-6710</t>
  </si>
  <si>
    <t>Fact#: 329905 Rec#: 13290 MARCILLO COBOS DAVID FERNANDO</t>
  </si>
  <si>
    <t>IC-6709</t>
  </si>
  <si>
    <t>Fact#: 328390 Rec#: 13289 NELIS MARIA PINARGOTE YEPEZ</t>
  </si>
  <si>
    <t>IC-6708</t>
  </si>
  <si>
    <t>Fact#: 280017-282310-284602 Rec#: 13288 PATRICIA ELIZABETH ANDRADE MEDINA</t>
  </si>
  <si>
    <t>IC-6707</t>
  </si>
  <si>
    <t>Fact#: 329272 Rec#: 13287 CASTRO DORADO MARJORIE LUCIA</t>
  </si>
  <si>
    <t>IC-6706</t>
  </si>
  <si>
    <t>Fact#: 330026 Rec#: 13286 CASTRO AGUA MARLON JOSE</t>
  </si>
  <si>
    <t>IC-6705</t>
  </si>
  <si>
    <t>Fact#: 318999-321695-324444-327224-329994 Rec#: 13285 LARA MARURI SANDRA ELIZABETH</t>
  </si>
  <si>
    <t>IC-6704</t>
  </si>
  <si>
    <t>Fact#: 321182-323937-326709-329474 Rec#: 13284 VERA GONZALEZ JOSE ANTONIO</t>
  </si>
  <si>
    <t>IC-6703</t>
  </si>
  <si>
    <t>Fact#: 317908-320647-323398-326164-328920 Rec#: 13283 MIGDONIA ELINOR GARCIA MORALES</t>
  </si>
  <si>
    <t>IC-6702</t>
  </si>
  <si>
    <t>Fact#: 323700-326469-329232 Rec#: 13282 CASTRO RIVERA JONATHAN GEOVANNY</t>
  </si>
  <si>
    <t>IC-6701</t>
  </si>
  <si>
    <t>Fact#: 329504 Rec#: 13281 MIRABAL RODRIGUEZ CRISTINA</t>
  </si>
  <si>
    <t>IC-6700</t>
  </si>
  <si>
    <t>Fact#: 325375 Rec#: 13280 ARAUJO FIGUEROA WASHINGTON SALVADOR</t>
  </si>
  <si>
    <t>IC-6699</t>
  </si>
  <si>
    <t>Fact#: 327442-330214 Rec#: 13279 VELASQUEZ AGUIRRE CARLOS JOSE</t>
  </si>
  <si>
    <t>IC-6698</t>
  </si>
  <si>
    <t>Fact#: 321394-324148-326924-329690 Rec#: 13278 NARANJO CADENA DANIEL FIDEL</t>
  </si>
  <si>
    <t>IC-6697</t>
  </si>
  <si>
    <t>Fact#: 323080-325842-328592 Rec#: 13277 FAUSTO HENRY ZAMBRANO VERA</t>
  </si>
  <si>
    <t>IC-6696</t>
  </si>
  <si>
    <t>Fact#: 321499-324249-327025-329793 Rec#: 13276 FRANCO GARCIA BYRON NELSON</t>
  </si>
  <si>
    <t>IC-6695</t>
  </si>
  <si>
    <t>Fact#: 324467-327247-330017 Rec#: 13275 FREIRE ANDRADE PAOLA MARIA</t>
  </si>
  <si>
    <t>IC-6694</t>
  </si>
  <si>
    <t>Fact#: 320490-323246-326011-328763 Rec#: 13274 RAMIRO RAMON TOALA GARCIA</t>
  </si>
  <si>
    <t>IC-6693</t>
  </si>
  <si>
    <t>Fact#: 323549-326319-329080 Rec#: 13273 TAMAYO CARABALLOSO LISANDRA MERCEDES</t>
  </si>
  <si>
    <t>IC-6692</t>
  </si>
  <si>
    <t>Fact#: 330898-330899 Rec#: 30427 TOPFOOD CIA. LTDA.</t>
  </si>
  <si>
    <t>IC-6652</t>
  </si>
  <si>
    <t>ROMMEL ANTONIO ZAMORA TRIGUERO CANCELATELEFONO 3900174 ABONA SGTE FACTURA</t>
  </si>
  <si>
    <t>Fact#: 327946 Rec#: 30417 VUMILATINA MEDICINA PREPAGADA S.A.</t>
  </si>
  <si>
    <t>IC-7314</t>
  </si>
  <si>
    <t>Fact#: 323266-326031-328784 Rec#: 13253 ALONSO RIGOBERTO VALENCIA CHICA</t>
  </si>
  <si>
    <t>IC-6613</t>
  </si>
  <si>
    <t>Fact#: 330245 Rec#: 13252 MERA NERO JHONNY ALEXANDER</t>
  </si>
  <si>
    <t>IC-6612</t>
  </si>
  <si>
    <t>Fact#: 327404-330175 Rec#: 13251 SANTANA MORENO SAUL AUGUSTO</t>
  </si>
  <si>
    <t>IC-6611</t>
  </si>
  <si>
    <t>Fact#: 1326-1532-1731 Rec#: 13250 AGUILAR ECHEVERRIA LUIS FERNANDO</t>
  </si>
  <si>
    <t>IC-6610</t>
  </si>
  <si>
    <t>Fact#: 327080-329849 Rec#: 13249 PITA PENAFIEL ALISON CAROLINA</t>
  </si>
  <si>
    <t>IC-6609</t>
  </si>
  <si>
    <t>Fact#: 323141-325903-328653 Rec#: 13248 PACO OLMEDO ORNA AYMACANA</t>
  </si>
  <si>
    <t>IC-6608</t>
  </si>
  <si>
    <t>Fact#: 321808-324553-327334-330105 Rec#: 13247 CABEZA RODRIGUEZ PETER FABRICIO</t>
  </si>
  <si>
    <t>IC-6607</t>
  </si>
  <si>
    <t>Fact#: 324096-326870-329635 Rec#: 13246 ROMERO VERSOZA RICARDO GERONIMO</t>
  </si>
  <si>
    <t>IC-6606</t>
  </si>
  <si>
    <t>Fact#: 322260-325020-327788 Rec#: 13245 LABORATORIOS RENALABSA S A</t>
  </si>
  <si>
    <t>IC-6605</t>
  </si>
  <si>
    <t>Fact#: 328238 Rec#: 30424 JAVIER MAURICIO RODRIGO ALBAN</t>
  </si>
  <si>
    <t>IC-6604</t>
  </si>
  <si>
    <t>Fact#: 322915-325673-328423 Rec#: 30423 VILLAO JURADO ANDREA BELEN</t>
  </si>
  <si>
    <t>IC-6603</t>
  </si>
  <si>
    <t>Fact#: 322821-325578-328329 Rec#: 30422 CARMEN NARCISA  JURADO PAREDES</t>
  </si>
  <si>
    <t>IC-6602</t>
  </si>
  <si>
    <t>Fact#: 329122 Rec#: 30421 LOPEZ PALACIOS DANNY CHRISTIAN</t>
  </si>
  <si>
    <t>IC-6601</t>
  </si>
  <si>
    <t>Fact#: 329502 Rec#: 30420 MANRIQUE OSORIO XAVIER ENRIQUE</t>
  </si>
  <si>
    <t>IC-6600</t>
  </si>
  <si>
    <t>Fact#: 329487 Rec#: 30419 DUARTE DEMERA FRANCISCO JAVIER</t>
  </si>
  <si>
    <t>IC-6599</t>
  </si>
  <si>
    <t>Fact#: 324572-327354-330125 Rec#: 13244 AGUAYO SOLORZANO JOEL GEOVANNY</t>
  </si>
  <si>
    <t>IC-6598</t>
  </si>
  <si>
    <t>Fact#: 323211-325976-328728 Rec#: 13243 NILO JUSTINO GUERRERO INDIO</t>
  </si>
  <si>
    <t>IC-6597</t>
  </si>
  <si>
    <t>Fact#: 324872-327635-330434 Rec#: 13242 LEMOS CASTILLO PEDRO FELIX</t>
  </si>
  <si>
    <t>IC-6596</t>
  </si>
  <si>
    <t>Fact#: 324365-327143-329912 Rec#: 13241 VALVERDE PARRAGA AZUCENA MARIA</t>
  </si>
  <si>
    <t>IC-6595</t>
  </si>
  <si>
    <t>Fact#: 324297-327074-329843 Rec#: 13240 INFANTE MINDIOLA JULIA MARLENE</t>
  </si>
  <si>
    <t>IC-6594</t>
  </si>
  <si>
    <t>Fact#: 328448 Rec#: 13239 JULIO CESAR MONCAYO CRESPIN</t>
  </si>
  <si>
    <t>IC-6593</t>
  </si>
  <si>
    <t>Fact#: 317087 Rec#: 13238 LOPEZ FLOREZ CARLOS RAFAEL</t>
  </si>
  <si>
    <t>IC-6592</t>
  </si>
  <si>
    <t>Fact#: 323327-326092-328846 Rec#: 13237 EDWIN ANDRES REYES TOALA</t>
  </si>
  <si>
    <t>IC-6591</t>
  </si>
  <si>
    <t>Fact#: 323192-325956-328707 Rec#: 13236 LUIS FERNANDO FALCONES ZAMBRANO</t>
  </si>
  <si>
    <t>IC-6590</t>
  </si>
  <si>
    <t>Fact#: 322068-324808-327582-330378 Rec#: 13235 RAMIREZ MOSQUERA JIMMY XAVIER</t>
  </si>
  <si>
    <t>IC-6589</t>
  </si>
  <si>
    <t>Fact#: 323856-326627-329392 Rec#: 13234 RUIZ SOLANO KELVIL ORLANDO</t>
  </si>
  <si>
    <t>IC-6588</t>
  </si>
  <si>
    <t>Fact#: 320890-323638-326408-329172 Rec#: 13233 ARROYO AYOVI SANDRA YADIRA</t>
  </si>
  <si>
    <t>IC-6587</t>
  </si>
  <si>
    <t>Fact#: 323953-326725-329490 Rec#: 13232 ESCOBAR HERRERA EDISON EDUARDO</t>
  </si>
  <si>
    <t>IC-6586</t>
  </si>
  <si>
    <t>Fact#: 329511 Rec#: 13231 MAYEZA REGALADO JIMMY HARRY</t>
  </si>
  <si>
    <t>IC-6585</t>
  </si>
  <si>
    <t>Fact#: 318184-320914-323664-326434-329197 Rec#: 13230 BARBERAN BRIONES JOSE JULIAN</t>
  </si>
  <si>
    <t>IC-6584</t>
  </si>
  <si>
    <t>Fact#: 323270-326035-328788 Rec#: 30418 EDISON PATRICIO SOSA SALAME</t>
  </si>
  <si>
    <t>IC-6577</t>
  </si>
  <si>
    <t>Fact#: 325103-327869 Rec#: 30413 CIPORT &amp; TECNAC CIPTE C.L</t>
  </si>
  <si>
    <t>IC-6572</t>
  </si>
  <si>
    <t>Jun/2020</t>
  </si>
  <si>
    <t>SALDO SEGÚN LIBRO BANCOS AL 30 DE JUNIO DEL 2020</t>
  </si>
  <si>
    <t>SALDO SEGÚN ESTADO DE CUENTA AL 30 DE JUNIO DEL 2020</t>
  </si>
  <si>
    <t>TRANSFERENCIAS GIRADAS Y NO ACREDITADAS</t>
  </si>
  <si>
    <t>N/D TRANSFERENCIA ROLES DE PAGO 2DA QUINCENA MES DE JULIO 2020</t>
  </si>
  <si>
    <t>N/D TRANSFERENCIA CANCELACIÓN DE FACTURA#411, A PABLO BAQUERIZO D.</t>
  </si>
  <si>
    <t>N/D TRANSFERENCIA CANCELACIÓN FACTURA#76, A BAQUE BYRON</t>
  </si>
  <si>
    <t>N/D TRANSFERENCIA CANCELACIÓN FACTURA#102, A FRANCISCO ESTUPIÑAN</t>
  </si>
  <si>
    <t>VISA - MASTERCARD - PACIFICARD CANCELACION DE FACT 1491- 2086- 2295 POR DEP EN CTA #DOC 0517</t>
  </si>
  <si>
    <t>NC-23</t>
  </si>
  <si>
    <t>Fact#: 336284-336285-336286 Rec#: 30890 MARIA DEL CARMEN GINETTE GARAY CALERO</t>
  </si>
  <si>
    <t>IC-9181</t>
  </si>
  <si>
    <t>Fact#: 335232 Rec#: 30888 PINCAY SILVA FERNANDO RAFAEL</t>
  </si>
  <si>
    <t>IC-9165</t>
  </si>
  <si>
    <t>Fact#: 334053 Rec#: 30887 WALTER ENRIQUE  BAJAÑA MEDINA</t>
  </si>
  <si>
    <t>IC-9164</t>
  </si>
  <si>
    <t>Fact#: 333882 Rec#: 30886 LOURDES DEL ROCIO CHAVEZ VELEZ</t>
  </si>
  <si>
    <t>IC-9163</t>
  </si>
  <si>
    <t>Fact#: 333957 Rec#: 30885 NORMA ELISA YEPEZ JIMENEZ</t>
  </si>
  <si>
    <t>IC-9162</t>
  </si>
  <si>
    <t>Fact#: 322293-325052-327820-330623-333513-336462 Rec#: 14034 GAMFOOD S.A.</t>
  </si>
  <si>
    <t>IC-9140</t>
  </si>
  <si>
    <t>Fact#: 332281-335200 Rec#: 14033 MEDINA BORJA LEONARDO JAVIER</t>
  </si>
  <si>
    <t>IC-9139</t>
  </si>
  <si>
    <t>Fact#: 335830 Rec#: 14032 VARGAS PARRALES CARLOS JORGE</t>
  </si>
  <si>
    <t>IC-9138</t>
  </si>
  <si>
    <t>Fact#: 335029 Rec#: 14031 CASTRO DORADO MARJORIE LUCIA</t>
  </si>
  <si>
    <t>IC-9137</t>
  </si>
  <si>
    <t>Fact#: 329473-332322-335242 Rec#: 14030 CHAVEZ ZAMBRANO MARIA DOLORES</t>
  </si>
  <si>
    <t>IC-9136</t>
  </si>
  <si>
    <t>Fact#: 331526-334439 Rec#: 14029 CARLOS EDUARDO CARVAJAL LOOR</t>
  </si>
  <si>
    <t>IC-9135</t>
  </si>
  <si>
    <t>Fact#: 330290-333151-336077 Rec#: 14028 PEREDO TIGSI KEYLA THALIA</t>
  </si>
  <si>
    <t>IC-9134</t>
  </si>
  <si>
    <t>Fact#: 334383 Rec#: 14027 NAIM ANTONIO YUNES MARIDUEÑA</t>
  </si>
  <si>
    <t>IC-9133</t>
  </si>
  <si>
    <t>Fact#: 324523-327304-330074-332934-335858 Rec#: 14026 AVILES PEREZ ALFONSO</t>
  </si>
  <si>
    <t>IC-9132</t>
  </si>
  <si>
    <t>Fact#: 333286 Rec#: 14025 VALVERDE MACAY CARLOS ARTURO</t>
  </si>
  <si>
    <t>IC-9131</t>
  </si>
  <si>
    <t>Fact#: 334172 Rec#: 30884 LUIS DANIEL CHIANG GUERRERO</t>
  </si>
  <si>
    <t>IC-9109</t>
  </si>
  <si>
    <t>Fact#: 334173 Rec#: 30883 LUIS DANIEL CHIANG GUERRERO</t>
  </si>
  <si>
    <t>IC-9108</t>
  </si>
  <si>
    <t>Fact#: 1609-1797-1993-2202 Rec#: 30882 GONZALEZ RUIZ SANDY</t>
  </si>
  <si>
    <t>IC-9107</t>
  </si>
  <si>
    <t>Fact#: 333506 Rec#: 30881 SERVICITY C A</t>
  </si>
  <si>
    <t>IC-9104</t>
  </si>
  <si>
    <t>Fact#: 333958 Rec#: 30880 MARIO FABRICIO ZALAMAR GALDOS</t>
  </si>
  <si>
    <t>IC-9103</t>
  </si>
  <si>
    <t>Fact#: 332143-335058 Rec#: 30879 ZAMBRANO MOREIRA LUIS ALFREDO</t>
  </si>
  <si>
    <t>IC-9102</t>
  </si>
  <si>
    <t>Fact#: 333142-336068 Rec#: 30878 SANCHEZ MEDINA FELIX</t>
  </si>
  <si>
    <t>IC-9101</t>
  </si>
  <si>
    <t>Fact#: 322148-324911-327680-330482-333376 Rec#: 30877 DOLMEN S.A.</t>
  </si>
  <si>
    <t>IC-9100</t>
  </si>
  <si>
    <t>Fact#: 335061 Rec#: 30876 LOZANO OTERO RICARDO REIMONDI LOZANO OTERO</t>
  </si>
  <si>
    <t>IC-9099</t>
  </si>
  <si>
    <t>Fact#: 332480-335401 Rec#: 14024 VALENCIA NIEVES BYRON BOLIVAR</t>
  </si>
  <si>
    <t>IC-9098</t>
  </si>
  <si>
    <t>Fact#: 332345-335265 Rec#: 14023 VILLEGAS BASTIDAS JOSE ALFREDO</t>
  </si>
  <si>
    <t>IC-9097</t>
  </si>
  <si>
    <t>Fact#: 329013-331851-334764 Rec#: 14022 PAUL FERNANDO SEGURA MACIAS</t>
  </si>
  <si>
    <t>IC-9096</t>
  </si>
  <si>
    <t>Fact#: 334824 Rec#: 14021 MINO DOYLET YOLANDA ABIGAIL</t>
  </si>
  <si>
    <t>IC-9095</t>
  </si>
  <si>
    <t>Fact#: 331454-334367 Rec#: 14020 ANGELA LEONOR SAAVEDRA QUINTO</t>
  </si>
  <si>
    <t>IC-9094</t>
  </si>
  <si>
    <t>Fact#: 334346 Rec#: 14019 DENISSE JUDITH FLORES HUERTA</t>
  </si>
  <si>
    <t>IC-9093</t>
  </si>
  <si>
    <t>Fact#: 318497-321212-323971-326743-329508-332359-335279 Rec#: 14018 VIERA ROMERO DANTE JAVIER</t>
  </si>
  <si>
    <t>IC-9092</t>
  </si>
  <si>
    <t>Fact#: 334923 Rec#: 14017 SALTOS RODRIGUEZ ANDREA EDITH</t>
  </si>
  <si>
    <t>IC-9091</t>
  </si>
  <si>
    <t>Fact#: 331427-334339 Rec#: 14016 PILAR MARYLIN ALCIVAR MORAN</t>
  </si>
  <si>
    <t>IC-9090</t>
  </si>
  <si>
    <t>Fact#: 334862 Rec#: 14015 ARIAS FLORES ENRIQUE SEBASTIAN</t>
  </si>
  <si>
    <t>IC-9089</t>
  </si>
  <si>
    <t>Fact#: 330347-333223-336149 Rec#: 14014 MORA FUENTES ALONSO GABRIEL</t>
  </si>
  <si>
    <t>IC-9088</t>
  </si>
  <si>
    <t>Fact#: 335922 Rec#: 14013 MERINO MORAN LUIS MIGUEL</t>
  </si>
  <si>
    <t>IC-9087</t>
  </si>
  <si>
    <t>Fact#: 331606-334518 Rec#: 14012 ROSA DEL CARMEN SANCHEZ PORTILLA</t>
  </si>
  <si>
    <t>IC-9086</t>
  </si>
  <si>
    <t>Fact#: 332015-334929 Rec#: 14011 CARRILLO ANCHUNDIA FLOR MARIA</t>
  </si>
  <si>
    <t>IC-9085</t>
  </si>
  <si>
    <t>Fact#: 335988 Rec#: 14010 VILLAMAR CARRANZA MARISOL DEL PILAR</t>
  </si>
  <si>
    <t>IC-9084</t>
  </si>
  <si>
    <t>Fact#: 335801 Rec#: 14009 FREIRE ANDRADE PAOLA MARIA</t>
  </si>
  <si>
    <t>IC-9083</t>
  </si>
  <si>
    <t>Fact#: 320555-323308-326073-328827-331659-334571 Rec#: 14008 EDDY ALBERTO BUSTOS PEÑAHERRERA</t>
  </si>
  <si>
    <t>IC-9082</t>
  </si>
  <si>
    <t>Fact#: 334102 Rec#: 30874 SILVIA XIMENA CHAVEZ CABRERA</t>
  </si>
  <si>
    <t>IC-9071</t>
  </si>
  <si>
    <t>Ingreso por pago Telconet en banco pacifico por dep en cta #doc 25067681</t>
  </si>
  <si>
    <t>DR-2224</t>
  </si>
  <si>
    <t>Fact#: 333907 Rec#: 30873 RAFAEL VICENTE ERAZO FALQUEZ</t>
  </si>
  <si>
    <t>IC-9069</t>
  </si>
  <si>
    <t>Fact#: 324559-327340-330111-332971-335895 Rec#: 14007 GONZALEZ SINCHE EDWIN VICENTE</t>
  </si>
  <si>
    <t>IC-9068</t>
  </si>
  <si>
    <t>Fact#: 330057-332917-335841 Rec#: 14006 ARROYO MOURA RENE PATRICIO</t>
  </si>
  <si>
    <t>IC-9067</t>
  </si>
  <si>
    <t>Fact#: 335600 Rec#: 14005 ROVELLO VALENCIA JOSE ROMAN</t>
  </si>
  <si>
    <t>IC-9066</t>
  </si>
  <si>
    <t>Fact#: 335681 Rec#: 14004 RUIZ RUIZ RAUL EDGARDO</t>
  </si>
  <si>
    <t>IC-9065</t>
  </si>
  <si>
    <t>Fact#: 1179-1381-1589-1778-1974-2183 Rec#: 14003 INTRIAGO ALCIVAR DAISY ADRIANA</t>
  </si>
  <si>
    <t>IC-9064</t>
  </si>
  <si>
    <t>Fact#: 333068-335992 Rec#: 14002 RAQUEL MARLENE AMAIQUEMA ILLESCAS</t>
  </si>
  <si>
    <t>IC-9063</t>
  </si>
  <si>
    <t>Fact#: 334402 Rec#: 14001 CARLOS ENRIQUE TAPIA TAPIA</t>
  </si>
  <si>
    <t>IC-9062</t>
  </si>
  <si>
    <t>Fact#: 329497-332348-335268 Rec#: 14000 INTRIAGO TORRES NARCISA JANETH</t>
  </si>
  <si>
    <t>IC-9061</t>
  </si>
  <si>
    <t>Fact#: 334048 Rec#: 13999 EVA FLORIANA JARA ESPINOZA</t>
  </si>
  <si>
    <t>IC-9060</t>
  </si>
  <si>
    <t>Fact#: 335525 Rec#: 13998 GUERRERO RENDON VICTORIA EDITA</t>
  </si>
  <si>
    <t>IC-9059</t>
  </si>
  <si>
    <t>Fact#: 334978 Rec#: 13997 LUQUE RIVAS MARIA ROSA</t>
  </si>
  <si>
    <t>IC-9058</t>
  </si>
  <si>
    <t>Fact#: 333248-336183 Rec#: 13996 MAZZINI RIVADENEIRA VALERIE GEOVANNA</t>
  </si>
  <si>
    <t>IC-9057</t>
  </si>
  <si>
    <t>Fact#: 334090 Rec#: 13995 MARIA DEL CARMEN VERA VALVERDE</t>
  </si>
  <si>
    <t>IC-9056</t>
  </si>
  <si>
    <t>Fact#: 332466-335387 Rec#: 13994 SEGOVIA TOMALA DENNIS ABEL</t>
  </si>
  <si>
    <t>IC-9055</t>
  </si>
  <si>
    <t>Fact#: 334117 Rec#: 13993 ARCE FLORES NORBERTO</t>
  </si>
  <si>
    <t>IC-9054</t>
  </si>
  <si>
    <t>Fact#: 335231 Rec#: 13992 MONTOYA RENDON GUSTAVO ADOLFO</t>
  </si>
  <si>
    <t>IC-9053</t>
  </si>
  <si>
    <t>Fact#: 336165 Rec#: 13991 GOMEZ ALCIVAR RUBER GIL</t>
  </si>
  <si>
    <t>IC-9052</t>
  </si>
  <si>
    <t>Fact#: 330325-333193-336119 Rec#: 13990 VERA DEL PEZO DOLORES VICTORIA</t>
  </si>
  <si>
    <t>IC-9051</t>
  </si>
  <si>
    <t>Fact#: 333016-335940 Rec#: 13989 BACA GARAYCOA HILDA SHELLMA</t>
  </si>
  <si>
    <t>IC-9050</t>
  </si>
  <si>
    <t>Fact#: 320847-323593-326363-329126-331965-334879 Rec#: 30875 PALACIOS DILLON ALEXANDRA DEL ROCIO</t>
  </si>
  <si>
    <t>IC-9079</t>
  </si>
  <si>
    <t>Fact#: 328710-331539-334452 Rec#: 30871 MARIA FERNANDA GONZALEZ MITE</t>
  </si>
  <si>
    <t>IC-9020</t>
  </si>
  <si>
    <t>Fact#: 335461 Rec#: 30870 VILLON SORIANO DIOSELINA SOLEDAD</t>
  </si>
  <si>
    <t>IC-9019</t>
  </si>
  <si>
    <t>Fact#: 322455-325214-327973-330780-333670 Rec#: 30869 MONCAYO ONATE NELSON GABRIEL</t>
  </si>
  <si>
    <t>IC-9018</t>
  </si>
  <si>
    <t>Fact#: 333668 Rec#: 30868 ASISTMED ASISTENCIA A MEDICOS S.A.</t>
  </si>
  <si>
    <t>IC-9017</t>
  </si>
  <si>
    <t>Fact#: 335981 Rec#: 30867 MENDIETA VILLALVA ROSA MARIA</t>
  </si>
  <si>
    <t>IC-9016</t>
  </si>
  <si>
    <t>Fact#: 334243 Rec#: 30866 CAROLINA AMALIA IDROVO PIEDRAHITA</t>
  </si>
  <si>
    <t>IC-9015</t>
  </si>
  <si>
    <t>Fact#: 335035 Rec#: 13988 SEN SANG GARCIA LENIN CESAR</t>
  </si>
  <si>
    <t>IC-9009</t>
  </si>
  <si>
    <t>Fact#: 332426-335347 Rec#: 13987 MOREIRA VELEZ MANUEL ISIDRO</t>
  </si>
  <si>
    <t>IC-9008</t>
  </si>
  <si>
    <t>Fact#: 329740-332595-335517 Rec#: 13986 TOBAR MOROCHO JOSE AUGUSTO</t>
  </si>
  <si>
    <t>IC-9007</t>
  </si>
  <si>
    <t>Fact#: 324511-327292-330062-332922-335846 Rec#: 13985 LOPEZ HERRERA FRANKLIN RIGOBERTO</t>
  </si>
  <si>
    <t>IC-9006</t>
  </si>
  <si>
    <t>Fact#: 318660-321376-324128-326903-329669-332523-335446 Rec#: 13984 ARMIJOS BURGOS ZOILA EUGENIA</t>
  </si>
  <si>
    <t>IC-9005</t>
  </si>
  <si>
    <t>Fact#: 334593 Rec#: 13983 EDWIN ANDRES REYES TOALA</t>
  </si>
  <si>
    <t>IC-9004</t>
  </si>
  <si>
    <t>Fact#: 331688-334601 Rec#: 13982 EDISON FERNANDO MERA CASTAÑEDA</t>
  </si>
  <si>
    <t>IC-9003</t>
  </si>
  <si>
    <t>Fact#: 335863 Rec#: 13981 PERALTA RODRIGUEZ MARLON SANTIAGO</t>
  </si>
  <si>
    <t>IC-9002</t>
  </si>
  <si>
    <t>Fact#: 332908-335832 Rec#: 13980 BUSTAMANTE CHUQUIMARCA SANDRA ELIZABETH</t>
  </si>
  <si>
    <t>IC-9001</t>
  </si>
  <si>
    <t>Fact#: 335705 Rec#: 13979 CHANCAY SOLEDISPA VICTOR MANUEL</t>
  </si>
  <si>
    <t>IC-9000</t>
  </si>
  <si>
    <t>Fact#: 328358-331179-334092 Rec#: 13978 ROSA MARGARITA  BARRIGA CANTOS</t>
  </si>
  <si>
    <t>IC-8999</t>
  </si>
  <si>
    <t>Fact#: 334358 Rec#: 13977 ANDREA CANAHUATI CHAIN</t>
  </si>
  <si>
    <t>IC-8998</t>
  </si>
  <si>
    <t>Fact#: 334835 Rec#: 13976 MARTEN CABALLERO NILDA</t>
  </si>
  <si>
    <t>IC-8997</t>
  </si>
  <si>
    <t>Fact#: 331764-334677 Rec#: 13975 ADRIANA DE LOS ANGELES CUENCA SALAZAR</t>
  </si>
  <si>
    <t>IC-8996</t>
  </si>
  <si>
    <t>Fact#: 334585 Rec#: 13974 WILMER RIGOBERTO ROMERO ROBLES</t>
  </si>
  <si>
    <t>IC-8995</t>
  </si>
  <si>
    <t>Fact#: 332955-335879 Rec#: 13973 CABRERA GOMEZ MARTHA INES</t>
  </si>
  <si>
    <t>IC-8994</t>
  </si>
  <si>
    <t>Fact#: 334024 Rec#: 13972 CAROLA MISHEL ABISAAB MEDINA</t>
  </si>
  <si>
    <t>IC-8993</t>
  </si>
  <si>
    <t>Fact#: 336252 Rec#: 13971 TUMBACO VERA JOSE LUIS</t>
  </si>
  <si>
    <t>IC-8992</t>
  </si>
  <si>
    <t>Fact#: 283750-286032-288326 Rec#: 13970 LUCIA COLLAZO BAJAÑA</t>
  </si>
  <si>
    <t>IC-8991</t>
  </si>
  <si>
    <t>Fact#: 333212-336138 Rec#: 13969 ALCIVAR GARRIDO FABRICIO ANTONIO</t>
  </si>
  <si>
    <t>IC-8990</t>
  </si>
  <si>
    <t>Fact#: 322991-325751-328502-331324-334236 Rec#: 13968 JIMMY LEANDRO MERCHAN JALCA</t>
  </si>
  <si>
    <t>IC-8989</t>
  </si>
  <si>
    <t>Fact#: 322413-325169-327928-330737-333627 Rec#: 13967 LOOR VIEJO ESTEFANIA EILLIN</t>
  </si>
  <si>
    <t>IC-8988</t>
  </si>
  <si>
    <t>Fact#: 326455-329218-332059-334973 Rec#: 13966 ANDRADE ALVARADO NANCY NOEMI</t>
  </si>
  <si>
    <t>IC-8987</t>
  </si>
  <si>
    <t>Fact#: 262553-275650-277815 Rec#: 13965 VERONICA JAYONARA TENORIO QUIÑONEZ</t>
  </si>
  <si>
    <t>IC-8986</t>
  </si>
  <si>
    <t>Fact#: 257142-258814-260381 Rec#: 13964 SEGUNDO ELEUTERIO OROVIO COROZO</t>
  </si>
  <si>
    <t>IC-8985</t>
  </si>
  <si>
    <t>Fact#: 331289-334201 Rec#: 30865 CRISTOBAL ELIEZER CORREA REYES</t>
  </si>
  <si>
    <t>IC-8978</t>
  </si>
  <si>
    <t>Fact#: 336266 Rec#: 30862 ANGEL ROGELIO PUMA MEDINA</t>
  </si>
  <si>
    <t>IC-8959</t>
  </si>
  <si>
    <t>Fact#: 334763 Rec#: 30861 ANGEL ROGELIO PUMA MEDINA</t>
  </si>
  <si>
    <t>IC-8958</t>
  </si>
  <si>
    <t>Fact#: 331032-333946 Rec#: 31059 SERGIO ANDRES SEMMINARIO VALENZUELA</t>
  </si>
  <si>
    <t>IC-9987</t>
  </si>
  <si>
    <t>Fact#: 333858 Rec#: 30864 OTECEL</t>
  </si>
  <si>
    <t>IC-8974</t>
  </si>
  <si>
    <t>Fact#: 333449 Rec#: 30863 YARECUADOR CIA. LTDA</t>
  </si>
  <si>
    <t>IC-8960</t>
  </si>
  <si>
    <t>Fact#: 312948-315610-318303 Rec#: 30860 MORAN CABELLO JUSUETH WENSTLAND</t>
  </si>
  <si>
    <t>IC-8957</t>
  </si>
  <si>
    <t>Fact#: 326779-329543-332394-335314 Rec#: 30859 VALERO CEPEDA IVONNE MARIA</t>
  </si>
  <si>
    <t>IC-8956</t>
  </si>
  <si>
    <t>Fact#: 336147 Rec#: 30858 MARTINEZ PUGA XAVIER ENRRIQUE</t>
  </si>
  <si>
    <t>IC-8955</t>
  </si>
  <si>
    <t>Fact#: 333914 Rec#: 30857 VICTOR ANTONIO AGUSTO ALVARADO</t>
  </si>
  <si>
    <t>IC-8954</t>
  </si>
  <si>
    <t>Fact#: 334875 Rec#: 30856 LOPEZ PALACIOS DANNY CHRISTIAN</t>
  </si>
  <si>
    <t>IC-8953</t>
  </si>
  <si>
    <t>Fact#: 323674-326444-329207-332047-334961 Rec#: 30855 HERRERA DIAZ HIALINA AMALIA DE LAS ROSAS</t>
  </si>
  <si>
    <t>IC-8952</t>
  </si>
  <si>
    <t>Fact#: 335169 Rec#: 30854 NARANJO BENITES LUIS ALBERTO</t>
  </si>
  <si>
    <t>IC-8951</t>
  </si>
  <si>
    <t>Fact#: 321407-324162-326938-329705-332559-335481 Rec#: 30853 ECHEVERRIA MATA ALVARO DANIEL</t>
  </si>
  <si>
    <t>IC-8950</t>
  </si>
  <si>
    <t>Fact#: 332193-335109 Rec#: 30852 CARRION RODRIGUEZ RICHARD HAMILTON</t>
  </si>
  <si>
    <t>IC-8949</t>
  </si>
  <si>
    <t>Fact#: 334179 Rec#: 13963 BELLA FRANCISCA FARIAS BANEGAS</t>
  </si>
  <si>
    <t>IC-8948</t>
  </si>
  <si>
    <t>Fact#: 2292 Rec#: 13962 CRUZ CESAR BELISARIO</t>
  </si>
  <si>
    <t>IC-8947</t>
  </si>
  <si>
    <t>Fact#: 331143-334056 Rec#: 13961 ALEX ENRIQUE  MARTINEZ ESPINOZA</t>
  </si>
  <si>
    <t>IC-8946</t>
  </si>
  <si>
    <t>Fact#: 331034-333948 Rec#: 13960 LUIS MANUEL COBOS ARANA</t>
  </si>
  <si>
    <t>IC-8945</t>
  </si>
  <si>
    <t>Fact#: 334066 Rec#: 13959 LAURA BEATRIZ  ENCALADA ESPINOZA</t>
  </si>
  <si>
    <t>IC-8944</t>
  </si>
  <si>
    <t>Fact#: 335592 Rec#: 13958 JURADO VELEZ JONNY EUGENIO</t>
  </si>
  <si>
    <t>IC-8943</t>
  </si>
  <si>
    <t>Fact#: 323227-325992-328745-331574-334487 Rec#: 13957 MICHAEL MAURICIO MORLA MERO</t>
  </si>
  <si>
    <t>IC-8942</t>
  </si>
  <si>
    <t>Fact#: 334022 Rec#: 13956 SANDRA PATRICIA MOREJON LLANOS</t>
  </si>
  <si>
    <t>IC-8941</t>
  </si>
  <si>
    <t>Fact#: 335810 Rec#: 13955 CASTRO AGUA MARLON JOSE</t>
  </si>
  <si>
    <t>IC-8940</t>
  </si>
  <si>
    <t>Fact#: 320651-323402-326168-328924-331760-334674 Rec#: 13954 CARLOS RAUL CARPIO FREIRE</t>
  </si>
  <si>
    <t>IC-8939</t>
  </si>
  <si>
    <t>Fact#: 321331-324085-326859-329624-332475-335396 Rec#: 13953 CAMPUZANO CASTILLO TOMAS ROLANDO</t>
  </si>
  <si>
    <t>IC-8938</t>
  </si>
  <si>
    <t>Fact#: 321395-324149-326925-329691-332545-335468 Rec#: 13952 CAMPUZANO BRAVO KAROLY ANDREA</t>
  </si>
  <si>
    <t>IC-8937</t>
  </si>
  <si>
    <t>Fact#: 331994-334908 Rec#: 13951 BURGOS BRIONES MARIA PAMELA</t>
  </si>
  <si>
    <t>IC-8936</t>
  </si>
  <si>
    <t>Fact#: 321592-324347-327125-329894-332752-335677 Rec#: 13950 VELASCO ZAMBRANO NORA DEL PILAR</t>
  </si>
  <si>
    <t>IC-8935</t>
  </si>
  <si>
    <t>Fact#: 331514-334427 Rec#: 13949 NORMA TATIANA ORELLANA LUNA</t>
  </si>
  <si>
    <t>IC-8934</t>
  </si>
  <si>
    <t>Fact#: 394-524-770 Rec#: 13948 ZAMBRANO LOOR ENITA LEONOR</t>
  </si>
  <si>
    <t>IC-8933</t>
  </si>
  <si>
    <t>Fact#: 329015-331853-334766 Rec#: 13947 ALEXANDRE FABIAN MARTINEZ CARRION</t>
  </si>
  <si>
    <t>IC-8932</t>
  </si>
  <si>
    <t>Fact#: 330529-330937 Rec#: 30848 MEGADATOS S.A.</t>
  </si>
  <si>
    <t>IC-8882</t>
  </si>
  <si>
    <t>Fact#: 2160 Rec#: 30847 HERRERA CIFUENTES ESTUARDO WLADIMIR</t>
  </si>
  <si>
    <t>IC-8881</t>
  </si>
  <si>
    <t>Fact#: 333582 Rec#: 30846 EXCELCALL ECUADOR</t>
  </si>
  <si>
    <t>IC-8877</t>
  </si>
  <si>
    <t>Fact#: 331619-334531 Rec#: 30845 EDISON PATRICIO SOSA SALAME</t>
  </si>
  <si>
    <t>IC-8876</t>
  </si>
  <si>
    <t>Fact#: 336007 Rec#: 30844 ESPINOSA ESPINOZA HUGO STANLEY</t>
  </si>
  <si>
    <t>IC-8875</t>
  </si>
  <si>
    <t>Fact#: 328182-331001 Rec#: 30851 ARTURO ALFONSO VELASCO TUTIVEN</t>
  </si>
  <si>
    <t>IC-8888</t>
  </si>
  <si>
    <t>Fact#: 336133 Rec#: 13946 BROCEL LOZANO DIEGO EFRAIN</t>
  </si>
  <si>
    <t>IC-8858</t>
  </si>
  <si>
    <t>Fact#: 329269-332112-335026 Rec#: 13945 PARRAGA CEDENO JOSE VIRGILIO</t>
  </si>
  <si>
    <t>IC-8857</t>
  </si>
  <si>
    <t>Fact#: 335970 Rec#: 13944 LAUZO MARISCAL MANUEL DAVID</t>
  </si>
  <si>
    <t>IC-8856</t>
  </si>
  <si>
    <t>Fact#: 316511-330262-333123-336049 Rec#: 13943 FERRIN ANDRADE ERICKA MARIUXI</t>
  </si>
  <si>
    <t>IC-8855</t>
  </si>
  <si>
    <t>Fact#: 320648-323399-326165-328921-331757-334671 Rec#: 13942 CARLOS ENRIQUE PAZ FIALLOS</t>
  </si>
  <si>
    <t>IC-8854</t>
  </si>
  <si>
    <t>Fact#: 336084 Rec#: 13941 NIETO CORDERO EDYIMAR JOSEFINA</t>
  </si>
  <si>
    <t>IC-8853</t>
  </si>
  <si>
    <t>Fact#: 335549 Rec#: 13940 MORALES GUARANDA SERGIO ANTONIO</t>
  </si>
  <si>
    <t>IC-8852</t>
  </si>
  <si>
    <t>Fact#: 332578-335500 Rec#: 13939 ORTEGA ARGUELLO GISELLA LORENA</t>
  </si>
  <si>
    <t>IC-8851</t>
  </si>
  <si>
    <t>Fact#: 320817-323565-326335-329097-331936-334850 Rec#: 13938 LOOR GOMEZ MARIA ANTONIETA</t>
  </si>
  <si>
    <t>IC-8850</t>
  </si>
  <si>
    <t>Fact#: 330139-332999-335923 Rec#: 13937 RIVERA PINTO RAMONA ELIZABETH</t>
  </si>
  <si>
    <t>IC-8849</t>
  </si>
  <si>
    <t>Fact#: 324851-330414-333297-336237 Rec#: 13936 ZAMBRANO RODRIGUEZ JESUS ALBERTO</t>
  </si>
  <si>
    <t>IC-8848</t>
  </si>
  <si>
    <t>Fact#: 328794-331625-334537 Rec#: 13935 HOLGER ALFREDO TOMALA DE LA ROSA</t>
  </si>
  <si>
    <t>IC-8847</t>
  </si>
  <si>
    <t>Fact#: 334994 Rec#: 13934 TOMALA SANCAN JORGE LUIS</t>
  </si>
  <si>
    <t>IC-8846</t>
  </si>
  <si>
    <t>Fact#: 334786 Rec#: 13933 TOMALA SANCAN JORGE LUIS</t>
  </si>
  <si>
    <t>IC-8845</t>
  </si>
  <si>
    <t>Fact#: 332098-335012 Rec#: 13932 BAÑOS BARRAGAN FLOR AMERICA</t>
  </si>
  <si>
    <t>IC-8844</t>
  </si>
  <si>
    <t>Fact#: 335870 Rec#: 13931 REYES SOLIS  MARJORIE YOLANDA</t>
  </si>
  <si>
    <t>IC-8843</t>
  </si>
  <si>
    <t>Fact#: 333056-335980 Rec#: 13930 MEDINA FLORES DANIEL FRANCISCO</t>
  </si>
  <si>
    <t>IC-8842</t>
  </si>
  <si>
    <t>Fact#: 330944 Rec#: 30843 CONSORCIO ECUATORIANO DE TELECOMUNICACIONES S.A. CONECEL</t>
  </si>
  <si>
    <t>IC-8874</t>
  </si>
  <si>
    <t>Fact#: 336124 Rec#: 30842 CHACON CALDERON SARITA MARIA DE LOS ANGEL</t>
  </si>
  <si>
    <t>IC-8872</t>
  </si>
  <si>
    <t>Fact#: 334562 Rec#: 30841 CATHERINE NICOLE RUGEL CARRERA</t>
  </si>
  <si>
    <t>IC-8871</t>
  </si>
  <si>
    <t>Fact#: 332106-335020 Rec#: 30840 BAJANA DE LA ROSA SANTIAGO EDISON</t>
  </si>
  <si>
    <t>IC-8870</t>
  </si>
  <si>
    <t>Fact#: 333706 Rec#: 30839 BAJANA DE LA ROSA SANTIAGO EDISON</t>
  </si>
  <si>
    <t>IC-8869</t>
  </si>
  <si>
    <t>Fact#: 335147 Rec#: 30838 PERALTA CASTILLO ELSA DEL ROCIO</t>
  </si>
  <si>
    <t>IC-8868</t>
  </si>
  <si>
    <t>Fact#: 322935-325693-328442-331263-334176 Rec#: 30837 NESTOR AGUSTIN SIMANCAS PINTA</t>
  </si>
  <si>
    <t>IC-8867</t>
  </si>
  <si>
    <t>Fact#: 328843-331677-334590 Rec#: 30836 MELCHOR MAURICIO VALENCIA PEREZ</t>
  </si>
  <si>
    <t>IC-8866</t>
  </si>
  <si>
    <t>Fact#: 324116-326891-329657-332511-335434 Rec#: 30835 MERA ESPINOZA LEONEL ANTONIO</t>
  </si>
  <si>
    <t>IC-8865</t>
  </si>
  <si>
    <t>Fact#: 324117-326892-329658-332512-335435 Rec#: 30834 MERA ESPINOZA LEONEL ANTONIO</t>
  </si>
  <si>
    <t>IC-8864</t>
  </si>
  <si>
    <t>Fact#: 329636-332488-335411 Rec#: 13929 MOLINA PALMA WALTER DANIEL</t>
  </si>
  <si>
    <t>IC-8841</t>
  </si>
  <si>
    <t>Fact#: 329514-332365-335285 Rec#: 13928 INTRIAGO GANCHOZO ANGELA MERCEDES</t>
  </si>
  <si>
    <t>IC-8840</t>
  </si>
  <si>
    <t>Fact#: 334200 Rec#: 13927 MARIA PIEDAD MONTALVAN CAMPOVERDE</t>
  </si>
  <si>
    <t>IC-8839</t>
  </si>
  <si>
    <t>Fact#: 325635-328386-331207-334119 Rec#: 13926 VINUEZA GALLARDO CARLOS ENRIQUE</t>
  </si>
  <si>
    <t>IC-8838</t>
  </si>
  <si>
    <t>Fact#: 335266 Rec#: 13925 APOLO QUEZADA IVAN RAMIRO</t>
  </si>
  <si>
    <t>IC-8837</t>
  </si>
  <si>
    <t>Fact#: 322797-325554-328305-331126-334039 Rec#: 13924 ROXANA ELIZABETH QUIMI MORA</t>
  </si>
  <si>
    <t>IC-8836</t>
  </si>
  <si>
    <t>Fact#: 334829 Rec#: 13923 FREDDY PABLO  ENDARA SAAVEDRA</t>
  </si>
  <si>
    <t>IC-8835</t>
  </si>
  <si>
    <t>Fact#: 332985-335909 Rec#: 13922 AGUAYO SOLORZANO JOEL GEOVANNY</t>
  </si>
  <si>
    <t>IC-8834</t>
  </si>
  <si>
    <t>Fact#: 332699-335624 Rec#: 13921 INFANTE MINDIOLA JULIA MARLENE</t>
  </si>
  <si>
    <t>IC-8833</t>
  </si>
  <si>
    <t>Fact#: 324411-327191-329961-332821-335745 Rec#: 13920 RONALD DAVID CONTRERAS POTES</t>
  </si>
  <si>
    <t>IC-8832</t>
  </si>
  <si>
    <t>Fact#: 320856-323603-326373-329136-331975-334889 Rec#: 13919 QUIÑONEZ SIMISTERRA CARLOS EFREN</t>
  </si>
  <si>
    <t>IC-8831</t>
  </si>
  <si>
    <t>Fact#: 335509 Rec#: 13918 ROBALINO VALENCIA  SPARTA SUSANA</t>
  </si>
  <si>
    <t>IC-8830</t>
  </si>
  <si>
    <t>Fact#: 332024-334938 Rec#: 13917 GAVINO LARREATEGUI  JUAN ALFREDO</t>
  </si>
  <si>
    <t>IC-8829</t>
  </si>
  <si>
    <t>Fact#: 332380-335300 Rec#: 30833 PUERO CUERO CARLOS JULIO</t>
  </si>
  <si>
    <t>IC-8818</t>
  </si>
  <si>
    <t>Fact#: 321899-324656-327438-330209-333070 Rec#: 30832 GABINO MIRANDA DAVID EDUARDO</t>
  </si>
  <si>
    <t>IC-8817</t>
  </si>
  <si>
    <t>N/D TRANSFERENCIA CNT EP, CANCELACIÓN DE FACTURAS#151973913, 151973914, 151973915 Y 151973916</t>
  </si>
  <si>
    <t>Fact#: 328727-331556-334469 Rec#: 30849 MARCIA ANGELICA URIÑA ZAMORA</t>
  </si>
  <si>
    <t>IC-8883</t>
  </si>
  <si>
    <t>Fact#: 333455 Rec#: 30831 AUTOMERCADO S.A.</t>
  </si>
  <si>
    <t>IC-8800</t>
  </si>
  <si>
    <t>Fact#: 333456 Rec#: 30830 AUTOMERCADO S.A.</t>
  </si>
  <si>
    <t>IC-8799</t>
  </si>
  <si>
    <t>Fact#: 334023 Rec#: 30829 PABLO ENRIQUE GONZENBACH IGLESIAS</t>
  </si>
  <si>
    <t>IC-8798</t>
  </si>
  <si>
    <t>Fact#: 333849-333852 Rec#: 30828 HAIRLOFT S.A.</t>
  </si>
  <si>
    <t>IC-8797</t>
  </si>
  <si>
    <t>Fact#: 333850-333853 Rec#: 30827 HAIRLOFT S.A.</t>
  </si>
  <si>
    <t>IC-8796</t>
  </si>
  <si>
    <t>Fact#: 333851-333854 Rec#: 30826 HAIRLOFT S.A.</t>
  </si>
  <si>
    <t>IC-8795</t>
  </si>
  <si>
    <t>Fact#: 331869-334783 Rec#: 30825 TANHIA ELIZABETH SUAREZ CHANCAY</t>
  </si>
  <si>
    <t>IC-8794</t>
  </si>
  <si>
    <t>Fact#: 334222 Rec#: 30824 JAIME RICARDO ZUÑIGA RODRIGUEZ</t>
  </si>
  <si>
    <t>IC-8793</t>
  </si>
  <si>
    <t>Fact#: 331341-334253 Rec#: 30823 HENRY LENY BETANCOURT VITERI</t>
  </si>
  <si>
    <t>IC-8792</t>
  </si>
  <si>
    <t>Fact#: 330709-333598 Rec#: 30822 YIDEASA S.A</t>
  </si>
  <si>
    <t>IC-8791</t>
  </si>
  <si>
    <t>Fact#: 328272-331093-334006 Rec#: 30821 FREDDY RENE VALLEJO MEDRANDA</t>
  </si>
  <si>
    <t>IC-8790</t>
  </si>
  <si>
    <t>Fact#: 332258-335175 Rec#: 30820 BERNAL MORAN ALEX XAVIER</t>
  </si>
  <si>
    <t>IC-8789</t>
  </si>
  <si>
    <t>Fact#: 333887 Rec#: 30819 SIMON EMILIO BRIONES LOOR</t>
  </si>
  <si>
    <t>IC-8788</t>
  </si>
  <si>
    <t>Fact#: 334309 Rec#: 13916 MARIA DEL ROSARIO GUZMAN MASPONS</t>
  </si>
  <si>
    <t>IC-8782</t>
  </si>
  <si>
    <t>Fact#: 1851-2047-2256 Rec#: 13915 CHAVEZ ZAMBRANO BRYAN SEBASTIAN</t>
  </si>
  <si>
    <t>IC-8781</t>
  </si>
  <si>
    <t>Fact#: 331652-334564 Rec#: 13914 DAYANNA ANABELL BAQUERIZO AQUINO</t>
  </si>
  <si>
    <t>IC-8780</t>
  </si>
  <si>
    <t>Fact#: 1324-1530-1729-1919-2125 Rec#: 13913 RODRIGUEZ GUEVARA MARIA AUGUSTA</t>
  </si>
  <si>
    <t>IC-8779</t>
  </si>
  <si>
    <t>Fact#: 333991 Rec#: 13912 ELSIE RUTH  ZERDA BARRENO</t>
  </si>
  <si>
    <t>IC-8778</t>
  </si>
  <si>
    <t>Fact#: 333809 Rec#: 13911 ANTEPARAS FOOD COMPANY ANTEFOOD S.A.</t>
  </si>
  <si>
    <t>IC-8777</t>
  </si>
  <si>
    <t>Fact#: 331732-334646 Rec#: 13910 GALO ENRIQUE ESTUPIÑAN VERA</t>
  </si>
  <si>
    <t>IC-8776</t>
  </si>
  <si>
    <t>Fact#: 320433-323189-325953-328704-331533-334446 Rec#: 13909 GIOVANNY FRANCISCO TOLOZANO YEPEZ</t>
  </si>
  <si>
    <t>IC-8775</t>
  </si>
  <si>
    <t>Fact#: 333966 Rec#: 13908 MORAIMA SEMINARIO TOLEDO</t>
  </si>
  <si>
    <t>IC-8774</t>
  </si>
  <si>
    <t>Fact#: 320686-323437-326203-328960-331798-334711 Rec#: 13907 XAVIER ESTRADA BJARNER</t>
  </si>
  <si>
    <t>IC-8773</t>
  </si>
  <si>
    <t>Fact#: 334111 Rec#: 13906 PAZMIÑO COELLO JAIME MARCELO</t>
  </si>
  <si>
    <t>IC-8772</t>
  </si>
  <si>
    <t>Fact#: 2063-2272 Rec#: 13905 GUERRERO CASTRO ROSA ELVIRA</t>
  </si>
  <si>
    <t>IC-8771</t>
  </si>
  <si>
    <t>Fact#: 328262-331082-333996 Rec#: 13904 EDDY MANUEL CHAVEZ CEDEÑO</t>
  </si>
  <si>
    <t>IC-8770</t>
  </si>
  <si>
    <t>Fact#: 300152-302712-305357 Rec#: 13903 BAILON ANCHUNDIA JAIME ENRIQUE</t>
  </si>
  <si>
    <t>IC-8769</t>
  </si>
  <si>
    <t>Fact#: 1843-2039-2248 Rec#: 13902 PAREDES PEREZ GUSTAVO XAVIER</t>
  </si>
  <si>
    <t>IC-8768</t>
  </si>
  <si>
    <t>Fact#: 334904 Rec#: 13901 ZAMBRANO CASTRO JOSE JAIR</t>
  </si>
  <si>
    <t>IC-8767</t>
  </si>
  <si>
    <t>Fact#: 332517-335440 Rec#: 13900 DESINTONIO HUAYAMAVE ALBERTO LUIS</t>
  </si>
  <si>
    <t>IC-8766</t>
  </si>
  <si>
    <t>Fact#: 334878 Rec#: 13899 VASQUEZ AYALA MARIA DE LOURDES</t>
  </si>
  <si>
    <t>IC-8765</t>
  </si>
  <si>
    <t>Fact#: 331575-334488 Rec#: 13898 CORA MARGARITA ROCIO GALLARDO CRUSELLAS</t>
  </si>
  <si>
    <t>IC-8764</t>
  </si>
  <si>
    <t>Fact#: 334302 Rec#: 13897 CARLOS IVAN AGUIRRE GARCIA</t>
  </si>
  <si>
    <t>IC-8763</t>
  </si>
  <si>
    <t>Fact#: 333988 Rec#: 30812 OMAR  PALADINES CORDOVA</t>
  </si>
  <si>
    <t>IC-8733</t>
  </si>
  <si>
    <t>Fact#: 332826-335751 Rec#: 30818 CASTAÑEDA RENDON JOFFRE AUGUSTO</t>
  </si>
  <si>
    <t>IC-8787</t>
  </si>
  <si>
    <t>Fact#: 331129-334042 Rec#: 30817 NELSON SAVITRI  VELASCO PAZMIÑO</t>
  </si>
  <si>
    <t>IC-8786</t>
  </si>
  <si>
    <t>Fact#: 331149-334062 Rec#: 30816 MARIA EUGENIA  HERBAS HERRERA</t>
  </si>
  <si>
    <t>IC-8785</t>
  </si>
  <si>
    <t>Fact#: 327039-329807-332663-335588 Rec#: 30815 DE LA ROSA FIGUEROA GABRIELA TATIANA</t>
  </si>
  <si>
    <t>IC-8784</t>
  </si>
  <si>
    <t>Fact#: 331091-334004 Rec#: 30814 LOURDES JANET BRITO GUILLEN</t>
  </si>
  <si>
    <t>IC-8783</t>
  </si>
  <si>
    <t>Fact#: 331332-334244 Rec#: 30813 JAVIER SANTIAGO GUZHÑAY ANDRADE</t>
  </si>
  <si>
    <t>IC-8746</t>
  </si>
  <si>
    <t>Fact#: 334455 Rec#: 30811 ENRIQUE FEDERICO ARENAS PILATAXI</t>
  </si>
  <si>
    <t>IC-8732</t>
  </si>
  <si>
    <t>Fact#: 334217 Rec#: 30810 MARIA CRISTINA LOAIZA BREVI</t>
  </si>
  <si>
    <t>IC-8731</t>
  </si>
  <si>
    <t>Fact#: 334059 Rec#: 30809 MARIA ALEXANDRA  ECHEVERRIA VERA</t>
  </si>
  <si>
    <t>IC-8730</t>
  </si>
  <si>
    <t>Fact#: 333587 Rec#: 30808 DATA TOOLS S.A.</t>
  </si>
  <si>
    <t>IC-8729</t>
  </si>
  <si>
    <t>Fact#: 1573 Rec#: 13896 ENTERPRISING S.A</t>
  </si>
  <si>
    <t>IC-8728</t>
  </si>
  <si>
    <t>Fact#: 332312 Rec#: 30807 PINCAY SILVA FERNANDO RAFAEL</t>
  </si>
  <si>
    <t>IC-8710</t>
  </si>
  <si>
    <t>Fact#: 331066 Rec#: 30806 LAURO DAVID TORRES CARRILLO</t>
  </si>
  <si>
    <t>IC-8709</t>
  </si>
  <si>
    <t>PAGO TARJ. CORP. MES DE JULIO-2020</t>
  </si>
  <si>
    <t>Fact#: 326493-329256-332097 Rec#: 30805 MACIAS PERUGACHI OSCAR ROLANDO</t>
  </si>
  <si>
    <t>IC-8696</t>
  </si>
  <si>
    <t>Fact#: 318015-320750-323502-326269-329029-331867 Rec#: 30804 VICTOR IGNACIO LAINEZ ECHEVERRIA</t>
  </si>
  <si>
    <t>IC-8690</t>
  </si>
  <si>
    <t>Fact#: 331926 Rec#: 30803 SALAZAR JAIME CECILIA NARCISA</t>
  </si>
  <si>
    <t>IC-8689</t>
  </si>
  <si>
    <t>Fact#: 322410-325166-327925-330734-333624 Rec#: 30802 ALVARADO PIN EMILIO PABLO</t>
  </si>
  <si>
    <t>IC-8688</t>
  </si>
  <si>
    <t>Fact#: 331937 Rec#: 30801 JERVIS BASURTO KENYA SORAYA</t>
  </si>
  <si>
    <t>IC-8687</t>
  </si>
  <si>
    <t>Fact#: 331085 Rec#: 30800 GLORIA ISABEL MITE LEON</t>
  </si>
  <si>
    <t>IC-8686</t>
  </si>
  <si>
    <t>Fact#: 332513 Rec#: 30799 VELIZ CASTRO RICARDO XAVIER</t>
  </si>
  <si>
    <t>IC-8685</t>
  </si>
  <si>
    <t>Fact#: 332235 Rec#: 13895 VALLEJO MARTINEZ LEIDIZ DIANA</t>
  </si>
  <si>
    <t>IC-8684</t>
  </si>
  <si>
    <t>Fact#: 321541-324293-327070-329838-332694 Rec#: 13894 TOALA VELEZ CONSUELO ELIZABETH</t>
  </si>
  <si>
    <t>IC-8683</t>
  </si>
  <si>
    <t>Fact#: 333481 Rec#: 13893 LABORATORIOS RENALABSA S A</t>
  </si>
  <si>
    <t>IC-8682</t>
  </si>
  <si>
    <t>Fact#: 332707 Rec#: 13892 MOELLER GOMEZ ROMMY LEE</t>
  </si>
  <si>
    <t>IC-8681</t>
  </si>
  <si>
    <t>Fact#: 333385 Rec#: 13891 CRUSBET S.A</t>
  </si>
  <si>
    <t>IC-8680</t>
  </si>
  <si>
    <t>Fact#: 321078-323834-326604-329369-332213 Rec#: 13890 SALINAS RIVADENEIRA JACQUELINE ANDREA</t>
  </si>
  <si>
    <t>IC-8679</t>
  </si>
  <si>
    <t>Fact#: 333330 Rec#: 13889 GUILLEN RENGIFO GLENDA ELIZABETH</t>
  </si>
  <si>
    <t>IC-8678</t>
  </si>
  <si>
    <t>Fact#: 321007-323760-326529-329292-332136 Rec#: 13888 RAMIREZ RUIZ MILTON EMILIO</t>
  </si>
  <si>
    <t>IC-8677</t>
  </si>
  <si>
    <t>Fact#: 1157-1353-972 Rec#: 13887 BORJA UYANA DANIEL GENARO</t>
  </si>
  <si>
    <t>IC-8676</t>
  </si>
  <si>
    <t>Fact#: 331299 Rec#: 13886 JENNIFER MARITZA BAJAÑA MERCHAN</t>
  </si>
  <si>
    <t>IC-8675</t>
  </si>
  <si>
    <t>Fact#: 329678-332532 Rec#: 13885 QUIMI LOPEZ FROILAN TITO</t>
  </si>
  <si>
    <t>IC-8674</t>
  </si>
  <si>
    <t>Fact#: 333335-333864-333867 Rec#: 30798 RAMIREZ RAMIREZ JORGE VICENTE</t>
  </si>
  <si>
    <t>IC-8650</t>
  </si>
  <si>
    <t>Fact#: 332000 Rec#: 13884 MURILLO MIRANDA GUILLERMO XAVIER</t>
  </si>
  <si>
    <t>IC-8649</t>
  </si>
  <si>
    <t>Fact#: 332669 Rec#: 13883 BALSECA CALVA GRACIELA RAQUEL</t>
  </si>
  <si>
    <t>IC-8648</t>
  </si>
  <si>
    <t>Fact#: 307205-309985-312745 Rec#: 13882 RODRIGUEZ QUINDE MARIA DEL PILAR</t>
  </si>
  <si>
    <t>IC-8647</t>
  </si>
  <si>
    <t>Fact#: 318809-321521-324270-327046-329814-332670 Rec#: 13881 MORALES MARCILLO YESENIA MONICA</t>
  </si>
  <si>
    <t>IC-8646</t>
  </si>
  <si>
    <t>Fact#: 331048 Rec#: 13880 ALFREDO BARRIGA HOLGUIN</t>
  </si>
  <si>
    <t>IC-8645</t>
  </si>
  <si>
    <t>MORENO TELLO CELI DURINDANA CANCELA TELEFONO 3907365 ABONA SGTE FACTURA</t>
  </si>
  <si>
    <t>Fact#: 332397 Rec#: 13879 ASTUDILLO JARA ISRAEL WILLIAM</t>
  </si>
  <si>
    <t>IC-8644</t>
  </si>
  <si>
    <t>Fact#: 327542-330337-333207 Rec#: 13878 BROCEL LOZANO DIEGO EFRAIN</t>
  </si>
  <si>
    <t>IC-8643</t>
  </si>
  <si>
    <t>Fact#: 324084-326858-329623-332474 Rec#: 13877 BERMELLO PONCE SALBADOR ATILIO</t>
  </si>
  <si>
    <t>IC-8642</t>
  </si>
  <si>
    <t>Fact#: 330530-333424 Rec#: 13876 ASOCIACION DE PROPIETARIOS DE LA URBANIZACION PUER</t>
  </si>
  <si>
    <t>IC-8641</t>
  </si>
  <si>
    <t>Fact#: 318275-321001-323754-326523-329286-332130 Rec#: 13875 SALAS NORIEGA BLANCA TERESA</t>
  </si>
  <si>
    <t>IC-8640</t>
  </si>
  <si>
    <t>REVERSO POR ERROR EN DEPOSITO, INGRESO POR PAGO TELCONET BCO PACIFICO POR DEP EN CTA #DOC 26457744</t>
  </si>
  <si>
    <t>REVERSO POR ERROR EN DEPOSITO, INGRESO POR PAGO TELCONET BCO PACIFICO POR DEP EN CTA #DOC 8665</t>
  </si>
  <si>
    <t>Fact#: 333460 Rec#: 30949 STEVEN MICHAEL RAMOS MEZA</t>
  </si>
  <si>
    <t>IC-9380</t>
  </si>
  <si>
    <t>Fact#: 333825 Rec#: 30797 EMPRESA PUBLICA MUNICIPAL PARA LA GESTIÓN DE LA INNOVACIÓN  Y LA COMPETITIVIDAD, EP</t>
  </si>
  <si>
    <t>IC-8638</t>
  </si>
  <si>
    <t>Fact#: 333636 Rec#: 30796 PAYLESS SHOESOURCE ECUADOR CIA. LTDA.</t>
  </si>
  <si>
    <t>IC-8637</t>
  </si>
  <si>
    <t>Fact#: 331920 Rec#: 13874 GOMEZ SALAZAR CARLOS ALBERTO</t>
  </si>
  <si>
    <t>IC-8630</t>
  </si>
  <si>
    <t>Fact#: 332473 Rec#: 13873 NEIRA PILLASAGUA ROSA DEL CARMEN</t>
  </si>
  <si>
    <t>IC-8629</t>
  </si>
  <si>
    <t>Fact#: 332854 Rec#: 13872 LARA MARURI SANDRA ELIZABETH</t>
  </si>
  <si>
    <t>IC-8628</t>
  </si>
  <si>
    <t>Fact#: 333187 Rec#: 13871 CARREÑO ACOSTA JESUS LAUREANO</t>
  </si>
  <si>
    <t>IC-8627</t>
  </si>
  <si>
    <t>Fact#: 332282 Rec#: 13870 VALLE GONZALEZ LIDIA ELIZABETH</t>
  </si>
  <si>
    <t>IC-8626</t>
  </si>
  <si>
    <t>Fact#: 332491 Rec#: 13869 CEVALLOS ORVEN AMADITA</t>
  </si>
  <si>
    <t>IC-8625</t>
  </si>
  <si>
    <t>Fact#: 333774 Rec#: 13868 TRSC ENTERPRISES S.A</t>
  </si>
  <si>
    <t>IC-8624</t>
  </si>
  <si>
    <t>Fact#: 326951-329718-332572 Rec#: 13867 BRAVO BRIONES JOSE FEDERICO</t>
  </si>
  <si>
    <t>IC-8623</t>
  </si>
  <si>
    <t>Fact#: 304717-307469-310240 Rec#: 13866 BELARDE BRAVO WILLIAM JASMANI</t>
  </si>
  <si>
    <t>IC-8622</t>
  </si>
  <si>
    <t>Fact#: 332166 Rec#: 30795 DURAN POLIT MARIA DANIELLA</t>
  </si>
  <si>
    <t>IC-8621</t>
  </si>
  <si>
    <t>Fact#: 331089 Rec#: 30794 BENILDA JESUS ACOSTA ZAMBRANO</t>
  </si>
  <si>
    <t>IC-8620</t>
  </si>
  <si>
    <t>Fact#: 330570 Rec#: 30791 STEVEN MICHAEL RAMOS MEZA</t>
  </si>
  <si>
    <t>IC-8597</t>
  </si>
  <si>
    <t>N/D TRANSFERENCIA PAGO DE FONDOS DE RESERVA MES DE JUNIO 2020</t>
  </si>
  <si>
    <t>N/D TRANSFERENCIA 1ER ANTICIPO A FACTURA POR HONORARIOS MES DE JULIO 2020, A PABLO BAQUERIZO D.</t>
  </si>
  <si>
    <t>N/D TRANSFERENCIA ROLES DE PAGO DE 1ERA QUINCENA MES DE JULIO 2020</t>
  </si>
  <si>
    <t>N/D RANSFERENCIA CANCELACIÓN FACTURA#1678885 CNEL EP</t>
  </si>
  <si>
    <t>Fact#: 2026 Rec#: 30793 ZAPATA FLORES GILMAR FABRICIO</t>
  </si>
  <si>
    <t>IC-8602</t>
  </si>
  <si>
    <t>Fact#: 312808-315478-318172 Rec#: 30792 DAGER PESANTES OMAR ALEJANDRO</t>
  </si>
  <si>
    <t>IC-8598</t>
  </si>
  <si>
    <t>Fact#: 325011-327779-330581-333472 Rec#: 30790 CAMPOS Y ASOCIADOS CIA LTDA</t>
  </si>
  <si>
    <t>IC-8596</t>
  </si>
  <si>
    <t>Fact#: 333369 Rec#: 30789 LAUDE S.A. LAUDESA ADMINISTRADORA DE FONDOS Y FIDEICOMISOS</t>
  </si>
  <si>
    <t>IC-8595</t>
  </si>
  <si>
    <t>Fact#: 322872-325629-328380-331201 Rec#: 30788 RIOS ORELLANA INGRID DE LA CRUZ</t>
  </si>
  <si>
    <t>IC-8594</t>
  </si>
  <si>
    <t>Fact#: 182173-184259-186330 Rec#: 13865 EDUARDO ENRIQUE CROW MOREIRA</t>
  </si>
  <si>
    <t>IC-8589</t>
  </si>
  <si>
    <t>Fact#: 1983 Rec#: 13864 CRUZ SANTANA MARCOS BOLIVAR</t>
  </si>
  <si>
    <t>IC-8588</t>
  </si>
  <si>
    <t>Fact#: 328445-331267 Rec#: 13863 BELLA FRANCISCA FARIAS BANEGAS</t>
  </si>
  <si>
    <t>IC-8587</t>
  </si>
  <si>
    <t>Fact#: 331615 Rec#: 13862 ALONSO RIGOBERTO VALENCIA CHICA</t>
  </si>
  <si>
    <t>IC-8586</t>
  </si>
  <si>
    <t>Fact#: 320499-323254-326019-328772-331602 Rec#: 13861 ERIKA SUGEY ANCHUNDIA ALVARADO</t>
  </si>
  <si>
    <t>IC-8585</t>
  </si>
  <si>
    <t>Fact#: 328290-331111 Rec#: 13860 CAROLA MISHEL ABISAAB MEDINA</t>
  </si>
  <si>
    <t>IC-8584</t>
  </si>
  <si>
    <t>Fact#: 332355 Rec#: 13859 MIRABAL RODRIGUEZ CRISTINA</t>
  </si>
  <si>
    <t>IC-8583</t>
  </si>
  <si>
    <t>Fact#: 333319 Rec#: 13858 LEMOS CASTILLO PEDRO FELIX</t>
  </si>
  <si>
    <t>IC-8582</t>
  </si>
  <si>
    <t>Fact#: 329664-332518 Rec#: 13857 ORTEGA QUIMI ADRIANA ALEXANDRA</t>
  </si>
  <si>
    <t>IC-8581</t>
  </si>
  <si>
    <t>Fact#: 329351-332195 Rec#: 13856 ESPINOSA CORDOVA TEODULO FRANCISCO</t>
  </si>
  <si>
    <t>IC-8580</t>
  </si>
  <si>
    <t>Fact#: 322338-325095-327862-330666-333555 Rec#: 13855 NEDERAGRO S.A.</t>
  </si>
  <si>
    <t>IC-8579</t>
  </si>
  <si>
    <t>Fact#: 332452 Rec#: 13854 SALAZAR TELLO NICOLAS EDUARDO</t>
  </si>
  <si>
    <t>IC-8578</t>
  </si>
  <si>
    <t>Fact#: 330260-333121 Rec#: 13853 RENGIFO DAZA BELKYS VANESSA</t>
  </si>
  <si>
    <t>IC-8577</t>
  </si>
  <si>
    <t>Fact#: 320705-323455-326221-328979-331817 Rec#: 13852 ESMERALDA MARITZA ALVARADO SEGURA</t>
  </si>
  <si>
    <t>IC-8576</t>
  </si>
  <si>
    <t>Fact#: 329639-332493 Rec#: 13851 SOLEDISPA LAVAYEN DANNY ARNULFO</t>
  </si>
  <si>
    <t>IC-8575</t>
  </si>
  <si>
    <t>Fact#: 331489 Rec#: 13850 CARLOS ENRIQUE TAPIA TAPIA</t>
  </si>
  <si>
    <t>IC-8574</t>
  </si>
  <si>
    <t>Fact#: 333861 Rec#: 30787 CEDAP.S.A.</t>
  </si>
  <si>
    <t>IC-8564</t>
  </si>
  <si>
    <t>CAMPOS MANZABA ESTEFANIA XIOMARA CANCELA TELEFONO 3908084 ABONA SGTE FACTURA</t>
  </si>
  <si>
    <t>AT-3078</t>
  </si>
  <si>
    <t>N/D TRANSFERENCIA PAGO DE PLLAS. IESS NORMALES MES DE JUN-2020, COMP#130919177, A PABLO BAQUERIZO D.</t>
  </si>
  <si>
    <t>N/D TRANSFERENCIA PAGO DE PLLAS. IESS NORMALES MES DE JUN-2020, COMP#130915583</t>
  </si>
  <si>
    <t>N/D TRANSFERENCIA PAGO DE PLLAS. IESS AJUSTES MES DE JUN-2020, COMP#130919036</t>
  </si>
  <si>
    <t>N/D TRANSFERENCIA PAGO DE PLLAS. IESS FONDOS DE RESERVA MES DE JUN 2020, COMP#19974847</t>
  </si>
  <si>
    <t>N/D TRANSFERENCIA PAGO DE PLLAS. IESS PREST. QUIROGRAFARIO MES DE JUNIO 2020, COMP#27352331</t>
  </si>
  <si>
    <t>N/D TRANSFERENCIA PAGO DE PLLAS. IESS. PREST. HIPOTECARIO MES DE JUN 2020, COMP#8959750</t>
  </si>
  <si>
    <t>N/D TRANSFERENCIA CANCELACIÓN DE INTERESES A CNT EP</t>
  </si>
  <si>
    <t>N/D TRANSFERENCIA CANCELACIÓN FACTURA#22224026 CNEL EP</t>
  </si>
  <si>
    <t>N/D TRANSFERENCIA CANCELACIÓN FACTURA#22378938 CNEL EP</t>
  </si>
  <si>
    <t>N/D TRANSFERENCIA CANCELACIÓN FACTURA#22344488 CNEL EP</t>
  </si>
  <si>
    <t>N/D TRANSFERENCIA CANCELACIÓN FACTURA#22325947 CNEL EP</t>
  </si>
  <si>
    <t>N/D TRANSFERENCIA CANCELACIÓN FACTURA#22255096 CNEL EP</t>
  </si>
  <si>
    <t>N/D TRANSFERENCIA CANCELACIÓN FACTURA#22347072 C.T.V. PORTAL AL SOL, CNEL EP</t>
  </si>
  <si>
    <t>Fact#: 333471 Rec#: 30786 OPENGROUP S.A.</t>
  </si>
  <si>
    <t>IC-8558</t>
  </si>
  <si>
    <t>Fact#: 328507-331329 Rec#: 30783 LUIS ANTONIO CARVAJAL TORAL</t>
  </si>
  <si>
    <t>IC-8555</t>
  </si>
  <si>
    <t>Fact#: 333500 Rec#: 30782 CHRISTIAN JAVIER MIDEROS ROMERO</t>
  </si>
  <si>
    <t>IC-8554</t>
  </si>
  <si>
    <t>Fact#: 326799-329564-332416 Rec#: 13849 CAMPOVERDE AREVALO WILLIAM HERNAN</t>
  </si>
  <si>
    <t>IC-8547</t>
  </si>
  <si>
    <t>Fact#: 332625 Rec#: 13848 SANCHEZ QUINCHUELA INES MONICA</t>
  </si>
  <si>
    <t>IC-8546</t>
  </si>
  <si>
    <t>Fact#: 321250-324008-326781-329545-332396 Rec#: 13847 CEVALLOS BRIONES GEMA PAOLA</t>
  </si>
  <si>
    <t>IC-8545</t>
  </si>
  <si>
    <t>Fact#: 328671-331500 Rec#: 13846 LUIS GALO IDROBO ACEBO</t>
  </si>
  <si>
    <t>IC-8544</t>
  </si>
  <si>
    <t>Fact#: 332995 Rec#: 13845 PONCE BURGOS NORMA ISABEL</t>
  </si>
  <si>
    <t>IC-8543</t>
  </si>
  <si>
    <t>Fact#: 332996 Rec#: 13844 PONCE BURGOS NORMA ISABEL</t>
  </si>
  <si>
    <t>IC-8542</t>
  </si>
  <si>
    <t>Fact#: 333072 Rec#: 13843 SANCHEZ PEREZ FRANCISCO ROBERTO</t>
  </si>
  <si>
    <t>IC-8541</t>
  </si>
  <si>
    <t>Fact#: 1232-1430-1638-1826-2022 Rec#: 13842 CORONEL CARRION DOLY ALBERTINA DE LOURDES</t>
  </si>
  <si>
    <t>IC-8540</t>
  </si>
  <si>
    <t>Fact#: 331597 Rec#: 13841 CESAR ORLANDO VALLEJO VERA</t>
  </si>
  <si>
    <t>IC-8539</t>
  </si>
  <si>
    <t>Fact#: 329020-331858 Rec#: 13840 MONICA DEL ROCIO VARGAS VARGAS</t>
  </si>
  <si>
    <t>IC-8538</t>
  </si>
  <si>
    <t>Fact#: 327553-330348-333226 Rec#: 13839 RODAS NEIRA MARCIA ELENA</t>
  </si>
  <si>
    <t>IC-8537</t>
  </si>
  <si>
    <t>Fact#: 319088-321794-324541-327322-330092-332952 Rec#: 13838 INDACOCHEA TUBAY BYRON JOSE</t>
  </si>
  <si>
    <t>IC-8536</t>
  </si>
  <si>
    <t>Fact#: 332005 Rec#: 13837 SAN LUCAS PEÑA SHEYLA</t>
  </si>
  <si>
    <t>IC-8535</t>
  </si>
  <si>
    <t>Fact#: 333480 Rec#: 30781 ELECTROMOOM S.A.</t>
  </si>
  <si>
    <t>IC-8518</t>
  </si>
  <si>
    <t>Fact#: 331337 Rec#: 30780 CARLOS GUILLERMO MUÑOZ GUTIERREZ</t>
  </si>
  <si>
    <t>IC-8517</t>
  </si>
  <si>
    <t>Fact#: 331557 Rec#: 13836 NILO JUSTINO GUERRERO INDIO</t>
  </si>
  <si>
    <t>IC-8515</t>
  </si>
  <si>
    <t>Fact#: 329280-332124 Rec#: 13835 ELIZALDE MAZZINI PAULINA GABRIELA</t>
  </si>
  <si>
    <t>IC-8514</t>
  </si>
  <si>
    <t>Fact#: 329253-332094 Rec#: 13834 RODRIGUEZ BASANTES VERONICA VIOLETA</t>
  </si>
  <si>
    <t>IC-8513</t>
  </si>
  <si>
    <t>Fact#: 333430 Rec#: 13833 REFRIGERACIÓN INDUSTRIAL CORNEJO REFRICOR-EC CIA.</t>
  </si>
  <si>
    <t>IC-8512</t>
  </si>
  <si>
    <t>Fact#: 333429 Rec#: 13832 REFRIGERACIÓN INDUSTRIAL CORNEJO REFRICOR-EC CIA.</t>
  </si>
  <si>
    <t>IC-8511</t>
  </si>
  <si>
    <t>Fact#: 325143-327903-330712-333601 Rec#: 13831 CEDAP.S.A.</t>
  </si>
  <si>
    <t>IC-8510</t>
  </si>
  <si>
    <t>Fact#: 324546-327327-330098-332958 Rec#: 13830 HERRERA LOOR GUILLERMO NILBERTO</t>
  </si>
  <si>
    <t>IC-8509</t>
  </si>
  <si>
    <t>Fact#: 321068-323825-326594-329359-332203 Rec#: 13829 ALVERNIA OJEDA NIDIA ROSA</t>
  </si>
  <si>
    <t>IC-8508</t>
  </si>
  <si>
    <t>Fact#: 330591-333482 Rec#: 13828 FILUS S.A</t>
  </si>
  <si>
    <t>IC-8507</t>
  </si>
  <si>
    <t>Fact#: 322262-325022-327790-330592-333483 Rec#: 13827 FILUS S.A</t>
  </si>
  <si>
    <t>IC-8506</t>
  </si>
  <si>
    <t>Fact#: 319059-321758-324505-327286-330056-332916 Rec#: 13826 SOLARTE SOLARTE HERNEY SEBASTIAN</t>
  </si>
  <si>
    <t>IC-8505</t>
  </si>
  <si>
    <t>Fact#: 331155 Rec#: 13825 HAYDEE GANDIOSA  FALUGIANI MORA</t>
  </si>
  <si>
    <t>IC-8504</t>
  </si>
  <si>
    <t>Fact#: 1921-2127 Rec#: 13824 AGUILAR ECHEVERRIA LUIS FERNANDO</t>
  </si>
  <si>
    <t>IC-8503</t>
  </si>
  <si>
    <t>Fact#: 329694-332548 Rec#: 13823 ORELLANA CALDERON JUAN CARLOS</t>
  </si>
  <si>
    <t>IC-8502</t>
  </si>
  <si>
    <t>Fact#: 333358 Rec#: 30779 SOLVESA  ECUADOR S.A</t>
  </si>
  <si>
    <t>IC-8497</t>
  </si>
  <si>
    <t>Fact#: 714-715 Rec#: 30777 F.V - AREA ANDINA S.A.</t>
  </si>
  <si>
    <t>IC-8496</t>
  </si>
  <si>
    <t>INGRESO POR DEPOSITO TELCONET BCO PACIFICO POR DEP EN CTA #DOC 225758662</t>
  </si>
  <si>
    <t>DR-1769</t>
  </si>
  <si>
    <t>N/D TRANSFERENCIA CANCELACIÓN FACTURA#1523569 CNEL EP</t>
  </si>
  <si>
    <t>Fact#: 319847-322619-325383-328128 Rec#: 30850 EMPRESA PUBLICA MUNICIPAL DE TELECOMUNICACIONES, AGUA POTABLE, ALCANTARILLADO Y SANEAMIENTO DE CUENCA. ETAPA EP.</t>
  </si>
  <si>
    <t>IC-8885</t>
  </si>
  <si>
    <t>Fact#: 331123 Rec#: 30776 JORGE JOSE  TORBAY GONZALEZ</t>
  </si>
  <si>
    <t>IC-8491</t>
  </si>
  <si>
    <t>Fact#: 331180 Rec#: 30775 PATRICIA ALEXANDRA  COBOS JARA</t>
  </si>
  <si>
    <t>IC-8490</t>
  </si>
  <si>
    <t>Fact#: 333360 Rec#: 30774 DORCIEN S.A</t>
  </si>
  <si>
    <t>IC-8489</t>
  </si>
  <si>
    <t>Fact#: 331150 Rec#: 30773 CARMEN NARCISA  JURADO PAREDES</t>
  </si>
  <si>
    <t>IC-8488</t>
  </si>
  <si>
    <t>Fact#: 331244 Rec#: 30772 VILLAO JURADO ANDREA BELEN</t>
  </si>
  <si>
    <t>IC-8487</t>
  </si>
  <si>
    <t>Fact#: 331118 Rec#: 30771 MARIA DOLORES COBOS MARMOLEJO</t>
  </si>
  <si>
    <t>IC-8486</t>
  </si>
  <si>
    <t>Fact#: 330970 Rec#: 30770 JORGE ALFREDO FRANCO MORAN</t>
  </si>
  <si>
    <t>IC-8485</t>
  </si>
  <si>
    <t>Fact#: 332007 Rec#: 13822 MERCHAN  PEREZ FABIAN BERNARDINO</t>
  </si>
  <si>
    <t>IC-8484</t>
  </si>
  <si>
    <t>Fact#: 332185 Rec#: 13821 COROZO CORTEZ VICTOR LELY</t>
  </si>
  <si>
    <t>IC-8483</t>
  </si>
  <si>
    <t>Fact#: 331915 Rec#: 13820 FREDDY PABLO  ENDARA SAAVEDRA</t>
  </si>
  <si>
    <t>IC-8482</t>
  </si>
  <si>
    <t>Fact#: 332044 Rec#: 13819 CHACHA MOREIRA SINTIA PAOLA</t>
  </si>
  <si>
    <t>IC-8481</t>
  </si>
  <si>
    <t>Fact#: 1205-1404-1612-1800-1996 Rec#: 13818 SILVA REA OLIVO AMADO</t>
  </si>
  <si>
    <t>IC-8480</t>
  </si>
  <si>
    <t>Fact#: 331288 Rec#: 13817 MARIA PIEDAD MONTALVAN CAMPOVERDE</t>
  </si>
  <si>
    <t>IC-8479</t>
  </si>
  <si>
    <t>Fact#: 329159-331998 Rec#: 13816 CABEZA BENITEZ MONSERRATE FATIMA</t>
  </si>
  <si>
    <t>IC-8478</t>
  </si>
  <si>
    <t>Fact#: 323698-326468-329231-332072 Rec#: 13815 RUIZ ZAMBRANO JUAN MANUEL</t>
  </si>
  <si>
    <t>IC-8477</t>
  </si>
  <si>
    <t>Fact#: 331638 Rec#: 13814 PEDRO JAVIER BAQUERIZO SUAREZ</t>
  </si>
  <si>
    <t>IC-8476</t>
  </si>
  <si>
    <t>Fact#: 332607 Rec#: 30767 MUNOZ CANTOS MARIA FERNANDA</t>
  </si>
  <si>
    <t>IC-8460</t>
  </si>
  <si>
    <t>Fact#: 332733 Rec#: 13813 ROMO VILLAFUERTE MARIA ISABEL</t>
  </si>
  <si>
    <t>IC-8456</t>
  </si>
  <si>
    <t>Fact#: 329099-331938 Rec#: 13812 PEREZ CASTRO MARIANA DE JESUS</t>
  </si>
  <si>
    <t>IC-8455</t>
  </si>
  <si>
    <t>Fact#: 329053-331891 Rec#: 13811 MINCHALA ZAMBRANO TOBIA ANDRES</t>
  </si>
  <si>
    <t>IC-8454</t>
  </si>
  <si>
    <t>Fact#: 331736 Rec#: 13810 SARA DEL CONSUELO OCHOA VELASCO</t>
  </si>
  <si>
    <t>IC-8453</t>
  </si>
  <si>
    <t>Fact#: 321509-324260-327036-329804-332660 Rec#: 13809 PALMA MACIAS ROBERTO CARLOS</t>
  </si>
  <si>
    <t>IC-8452</t>
  </si>
  <si>
    <t>N/D por comisiones de western union por recaudacion del 01/07/2020 al 09/07/2020</t>
  </si>
  <si>
    <t>Fact#: 328126 Rec#: 30769 CONSORCIO ECUATORIANO DE TELECOMUNICACIONES S.A. CONECEL</t>
  </si>
  <si>
    <t>IC-8462</t>
  </si>
  <si>
    <t>Fact#: 330952 Rec#: 30768 CONSORCIO ECUATORIANO DE TELECOMUNICACIONES S.A. CONECEL</t>
  </si>
  <si>
    <t>IC-8461</t>
  </si>
  <si>
    <t>Fact#: 327979-328004-328005-328006-330786-330811-330812-330813 Rec#: 30766 RUIZ ROMAN ROMMEL ELIAS</t>
  </si>
  <si>
    <t>IC-8451</t>
  </si>
  <si>
    <t>Fact#: 333563 Rec#: 30765 CIPORT &amp; TECNAC CIPTE C.L</t>
  </si>
  <si>
    <t>IC-8445</t>
  </si>
  <si>
    <t>Fact#: 333393 Rec#: 30764 GRANITECSA S.A</t>
  </si>
  <si>
    <t>IC-8444</t>
  </si>
  <si>
    <t>Fact#: 333361 Rec#: 30763 LG ELECTRONICS PANAMA S.A</t>
  </si>
  <si>
    <t>IC-8443</t>
  </si>
  <si>
    <t>Fact#: 331058 Rec#: 30759 JAVIER MAURICIO RODRIGO ALBAN</t>
  </si>
  <si>
    <t>IC-8439</t>
  </si>
  <si>
    <t>Fact#: 332014 Rec#: 13808 QUIÑONEZ VILLOTA KATTY ELIANA</t>
  </si>
  <si>
    <t>IC-8434</t>
  </si>
  <si>
    <t>Fact#: 329902-332760 Rec#: 13807 CASTRO BARZOLA KEVIN JONATHAN</t>
  </si>
  <si>
    <t>IC-8433</t>
  </si>
  <si>
    <t>Fact#: 329009-331847 Rec#: 13806 LISETTE VICTORIA FRANCO CASTRO</t>
  </si>
  <si>
    <t>IC-8432</t>
  </si>
  <si>
    <t>Fact#: 332706 Rec#: 13805 MALDONADO VILLAMAR HUMBERTO MARTIN</t>
  </si>
  <si>
    <t>IC-8431</t>
  </si>
  <si>
    <t>Fact#: 328550-331373 Rec#: 13804 XIMENA DE LOURDES VASQUEZ HINOJOSA</t>
  </si>
  <si>
    <t>IC-8430</t>
  </si>
  <si>
    <t>Fact#: 333048 Rec#: 13803 FIGUEROA GAVELA SILVIA FABIOLA</t>
  </si>
  <si>
    <t>IC-8429</t>
  </si>
  <si>
    <t>Fact#: 332877 Rec#: 13802 FREIRE ANDRADE PAOLA MARIA</t>
  </si>
  <si>
    <t>IC-8428</t>
  </si>
  <si>
    <t>Fact#: 332487 Rec#: 13801 ROMERO VERSOZA RICARDO GERONIMO</t>
  </si>
  <si>
    <t>IC-8427</t>
  </si>
  <si>
    <t>Fact#: 323434-326200-328957-331795 Rec#: 13800 RAWAD MACHLB BZEIH BARAKAT</t>
  </si>
  <si>
    <t>IC-8426</t>
  </si>
  <si>
    <t>N/D BANCO DEL PACIFICO OTECEL S.A. CANCELACIÓN FACTURA#67479437 PLAN CORP. Y CUOTA 1/24</t>
  </si>
  <si>
    <t>Fact#: 2118 Rec#: 30762 CABEZAS GUERRA MARIA DEL CARMEN</t>
  </si>
  <si>
    <t>IC-8442</t>
  </si>
  <si>
    <t>Fact#: 333527 Rec#: 30761 CONSTRU-YA S.A.</t>
  </si>
  <si>
    <t>IC-8441</t>
  </si>
  <si>
    <t>Fact#: 321124-323880-326651-329417-332263 Rec#: 30760 ZHICAY CARRILLO FRANKLIN GEOVANNY</t>
  </si>
  <si>
    <t>IC-8440</t>
  </si>
  <si>
    <t>Fact#: 327985-330792-333682 Rec#: 30758 HAIRLOFT S.A.</t>
  </si>
  <si>
    <t>IC-8423</t>
  </si>
  <si>
    <t>Fact#: 327986-330793-333683 Rec#: 30757 HAIRLOFT S.A.</t>
  </si>
  <si>
    <t>IC-8422</t>
  </si>
  <si>
    <t>Fact#: 328034-330841-333734 Rec#: 30756 HAIRLOFT S.A.</t>
  </si>
  <si>
    <t>IC-8421</t>
  </si>
  <si>
    <t>IC-8420</t>
  </si>
  <si>
    <t>Fact#: 1972 Rec#: 30755 GUATEMAL COLIMBA JUAN BAUTISTA</t>
  </si>
  <si>
    <t>IC-8419</t>
  </si>
  <si>
    <t>Fact#: 331849 Rec#: 13799 JOSE ANTONIO CABEZAS BURGOS</t>
  </si>
  <si>
    <t>IC-8398</t>
  </si>
  <si>
    <t>Fact#: 328634-331463 Rec#: 13798 ERICK LUIS GARCIA CONTRERAS</t>
  </si>
  <si>
    <t>IC-8397</t>
  </si>
  <si>
    <t>Fact#: 332838 Rec#: 13797 GUAMANQUISPE FLORES ESPERANZA ANTONIETA</t>
  </si>
  <si>
    <t>IC-8396</t>
  </si>
  <si>
    <t>Fact#: 332075 Rec#: 13796 BRAVO ZAMBRANO HENRY MICHEL</t>
  </si>
  <si>
    <t>IC-8395</t>
  </si>
  <si>
    <t>Fact#: 332807 Rec#: 13795 CHUCA CHANCAY ANDREA BETZABETH</t>
  </si>
  <si>
    <t>IC-8394</t>
  </si>
  <si>
    <t>Fact#: 332123 Rec#: 13794 ARROBA VALENCIA  JULIO ZENON</t>
  </si>
  <si>
    <t>IC-8393</t>
  </si>
  <si>
    <t>Fact#: 328284-331105 Rec#: 13793 GRACIELA ELENA CAMACHO COELLO</t>
  </si>
  <si>
    <t>IC-8392</t>
  </si>
  <si>
    <t>Fact#: 329033-331871 Rec#: 13792 PRECIADO MOREIRA GABRIELA STEFANIA</t>
  </si>
  <si>
    <t>IC-8391</t>
  </si>
  <si>
    <t>Fact#: 332379 Rec#: 13791 YUMBLA MENDIETA MONICA ELIZABETH</t>
  </si>
  <si>
    <t>IC-8390</t>
  </si>
  <si>
    <t>Fact#: 322272-325031-327799-330601-333492 Rec#: 13790 FOODSERVEC FOOD SERVICE ECUADOR S.A</t>
  </si>
  <si>
    <t>IC-8389</t>
  </si>
  <si>
    <t>Fact#: 321027-323784-326553-329318-332161 Rec#: 13789 GOMEZ PENAFIEL BLANCA VICTORIA</t>
  </si>
  <si>
    <t>IC-8388</t>
  </si>
  <si>
    <t>Fact#: 321767-324514-327295-330065-332925 Rec#: 13788 VILLACIS ALVARADO EDGAR EUSTORGIO</t>
  </si>
  <si>
    <t>IC-8387</t>
  </si>
  <si>
    <t>Fact#: 332285 Rec#: 13787 PENAFIEL TAPIA FRANCISCO MIGUEL</t>
  </si>
  <si>
    <t>IC-8386</t>
  </si>
  <si>
    <t>Fact#: 2042 Rec#: 13786 ZABALA BARRIONUEVO RITA CECILIA</t>
  </si>
  <si>
    <t>IC-8385</t>
  </si>
  <si>
    <t>Fact#: 324509-327290-330060-332920 Rec#: 13785 LOPEZ CARCHI CARLOS ANTONIO</t>
  </si>
  <si>
    <t>IC-8384</t>
  </si>
  <si>
    <t>Fact#: 324403-327183-329953-332813 Rec#: 13784 MORAN POZO CRUZ HYDEE</t>
  </si>
  <si>
    <t>IC-8383</t>
  </si>
  <si>
    <t>Fact#: 330171-333031 Rec#: 13783 MARIN RIVERA FREDDY OMAR</t>
  </si>
  <si>
    <t>IC-8382</t>
  </si>
  <si>
    <t>Fact#: 333046 Rec#: 13782 LAUZO MARISCAL MANUEL DAVID</t>
  </si>
  <si>
    <t>IC-8381</t>
  </si>
  <si>
    <t>AMERICAN EXPRESS CANCELACION DEBITO TARJETAS GUAYAQUIL- PAGO DE FACT 331339- 331770- 331802- 333495- 331947- 333654- 333657- 332318-332679- 332832- 332984- 333061- 333069- 332764- 332978- 333110- 333184- 333821</t>
  </si>
  <si>
    <t>VISA - MASTERCARD - PACIFICARD CANCELACION DEBITO TARJETAS GUAYAQUIL- PAGO DE FACT 331306 - 333402- 331351- 331664- 333496- 333497- 333507- 331934- 331674- 332820- 2032</t>
  </si>
  <si>
    <t>Fact#: 333392 Rec#: 30754 SOLUCIONES SEGURAS S.A</t>
  </si>
  <si>
    <t>IC-8376</t>
  </si>
  <si>
    <t>Fact#: 331759 Rec#: 30753 XAVIER ALFREDO ZANABRIA VILLAMAR</t>
  </si>
  <si>
    <t>IC-8375</t>
  </si>
  <si>
    <t>Fact#: 333522 Rec#: 30752 JORGE ARTURO ZANABRIA VILLAMAR</t>
  </si>
  <si>
    <t>IC-8374</t>
  </si>
  <si>
    <t>Fact#: 331357 Rec#: 30751 MANUEL ISAIAS TAPIA LOPEZ</t>
  </si>
  <si>
    <t>IC-8373</t>
  </si>
  <si>
    <t>Fact#: 331768 Rec#: 13781 MARITZA MABEL USHIÑA GIRALDO</t>
  </si>
  <si>
    <t>IC-8370</t>
  </si>
  <si>
    <t>Fact#: 332775 Rec#: 13780 BORBOR MORENO LUIS ANTONIO</t>
  </si>
  <si>
    <t>IC-8369</t>
  </si>
  <si>
    <t>Fact#: 304260-307015-309803 Rec#: 13779 HANS EDUARDO NORIEGA ALBUJA</t>
  </si>
  <si>
    <t>IC-8368</t>
  </si>
  <si>
    <t>Fact#: 321600-324354-327132-329901-332759 Rec#: 13778 AGILA MALDONADO MANUEL HORACIO</t>
  </si>
  <si>
    <t>IC-8367</t>
  </si>
  <si>
    <t>Fact#: 315664-318356-321082 Rec#: 13777 PINCAY YANINA LORENA</t>
  </si>
  <si>
    <t>IC-8366</t>
  </si>
  <si>
    <t>Fact#: 331613 Rec#: 13776 TEODOMIRO MAYO</t>
  </si>
  <si>
    <t>IC-8365</t>
  </si>
  <si>
    <t>Fact#: 333547 Rec#: 13775 CENTRO CARDIOLOGICO PREVENCARDIO CIA. LTDA.</t>
  </si>
  <si>
    <t>IC-8364</t>
  </si>
  <si>
    <t>Fact#: 331375 Rec#: 13774 SANTIAGO ISRAEL PUERTAS SOLANO</t>
  </si>
  <si>
    <t>IC-8363</t>
  </si>
  <si>
    <t>Fact#: 320780-323530-326300-329061-331899 Rec#: 13773 YAGUAL GOMEZ JOHAN ALEJANDRO</t>
  </si>
  <si>
    <t>IC-8362</t>
  </si>
  <si>
    <t>Fact#: 331925 Rec#: 13772 ORTIZ CARRILLO ROBERTO JAVIER</t>
  </si>
  <si>
    <t>IC-8361</t>
  </si>
  <si>
    <t>Fact#: 2010 Rec#: 13771 CRUZ JOSE AMABLE</t>
  </si>
  <si>
    <t>IC-8360</t>
  </si>
  <si>
    <t>Fact#: 333251 Rec#: 13770 ZAPATA ROMERO ROBERTO DRUVAL</t>
  </si>
  <si>
    <t>IC-8359</t>
  </si>
  <si>
    <t>Fact#: 331990 Rec#: 13769 ZAMBRANO CASTRO JOSE JAIR</t>
  </si>
  <si>
    <t>IC-8358</t>
  </si>
  <si>
    <t>Fact#: 332601 Rec#: 13768 ROSERO MERCADO ELSA KARINA</t>
  </si>
  <si>
    <t>IC-8357</t>
  </si>
  <si>
    <t>Fact#: 333064 Rec#: 13767 VILLAMAR CARRANZA MARISOL DEL PILAR</t>
  </si>
  <si>
    <t>IC-8356</t>
  </si>
  <si>
    <t>Fact#: 331603 Rec#: 13766 WILSON ISMAEL MIRANDA POZO</t>
  </si>
  <si>
    <t>IC-8355</t>
  </si>
  <si>
    <t>Fact#: 328166-330986 Rec#: 30750 GIOVANNY NARVAEZ PORTILLA</t>
  </si>
  <si>
    <t>IC-8332</t>
  </si>
  <si>
    <t>Fact#: 332182 Rec#: 30749 SOXO QUICHIMBO IVONNE ALEXANDRA</t>
  </si>
  <si>
    <t>IC-8331</t>
  </si>
  <si>
    <t>Fact#: 332337 Rec#: 30748 DUARTE DEMERA FRANCISCO JAVIER</t>
  </si>
  <si>
    <t>IC-8330</t>
  </si>
  <si>
    <t>Fact#: 331943 Rec#: 30747 RUIZ VELEZ LIBIA KARINA</t>
  </si>
  <si>
    <t>IC-8329</t>
  </si>
  <si>
    <t>Fact#: 323347-326112-328866-331700 Rec#: 13765 JAZMIN ESMERALDAS GONZALEZ RON</t>
  </si>
  <si>
    <t>IC-8328</t>
  </si>
  <si>
    <t>Fact#: 2051 Rec#: 13764 ESPIN BIFARINI LOURDES TAMARA</t>
  </si>
  <si>
    <t>IC-8327</t>
  </si>
  <si>
    <t>Fact#: 329846-332702 Rec#: 13763 MARIN CESAR EDUARDO</t>
  </si>
  <si>
    <t>IC-8326</t>
  </si>
  <si>
    <t>Fact#: 325309-328067-330874-333766 Rec#: 13762 SPORTMEDIC.S.A</t>
  </si>
  <si>
    <t>IC-8325</t>
  </si>
  <si>
    <t>Fact#: 323744-326513-329276-332120 Rec#: 13761 MOLINA ALCIVAR CESAR RAUL</t>
  </si>
  <si>
    <t>IC-8324</t>
  </si>
  <si>
    <t>Fact#: 332320 Rec#: 13760 ORTEGA CONFORME  JANET AURORA</t>
  </si>
  <si>
    <t>IC-8323</t>
  </si>
  <si>
    <t>Fact#: 328774-331605 Rec#: 13759 MARTHA WENDY VILLEGAS MONTOYA</t>
  </si>
  <si>
    <t>IC-8322</t>
  </si>
  <si>
    <t>Fact#: 1223-1421-1629-1817-2013 Rec#: 13758 CEVALLOS SUAREZ MARIO RUBEN</t>
  </si>
  <si>
    <t>IC-8321</t>
  </si>
  <si>
    <t>Fact#: 328844-331678 Rec#: 13757 NANCY ESTHELA SANCHEZ</t>
  </si>
  <si>
    <t>IC-8320</t>
  </si>
  <si>
    <t>Fact#: 333106 Rec#: 13756 MERA NERO JHONNY ALEXANDER</t>
  </si>
  <si>
    <t>IC-8319</t>
  </si>
  <si>
    <t>Fact#: 328282-331103 Rec#: 13755 VICENTE GABRIEL VINUEZA MERINO</t>
  </si>
  <si>
    <t>IC-8318</t>
  </si>
  <si>
    <t>Fact#: 331537 Rec#: 13754 JAVIER ENRIQUE ARTEAGA MENENDEZ</t>
  </si>
  <si>
    <t>IC-8317</t>
  </si>
  <si>
    <t>Fact#: 332478 Rec#: 13753 GUERRERO AMAYA DIEGO ANDRES</t>
  </si>
  <si>
    <t>IC-8316</t>
  </si>
  <si>
    <t>Fact#: 321022-323778-326547-329312-332155 Rec#: 13752 SARMIENTO SARMIENTO JULIO RODRIGO</t>
  </si>
  <si>
    <t>IC-8315</t>
  </si>
  <si>
    <t>Fact#: 332115 Rec#: 13751 CASTRO DORADO MARJORIE LUCIA</t>
  </si>
  <si>
    <t>IC-8314</t>
  </si>
  <si>
    <t>Fact#: 323537-326307-329068-331906 Rec#: 13750 ROBAYO GONZALEZ ROBERTO JAVIER</t>
  </si>
  <si>
    <t>IC-8313</t>
  </si>
  <si>
    <t>Fact#: 331578 Rec#: 13749 BLANCA VERONICA LITARDO CANARTE</t>
  </si>
  <si>
    <t>IC-8312</t>
  </si>
  <si>
    <t>Fact#: 317122-319865-322633-325390-328137-330958 Rec#: 13748 SONNIA VANESSA AVILA ESPINOZA</t>
  </si>
  <si>
    <t>IC-8311</t>
  </si>
  <si>
    <t>Fact#: 331948 Rec#: 13747 ARIAS FLORES ENRIQUE SEBASTIAN</t>
  </si>
  <si>
    <t>IC-8310</t>
  </si>
  <si>
    <t>Fact#: 325477-328226-331046 Rec#: 13746 CARLOS VEINTIMILLA BALAS</t>
  </si>
  <si>
    <t>IC-8309</t>
  </si>
  <si>
    <t>Fact#: 324192-326968-329736-332591 Rec#: 13745 DIAZ PINARGOTE ISIDORA BEATRIZ</t>
  </si>
  <si>
    <t>IC-8308</t>
  </si>
  <si>
    <t>Fact#: 331888 Rec#: 13744 LEON PIN OSWALDO NEMECIO</t>
  </si>
  <si>
    <t>IC-8307</t>
  </si>
  <si>
    <t>Fact#: 323236-326001-328754-331583 Rec#: 13743 DIANA GISELLA JIMENEZ CABRERA</t>
  </si>
  <si>
    <t>IC-8306</t>
  </si>
  <si>
    <t>Fact#: 330746 Rec#: 30746 PAYLESS SHOESOURCE ECUADOR CIA. LTDA.</t>
  </si>
  <si>
    <t>IC-8275</t>
  </si>
  <si>
    <t>Fact#: 330397-333277 Rec#: 30745 JARAMILLO JALON JOSE GABRIEL</t>
  </si>
  <si>
    <t>IC-8271</t>
  </si>
  <si>
    <t>Fact#: 333221 Rec#: 30744 MARTINEZ PUGA XAVIER ENRRIQUE</t>
  </si>
  <si>
    <t>IC-8263</t>
  </si>
  <si>
    <t>Fact#: 322247-325006-327775-330577-333468 Rec#: 30743 MARIA LEONOR VALERO SANCHEZ</t>
  </si>
  <si>
    <t>IC-8262</t>
  </si>
  <si>
    <t>Fact#: 1873-2069 Rec#: 30742 SANGUNA RON TANIA GRICELDA</t>
  </si>
  <si>
    <t>IC-8261</t>
  </si>
  <si>
    <t>Fact#: 2134 Rec#: 30741 JIMENEZ BERNAL TANIA BEATRIZ</t>
  </si>
  <si>
    <t>IC-8260</t>
  </si>
  <si>
    <t>Fact#: 319723-325245-328003-330810-333702 Rec#: 30740 ADUANOVACORP S.A.</t>
  </si>
  <si>
    <t>IC-8259</t>
  </si>
  <si>
    <t>Fact#: 333339 Rec#: 30739 ASOC. DE PROPIETARIOS URB. VIA AL SOL</t>
  </si>
  <si>
    <t>IC-8258</t>
  </si>
  <si>
    <t>Fact#: 329406-332252 Rec#: 30738 NARANJO BENITES LUIS ALBERTO</t>
  </si>
  <si>
    <t>IC-8257</t>
  </si>
  <si>
    <t>Fact#: 331140 Rec#: 30737 WALTER ENRIQUE  BAJAÑA MEDINA</t>
  </si>
  <si>
    <t>IC-8256</t>
  </si>
  <si>
    <t>Fact#: 332146 Rec#: 30736 LOZANO OTERO RICARDO REIMONDI LOZANO OTERO</t>
  </si>
  <si>
    <t>IC-8255</t>
  </si>
  <si>
    <t>Fact#: 329341-332184 Rec#: 30735 PAZ SANCHEZ ROXANA MICHELLE</t>
  </si>
  <si>
    <t>IC-8254</t>
  </si>
  <si>
    <t>Fact#: 331730 Rec#: 30734 LIGIA AZUCENA ARTEAGA VALENZUELA</t>
  </si>
  <si>
    <t>IC-8253</t>
  </si>
  <si>
    <t>Fact#: 328140-330961 Rec#: 30733 LORENA VANONI ARMIJOS</t>
  </si>
  <si>
    <t>IC-8252</t>
  </si>
  <si>
    <t>Fact#: 329158-331997 Rec#: 13742 DEL VALLE MONTECE SELENA MARIBEL</t>
  </si>
  <si>
    <t>IC-8251</t>
  </si>
  <si>
    <t>Fact#: 325044-327812-330615-333505 Rec#: 13741 MARIA JOSE VITERI FERNANDEZ</t>
  </si>
  <si>
    <t>IC-8250</t>
  </si>
  <si>
    <t>Fact#: 331438 Rec#: 13740 KEVIN BLADIMIR PONCE GREFA</t>
  </si>
  <si>
    <t>IC-8249</t>
  </si>
  <si>
    <t>Fact#: 320866-323614-326384-329148-331987 Rec#: 13739 REINA SALAZAR JOSE DIEGO</t>
  </si>
  <si>
    <t>IC-8248</t>
  </si>
  <si>
    <t>Fact#: 328644-331473 Rec#: 13738 ULISES MARTIN VARGAS FIGUEROA</t>
  </si>
  <si>
    <t>IC-8247</t>
  </si>
  <si>
    <t>Fact#: 333836 Rec#: 13737 ARAUJO FIGUEROA WASHINGTON SALVADOR</t>
  </si>
  <si>
    <t>IC-8246</t>
  </si>
  <si>
    <t>Fact#: 325373-328120-330931-333834 Rec#: 13736 SCUBATEC S A</t>
  </si>
  <si>
    <t>IC-8245</t>
  </si>
  <si>
    <t>Fact#: 328936-331772 Rec#: 13735 NIZA ALEJANDRA MARRIOT CAICEDO</t>
  </si>
  <si>
    <t>IC-8244</t>
  </si>
  <si>
    <t>Fact#: 329673-332527 Rec#: 13734 ANZULES LEMA JUAN GABRIEL</t>
  </si>
  <si>
    <t>IC-8243</t>
  </si>
  <si>
    <t>Fact#: 328630-331459 Rec#: 13733 TERESA LEONOR SALAZAR PLUAS</t>
  </si>
  <si>
    <t>IC-8242</t>
  </si>
  <si>
    <t>Fact#: 332102 Rec#: 13732 ANANGONO COTTO ALEXANDRA MARIBEL</t>
  </si>
  <si>
    <t>IC-8241</t>
  </si>
  <si>
    <t>Fact#: 330089-332949 Rec#: 13731 PONCE CARRIEL BRENDA LIZETH</t>
  </si>
  <si>
    <t>IC-8240</t>
  </si>
  <si>
    <t>Fact#: 329681-332535 Rec#: 13730 BOLANO HURTADO SUGEY MERY</t>
  </si>
  <si>
    <t>IC-8239</t>
  </si>
  <si>
    <t>Fact#: 2046 Rec#: 13729 SALINAS GONZALEZ JAIME PATRICIO</t>
  </si>
  <si>
    <t>IC-8238</t>
  </si>
  <si>
    <t>Fact#: 332639 Rec#: 13728 HERNANDEZ MARIA ISABEL</t>
  </si>
  <si>
    <t>IC-8237</t>
  </si>
  <si>
    <t>Fact#: 323139-325901-328651-331480 Rec#: 13727 JERRY JEFFREY GARCIA HUAYAMAVE</t>
  </si>
  <si>
    <t>IC-8236</t>
  </si>
  <si>
    <t>Fact#: 324015-326788-329552-332403 Rec#: 13726 ARROYO RUANO ENRRIQUE TOMAS</t>
  </si>
  <si>
    <t>IC-8235</t>
  </si>
  <si>
    <t>Fact#: 333160 Rec#: 13725 CHOEZ ANCHUNDIA WILTER ANTONIO</t>
  </si>
  <si>
    <t>IC-8234</t>
  </si>
  <si>
    <t>Fact#: 333200 Rec#: 13724 MARCILLO ARTEAGA RUDY ELIZABETH</t>
  </si>
  <si>
    <t>IC-8233</t>
  </si>
  <si>
    <t>Fact#: 327532-330324-333189 Rec#: 30732 STURLA GALLEGOS FELIPE NICOLAS</t>
  </si>
  <si>
    <t>IC-8212</t>
  </si>
  <si>
    <t>Fact#: 332003 Rec#: 13723 CAJAS BOHORQUEZ FREDDY XAVIER</t>
  </si>
  <si>
    <t>IC-8210</t>
  </si>
  <si>
    <t>Fact#: 310698-313424-316055 Rec#: 13722 MARTINEZ OCHOA BRISTOL ANTONIO</t>
  </si>
  <si>
    <t>IC-8209</t>
  </si>
  <si>
    <t>Fact#: 333025 Rec#: 13721 MAJOJO MANZABA JOSE LUIS</t>
  </si>
  <si>
    <t>IC-8208</t>
  </si>
  <si>
    <t>Fact#: 330413-333296 Rec#: 13720 PENA MUENTES MARCELA EDELMIRA</t>
  </si>
  <si>
    <t>IC-8207</t>
  </si>
  <si>
    <t>Fact#: 331701 Rec#: 13719 MOISES ROBERTO FRANCO ANDRADE</t>
  </si>
  <si>
    <t>IC-8154</t>
  </si>
  <si>
    <t>Fact#: 331211 Rec#: 13718 NELIS MARIA PINARGOTE YEPEZ</t>
  </si>
  <si>
    <t>IC-8153</t>
  </si>
  <si>
    <t>Fact#: 332629 Rec#: 13717 NAULA ANZOATEGUI ANA MARIA</t>
  </si>
  <si>
    <t>IC-8152</t>
  </si>
  <si>
    <t>Fact#: 331950 Rec#: 13716 SUAREZ MAGALLANES JULIO ALFONSO</t>
  </si>
  <si>
    <t>IC-8151</t>
  </si>
  <si>
    <t>Fact#: 333782 Rec#: 13715 BRODERIN S.A</t>
  </si>
  <si>
    <t>IC-8150</t>
  </si>
  <si>
    <t>Fact#: 1964 Rec#: 13714 CACUANGO LINCANGO EDISON FABIAN</t>
  </si>
  <si>
    <t>IC-8149</t>
  </si>
  <si>
    <t>Fact#: 331511 Rec#: 13713 OMAR JOSSUE GRANIZO HUAYAMAVE</t>
  </si>
  <si>
    <t>IC-8148</t>
  </si>
  <si>
    <t>Fact#: 332509 Rec#: 13712 RONQUILLO LOPEZ BIRMANIA NURY</t>
  </si>
  <si>
    <t>IC-8147</t>
  </si>
  <si>
    <t>Fact#: 329230-332071 Rec#: 13711 VERA GUZMAN SILVIA AZUCENA</t>
  </si>
  <si>
    <t>IC-8146</t>
  </si>
  <si>
    <t>Fact#: 328571-331396 Rec#: 13710 JESUS NEREYDA CHIQUITO VERA</t>
  </si>
  <si>
    <t>IC-8145</t>
  </si>
  <si>
    <t>Fact#: 331989 Rec#: 13709 PINO MATAMOROS GALO EFRAIN</t>
  </si>
  <si>
    <t>IC-8144</t>
  </si>
  <si>
    <t>Fact#: 1995 Rec#: 13708 ZAMBRANO OLMEDO VERONICA PATRICIA</t>
  </si>
  <si>
    <t>IC-8143</t>
  </si>
  <si>
    <t>Fact#: 332570 Rec#: 13707 MORENO GOMEZ DUQUE ALFREDO</t>
  </si>
  <si>
    <t>IC-8142</t>
  </si>
  <si>
    <t>Fact#: 332580 Rec#: 13706 MORENO GOMEZ DUQUE ALFREDO</t>
  </si>
  <si>
    <t>IC-8141</t>
  </si>
  <si>
    <t>Fact#: 320974-323727-326496-329259-332100 Rec#: 13705 SOLORZANO VEGA JESSICA ROCIO</t>
  </si>
  <si>
    <t>IC-8140</t>
  </si>
  <si>
    <t>Fact#: 328584-331410 Rec#: 13704 GINGER LIZBETH GOMEZ CALDERON</t>
  </si>
  <si>
    <t>IC-8139</t>
  </si>
  <si>
    <t>Fact#: 332257 Rec#: 13703 ROMAN ALVARADO LILIAN ISIDORA</t>
  </si>
  <si>
    <t>IC-8138</t>
  </si>
  <si>
    <t>Fact#: 333737 Rec#: 13702 SOLIS REYES OMAR MICHAEL</t>
  </si>
  <si>
    <t>IC-8137</t>
  </si>
  <si>
    <t>Fact#: 323884-326655-329420-332266 Rec#: 13701 PARRALES GONZALEZ NIXA JASMIN</t>
  </si>
  <si>
    <t>IC-8136</t>
  </si>
  <si>
    <t>Fact#: 331228 Rec#: 13700 ALVARADO PIGUAVE CAROLIN JANET</t>
  </si>
  <si>
    <t>IC-8135</t>
  </si>
  <si>
    <t>Fact#: 331498 Rec#: 13699 CARLOS WELLINGTON CHOEZ VERA</t>
  </si>
  <si>
    <t>IC-8134</t>
  </si>
  <si>
    <t>Fact#: 332196 Rec#: 30730 LOGROÑO REYES VICENTE JAVIER</t>
  </si>
  <si>
    <t>IC-8181</t>
  </si>
  <si>
    <t>Fact#: 333790-333791 Rec#: 30729 TOPFOOD CIA. LTDA.</t>
  </si>
  <si>
    <t>IC-8180</t>
  </si>
  <si>
    <t>Fact#: 332174 Rec#: 30728 DELGADO VINTIMILLA CARLOS FERNANDO</t>
  </si>
  <si>
    <t>IC-8164</t>
  </si>
  <si>
    <t>Fact#: 329638-332492 Rec#: 30727 SANCHEZ EGAS LIZETH MARITZA</t>
  </si>
  <si>
    <t>IC-8163</t>
  </si>
  <si>
    <t>Fact#: 331481 Rec#: 30726 FEDERICO GUILLERMO VARAS CHIQUITO</t>
  </si>
  <si>
    <t>IC-8162</t>
  </si>
  <si>
    <t>Fact#: 333347 Rec#: 30725 ASOC. PRO. NEW YORK 12 DE SEPTIEMBRE</t>
  </si>
  <si>
    <t>IC-8161</t>
  </si>
  <si>
    <t>Fact#: 333340 Rec#: 30724 ASOC. PRO. NEW YORK 12 DE SEPTIEMBRE</t>
  </si>
  <si>
    <t>IC-8160</t>
  </si>
  <si>
    <t>Fact#: 333692 Rec#: 30723 GENERALAIR S. A</t>
  </si>
  <si>
    <t>IC-8159</t>
  </si>
  <si>
    <t>Fact#: 332027 Rec#: 30722 VARGAS TORRES ZENIA</t>
  </si>
  <si>
    <t>IC-8158</t>
  </si>
  <si>
    <t>Fact#: 331067 Rec#: 30721 ALVARO CORNEJO RODRIGUEZ</t>
  </si>
  <si>
    <t>IC-8157</t>
  </si>
  <si>
    <t>Fact#: 332610 Rec#: 30720 HERNANDEZ GOMEZ EDDY MAXIMO</t>
  </si>
  <si>
    <t>IC-8156</t>
  </si>
  <si>
    <t>Fact#: 322640-325397-328144-330965 Rec#: 30719 ROBERTO MUZZIO NARANJO</t>
  </si>
  <si>
    <t>IC-8155</t>
  </si>
  <si>
    <t>Fact#: 332315 Rec#: 13698 CAMPOS MANZABA ESTEFANIA XIOMARA</t>
  </si>
  <si>
    <t>IC-8133</t>
  </si>
  <si>
    <t>Fact#: 332215 Rec#: 13697 MENDEZ VILLON CARMEN MARISOL</t>
  </si>
  <si>
    <t>IC-8132</t>
  </si>
  <si>
    <t>Fact#: 332965 Rec#: 13696 CABEZA RODRIGUEZ PETER FABRICIO</t>
  </si>
  <si>
    <t>IC-8131</t>
  </si>
  <si>
    <t>Fact#: 2083 Rec#: 13695 CRUZ CESAR BELISARIO</t>
  </si>
  <si>
    <t>IC-8130</t>
  </si>
  <si>
    <t>Fact#: 331400 Rec#: 13694 CINDY LORENA BAJAÑA BELTRAN</t>
  </si>
  <si>
    <t>IC-8129</t>
  </si>
  <si>
    <t>Fact#: 330302-333163 Rec#: 13693 ELIAS CABRERA ANGELA MARIA</t>
  </si>
  <si>
    <t>IC-8128</t>
  </si>
  <si>
    <t>Fact#: 1980 Rec#: 13692 CADENA CHONTASI OLGA MARIA</t>
  </si>
  <si>
    <t>IC-8127</t>
  </si>
  <si>
    <t>Fact#: 329689-332543 Rec#: 13691 NIETO PIN ANDREA ISABELA</t>
  </si>
  <si>
    <t>IC-8126</t>
  </si>
  <si>
    <t>Fact#: 330293-333154 Rec#: 13690 NEIRA CUENCA MAGNER RICHARD</t>
  </si>
  <si>
    <t>IC-8125</t>
  </si>
  <si>
    <t>Fact#: 330892-333783 Rec#: 13689 MERCHAN BALON CHRISTOPHER FERNANDO</t>
  </si>
  <si>
    <t>IC-8124</t>
  </si>
  <si>
    <t>Fact#: 330845-333738 Rec#: 13688 JARRIN LOPEZ VERONICA ELIZABETH</t>
  </si>
  <si>
    <t>IC-8123</t>
  </si>
  <si>
    <t>Fact#: 2057 Rec#: 13687 GUTIERREZ ALVAREZ TERESA EUGENIA</t>
  </si>
  <si>
    <t>IC-8122</t>
  </si>
  <si>
    <t>Fact#: 317677-320417-323174-325937-328688-331517 Rec#: 13686 RICARDO MICHAEL AGUAS MARINO</t>
  </si>
  <si>
    <t>IC-8121</t>
  </si>
  <si>
    <t>Fact#: 330534-333428 Rec#: 13685 ALEJANDRA ANDREA CALASANZ VALLE</t>
  </si>
  <si>
    <t>IC-8120</t>
  </si>
  <si>
    <t>Fact#: 330836-333729 Rec#: 13684 REX PLASTICS S.A.</t>
  </si>
  <si>
    <t>IC-8119</t>
  </si>
  <si>
    <t>Fact#: 332064 Rec#: 13683 LUQUE RIVAS MARIA ROSA</t>
  </si>
  <si>
    <t>IC-8118</t>
  </si>
  <si>
    <t>Fact#: 324161-326937-329704-332558 Rec#: 13682 LOPEZ JARA PATRICIO ALBERTO</t>
  </si>
  <si>
    <t>IC-8117</t>
  </si>
  <si>
    <t>Fact#: 322073-324813-327587-330383-333264 Rec#: 13681 LANDA SANCHEZ JAZMIN ALEXANDRA</t>
  </si>
  <si>
    <t>IC-8116</t>
  </si>
  <si>
    <t>Fact#: 332861 Rec#: 13680 ALZAMORA ALVARADO HECTOR JAVIER</t>
  </si>
  <si>
    <t>IC-8115</t>
  </si>
  <si>
    <t>Fact#: 333215 Rec#: 13679 LLERAS EVARISTO RAFAEL GUSTAVO</t>
  </si>
  <si>
    <t>IC-8114</t>
  </si>
  <si>
    <t>Fact#: 323636-326406-329170-332010 Rec#: 13678 PLAZA CHUNGA SILVIA MARIA</t>
  </si>
  <si>
    <t>IC-8113</t>
  </si>
  <si>
    <t>Fact#: 329692-332546 Rec#: 13677 BORJA MESIAS SEGUNDO ALFREDO</t>
  </si>
  <si>
    <t>IC-8112</t>
  </si>
  <si>
    <t>Fact#: 331011 Rec#: 13676 ADELAIDA BETHSAIDA BRIONES</t>
  </si>
  <si>
    <t>IC-8111</t>
  </si>
  <si>
    <t>Fact#: 333049 Rec#: 13675 MORENO TELLO CELI DURINDANA</t>
  </si>
  <si>
    <t>IC-8110</t>
  </si>
  <si>
    <t>Fact#: 331629 Rec#: 13674 FELIX EDUARDO CARRERA CEDEÑO</t>
  </si>
  <si>
    <t>IC-8109</t>
  </si>
  <si>
    <t>Fact#: 322217-324976-327745-330548 Rec#: 30715 JUAYATABC TELEVISION S.A.</t>
  </si>
  <si>
    <t>IC-8069</t>
  </si>
  <si>
    <t>Fact#: 322151-324914-327683-330485 Rec#: 30731 DVT DEL ECUADOR S.A</t>
  </si>
  <si>
    <t>IC-8211</t>
  </si>
  <si>
    <t>Fact#: 322368-333584 Rec#: 30714 SINERGIA MARIN SANCHEZ S.A. SINERMASA</t>
  </si>
  <si>
    <t>IC-8063</t>
  </si>
  <si>
    <t>Fact#: 328565-331389 Rec#: 30713 GIOMAR PAOLA CHOEZ CATUTO</t>
  </si>
  <si>
    <t>IC-8062</t>
  </si>
  <si>
    <t>Fact#: 333721 Rec#: 30712 MARRIOTT S.A</t>
  </si>
  <si>
    <t>IC-8061</t>
  </si>
  <si>
    <t>Fact#: 332620 Rec#: 30711 TAFUR MOSQUERA AMPARO JACQUELINE</t>
  </si>
  <si>
    <t>IC-8050</t>
  </si>
  <si>
    <t>Fact#: 332435 Rec#: 30710 RAMOS MARCILLO CATHERINE LISSETTE</t>
  </si>
  <si>
    <t>IC-8049</t>
  </si>
  <si>
    <t>Fact#: 333453 Rec#: 30709 BELLUSCIO S.A.</t>
  </si>
  <si>
    <t>IC-8048</t>
  </si>
  <si>
    <t>Fact#: 333573 Rec#: 30708 AGUIRRE AGUIRRE BEXY DEL ROCIO</t>
  </si>
  <si>
    <t>IC-8047</t>
  </si>
  <si>
    <t>Fact#: 333462 Rec#: 30707 DUPROCSA S.A.</t>
  </si>
  <si>
    <t>IC-8046</t>
  </si>
  <si>
    <t>Fact#: 333591 Rec#: 30706 INDUVERIKA S.A.</t>
  </si>
  <si>
    <t>IC-8045</t>
  </si>
  <si>
    <t>Fact#: 333343 Rec#: 30705 EFFICACITAS CONSULTORA CIA.LTDA.</t>
  </si>
  <si>
    <t>IC-8044</t>
  </si>
  <si>
    <t>Fact#: 333345 Rec#: 30704 EFFICACITAS CONSULTORA CIA.LTDA.</t>
  </si>
  <si>
    <t>IC-8043</t>
  </si>
  <si>
    <t>Fact#: 333344 Rec#: 30703 EFFICACITAS CONSULTORA CIA.LTDA.</t>
  </si>
  <si>
    <t>IC-8042</t>
  </si>
  <si>
    <t>Fact#: 333354 Rec#: 30702 AUTOMEKANO CIA. LTDA</t>
  </si>
  <si>
    <t>IC-8041</t>
  </si>
  <si>
    <t>Fact#: 333348 Rec#: 30701 ASOC. DE PROPIETARIOS URB. TERRASOL</t>
  </si>
  <si>
    <t>IC-8040</t>
  </si>
  <si>
    <t>Fact#: 333577 Rec#: 30700 SORIANO LEON  GUSTAVO FERNANDO</t>
  </si>
  <si>
    <t>IC-8039</t>
  </si>
  <si>
    <t>Fact#: 331182 Rec#: 30699 DUNNYA MARLENE VILLAVICENCIO LUZURIAGA</t>
  </si>
  <si>
    <t>IC-8038</t>
  </si>
  <si>
    <t>Fact#: 330980 Rec#: 30698 JAIRO ALBERTO GOMEZ COELLO</t>
  </si>
  <si>
    <t>IC-8037</t>
  </si>
  <si>
    <t>Fact#: 330993 Rec#: 30697 ISABEL ROSARIO QUINDE SORIANO</t>
  </si>
  <si>
    <t>IC-8036</t>
  </si>
  <si>
    <t>Fact#: 331098 Rec#: 30696 PAULA JESUS SALAZAR MACIAS</t>
  </si>
  <si>
    <t>IC-8035</t>
  </si>
  <si>
    <t>Fact#: 332133 Rec#: 30695 TRUJILLO LOPEZ DIANA CAROLINA</t>
  </si>
  <si>
    <t>IC-8034</t>
  </si>
  <si>
    <t>Fact#: 332016 Rec#: 30694 GILBERT SILVA CECILIA MARIA</t>
  </si>
  <si>
    <t>IC-8033</t>
  </si>
  <si>
    <t>Fact#: 332272 Rec#: 30693 ESPANA BAJANA STEFANIA ELIZABETH</t>
  </si>
  <si>
    <t>IC-8032</t>
  </si>
  <si>
    <t>Fact#: 332608 Rec#: 30692 VINUEZA GARCIA EDISON EDUARDO</t>
  </si>
  <si>
    <t>IC-8031</t>
  </si>
  <si>
    <t>Fact#: 331049 Rec#: 30691 MONICA CRIOLLO SALAZAR</t>
  </si>
  <si>
    <t>IC-8030</t>
  </si>
  <si>
    <t>Fact#: 331202 Rec#: 30690 UVIDIA SALTOS  CARLOS BOLIVAR</t>
  </si>
  <si>
    <t>IC-8029</t>
  </si>
  <si>
    <t>Fact#: 331056 Rec#: 30689 JOSE JOAQUIN OLMEDO CASTELLO</t>
  </si>
  <si>
    <t>IC-8027</t>
  </si>
  <si>
    <t>Fact#: 331390 Rec#: 30688 JUAN XAVIER BENEDETI RIPALDA</t>
  </si>
  <si>
    <t>IC-8026</t>
  </si>
  <si>
    <t>Fact#: 331552 Rec#: 30687 CARLOS BENJAMIN ROSALES PINO</t>
  </si>
  <si>
    <t>IC-8025</t>
  </si>
  <si>
    <t>Fact#: 332522 Rec#: 30686 PERALTA BENITEZ ROBERTO ELIAS</t>
  </si>
  <si>
    <t>IC-8024</t>
  </si>
  <si>
    <t>Fact#: 331128 Rec#: 30685 FAUSTO EDUARDO  CARBO RIVERA</t>
  </si>
  <si>
    <t>IC-8023</t>
  </si>
  <si>
    <t>Fact#: 331691 Rec#: 30684 CARLOS ADALBERTO SALAVARRIA PALMA</t>
  </si>
  <si>
    <t>IC-8022</t>
  </si>
  <si>
    <t>Fact#: 331639 Rec#: 30683 FERNANDO XAVIER DROUET CEDEÑO</t>
  </si>
  <si>
    <t>IC-8021</t>
  </si>
  <si>
    <t>Fact#: 331309 Rec#: 30682 LUIS EDUARDO SANCHEZ TIMM</t>
  </si>
  <si>
    <t>IC-8020</t>
  </si>
  <si>
    <t>Fact#: 332686 Rec#: 30681 SUSANA HERMELINDA ANALUISA HARO</t>
  </si>
  <si>
    <t>IC-8019</t>
  </si>
  <si>
    <t>Fact#: 331007 Rec#: 30680 KETTY ARACELY GAROFALO LEON</t>
  </si>
  <si>
    <t>IC-8018</t>
  </si>
  <si>
    <t>Fact#: 331296 Rec#: 30679 GISELLA MARIA YUNES ANDRADE</t>
  </si>
  <si>
    <t>IC-8017</t>
  </si>
  <si>
    <t>Fact#: 331064 Rec#: 30678 LUIS CESAR GAMARRA GONZALES</t>
  </si>
  <si>
    <t>IC-8016</t>
  </si>
  <si>
    <t>Fact#: 331186 Rec#: 30677 ANA LUCRECIA  CABRERA GARCIA</t>
  </si>
  <si>
    <t>IC-8015</t>
  </si>
  <si>
    <t>Fact#: 331200 Rec#: 30676 CARLOS ALBERTO RENDON PALMA</t>
  </si>
  <si>
    <t>IC-8014</t>
  </si>
  <si>
    <t>Fact#: 331731 Rec#: 30675 HERNAN ANTONIO ALVEAR MERCHAN</t>
  </si>
  <si>
    <t>IC-8013</t>
  </si>
  <si>
    <t>Fact#: 330955 Rec#: 30674 EVA MARIA VINUEZA OCAÑA</t>
  </si>
  <si>
    <t>IC-8012</t>
  </si>
  <si>
    <t>Fact#: 331224 Rec#: 30673 TERESA DE LA CRUZ TOSCANO BRITO</t>
  </si>
  <si>
    <t>IC-8011</t>
  </si>
  <si>
    <t>Fact#: 331319 Rec#: 30672 LUIS CARLOS ABAD YCAZA</t>
  </si>
  <si>
    <t>IC-8010</t>
  </si>
  <si>
    <t>Fact#: 331563 Rec#: 30671 EDDIE ENRIQUE HERRERA MEDINA</t>
  </si>
  <si>
    <t>IC-8009</t>
  </si>
  <si>
    <t>Fact#: 331132 Rec#: 30670 FRANKLIN JOAQUIN  DOMINGUEZ VARGAS</t>
  </si>
  <si>
    <t>IC-8008</t>
  </si>
  <si>
    <t>Fact#: 332885 Rec#: 30669 ZULVY BEDON LAGOS</t>
  </si>
  <si>
    <t>IC-8007</t>
  </si>
  <si>
    <t>Fact#: 332344 Rec#: 30668 CASTILLO PALMA DANIEL ALFREDO</t>
  </si>
  <si>
    <t>IC-8006</t>
  </si>
  <si>
    <t>Fact#: 333127 Rec#: 30667 JOSE FRANCISCO  FERNANDEZ   ESPINOZA</t>
  </si>
  <si>
    <t>IC-8005</t>
  </si>
  <si>
    <t>Fact#: 331758 Rec#: 30666 RICARDO PABLO FALCONI DUEÑAS</t>
  </si>
  <si>
    <t>IC-8004</t>
  </si>
  <si>
    <t>Fact#: 330979 Rec#: 30665 JUAN JOSE CHACON PACHECO</t>
  </si>
  <si>
    <t>IC-8003</t>
  </si>
  <si>
    <t>Fact#: 330959 Rec#: 30664 MARIA ROSA DUNN YCAZA</t>
  </si>
  <si>
    <t>IC-8002</t>
  </si>
  <si>
    <t>Fact#: 330976 Rec#: 30663 GISELLE MARIELA CLEMENTE VERA</t>
  </si>
  <si>
    <t>IC-8001</t>
  </si>
  <si>
    <t>Fact#: 331203 Rec#: 30662 MANRIQUEZ SALAZAR MARIA PAZ</t>
  </si>
  <si>
    <t>IC-8000</t>
  </si>
  <si>
    <t>Fact#: 332540 Rec#: 30661 CANDO REYES JOSE MAURICIO</t>
  </si>
  <si>
    <t>IC-7999</t>
  </si>
  <si>
    <t>Fact#: 331050 Rec#: 30660 JENNY CEDEÑO CAAMAÑO</t>
  </si>
  <si>
    <t>IC-7998</t>
  </si>
  <si>
    <t>Fact#: 331478 Rec#: 30659 ANTONIO IGNACIO ARTEAGA FERAUD</t>
  </si>
  <si>
    <t>IC-7997</t>
  </si>
  <si>
    <t>Fact#: 332661 Rec#: 13673 FLORES GORDILLO LUIS EDUARDO</t>
  </si>
  <si>
    <t>IC-7925</t>
  </si>
  <si>
    <t>Fact#: 332886 Rec#: 13672 CASTRO AGUA MARLON JOSE</t>
  </si>
  <si>
    <t>IC-7924</t>
  </si>
  <si>
    <t>Fact#: 329169-332009 Rec#: 13671 SALTOS RODRIGUEZ ANDREA EDITH</t>
  </si>
  <si>
    <t>IC-7923</t>
  </si>
  <si>
    <t>Fact#: 330686-333576 Rec#: 13670 SALTOS RODRIGUEZ ANDREA EDITH</t>
  </si>
  <si>
    <t>IC-7922</t>
  </si>
  <si>
    <t>Fact#: 322808-325565-328316-331137 Rec#: 13669 GLEXY LIVARDO  SANTANA CALDERON</t>
  </si>
  <si>
    <t>IC-7921</t>
  </si>
  <si>
    <t>Fact#: 323587-326357-329120-331959 Rec#: 13668 CORTEZ ORDOÑEZ GABY GERALDINE</t>
  </si>
  <si>
    <t>IC-7920</t>
  </si>
  <si>
    <t>Fact#: 324584-327366-330137-332997 Rec#: 13667 PEREZ ASENCIO LUCIANO ALBERTO</t>
  </si>
  <si>
    <t>IC-7919</t>
  </si>
  <si>
    <t>Fact#: 330983 Rec#: 13666 LIDIA JUDITH OJEDA RUIZ</t>
  </si>
  <si>
    <t>IC-7918</t>
  </si>
  <si>
    <t>Fact#: 329390-332234 Rec#: 13665 PILAY QUINDE ALEXI ANDRES</t>
  </si>
  <si>
    <t>IC-7917</t>
  </si>
  <si>
    <t>Fact#: 328641-331470 Rec#: 13664 NAIM ANTONIO YUNES MARIDUEÑA</t>
  </si>
  <si>
    <t>IC-7916</t>
  </si>
  <si>
    <t>Fact#: 332583 Rec#: 13663 TENORIO PRECIADO SUSANA MIRELLA</t>
  </si>
  <si>
    <t>IC-7915</t>
  </si>
  <si>
    <t>Fact#: 333271 Rec#: 13662 MENDEZ LAINEZ RUTH ELIZABETH</t>
  </si>
  <si>
    <t>IC-7914</t>
  </si>
  <si>
    <t>Fact#: 324648-327430-330201-333062 Rec#: 13661 AYLLON LOOR ANGGYE LORENA</t>
  </si>
  <si>
    <t>IC-7913</t>
  </si>
  <si>
    <t>Fact#: 327122-329891-332749 Rec#: 13660 CHALEN LOOR JHONNY ALEXANDER</t>
  </si>
  <si>
    <t>IC-7912</t>
  </si>
  <si>
    <t>Fact#: 332236 Rec#: 13659 RUIZ SOLANO KELVIL ORLANDO</t>
  </si>
  <si>
    <t>IC-7911</t>
  </si>
  <si>
    <t>Fact#: 329604-332455 Rec#: 13658 AVILA ORTIZ GEOVANNY FABRICIO</t>
  </si>
  <si>
    <t>IC-7910</t>
  </si>
  <si>
    <t>Fact#: 324620-327402-330173-333033 Rec#: 13657 RIVADENEIRA ZAMBRANO ANGEL FAUSTO</t>
  </si>
  <si>
    <t>IC-7909</t>
  </si>
  <si>
    <t>Fact#: 322650-325407-328155-330975 Rec#: 13656 ANA MIRIAM ACUÑA AUCATOMA</t>
  </si>
  <si>
    <t>IC-7908</t>
  </si>
  <si>
    <t>Fact#: 330251-333112 Rec#: 13655 GALLEGOS VERA ALEX AUGUSTO</t>
  </si>
  <si>
    <t>IC-7907</t>
  </si>
  <si>
    <t>Fact#: 324639-327421-330192-333052 Rec#: 13654 ONETO LERTORA CARMEN MARIA</t>
  </si>
  <si>
    <t>IC-7906</t>
  </si>
  <si>
    <t>Fact#: 321511-324262-327038-329806-332662 Rec#: 13653 SANCHEZ PARRA MAYURI EMILIA</t>
  </si>
  <si>
    <t>IC-7905</t>
  </si>
  <si>
    <t>Fact#: 332792 Rec#: 13652 ZAVALA TORO CRUZ SISIBEL</t>
  </si>
  <si>
    <t>IC-7904</t>
  </si>
  <si>
    <t>Fact#: 328165-330985 Rec#: 13651 EDDA GLADYS PARRALES GOMEZ</t>
  </si>
  <si>
    <t>IC-7903</t>
  </si>
  <si>
    <t>Fact#: 329362-332206 Rec#: 13650 RUBEN DARIO HIDALGO MUÑOZ</t>
  </si>
  <si>
    <t>IC-7902</t>
  </si>
  <si>
    <t>Fact#: 332793 Rec#: 13649 LUCAS VALAREZO CRISTINA EVELIN</t>
  </si>
  <si>
    <t>IC-7901</t>
  </si>
  <si>
    <t>Fact#: 318068-320801-323551-326321-329082-331921 Rec#: 13648 MARTEN CABALLERO NILDA</t>
  </si>
  <si>
    <t>IC-7900</t>
  </si>
  <si>
    <t>Fact#: 331791 Rec#: 13647 NELSON ENRIQUE FLORES ENRIQUEZ</t>
  </si>
  <si>
    <t>IC-7899</t>
  </si>
  <si>
    <t>Fact#: 332194 Rec#: 13646 BOSQUEZ PINCAY LILIAN MARLENE</t>
  </si>
  <si>
    <t>IC-7898</t>
  </si>
  <si>
    <t>Fact#: 302189-304833-307590 Rec#: 13645 MONTOYA RENDON GUSTAVO ADOLFO</t>
  </si>
  <si>
    <t>IC-7897</t>
  </si>
  <si>
    <t>Fact#: 323479-326246-329004-331842 Rec#: 30657 WENDY LORENA QUIMIS CHOEZ</t>
  </si>
  <si>
    <t>IC-7891</t>
  </si>
  <si>
    <t>Fact#: 326623-332232 Rec#: 30658 PAZMINO PRIETO SIXTO JAVIER</t>
  </si>
  <si>
    <t>IC-8070</t>
  </si>
  <si>
    <t>Fact#: 328002-330809 Rec#: 30656 CAMPOS VELEZ HENRRY GONZALO</t>
  </si>
  <si>
    <t>IC-7879</t>
  </si>
  <si>
    <t>Fact#: 331310 Rec#: 30655 JAIME RICARDO ZUÑIGA RODRIGUEZ</t>
  </si>
  <si>
    <t>IC-7878</t>
  </si>
  <si>
    <t>Fact#: 332538 Rec#: 30654 VILLON SORIANO DIOSELINA SOLEDAD</t>
  </si>
  <si>
    <t>IC-7877</t>
  </si>
  <si>
    <t>Fact#: 328300-331121 Rec#: 30653 HUGO ANTONIO SALMERON ACOSTA</t>
  </si>
  <si>
    <t>IC-7876</t>
  </si>
  <si>
    <t>Fact#: 329992-332852 Rec#: 30652 AMAGUAYA CHUQUI ANGEL DANIEL</t>
  </si>
  <si>
    <t>IC-7875</t>
  </si>
  <si>
    <t>Fact#: 321400-324153-326929-329696-332550 Rec#: 30651 CASTRO CEDENO JENNIFFER VERONICA</t>
  </si>
  <si>
    <t>IC-7874</t>
  </si>
  <si>
    <t>Fact#: 331184 Rec#: 13644 ANGELA MARIA ANA  FERAUD MANSSUR</t>
  </si>
  <si>
    <t>IC-7873</t>
  </si>
  <si>
    <t>Fact#: 332756 Rec#: 13643 RUIZ RUIZ RAUL EDGARDO</t>
  </si>
  <si>
    <t>IC-7872</t>
  </si>
  <si>
    <t>Fact#: 329900-332758 Rec#: 13642 MARQUEZ SELLAN NICOLAS AGAPITO</t>
  </si>
  <si>
    <t>IC-7871</t>
  </si>
  <si>
    <t>Fact#: 1508-1711-1901-2099 Rec#: 13641 MINDA POZO EDVIN ERNESTO</t>
  </si>
  <si>
    <t>IC-7870</t>
  </si>
  <si>
    <t>Fact#: 331617 Rec#: 13640 JAVIER FEDERICO VILLON ANASTACIO</t>
  </si>
  <si>
    <t>IC-7869</t>
  </si>
  <si>
    <t>Fact#: 331423 Rec#: 13639 ADRIANA ALEXANDRA CHIQUITO MOLINA</t>
  </si>
  <si>
    <t>IC-7868</t>
  </si>
  <si>
    <t>Fact#: 331917 Rec#: 13638 MOROCHO CRUZ ELIZABETH MERCEDEZ</t>
  </si>
  <si>
    <t>IC-7867</t>
  </si>
  <si>
    <t>Fact#: 329844-332700 Rec#: 13637 PARRALES CABRERA TEOFILO CELESTINO</t>
  </si>
  <si>
    <t>IC-7866</t>
  </si>
  <si>
    <t>Fact#: 331044 Rec#: 13636 MARIO FABRICIO ZALAMAR GALDOS</t>
  </si>
  <si>
    <t>IC-7865</t>
  </si>
  <si>
    <t>Fact#: 332755 Rec#: 13635 ALVAREZ BORRERO JUAN CARLOS</t>
  </si>
  <si>
    <t>IC-7864</t>
  </si>
  <si>
    <t>Fact#: 329480-332329 Rec#: 30644 CEDENO MUNOZ EDGAR ENRIQUE</t>
  </si>
  <si>
    <t>IC-7855</t>
  </si>
  <si>
    <t>Jul/2020</t>
  </si>
  <si>
    <t>SALDO SEGÚN LIBRO BANCOS AL 31 DE JULIO DEL 2020</t>
  </si>
  <si>
    <t>SALDO SEGÚN ESTADO DE CUENTA AL 31 DE JULIO DEL 2020</t>
  </si>
  <si>
    <t>DUPLICADO</t>
  </si>
  <si>
    <t>EN EL REPORTE DE STEPHANIE TIENE EL VALOR DE $13.00</t>
  </si>
  <si>
    <t>CON ESTE MISMO INGRESO STEPHANIE TIENE EN EL REPORTE EL VALOR DE $ 34.64</t>
  </si>
  <si>
    <t>N/D PACIFICO ROLES DE PAGO 2DA QUINCENA MES DE AGOSTO 2020</t>
  </si>
  <si>
    <t>NDL-52</t>
  </si>
  <si>
    <t>N/D PACIFICO CANCELACION DE FACTURA#126 B.BAQUE Y FACTURA#103 F.ESTUPIÑAN  MES DE AGO 2020</t>
  </si>
  <si>
    <t>NDL-51</t>
  </si>
  <si>
    <t>N/D PACIFICO CANCELACIÓN FACTURA#416 POR HONORARIOS PROFESIONALES A PABLO BAQUERIZO DAVILA</t>
  </si>
  <si>
    <t>NDL-50</t>
  </si>
  <si>
    <t>N/D PACIFICO LIQ. DE VACACIONES A GUZHÑAY HIDALGO MARIA AUXILIADORA PERIODO SEP/2019 A AGO/2020</t>
  </si>
  <si>
    <t>NDL-49</t>
  </si>
  <si>
    <t>Fact#: 337104 Rec#: 31212 LUIS DANIEL CHIANG GUERRERO</t>
  </si>
  <si>
    <t>IC-10780</t>
  </si>
  <si>
    <t>Fact#: 328438-337103 Rec#: 31211 LUIS DANIEL CHIANG GUERRERO</t>
  </si>
  <si>
    <t>IC-10779</t>
  </si>
  <si>
    <t>Fact#: 335226-338170 Rec#: 31107 PERALTA AVILES MIGUEL ANGEL</t>
  </si>
  <si>
    <t>IC-10314</t>
  </si>
  <si>
    <t>Fact#: 338091 Rec#: 31106 PERALTA CASTILLO ELSA DEL ROCIO</t>
  </si>
  <si>
    <t>IC-10313</t>
  </si>
  <si>
    <t>Fact#: 339014 Rec#: 31105 SANCHEZ MEDINA FELIX</t>
  </si>
  <si>
    <t>IC-10312</t>
  </si>
  <si>
    <t>Fact#: 336853 Rec#: 31104 RAFAEL VICENTE ERAZO FALQUEZ</t>
  </si>
  <si>
    <t>IC-10311</t>
  </si>
  <si>
    <t>Fact#: 336828 Rec#: 31103 LOURDES DEL ROCIO CHAVEZ VELEZ</t>
  </si>
  <si>
    <t>IC-10310</t>
  </si>
  <si>
    <t>Fact#: 339109 Rec#: 31102 MONGE SCALDAFERRI ANDRES ALBERTO</t>
  </si>
  <si>
    <t>IC-10309</t>
  </si>
  <si>
    <t>Fact#: 338474 Rec#: 31101 HERNANDEZ GOMEZ EDDY MAXIMO</t>
  </si>
  <si>
    <t>IC-10308</t>
  </si>
  <si>
    <t>Fact#: 338790 Rec#: 31100 BUSTAMANTE TORRES CAMILO EDUARDO</t>
  </si>
  <si>
    <t>IC-10307</t>
  </si>
  <si>
    <t>Fact#: 335542-338484 Rec#: 31099 TAFUR MOSQUERA AMPARO JACQUELINE</t>
  </si>
  <si>
    <t>IC-10306</t>
  </si>
  <si>
    <t>Fact#: 332481-335402-338344 Rec#: 14373 LAZARO CEVALLOS KEVIN JESUS</t>
  </si>
  <si>
    <t>IC-10305</t>
  </si>
  <si>
    <t>Fact#: 324156-326932-329699-332553-335475-338417 Rec#: 14372 SAN ANDRES OREJUELA ELSA JANNETT</t>
  </si>
  <si>
    <t>IC-10304</t>
  </si>
  <si>
    <t>Fact#: 321754-324501-327282-330052-332912-335836-338781 Rec#: 14371 MEDINA MORA IVAN ALEXANDER</t>
  </si>
  <si>
    <t>IC-10303</t>
  </si>
  <si>
    <t>Fact#: 338186 Rec#: 14370 CHAVEZ ZAMBRANO MARIA DOLORES</t>
  </si>
  <si>
    <t>IC-10302</t>
  </si>
  <si>
    <t>Fact#: 328973-331811-334724-337663 Rec#: 14369 CESAR VICENTE ALDAZABAL ALZAMORA</t>
  </si>
  <si>
    <t>IC-10301</t>
  </si>
  <si>
    <t>Fact#: 336501 Rec#: 14368 NEDERAGRO S.A.</t>
  </si>
  <si>
    <t>IC-10300</t>
  </si>
  <si>
    <t>Fact#: 338226 Rec#: 14367 MAYEZA REGALADO JIMMY HARRY</t>
  </si>
  <si>
    <t>IC-10297</t>
  </si>
  <si>
    <t>Fact#: 336970 Rec#: 14366 MARCOS ALFREDO CHANG HI FONG</t>
  </si>
  <si>
    <t>IC-10296</t>
  </si>
  <si>
    <t>Fact#: 337546 Rec#: 14365 EDUARDO CAMPOSANO ULLOA</t>
  </si>
  <si>
    <t>IC-10295</t>
  </si>
  <si>
    <t>Fact#: 332030-334944-337886 Rec#: 14364 CEVALLOS PLUAS JULIT LORENA</t>
  </si>
  <si>
    <t>IC-10294</t>
  </si>
  <si>
    <t>Fact#: 331676-334589-337527 Rec#: 14363 MARCO VINICIO GONZALEZ LEDESMA</t>
  </si>
  <si>
    <t>IC-10293</t>
  </si>
  <si>
    <t>Fact#: 331675-334588-337526 Rec#: 14362 MARGARITA MAGALI VILLAMAR AGUAYO</t>
  </si>
  <si>
    <t>IC-10292</t>
  </si>
  <si>
    <t>Fact#: 338934 Rec#: 14361 VILLAMAR CARRANZA MARISOL DEL PILAR</t>
  </si>
  <si>
    <t>IC-10291</t>
  </si>
  <si>
    <t>Fact#: 339084 Rec#: 14360 ALCIVAR GARRIDO FABRICIO ANTONIO</t>
  </si>
  <si>
    <t>IC-10290</t>
  </si>
  <si>
    <t>Fact#: 333191-336117-339063 Rec#: 14359 LOPEZ MURILLO JOSE ANTONIO</t>
  </si>
  <si>
    <t>IC-10289</t>
  </si>
  <si>
    <t>Fact#: 338444 Rec#: 14358 MORENO GOMEZ DUQUE ALFREDO</t>
  </si>
  <si>
    <t>IC-10288</t>
  </si>
  <si>
    <t>Fact#: 338434 Rec#: 14357 MORENO GOMEZ DUQUE ALFREDO</t>
  </si>
  <si>
    <t>IC-10287</t>
  </si>
  <si>
    <t>Fact#: 324596-327378-330149-333009-335933-338878 Rec#: 14356 VELEZ MACIAS  KATHERINE ANGELINE</t>
  </si>
  <si>
    <t>IC-10286</t>
  </si>
  <si>
    <t>Fact#: 338157 Rec#: 14355 MOLINA SALAVARRIA ADRIANO ENRIQUE</t>
  </si>
  <si>
    <t>IC-10285</t>
  </si>
  <si>
    <t>Fact#: 336931 Rec#: 31098 OMAR  PALADINES CORDOVA</t>
  </si>
  <si>
    <t>IC-10243</t>
  </si>
  <si>
    <t>Fact#: 338322 Rec#: 31096 FALCONI DUEÑAS ELISA MARIA</t>
  </si>
  <si>
    <t>IC-10241</t>
  </si>
  <si>
    <t>GASTO BANCARIO BCO PACIFICO COMP RET #2201046-2200979-2199581-2199601-2198323-2198267-2197229-2197125-2197224-2195978-2194665-2194611-2192823-2192784-2191640-2191575-2190291-2190185-2189368-2189250-2187257-2187124-2185967-2185898-2184479-2184399</t>
  </si>
  <si>
    <t>DR-2325</t>
  </si>
  <si>
    <t>Fact#: 332218-335135-338079 Rec#: 14354 JAIME MENDOZA JIMMY JHON</t>
  </si>
  <si>
    <t>IC-10240</t>
  </si>
  <si>
    <t>Fact#: 331366-334278-337212 Rec#: 14353 EVELYN DAYANA LINO DELGADO</t>
  </si>
  <si>
    <t>IC-10239</t>
  </si>
  <si>
    <t>Fact#: 338915 Rec#: 14352 LAUZO MARISCAL MANUEL DAVID</t>
  </si>
  <si>
    <t>IC-10237</t>
  </si>
  <si>
    <t>Fact#: 337706 Rec#: 14351 ALEXANDRE FABIAN MARTINEZ CARRION</t>
  </si>
  <si>
    <t>IC-10236</t>
  </si>
  <si>
    <t>Fact#: 338680 Rec#: 14350 CORDOBA EIDER JOSE</t>
  </si>
  <si>
    <t>IC-10235</t>
  </si>
  <si>
    <t>Fact#: 321971-324728-327515-330305-333166-336092-339038 Rec#: 14349 CASTRO ESPINALES LUCELINA PRIMITIVA</t>
  </si>
  <si>
    <t>IC-10234</t>
  </si>
  <si>
    <t>Fact#: 333036-335960-338905 Rec#: 14348 MACIAS GRACIA JOHNNY FRANCISCO</t>
  </si>
  <si>
    <t>IC-10233</t>
  </si>
  <si>
    <t>Fact#: 335275-338219 Rec#: 14347 MIRABAL RODRIGUEZ CRISTINA</t>
  </si>
  <si>
    <t>IC-10232</t>
  </si>
  <si>
    <t>Fact#: 335337-338279 Rec#: 14346 CAMPOVERDE AREVALO WILLIAM HERNAN</t>
  </si>
  <si>
    <t>IC-10231</t>
  </si>
  <si>
    <t>Fact#: 338649 Rec#: 14345 CHANCAY SOLEDISPA VICTOR MANUEL</t>
  </si>
  <si>
    <t>IC-10230</t>
  </si>
  <si>
    <t>Fact#: 332762-335687-338631 Rec#: 14344 SANCHEZ AGUILAR SORAYA PATRICIA</t>
  </si>
  <si>
    <t>IC-10229</t>
  </si>
  <si>
    <t>Fact#: 320687-323438-326204-328961-331799-334712-337651 Rec#: 14343 MONICA ARCILA RAMIREZ</t>
  </si>
  <si>
    <t>IC-10228</t>
  </si>
  <si>
    <t>Fact#: 332536-335459-338401 Rec#: 14342 PANCHANA GONZALEZ GLADYS HAIDEE</t>
  </si>
  <si>
    <t>IC-10227</t>
  </si>
  <si>
    <t>Fact#: 315630-318323-321046 Rec#: 14341 SARAGUAYO SALDANA PABLO MARIANO</t>
  </si>
  <si>
    <t>IC-10223</t>
  </si>
  <si>
    <t>Fact#: 337845 Rec#: 14340 ZAMBRANO CASTRO JOSE JAIR</t>
  </si>
  <si>
    <t>IC-10222</t>
  </si>
  <si>
    <t>Fact#: 338175 Rec#: 14339 MONTOYA RENDON GUSTAVO ADOLFO</t>
  </si>
  <si>
    <t>IC-10221</t>
  </si>
  <si>
    <t>Fact#: 337376 Rec#: 14338 ALEXANDER WELLINGTON ALVARADO CARRIEL</t>
  </si>
  <si>
    <t>IC-10220</t>
  </si>
  <si>
    <t>Fact#: 337719 Rec#: 14337 CARLOS FERNANDO BERMELLO MEZA</t>
  </si>
  <si>
    <t>IC-10219</t>
  </si>
  <si>
    <t>Fact#: 335076-338020 Rec#: 14336 GOMEZ PENAFIEL BLANCA VICTORIA</t>
  </si>
  <si>
    <t>IC-10218</t>
  </si>
  <si>
    <t>Fact#: 337337 Rec#: 14335 CARLOS ENRIQUE TAPIA TAPIA</t>
  </si>
  <si>
    <t>IC-10217</t>
  </si>
  <si>
    <t>Fact#: 333848 Rec#: 31097 CONSORCIO ECUATORIANO DE TELECOMUNICACIONES S.A. CONECEL</t>
  </si>
  <si>
    <t>IC-10242</t>
  </si>
  <si>
    <t>Fact#: 336570 Rec#: 31095 ALVARADO PIN EMILIO PABLO</t>
  </si>
  <si>
    <t>IC-10226</t>
  </si>
  <si>
    <t>Fact#: 336000-338946 Rec#: 31094 GUZMAN PONGUILLO MAYRA AZUCENA</t>
  </si>
  <si>
    <t>IC-10225</t>
  </si>
  <si>
    <t>Fact#: 331197-334109-337047 Rec#: 31093 CALLE VACA LORENA GICELLA</t>
  </si>
  <si>
    <t>IC-10224</t>
  </si>
  <si>
    <t>Fact#: 338808 Rec#: 14334 PERALTA RODRIGUEZ MARLON SANTIAGO</t>
  </si>
  <si>
    <t>IC-10216</t>
  </si>
  <si>
    <t>Fact#: 331789-334701-337640 Rec#: 14333 ALEXANDRA JACKELINE SANCHEZ ZAMBRANO</t>
  </si>
  <si>
    <t>IC-10215</t>
  </si>
  <si>
    <t>Fact#: 335008-337951 Rec#: 14332 RODRIGUEZ BASANTES VERONICA VIOLETA</t>
  </si>
  <si>
    <t>IC-10214</t>
  </si>
  <si>
    <t>Fact#: 2513 Rec#: 14331 CRUZ CESAR BELISARIO</t>
  </si>
  <si>
    <t>IC-10213</t>
  </si>
  <si>
    <t>Fact#: 338097 Rec#: 14330 RUIZ SOLANO KELVIL ORLANDO</t>
  </si>
  <si>
    <t>IC-10212</t>
  </si>
  <si>
    <t>Fact#: 329614-332465-335386-338328 Rec#: 14329 FERNANDEZ PACHECO DIANA ISABEL</t>
  </si>
  <si>
    <t>IC-10211</t>
  </si>
  <si>
    <t>Fact#: 1172-1373-1581-1770-1966-2175-2396 Rec#: 14328 PEREZ SERRANO  ALFONSO RAFAEL</t>
  </si>
  <si>
    <t>IC-10210</t>
  </si>
  <si>
    <t>Fact#: 1171-1372-1580-1769-1965-2174-2395 Rec#: 14327 PEREZ SERRANO  ALFONSO RAFAEL</t>
  </si>
  <si>
    <t>IC-10209</t>
  </si>
  <si>
    <t>Fact#: 334928-337869 Rec#: 14326 QUIÑONEZ VILLOTA KATTY ELIANA</t>
  </si>
  <si>
    <t>IC-10208</t>
  </si>
  <si>
    <t>Fact#: 337624 Rec#: 14325 NIZA ALEJANDRA MARRIOT CAICEDO</t>
  </si>
  <si>
    <t>IC-10207</t>
  </si>
  <si>
    <t>Fact#: 338574 Rec#: 14324 MALDONADO VILLAMAR HUMBERTO MARTIN</t>
  </si>
  <si>
    <t>IC-10206</t>
  </si>
  <si>
    <t>Fact#: 335119-338062 Rec#: 14323 ALVERNIA OJEDA NIDIA ROSA</t>
  </si>
  <si>
    <t>IC-10205</t>
  </si>
  <si>
    <t>Fact#: 337054 Rec#: 14322 ARCE FLORES NORBERTO</t>
  </si>
  <si>
    <t>IC-10199</t>
  </si>
  <si>
    <t>Fact#: 338926 Rec#: 14321 MEDINA FLORES DANIEL FRANCISCO</t>
  </si>
  <si>
    <t>IC-10198</t>
  </si>
  <si>
    <t>Fact#: 338495 Rec#: 14320 NAULA ANZOATEGUI ANA MARIA</t>
  </si>
  <si>
    <t>IC-10197</t>
  </si>
  <si>
    <t>Fact#: 337346 Rec#: 14319 CARLOS WELLINGTON CHOEZ VERA</t>
  </si>
  <si>
    <t>IC-10196</t>
  </si>
  <si>
    <t>CALLE DURAN DIEGO VINICIO ABONA SGTE FACTURA, BCO PACIFICO POR DEP EN CTA #DOC TBBA-02-0007-FC_USER</t>
  </si>
  <si>
    <t>AT-3091</t>
  </si>
  <si>
    <t>Fact#: 336833 Rec#: 31092 SIMON EMILIO BRIONES LOOR</t>
  </si>
  <si>
    <t>IC-10167</t>
  </si>
  <si>
    <t>Fact#: 336966 Rec#: 31091 PABLO ENRIQUE GONZENBACH IGLESIAS</t>
  </si>
  <si>
    <t>IC-10166</t>
  </si>
  <si>
    <t>Fact#: 337903 Rec#: 31090 HERRERA DIAZ HIALINA AMALIA DE LAS ROSAS</t>
  </si>
  <si>
    <t>IC-10165</t>
  </si>
  <si>
    <t>Fact#: 321018-323773-326542-329307-332150-335065-338007 Rec#: 14318 GONZALEZ RENDON MARCOS DANIEL</t>
  </si>
  <si>
    <t>IC-10151</t>
  </si>
  <si>
    <t>Fact#: 335056-337998 Rec#: 14317 DIAZ CHAMBA WALTER OVIDIO</t>
  </si>
  <si>
    <t>IC-10150</t>
  </si>
  <si>
    <t>Fact#: 335320-338263 Rec#: 14316 CAICHE ROMERO GRACE SOFIA</t>
  </si>
  <si>
    <t>IC-10149</t>
  </si>
  <si>
    <t>Fact#: 337764 Rec#: 14315 MINO DOYLET YOLANDA ABIGAIL</t>
  </si>
  <si>
    <t>IC-10148</t>
  </si>
  <si>
    <t>Fact#: 338529 Rec#: 14314 FLORES GORDILLO LUIS EDUARDO</t>
  </si>
  <si>
    <t>IC-10147</t>
  </si>
  <si>
    <t>Fact#: 2468 Rec#: 14313 AGUDELO GOMEZ ANGELA MARIA</t>
  </si>
  <si>
    <t>IC-10146</t>
  </si>
  <si>
    <t>Fact#: 334912-337853 Rec#: 14312 CABEZA BENITEZ MONSERRATE FATIMA</t>
  </si>
  <si>
    <t>IC-10145</t>
  </si>
  <si>
    <t>Fact#: 333622-336568 Rec#: 14311 SOLUCIONES GLOBALES S.A GLOBFAST</t>
  </si>
  <si>
    <t>IC-10144</t>
  </si>
  <si>
    <t>Fact#: 333621-336567 Rec#: 14310 SOLUCIONES GLOBALES S.A GLOBFAST</t>
  </si>
  <si>
    <t>IC-10143</t>
  </si>
  <si>
    <t>Fact#: 331993-334907-337848 Rec#: 14309 BRITO LAVAYEN BEATRIZ TERESA</t>
  </si>
  <si>
    <t>IC-10142</t>
  </si>
  <si>
    <t>Fact#: 337031 Rec#: 14308 ROSA MARGARITA  BARRIGA CANTOS</t>
  </si>
  <si>
    <t>IC-10141</t>
  </si>
  <si>
    <t>Fact#: 334831-337771 Rec#: 14307 MOROCHO CRUZ ELIZABETH MERCEDEZ</t>
  </si>
  <si>
    <t>IC-10140</t>
  </si>
  <si>
    <t>Fact#: 339255 Rec#: 14306 GONZALEZ BARRERA ANABEL NATALI</t>
  </si>
  <si>
    <t>IC-10139</t>
  </si>
  <si>
    <t>Fact#: 334137 Rec#: 14305 CAMPUZANO GUERRERO EMMA IVON</t>
  </si>
  <si>
    <t>IC-10138</t>
  </si>
  <si>
    <t>Fact#: 316574-330318-333182-336108-339054 Rec#: 14304 MARTINEZ LOOR LOURDES ELIZABETH</t>
  </si>
  <si>
    <t>IC-10137</t>
  </si>
  <si>
    <t>Fact#: 322556-325313-328071-330876-333768-336711 Rec#: 14303 VASQUEZ MOREIRA HILDA VIVIANA</t>
  </si>
  <si>
    <t>IC-10136</t>
  </si>
  <si>
    <t>Fact#: 322555-325312-328070-330877-333767-336710 Rec#: 14302 VASQUEZ MOREIRA HILDA VIVIANA</t>
  </si>
  <si>
    <t>IC-10135</t>
  </si>
  <si>
    <t>Fact#: 2499 Rec#: 14301 SANGUNA RON TANIA GRICELDA</t>
  </si>
  <si>
    <t>IC-10132</t>
  </si>
  <si>
    <t>Fact#: 338824 Rec#: 14300 CABRERA GOMEZ MARTHA INES</t>
  </si>
  <si>
    <t>IC-10131</t>
  </si>
  <si>
    <t>Fact#: 338315 Rec#: 14299 SALAZAR TELLO NICOLAS EDUARDO</t>
  </si>
  <si>
    <t>IC-10130</t>
  </si>
  <si>
    <t>Fact#: 337820 Rec#: 14298 VASQUEZ AYALA MARIA DE LOURDES</t>
  </si>
  <si>
    <t>IC-10129</t>
  </si>
  <si>
    <t>Fact#: 337005 Rec#: 14297 LAURA BEATRIZ  ENCALADA ESPINOZA</t>
  </si>
  <si>
    <t>IC-10128</t>
  </si>
  <si>
    <t>Fact#: 334018-336961 Rec#: 14296 GRACIELA ELENA CAMACHO COELLO</t>
  </si>
  <si>
    <t>IC-10127</t>
  </si>
  <si>
    <t>Fact#: 324684-327474-330246-333107-336034-338980 Rec#: 14295 ALVARADO JALCA JAZMIN ESTHER</t>
  </si>
  <si>
    <t>IC-10126</t>
  </si>
  <si>
    <t>Fact#: 331889-334803-337743 Rec#: 14294 ESTEFANO ATTILIO LANATA GARAICOA</t>
  </si>
  <si>
    <t>IC-10125</t>
  </si>
  <si>
    <t>Fact#: 331458-334371-337305 Rec#: 14293 JONATHAN XAVIER RIVAS FIGUEROA</t>
  </si>
  <si>
    <t>IC-10124</t>
  </si>
  <si>
    <t>Fact#: 336185-339131 Rec#: 31084 BOWEN FLORES WALTER EDISON</t>
  </si>
  <si>
    <t>IC-10095</t>
  </si>
  <si>
    <t>Fact#: 338243 Rec#: 31083 PUERO CUERO CARLOS JULIO</t>
  </si>
  <si>
    <t>IC-10094</t>
  </si>
  <si>
    <t>Fact#: 338953 Rec#: 31082 ESPINOSA ESPINOZA HUGO STANLEY</t>
  </si>
  <si>
    <t>IC-10093</t>
  </si>
  <si>
    <t>Fact#: 336186-339132 Rec#: 31081 BOWEN FLORES WALTER EDISON</t>
  </si>
  <si>
    <t>IC-10092</t>
  </si>
  <si>
    <t>Fact#: 337149 Rec#: 31079 MARIA CRISTINA LOAIZA BREVI</t>
  </si>
  <si>
    <t>IC-10090</t>
  </si>
  <si>
    <t>Fact#: 339241 Rec#: 31089 CAGUANA VELESACA NORMA ALEXANDRA</t>
  </si>
  <si>
    <t>IC-10123</t>
  </si>
  <si>
    <t>Fact#: 337388 Rec#: 31088 MARIA FERNANDA GONZALEZ MITE</t>
  </si>
  <si>
    <t>IC-10122</t>
  </si>
  <si>
    <t>Fact#: 336860 Rec#: 31087 VICTOR ANTONIO AGUSTO ALVARADO</t>
  </si>
  <si>
    <t>IC-10121</t>
  </si>
  <si>
    <t>Fact#: 336614 Rec#: 31086 ASISTMED ASISTENCIA A MEDICOS S.A.</t>
  </si>
  <si>
    <t>IC-10120</t>
  </si>
  <si>
    <t>Fact#: 321940-324697-327488-330267-333128-336054-339000 Rec#: 31085 DAVILA SOLORZANO DANIEL SIMON</t>
  </si>
  <si>
    <t>IC-10119</t>
  </si>
  <si>
    <t>Fact#: 337292 Rec#: 14292 ANDREA CANAHUATI CHAIN</t>
  </si>
  <si>
    <t>IC-10118</t>
  </si>
  <si>
    <t>Fact#: 334012-336955 Rec#: 14291 BELINDA LEONOR QUIJANO GOMEZ</t>
  </si>
  <si>
    <t>IC-10117</t>
  </si>
  <si>
    <t>Fact#: 335505-338447 Rec#: 14290 TENORIO PRECIADO SUSANA MIRELLA</t>
  </si>
  <si>
    <t>IC-10116</t>
  </si>
  <si>
    <t>Fact#: 337152 Rec#: 14289 YOLANDA VERONICA MARTINEZ ESPINOZA</t>
  </si>
  <si>
    <t>IC-10115</t>
  </si>
  <si>
    <t>Fact#: 318087-320822-323570-326340-329103-331942-334856-337796 Rec#: 14288 FLORES GUZMAN CARLOS LUIS</t>
  </si>
  <si>
    <t>IC-10114</t>
  </si>
  <si>
    <t>Fact#: 333165-336091-339037 Rec#: 14287 MALDONADO SEGURA MARIA DANIELA</t>
  </si>
  <si>
    <t>IC-10113</t>
  </si>
  <si>
    <t>Fact#: 331322-334234-337166 Rec#: 14286 LISETTE JOHANNA MEZA VEGA</t>
  </si>
  <si>
    <t>IC-10112</t>
  </si>
  <si>
    <t>Fact#: 337754 Rec#: 14285 GONZALEZ MELLA CRISTIAN ALEJANDRO</t>
  </si>
  <si>
    <t>IC-10111</t>
  </si>
  <si>
    <t>Fact#: 332975-335899-338844 Rec#: 14284 PARRAGA JOSE JUAN</t>
  </si>
  <si>
    <t>IC-10110</t>
  </si>
  <si>
    <t>Fact#: 318139-320871-323619-326389-329153-331992-334906-337847 Rec#: 14283 MARCO VINICIO CEPEDA GARCIA</t>
  </si>
  <si>
    <t>IC-10109</t>
  </si>
  <si>
    <t>Fact#: 335414-338356 Rec#: 14282 CEVALLOS ORVEN AMADITA</t>
  </si>
  <si>
    <t>IC-10108</t>
  </si>
  <si>
    <t>Fact#: 332853-335777-338722 Rec#: 14281 RODRIGUEZ REYES JINSOP ORLIN</t>
  </si>
  <si>
    <t>IC-10107</t>
  </si>
  <si>
    <t>Fact#: 310846-313580-316189 Rec#: 14280 MUNOZ ZAMBRANO DANIEL MARCELO</t>
  </si>
  <si>
    <t>IC-10106</t>
  </si>
  <si>
    <t>Fact#: 332737-335662-338605 Rec#: 14279 CHELE TORO OSCAR EULICES</t>
  </si>
  <si>
    <t>IC-10105</t>
  </si>
  <si>
    <t>Fact#: 337921 Rec#: 14278 LUQUE RIVAS MARIA ROSA</t>
  </si>
  <si>
    <t>IC-10104</t>
  </si>
  <si>
    <t>Fact#: 337937 Rec#: 14277 TOMALA SANCAN JORGE LUIS</t>
  </si>
  <si>
    <t>IC-10103</t>
  </si>
  <si>
    <t>Fact#: 337726 Rec#: 14276 TOMALA SANCAN JORGE LUIS</t>
  </si>
  <si>
    <t>IC-10102</t>
  </si>
  <si>
    <t>Fact#: 336753 Rec#: 14275 ANTEPARAS FOOD COMPANY ANTEFOOD S.A.</t>
  </si>
  <si>
    <t>IC-10101</t>
  </si>
  <si>
    <t>Fact#: 338451 Rec#: 14274 ROBALINO VALENCIA  SPARTA SUSANA</t>
  </si>
  <si>
    <t>IC-10100</t>
  </si>
  <si>
    <t>Fact#: 337660 Rec#: 14273 BEATRIZ MARIA DEL CARMEN PACHECO BALLESTEROS</t>
  </si>
  <si>
    <t>IC-10099</t>
  </si>
  <si>
    <t>Fact#: 318852-321561-324312-327090-329859-332715-335640-338583 Rec#: 14272 TRIVINO BARONA GEORGE XAVIER</t>
  </si>
  <si>
    <t>IC-10098</t>
  </si>
  <si>
    <t>Fact#: 335594-338537 Rec#: 14271 BALSECA CALVA GRACIELA RAQUEL</t>
  </si>
  <si>
    <t>IC-10097</t>
  </si>
  <si>
    <t>Fact#: 333241-336174-339120 Rec#: 14270 CEDENO ANGULO JAIRO RENE</t>
  </si>
  <si>
    <t>IC-10096</t>
  </si>
  <si>
    <t>Fact#: 336810 Rec#: 31080 OTECEL</t>
  </si>
  <si>
    <t>IC-10091</t>
  </si>
  <si>
    <t>Fact#: 337703 Rec#: 31077 ANGEL ROGELIO PUMA MEDINA</t>
  </si>
  <si>
    <t>IC-10087</t>
  </si>
  <si>
    <t>Fact#: 336219-339171 Rec#: 31076 JARAMILLO JALON JOSE GABRIEL</t>
  </si>
  <si>
    <t>IC-10084</t>
  </si>
  <si>
    <t>Fact#: 319432-319555-333423-333539 Rec#: 31075 MEGADATOS S.A.</t>
  </si>
  <si>
    <t>IC-10083</t>
  </si>
  <si>
    <t>Fact#: 329593-332444-335365 Rec#: 31074 PALADINES RODRIGUEZ VICTOR EMILIO</t>
  </si>
  <si>
    <t>IC-10082</t>
  </si>
  <si>
    <t>Fact#: 335529-338471 Rec#: 31073 MUNOZ CANTOS MARIA FERNANDA</t>
  </si>
  <si>
    <t>IC-10081</t>
  </si>
  <si>
    <t>Fact#: 337041 Rec#: 31072 SILVIA XIMENA CHAVEZ CABRERA</t>
  </si>
  <si>
    <t>IC-10054</t>
  </si>
  <si>
    <t>Fact#: 339093 Rec#: 31071 MARTINEZ PUGA XAVIER ENRRIQUE</t>
  </si>
  <si>
    <t>IC-10051</t>
  </si>
  <si>
    <t>Fact#: 335257-338201 Rec#: 31070 DUARTE DEMERA FRANCISCO JAVIER</t>
  </si>
  <si>
    <t>IC-10050</t>
  </si>
  <si>
    <t>Fact#: 339070 Rec#: 31069 CHACON CALDERON SARITA MARIA DE LOS ANGEL</t>
  </si>
  <si>
    <t>IC-10049</t>
  </si>
  <si>
    <t>Fact#: 338403 Rec#: 31068 VILLON SORIANO DIOSELINA SOLEDAD</t>
  </si>
  <si>
    <t>IC-10048</t>
  </si>
  <si>
    <t>Fact#: 329537-332388-335308-338251 Rec#: 31067 PINO ARROBA ALVARO ERNESTO</t>
  </si>
  <si>
    <t>IC-10047</t>
  </si>
  <si>
    <t>Fact#: 296366-298953-301599 Rec#: 14269 KATHERINE VIVIANA GUIM SANTILLAN</t>
  </si>
  <si>
    <t>IC-10039</t>
  </si>
  <si>
    <t>N/D PACIFICO PAGO DE IMPUESTOS IVA MES DE AGOSTO 2020</t>
  </si>
  <si>
    <t>N/D PACIFICO PAGO DE IMPUESTOS RETENCIÓN EN LA FUENTE MES DE JULIO 2020</t>
  </si>
  <si>
    <t>N/D PACIFICO PAGO DE IMPUESTOS A LOS CONSUMOS ESPECIALES MES DE JULIO 2020</t>
  </si>
  <si>
    <t>Fact#: 336310 Rec#: 31065 DORCIEN S.A</t>
  </si>
  <si>
    <t>IC-9997</t>
  </si>
  <si>
    <t>Fact#: 337497 Rec#: 31064 AIMARA RODRIGUEZ FERNANDEZ</t>
  </si>
  <si>
    <t>IC-9996</t>
  </si>
  <si>
    <t>Fact#: 338113 Rec#: 31063 NARANJO BENITES LUIS ALBERTO</t>
  </si>
  <si>
    <t>IC-9995</t>
  </si>
  <si>
    <t>Fact#: 330960-333875-336821 Rec#: 31062 STEFFIE GALLESE DE DUNN</t>
  </si>
  <si>
    <t>IC-9994</t>
  </si>
  <si>
    <t>Fact#: 336890 Rec#: 31061 SERGIO ANDRES SEMMINARIO VALENZUELA</t>
  </si>
  <si>
    <t>IC-9989</t>
  </si>
  <si>
    <t>Fact#: 337391 Rec#: 31057 ENRIQUE FEDERICO ARENAS PILATAXI</t>
  </si>
  <si>
    <t>IC-9985</t>
  </si>
  <si>
    <t>Fact#: 332459-335380 Rec#: 31055 FALCONI DUEÑAS ELISA MARIA</t>
  </si>
  <si>
    <t>IC-9981</t>
  </si>
  <si>
    <t>Fact#: 328501-331323-334235-337167 Rec#: 31056 JUAN GABRIEL RODRIGUEZ FERNANDEZ</t>
  </si>
  <si>
    <t>IC-9984</t>
  </si>
  <si>
    <t>Fact#: 2235 Rec#: 31066 ZAPATA FLORES GILMAR FABRICIO</t>
  </si>
  <si>
    <t>IC-10032</t>
  </si>
  <si>
    <t>Fact#: 335431 Rec#: 31054 GARCIA BAJANA NAYITH ALEJANDRO</t>
  </si>
  <si>
    <t>IC-9979</t>
  </si>
  <si>
    <t>N/D PAGO DE PLLAS. IESS PREST. HIPOTECARIO MES DE AGOSTO 2020, COMP#9280735</t>
  </si>
  <si>
    <t>N/D PAGO DE PLLAS. IESS PREST. QUIROGRAFARIO MES DE JULIO 2020, COMP#29309574</t>
  </si>
  <si>
    <t>N/D PACIFICO CANCELACION FACTURA DE CTV, PORTAL AL SOL, COD:200017298429</t>
  </si>
  <si>
    <t>N/D PACIFICO CANCELACION FACTURA#1981044 CNEL EP</t>
  </si>
  <si>
    <t>Fact#: 335081 Rec#: 31053 DURAN POLIT MARIA DANIELLA</t>
  </si>
  <si>
    <t>IC-9963</t>
  </si>
  <si>
    <t>Fact#: 319074-321776-324522-327303-330073-332933-335857 Rec#: 31052 VASQUEZ RESABALA CARLOS JESUS</t>
  </si>
  <si>
    <t>IC-9962</t>
  </si>
  <si>
    <t>Fact#: 322449-325207-327966-330773-333663-336609 Rec#: 31051 RISQUE RISK S.A.</t>
  </si>
  <si>
    <t>IC-9961</t>
  </si>
  <si>
    <t>Fact#: 334394 Rec#: 31050 FEDERICO GUILLERMO VARAS CHIQUITO</t>
  </si>
  <si>
    <t>IC-9960</t>
  </si>
  <si>
    <t>Fact#: 333980 Rec#: 31049 LAURO DAVID TORRES CARRILLO</t>
  </si>
  <si>
    <t>IC-9959</t>
  </si>
  <si>
    <t>Fact#: 336795 Rec#: 14268 ESJURHEC S.A.</t>
  </si>
  <si>
    <t>IC-9958</t>
  </si>
  <si>
    <t>Fact#: 331506-334419 Rec#: 14267 DIEGO FRANCISCO PONCE MENDOZA</t>
  </si>
  <si>
    <t>IC-9957</t>
  </si>
  <si>
    <t>Fact#: 331476-334389 Rec#: 14266 MARIA ELIZABETH SANTOS MACIAS</t>
  </si>
  <si>
    <t>IC-9956</t>
  </si>
  <si>
    <t>Fact#: 334068 Rec#: 14265 HAYDEE GANDIOSA  FALUGIANI MORA</t>
  </si>
  <si>
    <t>IC-9955</t>
  </si>
  <si>
    <t>Fact#: 329455-332303-335222 Rec#: 14264 CHIRIBOGA GONZALEZ DIGNA MERCEDES</t>
  </si>
  <si>
    <t>IC-9954</t>
  </si>
  <si>
    <t>Fact#: 333035-335959 Rec#: 14263 SANTANA MORENO SAUL AUGUSTO</t>
  </si>
  <si>
    <t>IC-9953</t>
  </si>
  <si>
    <t>Fact#: 334393 Rec#: 14262 JERRY JEFFREY GARCIA HUAYAMAVE</t>
  </si>
  <si>
    <t>IC-9952</t>
  </si>
  <si>
    <t>Fact#: 319183-327443-330215-333076-336001 Rec#: 14261 MACIAS CASTRO GINA MAYRA</t>
  </si>
  <si>
    <t>IC-9951</t>
  </si>
  <si>
    <t>Fact#: 336271 Rec#: 14260 GUILLEN RENGIFO GLENDA ELIZABETH</t>
  </si>
  <si>
    <t>IC-9950</t>
  </si>
  <si>
    <t>Fact#: 324784-327560-330355-333238-336167 Rec#: 14259 CABEZAS QUINONEZ LEONELA KATHERINE</t>
  </si>
  <si>
    <t>IC-9949</t>
  </si>
  <si>
    <t>Fact#: 332374-335294 Rec#: 14258 GUAMAN IZA LILIANA ARACELY</t>
  </si>
  <si>
    <t>IC-9948</t>
  </si>
  <si>
    <t>Fact#: 332020-334934 Rec#: 14257 GUERRERO HOLGUIN JAIME GUSTAVO</t>
  </si>
  <si>
    <t>IC-9947</t>
  </si>
  <si>
    <t>Fact#: 335548 Rec#: 14256 SANCHEZ QUINCHUELA INES MONICA</t>
  </si>
  <si>
    <t>IC-9946</t>
  </si>
  <si>
    <t>Fact#: 330333-333203 Rec#: 31048 VELASQUEZ SANTANA NESTOR SIGIFREDO</t>
  </si>
  <si>
    <t>IC-9933</t>
  </si>
  <si>
    <t>Fact#: 336329 Rec#: 31078 DVT DEL ECUADOR S.A</t>
  </si>
  <si>
    <t>IC-10089</t>
  </si>
  <si>
    <t>Fact#: 326623-329388-335149 Rec#: 31047 PAZMINO PRIETO SIXTO JAVIER</t>
  </si>
  <si>
    <t>IC-9931</t>
  </si>
  <si>
    <t>Fact#: 2278 Rec#: 31046 SANGUNA RON TANIA GRICELDA</t>
  </si>
  <si>
    <t>IC-9924</t>
  </si>
  <si>
    <t>Fact#: 333985 Rec#: 14255 MARIA GABRIELA TERAN SEVILLA</t>
  </si>
  <si>
    <t>IC-9923</t>
  </si>
  <si>
    <t>Fact#: 335528 Rec#: 14254 FERNANDEZ ZAMBRANO ELSA VIOLETA</t>
  </si>
  <si>
    <t>IC-9922</t>
  </si>
  <si>
    <t>Fact#: 330076-332936-335860 Rec#: 14253 BURGOS GOYA MARLIE  KATHERINE</t>
  </si>
  <si>
    <t>IC-9921</t>
  </si>
  <si>
    <t>Fact#: 335152 Rec#: 14252 VALLEJO MARTINEZ LEIDIZ DIANA</t>
  </si>
  <si>
    <t>IC-9920</t>
  </si>
  <si>
    <t>Fact#: 323352-326117-328871-331705-334618 Rec#: 14251 MARIA ESTEFANIA VERA MENDOZA</t>
  </si>
  <si>
    <t>IC-9919</t>
  </si>
  <si>
    <t>Fact#: 333152-336078 Rec#: 14250 MACHACILLA QUINCHE MARIO UBALDO</t>
  </si>
  <si>
    <t>IC-9918</t>
  </si>
  <si>
    <t>Fact#: 336771 Rec#: 14249 SEGURIDAD &amp; PROTECCION TECNICA SEPROTECSECURITY CIA. LTDA.</t>
  </si>
  <si>
    <t>IC-9917</t>
  </si>
  <si>
    <t>Fact#: 324597-327379-330150-333010-335934 Rec#: 14248 BAQUE DIAZ JORGE PAUL</t>
  </si>
  <si>
    <t>IC-9916</t>
  </si>
  <si>
    <t>N/D PAGO DE TARJ. CORP. CUOTA MES DE AGOSTO 2020</t>
  </si>
  <si>
    <t>NDL-54</t>
  </si>
  <si>
    <t>Fact#: 328145-330966-333881 Rec#: 31045 KATHERINE MALENA CHILUIZA GARCIA</t>
  </si>
  <si>
    <t>IC-9855</t>
  </si>
  <si>
    <t>Fact#: 1400-1608-1796-1992-2201 Rec#: 31044 VILLACRES GONZALEZ GISSELLA CECILIA</t>
  </si>
  <si>
    <t>IC-9849</t>
  </si>
  <si>
    <t>Fact#: 336766 Rec#: 31043 INDUSTRIAL JUVENALIS S.A.</t>
  </si>
  <si>
    <t>IC-9848</t>
  </si>
  <si>
    <t>Fact#: 318221-320954-323706-326475-329238-332079-334993 Rec#: 31042 SORIANO SUAREZ GUILBERT SAUL</t>
  </si>
  <si>
    <t>IC-9847</t>
  </si>
  <si>
    <t>Fact#: 336319 Rec#: 31041 LAUDE S.A. LAUDESA ADMINISTRADORA DE FONDOS Y FIDEICOMISOS</t>
  </si>
  <si>
    <t>IC-9846</t>
  </si>
  <si>
    <t>Fact#: 334428 Rec#: 31040 CAROLINA ALICIA EGAS NUÑEZ</t>
  </si>
  <si>
    <t>IC-9845</t>
  </si>
  <si>
    <t>Fact#: 320095-322862-325619-328370-331191-334104 Rec#: 14247 ENCALADA SANCHEZ NIEVES ELIZABETH</t>
  </si>
  <si>
    <t>IC-9844</t>
  </si>
  <si>
    <t>Fact#: 2205 Rec#: 14246 SILVA REA OLIVO AMADO</t>
  </si>
  <si>
    <t>IC-9843</t>
  </si>
  <si>
    <t>Fact#: 324452-327232-330002-332862-335786 Rec#: 14245 SAQUICELA SORIA MARCELO ALEJANDRO</t>
  </si>
  <si>
    <t>IC-9842</t>
  </si>
  <si>
    <t>Fact#: 322098-324838-333285-336228 Rec#: 14244 TOMALA CEDENO ANATOLIA ESTHER</t>
  </si>
  <si>
    <t>IC-9841</t>
  </si>
  <si>
    <t>Fact#: 331981-334895 Rec#: 14243 NAREA BAJANA ANGELA DEL CARMEN</t>
  </si>
  <si>
    <t>IC-9840</t>
  </si>
  <si>
    <t>Fact#: 324787-330357-336171 Rec#: 14242 RIZZO BASTIDAS CECILIA ELIZABETH</t>
  </si>
  <si>
    <t>IC-9839</t>
  </si>
  <si>
    <t>Fact#: 328925-331761-334675 Rec#: 14241 ALEX RICARDO POLIT LUNA</t>
  </si>
  <si>
    <t>IC-9838</t>
  </si>
  <si>
    <t>Fact#: 330630-333520-336469 Rec#: 31039 CAROLINA DEL ROCIO GRANDA BARZOLA</t>
  </si>
  <si>
    <t>IC-9816</t>
  </si>
  <si>
    <t>Fact#: 336400 Rec#: 31036 WANHAI LINES ECUADOR S.A.</t>
  </si>
  <si>
    <t>IC-9810</t>
  </si>
  <si>
    <t>CARREÑO ACOSTA JESUS LAUREANO CANCELA TELEFONO 3908108 ABONA SGTE FACTURA</t>
  </si>
  <si>
    <t>AT-3088</t>
  </si>
  <si>
    <t>N/D PAGO DE PLLAS. IESS PREST. QUIROGRAFARIO MES DE AGOSTO, COMP#28273754</t>
  </si>
  <si>
    <t>NDL-48</t>
  </si>
  <si>
    <t>N/D PAGO DE PLLAS. IESS NORMALES MES DE JULIO 2020, COMP#132314577, A PABLO BAQUERIZO DAVILA</t>
  </si>
  <si>
    <t>N/D PACIFICO CANCELACION FACTURA#23109922 CNEL EP</t>
  </si>
  <si>
    <t>N/D PACIFICO CANCELACION FACTURA#23109921 CNEL EP</t>
  </si>
  <si>
    <t>N/D PACIFICO CANCELACION FACTURA#23075484 CNEL EP</t>
  </si>
  <si>
    <t>N/D PACIFICO CANCELACION FACTURA#23032266 CNEL EP</t>
  </si>
  <si>
    <t>N/D PACIFICO CANCELACION FACTURA#2316268 CNEL EP</t>
  </si>
  <si>
    <t>N/D PACIFICO CANCELACION FACTURA#1900324 CNEL EP</t>
  </si>
  <si>
    <t>Fact#: 326093-328847-331681-334594 Rec#: 31038 CARMEN ELIZABETH BELTRAN GARCES</t>
  </si>
  <si>
    <t>IC-9812</t>
  </si>
  <si>
    <t>Fact#: 336398 Rec#: 31037 YARECUADOR CIA. LTDA</t>
  </si>
  <si>
    <t>IC-9811</t>
  </si>
  <si>
    <t>Fact#: 335436 Rec#: 31035 VELIZ CASTRO RICARDO XAVIER</t>
  </si>
  <si>
    <t>IC-9807</t>
  </si>
  <si>
    <t>Fact#: 336404 Rec#: 31034 AUTOMERCADO S.A.</t>
  </si>
  <si>
    <t>IC-9806</t>
  </si>
  <si>
    <t>Fact#: 336405 Rec#: 31033 AUTOMERCADO S.A.</t>
  </si>
  <si>
    <t>IC-9805</t>
  </si>
  <si>
    <t>Fact#: 334047 Rec#: 31032 LUIS ENRIQUE  MATIAS YEPEZ</t>
  </si>
  <si>
    <t>IC-9804</t>
  </si>
  <si>
    <t>Fact#: 336628 Rec#: 31031 RAMIREZ TAMAYO ENMA MERCEDES</t>
  </si>
  <si>
    <t>IC-9803</t>
  </si>
  <si>
    <t>Fact#: 336621 Rec#: 31030 RAMIREZ TAMAYO ENMA MERCEDES</t>
  </si>
  <si>
    <t>IC-9802</t>
  </si>
  <si>
    <t>Fact#: 334002 Rec#: 31029 BENILDA JESUS ACOSTA ZAMBRANO</t>
  </si>
  <si>
    <t>IC-9801</t>
  </si>
  <si>
    <t>Fact#: 336449 Rec#: 31028 CHRISTIAN JAVIER MIDEROS ROMERO</t>
  </si>
  <si>
    <t>IC-9800</t>
  </si>
  <si>
    <t>Fact#: 335394 Rec#: 31027 NEIRA PILLASAGUA ROSA DEL CARMEN</t>
  </si>
  <si>
    <t>IC-9799</t>
  </si>
  <si>
    <t>Fact#: 333885 Rec#: 31026 JORGE ALFREDO FRANCO MORAN</t>
  </si>
  <si>
    <t>IC-9798</t>
  </si>
  <si>
    <t>Fact#: 322051-324791-327564-330360-336175 Rec#: 31025 SALTOS MATA FILADELFO VLADIMIR</t>
  </si>
  <si>
    <t>IC-9797</t>
  </si>
  <si>
    <t>Fact#: 332814-335738 Rec#: 14240 CORTEZ CANTOS  PEDRO PABLO</t>
  </si>
  <si>
    <t>IC-9796</t>
  </si>
  <si>
    <t>Fact#: 335016 Rec#: 14239 ANANGONO COTTO ALEXANDRA MARIBEL</t>
  </si>
  <si>
    <t>IC-9795</t>
  </si>
  <si>
    <t>Fact#: 331752-334666 Rec#: 14238 JACKELINE LUCIA LOOR ORTEGA</t>
  </si>
  <si>
    <t>IC-9794</t>
  </si>
  <si>
    <t>Fact#: 334182 Rec#: 14237 JULIO CESAR MONCAYO CRESPIN</t>
  </si>
  <si>
    <t>IC-9793</t>
  </si>
  <si>
    <t>Fact#: 323806-326575-329340-332183-335099 Rec#: 14236 DELGADO ILLESCAS GARY ANDRES</t>
  </si>
  <si>
    <t>IC-9792</t>
  </si>
  <si>
    <t>Fact#: 335680 Rec#: 14235 ALVAREZ BORRERO JUAN CARLOS</t>
  </si>
  <si>
    <t>IC-9791</t>
  </si>
  <si>
    <t>Fact#: 335201 Rec#: 14234 VALLE GONZALEZ LIDIA ELIZABETH</t>
  </si>
  <si>
    <t>IC-9790</t>
  </si>
  <si>
    <t>Fact#: 330853-333746-336690 Rec#: 14233 ALVARADO BASURTO SEGUNDO GABRIEL</t>
  </si>
  <si>
    <t>IC-9789</t>
  </si>
  <si>
    <t>Fact#: 330860-333752-336696 Rec#: 14232 CABANILLA FUENTES CINDY GABRIELA</t>
  </si>
  <si>
    <t>IC-9788</t>
  </si>
  <si>
    <t>Fact#: 332615-335537 Rec#: 14231 CORDOVA REYES CARLOS HORACIO</t>
  </si>
  <si>
    <t>IC-9787</t>
  </si>
  <si>
    <t>Fact#: 334307 Rec#: 14230 JESUS NEREYDA CHIQUITO VERA</t>
  </si>
  <si>
    <t>IC-9786</t>
  </si>
  <si>
    <t>Fact#: 336582 Rec#: 31023 PAYLESS SHOESOURCE ECUADOR CIA. LTDA.</t>
  </si>
  <si>
    <t>IC-9780</t>
  </si>
  <si>
    <t>WALTER ENRIQUE  BAJAÑA MEDINA CANCELA TELEFONO 3960091 ABONA SGTE FACTURA</t>
  </si>
  <si>
    <t>AT-3085</t>
  </si>
  <si>
    <t>Fact#: 335958 Rec#: 31024 ROSERO TEJADA RICARDO EMILIO</t>
  </si>
  <si>
    <t>IC-9782</t>
  </si>
  <si>
    <t>Fact#: 329295-332139-335054 Rec#: 14229 DE LA O CHACON JOSEPH CHRISTIAN</t>
  </si>
  <si>
    <t>IC-9777</t>
  </si>
  <si>
    <t>Fact#: 336812 Rec#: 31022 APOLO LOAYZA HECTOR IVAN</t>
  </si>
  <si>
    <t>IC-9779</t>
  </si>
  <si>
    <t>Fact#: 334249 Rec#: 14228 CARLOS GUILLERMO MUÑOZ GUTIERREZ</t>
  </si>
  <si>
    <t>IC-9776</t>
  </si>
  <si>
    <t>Fact#: 320701-323451-326217-328975-331813-334726 Rec#: 14227 EDGAR HERNAN PEREZ MONTERO</t>
  </si>
  <si>
    <t>IC-9775</t>
  </si>
  <si>
    <t>Fact#: 2173 Rec#: 14226 CACUANGO LINCANGO EDISON FABIAN</t>
  </si>
  <si>
    <t>IC-9774</t>
  </si>
  <si>
    <t>Fact#: 334836 Rec#: 14225 ESTUPIÑAN BAJAÑA JORDAN EDWARD</t>
  </si>
  <si>
    <t>IC-9773</t>
  </si>
  <si>
    <t>Fact#: 2192 Rec#: 14224 CRUZ SANTANA MARCOS BOLIVAR</t>
  </si>
  <si>
    <t>IC-9772</t>
  </si>
  <si>
    <t>Fact#: 331315-334227 Rec#: 14223 MARIA ELENA MORA LUZCANDO</t>
  </si>
  <si>
    <t>IC-9771</t>
  </si>
  <si>
    <t>N/D TRANSFERENCIA 1ER ANTICIPO A FACTURA POR HONORARIOS PROFESIONALES, A PABLO BAQUERIZO DAVILA</t>
  </si>
  <si>
    <t>N/D TRANSFERENCIA PAGO DE FONDOS DE RESERVA MES DE JULIO 2020</t>
  </si>
  <si>
    <t>N/D TRANSFERENCIA ROLES DE PAGO 1ERA QUINCENA MES DE AGOSTO 2020</t>
  </si>
  <si>
    <t>N/D PACIFICO REEMBOLSO POR ENVÍO DE DTOS. A CNT EP, A MERELO MANUEL</t>
  </si>
  <si>
    <t>N/D PACIFICO CANCELACION FACTURA#153935470, 153935471, 153935472, 153935473 CNT EP PENSIÓN BÁSICA</t>
  </si>
  <si>
    <t>N/D POR COMISIONES DE WESTERN UNION POR RECAUDACION DEL 07/08/2020 al 13/08/2020</t>
  </si>
  <si>
    <t>Fact#: 336509 Rec#: 31021 CIPORT &amp; TECNAC CIPTE C.L</t>
  </si>
  <si>
    <t>IC-9770</t>
  </si>
  <si>
    <t>Fact#: 336533 Rec#: 31020 DATA TOOLS S.A.</t>
  </si>
  <si>
    <t>IC-9769</t>
  </si>
  <si>
    <t>Fact#: 2181 Rec#: 31019 GUATEMAL COLIMBA JUAN BAUTISTA</t>
  </si>
  <si>
    <t>IC-9759</t>
  </si>
  <si>
    <t>Fact#: 336429 Rec#: 31018 ELECTROMOOM S.A.</t>
  </si>
  <si>
    <t>IC-9758</t>
  </si>
  <si>
    <t>Fact#: 333900 Rec#: 31017 EDDA GLADYS PARRALES GOMEZ</t>
  </si>
  <si>
    <t>IC-9757</t>
  </si>
  <si>
    <t>Fact#: 328709-331538-334451 Rec#: 31016 FABRICIO OLMEDO GRANDA QUESADA</t>
  </si>
  <si>
    <t>IC-9756</t>
  </si>
  <si>
    <t>Fact#: 333998 Rec#: 31015 GLORIA ISABEL MITE LEON</t>
  </si>
  <si>
    <t>IC-9755</t>
  </si>
  <si>
    <t>Fact#: 334958 Rec#: 14222 CHACHA MOREIRA SINTIA PAOLA</t>
  </si>
  <si>
    <t>IC-9754</t>
  </si>
  <si>
    <t>Fact#: 334317 Rec#: 14221 JUAN CARLOS SANCHEZ AGUAS</t>
  </si>
  <si>
    <t>IC-9753</t>
  </si>
  <si>
    <t>Fact#: 332600-335522 Rec#: 14220 MACAS CHAUCA CARLOS ALBERTO</t>
  </si>
  <si>
    <t>IC-9752</t>
  </si>
  <si>
    <t>Fact#: 334591 Rec#: 14219 NANCY ESTHELA SANCHEZ</t>
  </si>
  <si>
    <t>IC-9751</t>
  </si>
  <si>
    <t>Fact#: 2219 Rec#: 14218 CRUZ JOSE AMABLE</t>
  </si>
  <si>
    <t>IC-9750</t>
  </si>
  <si>
    <t>Fact#: 321154-323909-326681-329446-332293-335212 Rec#: 14217 JIMENEZ MARCHAN CARLOS ALEJANDRO</t>
  </si>
  <si>
    <t>IC-9749</t>
  </si>
  <si>
    <t>Fact#: 317809-320551-323304-326069-328823-331655-334567 Rec#: 14216 LUIS ROJAS AMAYA</t>
  </si>
  <si>
    <t>IC-9748</t>
  </si>
  <si>
    <t>Fact#: 331843-334756 Rec#: 14215 GABRIEL CLEMENTE MEJIA MATA</t>
  </si>
  <si>
    <t>IC-9747</t>
  </si>
  <si>
    <t>Fact#: 334703 Rec#: 14214 NELSON ENRIQUE FLORES ENRIQUEZ</t>
  </si>
  <si>
    <t>IC-9746</t>
  </si>
  <si>
    <t>Fact#: 333862 Rec#: 31013 Corporación Nacional de Telecomunicaciones-CNT EP</t>
  </si>
  <si>
    <t>IC-9731</t>
  </si>
  <si>
    <t>Fact#: 336311 Rec#: 31011 LG ELECTRONICS PANAMA S.A</t>
  </si>
  <si>
    <t>IC-9725</t>
  </si>
  <si>
    <t>PINCAY SILVA FERNANDO RAFAEL CANCELA TELEFONO 3908064 ABONA SGTE FACTURA</t>
  </si>
  <si>
    <t>AT-3084</t>
  </si>
  <si>
    <t>N/D PACIFICO CANCELACION FACTURA#22985729 CNEL EP</t>
  </si>
  <si>
    <t>Fact#: 333859 Rec#: 31014 Corporación Nacional de Telecomunicaciones-CNT EP</t>
  </si>
  <si>
    <t>IC-9732</t>
  </si>
  <si>
    <t>Fact#: 325535-328286-331107 Rec#: 31012 CHRISTIAN ARTHUR KONANZ SCHOTEL</t>
  </si>
  <si>
    <t>IC-9730</t>
  </si>
  <si>
    <t>Fact#: 334113 Rec#: 31010 RIOS ORELLANA INGRID DE LA CRUZ</t>
  </si>
  <si>
    <t>IC-9722</t>
  </si>
  <si>
    <t>Fact#: 334269 Rec#: 31009 MANUEL ISAIAS TAPIA LOPEZ</t>
  </si>
  <si>
    <t>IC-9721</t>
  </si>
  <si>
    <t>Fact#: 323500-326267-329027-331865-334778 Rec#: 14213 ANNABELLE DEL ROCIO AVILA COELLO</t>
  </si>
  <si>
    <t>IC-9717</t>
  </si>
  <si>
    <t>Fact#: 330808-333700-336644 Rec#: 14212 BLOISE CORTAZAR LUIGI BRUNO</t>
  </si>
  <si>
    <t>IC-9716</t>
  </si>
  <si>
    <t>Fact#: 336430 Rec#: 14211 LABORATORIOS RENALABSA S A</t>
  </si>
  <si>
    <t>IC-9715</t>
  </si>
  <si>
    <t>Fact#: 2189 Rec#: 14210 CADENA CHONTASI OLGA MARIA</t>
  </si>
  <si>
    <t>IC-9714</t>
  </si>
  <si>
    <t>Fact#: 332638-335562 Rec#: 14209 CABRERA JIMENES FAUSTO IBAN</t>
  </si>
  <si>
    <t>IC-9713</t>
  </si>
  <si>
    <t>Fact#: 329951-332811-335735 Rec#: 14208 CORDOBA EIDER JOSE</t>
  </si>
  <si>
    <t>IC-9712</t>
  </si>
  <si>
    <t>Fact#: 284596-286852-289137 Rec#: 14207 BELGICA ALEXANDRA MALATS PENA</t>
  </si>
  <si>
    <t>IC-9711</t>
  </si>
  <si>
    <t>Fact#: 330210-333071-335995 Rec#: 14206 PILAY ALVARADO MARIA BELEN</t>
  </si>
  <si>
    <t>IC-9710</t>
  </si>
  <si>
    <t>Fact#: 334721 Rec#: 14205 BEATRIZ MARIA DEL CARMEN PACHECO BALLESTEROS</t>
  </si>
  <si>
    <t>IC-9709</t>
  </si>
  <si>
    <t>Fact#: 336788 Rec#: 14204 ARAUJO FIGUEROA WASHINGTON SALVADOR</t>
  </si>
  <si>
    <t>IC-9708</t>
  </si>
  <si>
    <t>Fact#: 336785 Rec#: 14203 SCUBATEC S A</t>
  </si>
  <si>
    <t>IC-9707</t>
  </si>
  <si>
    <t>Fact#: 2251 Rec#: 14202 ZABALA BARRIONUEVO RITA CECILIA</t>
  </si>
  <si>
    <t>IC-9706</t>
  </si>
  <si>
    <t>Fact#: 324473-327253-330023-332883-335807 Rec#: 14201 VERDUGA CANARTE ANTONIO ZABULON</t>
  </si>
  <si>
    <t>IC-9705</t>
  </si>
  <si>
    <t>Fact#: 334708 Rec#: 14200 RAWAD MACHLB BZEIH BARAKAT</t>
  </si>
  <si>
    <t>IC-9704</t>
  </si>
  <si>
    <t>Fact#: 332904-335828 Rec#: 14199 MENDEZ CARABALI FREDDY MANUEL</t>
  </si>
  <si>
    <t>IC-9703</t>
  </si>
  <si>
    <t>Fact#: 332836-335761 Rec#: 14198 MACAS VERA CARLOS ERNESTO</t>
  </si>
  <si>
    <t>IC-9702</t>
  </si>
  <si>
    <t>GASTOS BANCARIOS BCO PACIFICO COMP RET 2183494</t>
  </si>
  <si>
    <t>DR-2139</t>
  </si>
  <si>
    <t>GASTOS BANCARIOS BCO PACIFICO COMP RET 2183402</t>
  </si>
  <si>
    <t>DR-2138</t>
  </si>
  <si>
    <t>N/D PAGO DE PLLAS. IESS PRESTAMO HIPOTECARIO MES DE JULIO 2020, COMP#9125659</t>
  </si>
  <si>
    <t>N/D PAGO DE PLLAS. IESS FONDO DE RESERVA MES DE JULIO 2020, COMP#20086917</t>
  </si>
  <si>
    <t>N/D PAGO DE PLLAS. IESS NORMALES MES DE JULIO 2020, COMP#132225973</t>
  </si>
  <si>
    <t>N/D PAGO DE PLLAS. IESS AJUSTE MES DE JULIO 2020, COMP#132226082</t>
  </si>
  <si>
    <t>N/D PACIFICO CANCELACION  FACTURA#2202000 CNEL EP</t>
  </si>
  <si>
    <t>N/D PACIFICO CANCELACION FACTURA#153935474 CNT EP CONSUMO TELEFÓNICO</t>
  </si>
  <si>
    <t>Fact#: 334693 Rec#: 31008 LUIS ENRIQUE APOLINARIO ROJAS</t>
  </si>
  <si>
    <t>IC-9686</t>
  </si>
  <si>
    <t>Fact#: 331600-334512 Rec#: 14197 CECILIA ISABEL PORTILLA ESPINOZA</t>
  </si>
  <si>
    <t>IC-9680</t>
  </si>
  <si>
    <t>Fact#: 336674 Rec#: 14196 REX PLASTICS S.A.</t>
  </si>
  <si>
    <t>IC-9679</t>
  </si>
  <si>
    <t>Fact#: 336373 Rec#: 14195 ASOCIACION DE PROPIETARIOS DE LA URBANIZACION PUER</t>
  </si>
  <si>
    <t>IC-9678</t>
  </si>
  <si>
    <t>Fact#: 318034-320768-323518-326287-329047-331885-334799 Rec#: 14194 QUIROZ FLOREZ EDUARDO DE JESUS</t>
  </si>
  <si>
    <t>IC-9677</t>
  </si>
  <si>
    <t>Fact#: 321080-323837-326607-329372-332216-335132 Rec#: 14193 ROJAS ULLOA AURORA DEL CARMEN</t>
  </si>
  <si>
    <t>IC-9676</t>
  </si>
  <si>
    <t>Fact#: 293373-295871-298464 Rec#: 14192 AGUEDA EMPERATRIZ RUIZ HERNANDEZ</t>
  </si>
  <si>
    <t>IC-9675</t>
  </si>
  <si>
    <t>Fact#: 331229-334142 Rec#: 14191 CAJAS MARISCAL JAVIER IGNACIO</t>
  </si>
  <si>
    <t>IC-9674</t>
  </si>
  <si>
    <t>Fact#: 297418-299987-302558 Rec#: 14190 OSORIO RESTREPO CESAR AUGUSTO</t>
  </si>
  <si>
    <t>IC-9673</t>
  </si>
  <si>
    <t>Fact#: 332073-334987 Rec#: 14189 CASTRO RIVERA JONATHAN GEOVANNY</t>
  </si>
  <si>
    <t>IC-9672</t>
  </si>
  <si>
    <t>Fact#: 332290-335209 Rec#: 14188 MARURI HERRERA JAQUELINE DEL ROCIO</t>
  </si>
  <si>
    <t>IC-9671</t>
  </si>
  <si>
    <t>Fact#: 335976 Rec#: 14187 ONETO LERTORA CARMEN MARIA</t>
  </si>
  <si>
    <t>IC-9670</t>
  </si>
  <si>
    <t>Fact#: 335373 Rec#: 14186 SALAZAR TELLO NICOLAS EDUARDO</t>
  </si>
  <si>
    <t>IC-9669</t>
  </si>
  <si>
    <t>Fact#: 2266 Rec#: 14185 GUTIERREZ ALVAREZ TERESA EUGENIA</t>
  </si>
  <si>
    <t>IC-9668</t>
  </si>
  <si>
    <t>Fact#: 331413-334325 Rec#: 14184 JANETH CATALINA DAVILA TOMALA</t>
  </si>
  <si>
    <t>IC-9667</t>
  </si>
  <si>
    <t>Fact#: 320789-323540-326310-329071-331909-334823 Rec#: 31374 IBAÑEZ VASCONES MARIA CECILIA</t>
  </si>
  <si>
    <t>IC-11950</t>
  </si>
  <si>
    <t>Fact#: 719-720 Rec#: 31006 F.V - AREA ANDINA S.A.</t>
  </si>
  <si>
    <t>IC-9631</t>
  </si>
  <si>
    <t>Fact#: 333901 Rec#: 31005 GIOVANNY NARVAEZ PORTILLA</t>
  </si>
  <si>
    <t>IC-9626</t>
  </si>
  <si>
    <t>Fact#: 334063 Rec#: 31004 CARMEN NARCISA  JURADO PAREDES</t>
  </si>
  <si>
    <t>IC-9625</t>
  </si>
  <si>
    <t>Fact#: 334157 Rec#: 31003 VILLAO JURADO ANDREA BELEN</t>
  </si>
  <si>
    <t>IC-9624</t>
  </si>
  <si>
    <t>Fact#: 333569-336515 Rec#: 31002 ETYECU S A</t>
  </si>
  <si>
    <t>IC-9623</t>
  </si>
  <si>
    <t>Fact#: 336470 Rec#: 31001 JORGE ARTURO ZANABRIA VILLAMAR</t>
  </si>
  <si>
    <t>IC-9622</t>
  </si>
  <si>
    <t>Fact#: 334673 Rec#: 31000 XAVIER ALFREDO ZANABRIA VILLAMAR</t>
  </si>
  <si>
    <t>IC-9621</t>
  </si>
  <si>
    <t>Fact#: 328330-331151-334064 Rec#: 30999 MARY ELENA  MONROY PAREDES</t>
  </si>
  <si>
    <t>IC-9620</t>
  </si>
  <si>
    <t>Fact#: 336636 Rec#: 30998 GENERALAIR S. A</t>
  </si>
  <si>
    <t>IC-9619</t>
  </si>
  <si>
    <t>Fact#: 335532 Rec#: 30997 HERNANDEZ GOMEZ EDDY MAXIMO</t>
  </si>
  <si>
    <t>IC-9618</t>
  </si>
  <si>
    <t>Fact#: 334921 Rec#: 14183 MERCHAN  PEREZ FABIAN BERNARDINO</t>
  </si>
  <si>
    <t>IC-9617</t>
  </si>
  <si>
    <t>Fact#: 325157-327917-330726-333615-336561 Rec#: 14182 APOLO LOAYZA HECTOR IVAN</t>
  </si>
  <si>
    <t>IC-9616</t>
  </si>
  <si>
    <t>Fact#: 331196-334108 Rec#: 14181 SALAZAR CARRILLO MARIA ANDREA</t>
  </si>
  <si>
    <t>IC-9615</t>
  </si>
  <si>
    <t>Fact#: 336378 Rec#: 14180 REFRIGERACIÓN INDUSTRIAL CORNEJO REFRICOR-EC CIA.</t>
  </si>
  <si>
    <t>IC-9614</t>
  </si>
  <si>
    <t>Fact#: 336379 Rec#: 14179 REFRIGERACIÓN INDUSTRIAL CORNEJO REFRICOR-EC CIA.</t>
  </si>
  <si>
    <t>IC-9613</t>
  </si>
  <si>
    <t>Fact#: 329213-332054-334968 Rec#: 14178 SELLAN SELLAN EMILIA MARGARITA</t>
  </si>
  <si>
    <t>IC-9612</t>
  </si>
  <si>
    <t>Fact#: 323495-326262-329022-331860-334773 Rec#: 14177 GABRIELA CAROLINA RIVERA MARTINEZ</t>
  </si>
  <si>
    <t>IC-9611</t>
  </si>
  <si>
    <t>Fact#: 333093-336018 Rec#: 14176 LEON GARCIA MARCELA VERONICA</t>
  </si>
  <si>
    <t>IC-9610</t>
  </si>
  <si>
    <t>Fact#: 333943 Rec#: 14175 ALBA REBECA BOHORQUEZ JACOME</t>
  </si>
  <si>
    <t>IC-9609</t>
  </si>
  <si>
    <t>Fact#: 332790-335714 Rec#: 14174 GOMEZ VERA NATALY ELIZABETH</t>
  </si>
  <si>
    <t>IC-9608</t>
  </si>
  <si>
    <t>Fact#: 336709 Rec#: 14173 SPORTMEDIC.S.A</t>
  </si>
  <si>
    <t>IC-9607</t>
  </si>
  <si>
    <t>Fact#: 336475 Rec#: 30996 CONSTRU-YA S.A.</t>
  </si>
  <si>
    <t>IC-9605</t>
  </si>
  <si>
    <t>GASTOS BANCARIOS BCO PACIFICO COMP RET 2181951</t>
  </si>
  <si>
    <t>DR-2137</t>
  </si>
  <si>
    <t>GASTOS BANCARIOS BCO PACIFICO COMP RET 2181864</t>
  </si>
  <si>
    <t>DR-2136</t>
  </si>
  <si>
    <t>N/D BANCO DEL PACIFICO OTECEL S.A. CANCELACIÓN FACTURA#68284468 PLAN CORP. Y CUOTA 2/24</t>
  </si>
  <si>
    <t>Fact#: 336725 Rec#: 14172 BRODERIN S.A</t>
  </si>
  <si>
    <t>IC-11148</t>
  </si>
  <si>
    <t>Fact#: 336420 Rec#: 30994 OPENGROUP S.A.</t>
  </si>
  <si>
    <t>IC-9598</t>
  </si>
  <si>
    <t>Fact#: 323337-326102-328856-331690-334603 Rec#: 14171 MAYRA MARIELA MORAN MOREIRA</t>
  </si>
  <si>
    <t>IC-9596</t>
  </si>
  <si>
    <t>Fact#: 334911 Rec#: 14170 DEL VALLE MONTECE SELENA MARIBEL</t>
  </si>
  <si>
    <t>IC-9595</t>
  </si>
  <si>
    <t>Fact#: 330099-332959-335883 Rec#: 14169 PAREDES TORRES ANGELA DEL ROSARIO</t>
  </si>
  <si>
    <t>IC-9594</t>
  </si>
  <si>
    <t>Fact#: 2334 Rec#: 31007 CABEZAS GUERRA MARIA DEL CARMEN</t>
  </si>
  <si>
    <t>IC-9632</t>
  </si>
  <si>
    <t>Fact#: 334614 Rec#: 14168 MOISES ROBERTO FRANCO ANDRADE</t>
  </si>
  <si>
    <t>IC-9593</t>
  </si>
  <si>
    <t>Fact#: 312727-315403-318098 Rec#: 14167 SUAREZ PALMA JOSE LUIS</t>
  </si>
  <si>
    <t>IC-9592</t>
  </si>
  <si>
    <t>Fact#: 336494 Rec#: 14166 CENTRO CARDIOLOGICO PREVENCARDIO CIA. LTDA.</t>
  </si>
  <si>
    <t>IC-9591</t>
  </si>
  <si>
    <t>Fact#: 330122-332982-335906 Rec#: 14165 CHOEZ BRAVO JOSE ANTONIO</t>
  </si>
  <si>
    <t>IC-9590</t>
  </si>
  <si>
    <t>Fact#: 334919 Rec#: 14164 SAN LUCAS PEÑA SHEYLA</t>
  </si>
  <si>
    <t>IC-9589</t>
  </si>
  <si>
    <t>Fact#: 324480-327260-330030-332890-335814 Rec#: 14163 PONCE HUACON GABRIELA VANESSA</t>
  </si>
  <si>
    <t>IC-9588</t>
  </si>
  <si>
    <t>Fact#: 333863 Rec#: 30995 CONSORCIO ECUATORIANO DE TELECOMUNICACIONES S.A. CONECEL</t>
  </si>
  <si>
    <t>IC-9603</t>
  </si>
  <si>
    <t>Fact#: 334034 Rec#: 30993 HUGO ANTONIO SALMERON ACOSTA</t>
  </si>
  <si>
    <t>IC-9584</t>
  </si>
  <si>
    <t>Fact#: 325349-330918-333811-336755 Rec#: 30992 PAN ZI</t>
  </si>
  <si>
    <t>IC-9583</t>
  </si>
  <si>
    <t>Fact#: 325348-330917-333810-336754 Rec#: 30991 PAN ZI</t>
  </si>
  <si>
    <t>IC-9582</t>
  </si>
  <si>
    <t>Fact#: 335098 Rec#: 30990 SOXO QUICHIMBO IVONNE ALEXANDRA</t>
  </si>
  <si>
    <t>IC-9581</t>
  </si>
  <si>
    <t>Fact#: 334186 Rec#: 30989 GRACIELA GUADALUPE MEREJILDO VERA</t>
  </si>
  <si>
    <t>IC-9580</t>
  </si>
  <si>
    <t>Fact#: 335158 Rec#: 30988 GONZALEZ SANCHEZ CESAR IVAN</t>
  </si>
  <si>
    <t>IC-9579</t>
  </si>
  <si>
    <t>Fact#: 333972 Rec#: 30987 JAVIER MAURICIO RODRIGO ALBAN</t>
  </si>
  <si>
    <t>IC-9578</t>
  </si>
  <si>
    <t>Fact#: 331815-334728 Rec#: 30986 EFREN AUGUSTO FREIRE VALENCIA</t>
  </si>
  <si>
    <t>IC-9577</t>
  </si>
  <si>
    <t>Fact#: 330765-333655-336601 Rec#: 14162 CORPORACION DE TRANSPORTISTAS DEL ECUADOR S.A.</t>
  </si>
  <si>
    <t>IC-9576</t>
  </si>
  <si>
    <t>Fact#: 308772-311576-314308 Rec#: 14161 CEVALLOS BRIONES GEMA PAOLA</t>
  </si>
  <si>
    <t>IC-9575</t>
  </si>
  <si>
    <t>Fact#: 334529 Rec#: 14160 JAVIER FEDERICO VILLON ANASTACIO</t>
  </si>
  <si>
    <t>IC-9574</t>
  </si>
  <si>
    <t>Fact#: 323598-326368-329131-331970-334884 Rec#: 14159 RENDON SOLIS MARJORIE VALENTINA</t>
  </si>
  <si>
    <t>IC-9573</t>
  </si>
  <si>
    <t>Fact#: 332703-335628 Rec#: 14158 SARMIENTO VIVEROS ALEXANDRA ELIZABETH</t>
  </si>
  <si>
    <t>IC-9572</t>
  </si>
  <si>
    <t>Fact#: 321491-324242-327018-329786-332642-335566 Rec#: 14157 DUQUE ROMERO LENIN EFRAIN</t>
  </si>
  <si>
    <t>IC-9571</t>
  </si>
  <si>
    <t>Fact#: 334335 Rec#: 14156 ADRIANA ALEXANDRA CHIQUITO MOLINA</t>
  </si>
  <si>
    <t>IC-9570</t>
  </si>
  <si>
    <t>Fact#: 335564 Rec#: 14155 FIGUEROA RIOS MIGUEL IBSEN</t>
  </si>
  <si>
    <t>IC-9569</t>
  </si>
  <si>
    <t>Fact#: 333119-336046 Rec#: 14154 PENAFIEL MOSQUERA MIRNA LORGIA</t>
  </si>
  <si>
    <t>IC-9568</t>
  </si>
  <si>
    <t>Fact#: 335299 Rec#: 14153 YUMBLA MENDIETA MONICA ELIZABETH</t>
  </si>
  <si>
    <t>IC-9567</t>
  </si>
  <si>
    <t>Fact#: 334839 Rec#: 14152 ORTIZ CARRILLO ROBERTO JAVIER</t>
  </si>
  <si>
    <t>IC-9566</t>
  </si>
  <si>
    <t>Fact#: 334424 Rec#: 14151 OMAR JOSSUE GRANIZO HUAYAMAVE</t>
  </si>
  <si>
    <t>IC-9565</t>
  </si>
  <si>
    <t>Fact#: 332413-335334 Rec#: 14150 ZAMBRANO MOREIRA ARTURO JOSE</t>
  </si>
  <si>
    <t>IC-9564</t>
  </si>
  <si>
    <t>Fact#: 331866-334779 Rec#: 14149 CARLOS FERNANDO BERMELLO MEZA</t>
  </si>
  <si>
    <t>IC-9563</t>
  </si>
  <si>
    <t>Fact#: 335792 Rec#: 30985 ARANA BARROS AMBAR GEOVANA</t>
  </si>
  <si>
    <t>IC-9562</t>
  </si>
  <si>
    <t>Fact#: 336734-336735 Rec#: 30984 TOPFOOD CIA. LTDA.</t>
  </si>
  <si>
    <t>IC-9561</t>
  </si>
  <si>
    <t>Ingreso por pago Telconet en banco pacifico por dep en cta #doc 26865271</t>
  </si>
  <si>
    <t>DR-2225</t>
  </si>
  <si>
    <t>GASTOS BANCARIOS BCO PACIFICO COMP RET 2179446</t>
  </si>
  <si>
    <t>DR-2135</t>
  </si>
  <si>
    <t>GASTOS BANCARIOS BCO PACIFICO COMP RET 2179352</t>
  </si>
  <si>
    <t>DR-2134</t>
  </si>
  <si>
    <t>AMERICAN EXPRESS CANCELACION DEBITO TARJETAS GUAYAQUIL- PAGO DE FACT 334251- 334683- 334715- 336444- 334861- 336600- 336603- 335238- 335604- 335757- 335908- 335985- 335993-335689- 336037- 336110- 336767</t>
  </si>
  <si>
    <t>VISA - MASTERCARD - PACIFICARD CANCELACION DEBITO TARJETAS GUAYAQUIL- PAGO DE FACT 334218- 336352- 334576- 334263- 336445- 336446- 336456- 334848-334587-  335744- 2241-  332656- 335581</t>
  </si>
  <si>
    <t>Fact#: 333379 Rec#: 30983 DVT DEL ECUADOR S.A</t>
  </si>
  <si>
    <t>IC-9558</t>
  </si>
  <si>
    <t>Fact#: 335112 Rec#: 30982 LOGROÑO REYES VICENTE JAVIER</t>
  </si>
  <si>
    <t>IC-9552</t>
  </si>
  <si>
    <t>Fact#: 336646 Rec#: 30981 ADUANOVACORP S.A.</t>
  </si>
  <si>
    <t>IC-9547</t>
  </si>
  <si>
    <t>Fact#: 318044-320779-323529-326299-329060-331898-334812 Rec#: 30980 BARCO LOOR ALEXANDRA JACQUELINE</t>
  </si>
  <si>
    <t>IC-9546</t>
  </si>
  <si>
    <t>Fact#: 335845 Rec#: 30979 BUSTAMANTE TORRES CAMILO EDUARDO</t>
  </si>
  <si>
    <t>IC-9545</t>
  </si>
  <si>
    <t>Fact#: 333351-336301 Rec#: 30978 ASOCIACION DE PROPIETARIOS III ETAPA LONDRES</t>
  </si>
  <si>
    <t>IC-9544</t>
  </si>
  <si>
    <t>Fact#: 336782 Rec#: 30977 SERVICIO DE OFICINA COMPUTARIZADO SEROFICOM S.A.</t>
  </si>
  <si>
    <t>IC-9543</t>
  </si>
  <si>
    <t>Fact#: 335625 Rec#: 14148 PARRALES CABRERA TEOFILO CELESTINO</t>
  </si>
  <si>
    <t>IC-9542</t>
  </si>
  <si>
    <t>Fact#: 301287-303952-306711 Rec#: 14147 ANDRES XAVIER MESIAS MORALES</t>
  </si>
  <si>
    <t>IC-9541</t>
  </si>
  <si>
    <t>Fact#: 334762 Rec#: 14146 JOSE ANTONIO CABEZAS BURGOS</t>
  </si>
  <si>
    <t>IC-9540</t>
  </si>
  <si>
    <t>Fact#: 332897-335821 Rec#: 14145 VERA DOMINGUEZ JOSE MARCELO</t>
  </si>
  <si>
    <t>IC-9539</t>
  </si>
  <si>
    <t>Fact#: 333898 Rec#: 14144 LIDIA JUDITH OJEDA RUIZ</t>
  </si>
  <si>
    <t>IC-9538</t>
  </si>
  <si>
    <t>Fact#: 335197 Rec#: 14143 GALARZA JARAMILLO RICHARD GUISEPPE</t>
  </si>
  <si>
    <t>IC-9537</t>
  </si>
  <si>
    <t>Fact#: 332129-335044 Rec#: 14142 FLORES MARTINEZ RAQUEL VERONICA</t>
  </si>
  <si>
    <t>IC-9536</t>
  </si>
  <si>
    <t>Fact#: 325465-328214-331033-333947 Rec#: 14141 DOROTHY VIRGINIA ALBAN CANEPA</t>
  </si>
  <si>
    <t>IC-9535</t>
  </si>
  <si>
    <t>Fact#: 331769-334682 Rec#: 14140 NEISI LORENA CHONG MELGAR</t>
  </si>
  <si>
    <t>IC-9534</t>
  </si>
  <si>
    <t>Fact#: 320024-322790-325547-328298-331119-334032 Rec#: 14139 JORGE LUIS BERNAL AVEIGA</t>
  </si>
  <si>
    <t>IC-9533</t>
  </si>
  <si>
    <t>Fact#: 332951-335875 Rec#: 14138 CASTRO SAENZ DIANA INDIRA</t>
  </si>
  <si>
    <t>IC-9532</t>
  </si>
  <si>
    <t>Fact#: 336409 Rec#: 30976 STEVEN MICHAEL RAMOS MEZA</t>
  </si>
  <si>
    <t>IC-9503</t>
  </si>
  <si>
    <t>GASTOS BANCARIOS BCO PACIFICO COMP RET 2178251</t>
  </si>
  <si>
    <t>DR-2133</t>
  </si>
  <si>
    <t>GASTOS BANCARIOS BCO PACIFICO COMP RET 2178142</t>
  </si>
  <si>
    <t>DR-2132</t>
  </si>
  <si>
    <t>GASTOS BANCARIOS BCO PACIFICO COMP RET 2177221</t>
  </si>
  <si>
    <t>DR-2131</t>
  </si>
  <si>
    <t>N/D PACIFICO CANCELACION FODETEL 1%, 2DO TRIMESTRE, A TRAVÉS DE TERMINALES DE USOS PÚBLICO</t>
  </si>
  <si>
    <t>NDL-37</t>
  </si>
  <si>
    <t>N/D PACIFICO CANCELACION FODETEL 1%, 2DO TRIMESTRE, TELEFONIA LARGA DISTANCIA INTERNACIONAL</t>
  </si>
  <si>
    <t>N/D PACIFICO CANCELACIÓN FODETEL 1% 2DO TRIMESTRE TELEFONIA FIJA LOCAL</t>
  </si>
  <si>
    <t>N/D PACIFICO CANCELACION DERECHO DE CONCESIONES 2DO TRIMESTRE, A TRAVÉS DE TERMINALES DE USO PÚBLICO</t>
  </si>
  <si>
    <t>N/D PACIFICO CANCELACION DERECHO DE CONCESION 2DO TIEMESTRE, TELEFONIA LARGA DISTANCIA INTERNACIONAL</t>
  </si>
  <si>
    <t>N/D PACIFICIO CANCELACION DERECHOS CONCESIONES 2DO TRIMESTRE, TELEFONIA FIJA LOCAL</t>
  </si>
  <si>
    <t>Fact#: 336308 Rec#: 30975 SOLVESA  ECUADOR S.A</t>
  </si>
  <si>
    <t>IC-9479</t>
  </si>
  <si>
    <t>Fact#: 331823-334736 Rec#: 14137 JUVIKA JOHANNA CABUYALES HUACON</t>
  </si>
  <si>
    <t>IC-9472</t>
  </si>
  <si>
    <t>Fact#: 334681 Rec#: 14136 MARITZA MABEL USHIÑA GIRALDO</t>
  </si>
  <si>
    <t>IC-9471</t>
  </si>
  <si>
    <t>Fact#: 336280 Rec#: 14135 LAINEZ FRANCO MILDRED BETSABE</t>
  </si>
  <si>
    <t>IC-9470</t>
  </si>
  <si>
    <t>Fact#: 2255 Rec#: 14134 SALINAS GONZALEZ JAIME PATRICIO</t>
  </si>
  <si>
    <t>IC-9469</t>
  </si>
  <si>
    <t>Fact#: 335996 Rec#: 14133 SANCHEZ PEREZ FRANCISCO ROBERTO</t>
  </si>
  <si>
    <t>IC-9468</t>
  </si>
  <si>
    <t>Fact#: 2260 Rec#: 14132 ESPIN BIFARINI LOURDES TAMARA</t>
  </si>
  <si>
    <t>IC-9467</t>
  </si>
  <si>
    <t>Fact#: 335153 Rec#: 14131 RUIZ SOLANO KELVIL ORLANDO</t>
  </si>
  <si>
    <t>IC-9466</t>
  </si>
  <si>
    <t>Fact#: 315407-318102-320833 Rec#: 14130 QUIMIZ MERCHAN SORAIDA MARCELINA</t>
  </si>
  <si>
    <t>IC-9465</t>
  </si>
  <si>
    <t>Fact#: 336113 Rec#: 14129 CARREÑO ACOSTA JESUS LAUREANO</t>
  </si>
  <si>
    <t>IC-9464</t>
  </si>
  <si>
    <t>Fact#: 330888-333779-333857-336722 Rec#: 14128 ALBAN CASTRO VIVIANA</t>
  </si>
  <si>
    <t>IC-9463</t>
  </si>
  <si>
    <t>Fact#: 336141 Rec#: 14127 LLERAS EVARISTO RAFAEL GUSTAVO</t>
  </si>
  <si>
    <t>IC-9462</t>
  </si>
  <si>
    <t>Fact#: 331443-334356 Rec#: 14126 UBALDO HELIODORO MOTOCHE MEDINA</t>
  </si>
  <si>
    <t>IC-9461</t>
  </si>
  <si>
    <t>Fact#: 334507 Rec#: 14125 ISABEL RODRIGUEZ RIZO</t>
  </si>
  <si>
    <t>IC-9460</t>
  </si>
  <si>
    <t>Fact#: 335873 Rec#: 14124 PONCE CARRIEL BRENDA LIZETH</t>
  </si>
  <si>
    <t>IC-9459</t>
  </si>
  <si>
    <t>Fact#: 336681 Rec#: 14123 SOLIS REYES OMAR MICHAEL</t>
  </si>
  <si>
    <t>IC-9458</t>
  </si>
  <si>
    <t>Fact#: 335216 Rec#: 14122 RIVADENEIRA SACON GRACE ALEXANDRA</t>
  </si>
  <si>
    <t>IC-9457</t>
  </si>
  <si>
    <t>Fact#: 336432 Rec#: 14121 FILUS S.A</t>
  </si>
  <si>
    <t>IC-9456</t>
  </si>
  <si>
    <t>Fact#: 336431 Rec#: 14120 FILUS S.A</t>
  </si>
  <si>
    <t>IC-9455</t>
  </si>
  <si>
    <t>Fact#: 334097 Rec#: 14119 ANGELA MARIA ANA  FERAUD MANSSUR</t>
  </si>
  <si>
    <t>IC-9454</t>
  </si>
  <si>
    <t>Fact#: 332294-335213 Rec#: 14118 MOLINA SALAVARRIA ADRIANO ENRIQUE</t>
  </si>
  <si>
    <t>IC-9453</t>
  </si>
  <si>
    <t>Fact#: 334853 Rec#: 30974 QUINTO BAZAN JOHNN HENRY</t>
  </si>
  <si>
    <t>IC-9452</t>
  </si>
  <si>
    <t>Fact#: 322337-325094-327861-330665-333554-336500 Rec#: 30973 DERCONSULT CIA LTDA</t>
  </si>
  <si>
    <t>IC-9451</t>
  </si>
  <si>
    <t>Fact#: 336289 Rec#: 30972 ASOC. DE PROPIETARIOS URB. VIA AL SOL</t>
  </si>
  <si>
    <t>IC-9450</t>
  </si>
  <si>
    <t>Fact#: 320097-322864-325621-328372-331193-334106 Rec#: 30971 SANDOYA CASTRO FILADELFIA MADRID</t>
  </si>
  <si>
    <t>IC-9449</t>
  </si>
  <si>
    <t>Fact#: 334798 Rec#: 30970 REYES MARTINEZ WILLIE RICARDO</t>
  </si>
  <si>
    <t>IC-9448</t>
  </si>
  <si>
    <t>Fact#: 336163 Rec#: 30969 MONGE SCALDAFERRI ANDRES ALBERTO</t>
  </si>
  <si>
    <t>IC-9447</t>
  </si>
  <si>
    <t>Fact#: 321711-324460-327240-330010-332870-335794 Rec#: 30968 SOLEDISPA ACEBO MILTON ANTONIO</t>
  </si>
  <si>
    <t>IC-9446</t>
  </si>
  <si>
    <t>Fact#: 335776 Rec#: 30967 AMAGUAYA CHUQUI ANGEL DANIEL</t>
  </si>
  <si>
    <t>IC-9445</t>
  </si>
  <si>
    <t>Fact#: 335110 Rec#: 30966 BOSQUEZ PINCAY LILIAN MARLENE</t>
  </si>
  <si>
    <t>IC-9444</t>
  </si>
  <si>
    <t>Fact#: 331840-334753 Rec#: 30965 TANIA PAOLA ILLESCAS PIBAQUE</t>
  </si>
  <si>
    <t>IC-9443</t>
  </si>
  <si>
    <t>Fact#: 334036 Rec#: 30964 JORGE JOSE  TORBAY GONZALEZ</t>
  </si>
  <si>
    <t>IC-9442</t>
  </si>
  <si>
    <t>Fact#: 335356 Rec#: 30963 RAMOS MARCILLO CATHERINE LISSETTE</t>
  </si>
  <si>
    <t>IC-9441</t>
  </si>
  <si>
    <t>Fact#: 333945 Rec#: 30962 SIXTER ABRAHAM ECHEVERRIA ORTIZ</t>
  </si>
  <si>
    <t>IC-9440</t>
  </si>
  <si>
    <t>Fact#: 335284 Rec#: 30961 UBILLA MORAN MARIANA JACQUELINE</t>
  </si>
  <si>
    <t>IC-9439</t>
  </si>
  <si>
    <t>Fact#: 333981 Rec#: 30960 ALVARO CORNEJO RODRIGUEZ</t>
  </si>
  <si>
    <t>IC-9438</t>
  </si>
  <si>
    <t>Fact#: 323065-325827-328577-331402-334313 Rec#: 30959 MIRIAM ANTONIETA MARIDUEÑA VALENZUELA</t>
  </si>
  <si>
    <t>IC-9437</t>
  </si>
  <si>
    <t>GASTOS BANCARIOS BCO PACIFICO COMP RET 2177126</t>
  </si>
  <si>
    <t>DR-2030</t>
  </si>
  <si>
    <t>Fact#: 334210 Rec#: 30958 EVELYN ROSANGELA ARGUELLO JURADO</t>
  </si>
  <si>
    <t>IC-9419</t>
  </si>
  <si>
    <t>Fact#: 335103 Rec#: 30957 ARIAS SALAZAR KATHERINE JUSETH</t>
  </si>
  <si>
    <t>IC-9418</t>
  </si>
  <si>
    <t>Fact#: 334013 Rec#: 30956 FERNANDO GABRIEL AVILES USCOCOVICH</t>
  </si>
  <si>
    <t>IC-9417</t>
  </si>
  <si>
    <t>Fact#: 335090-336559 Rec#: 30955 DELGADO VINTIMILLA CARLOS FERNANDO</t>
  </si>
  <si>
    <t>IC-9416</t>
  </si>
  <si>
    <t>Fact#: 334559 Rec#: 30954 AIMARA RODRIGUEZ FERNANDEZ</t>
  </si>
  <si>
    <t>IC-9415</t>
  </si>
  <si>
    <t>Fact#: 323993-326766-329530-332381-335301 Rec#: 30953 REIMBERG BADUY PETER PAUL</t>
  </si>
  <si>
    <t>IC-9414</t>
  </si>
  <si>
    <t>Fact#: 332875-335799 Rec#: 30952 MORA REYES JOSE FRANK</t>
  </si>
  <si>
    <t>IC-9413</t>
  </si>
  <si>
    <t>Fact#: 329233-332074-334988 Rec#: 14117 PINCAY RUIZ VICENTA MARLENE</t>
  </si>
  <si>
    <t>IC-9412</t>
  </si>
  <si>
    <t>Fact#: 331097-334010 Rec#: 14116 MARCOS ROBERTO CALDERON VELASQUEZ</t>
  </si>
  <si>
    <t>IC-9411</t>
  </si>
  <si>
    <t>Fact#: 335901 Rec#: 14115 CERCADO MENDOZA MARIA AUXILIADORA</t>
  </si>
  <si>
    <t>IC-9410</t>
  </si>
  <si>
    <t>Fact#: 331469-334382 Rec#: 14114 WILLINGTON HUGO ROSALES MEDINA</t>
  </si>
  <si>
    <t>IC-9409</t>
  </si>
  <si>
    <t>Fact#: 336214 Rec#: 14113 MENDEZ LAINEZ RUTH ELIZABETH</t>
  </si>
  <si>
    <t>IC-9408</t>
  </si>
  <si>
    <t>Fact#: 334450 Rec#: 14112 JAVIER ENRIQUE ARTEAGA MENENDEZ</t>
  </si>
  <si>
    <t>IC-9407</t>
  </si>
  <si>
    <t>Fact#: 335375 Rec#: 14111 ROMMEL ANTONIO ZAMORA TRIGUERO</t>
  </si>
  <si>
    <t>IC-9406</t>
  </si>
  <si>
    <t>Fact#: 334224 Rec#: 14110 CESAR AUGUSTO BAQUERIZO AROSEMENA</t>
  </si>
  <si>
    <t>IC-9405</t>
  </si>
  <si>
    <t>Fact#: 334141 Rec#: 14109 ALVARADO PIGUAVE CAROLIN JANET</t>
  </si>
  <si>
    <t>IC-9404</t>
  </si>
  <si>
    <t>Fact#: 331774-334687 Rec#: 14108 CARMEN LUISA PORTUGAL JACOME</t>
  </si>
  <si>
    <t>IC-9403</t>
  </si>
  <si>
    <t>Fact#: 335210 Rec#: 14107 VELASQUEZ POLIT NINA NATASHA</t>
  </si>
  <si>
    <t>IC-9402</t>
  </si>
  <si>
    <t>Fact#: 2311 Rec#: 14106 MINDA POZO EDVIN ERNESTO</t>
  </si>
  <si>
    <t>IC-9401</t>
  </si>
  <si>
    <t>Fact#: 335824 Rec#: 14105 FRANCO RODRIGUEZ FEDERICO ENRIQUE</t>
  </si>
  <si>
    <t>IC-9400</t>
  </si>
  <si>
    <t>Fact#: 331900-334814 Rec#: 14104 GONZALEZ MELLA CRISTIAN ALEJANDRO</t>
  </si>
  <si>
    <t>IC-9399</t>
  </si>
  <si>
    <t>Fact#: 329478-332327-335247 Rec#: 14103 CORTEZ AVILES PEDRO ROGELIO</t>
  </si>
  <si>
    <t>IC-9398</t>
  </si>
  <si>
    <t>Fact#: 335700 Rec#: 14102 BORBOR MORENO LUIS ANTONIO</t>
  </si>
  <si>
    <t>IC-9397</t>
  </si>
  <si>
    <t>Fact#: 334027 Rec#: 14101 MARCOS ALFREDO CHANG HI FONG</t>
  </si>
  <si>
    <t>IC-9396</t>
  </si>
  <si>
    <t>Fact#: 335240 Rec#: 14100 ORTEGA CONFORME  JANET AURORA</t>
  </si>
  <si>
    <t>IC-9395</t>
  </si>
  <si>
    <t>Fact#: 322104-324844-327612-333290-336231 Rec#: 14099 PANTA GARZON MARCOS STALYN</t>
  </si>
  <si>
    <t>IC-9394</t>
  </si>
  <si>
    <t>Fact#: 335717 Rec#: 14098 LUCAS VALAREZO CRISTINA EVELIN</t>
  </si>
  <si>
    <t>IC-9393</t>
  </si>
  <si>
    <t>Fact#: 324170-326946-329713-332567-335489 Rec#: 14097 BORBOR VILLON ALEX ALEJANDRO</t>
  </si>
  <si>
    <t>IC-9392</t>
  </si>
  <si>
    <t>Fact#: 324126-326901-329667-332521-335444 Rec#: 14096 PLUAS PAREDES LUBI ISIDRO</t>
  </si>
  <si>
    <t>IC-9391</t>
  </si>
  <si>
    <t>Fact#: 335785 Rec#: 14094 ALZAMORA ALVARADO HECTOR JAVIER</t>
  </si>
  <si>
    <t>IC-9389</t>
  </si>
  <si>
    <t>Fact#: 335316 Rec#: 14093 CEVALLOS BRIONES GEMA PAOLA</t>
  </si>
  <si>
    <t>IC-9388</t>
  </si>
  <si>
    <t>Fact#: 331607-334519 Rec#: 14092 YOFFRE TEODORO ROQUE APOLO</t>
  </si>
  <si>
    <t>IC-9387</t>
  </si>
  <si>
    <t>Fact#: 335972 Rec#: 14091 FIGUEROA GAVELA SILVIA FABIOLA</t>
  </si>
  <si>
    <t>IC-9386</t>
  </si>
  <si>
    <t>Fact#: 334123 Rec#: 14090 NELIS MARIA PINARGOTE YEPEZ</t>
  </si>
  <si>
    <t>IC-9385</t>
  </si>
  <si>
    <t>Fact#: 334525 Rec#: 14089 TEODOMIRO MAYO</t>
  </si>
  <si>
    <t>IC-9384</t>
  </si>
  <si>
    <t>Fact#: 333926 Rec#: 14088 ADELAIDA BETHSAIDA BRIONES</t>
  </si>
  <si>
    <t>IC-9383</t>
  </si>
  <si>
    <t>Fact#: 330752-333642 Rec#: 30951 ROSERO CRUZ MARIA AUXILIADORA</t>
  </si>
  <si>
    <t>IC-9382</t>
  </si>
  <si>
    <t>Fact#: 336530 Rec#: 30948 SINERGIA MARIN SANCHEZ S.A. SINERMASA</t>
  </si>
  <si>
    <t>IC-9377</t>
  </si>
  <si>
    <t>GASTOS BANCARIOS BCO PACIFICO COMP RET 2176052</t>
  </si>
  <si>
    <t>DR-2036</t>
  </si>
  <si>
    <t>GASTOS BANCARIOS BCO PACIFICO COMP RET 2175978</t>
  </si>
  <si>
    <t>DR-2028</t>
  </si>
  <si>
    <t>Fact#: 333784-336727 Rec#: 14095 LA CASA DEL MEDICO LACASADELMEDICO S.A.</t>
  </si>
  <si>
    <t>IC-9390</t>
  </si>
  <si>
    <t>Fact#: 336665 Rec#: 30950 MARRIOTT S.A</t>
  </si>
  <si>
    <t>IC-9381</t>
  </si>
  <si>
    <t>Fact#: 336297 Rec#: 30947 ASOC. PRO. NEW YORK 12 DE SEPTIEMBRE</t>
  </si>
  <si>
    <t>IC-9376</t>
  </si>
  <si>
    <t>Fact#: 336290 Rec#: 30946 ASOC. PRO. NEW YORK 12 DE SEPTIEMBRE</t>
  </si>
  <si>
    <t>IC-9375</t>
  </si>
  <si>
    <t>Fact#: 2350 Rec#: 30945 JIMENEZ BERNAL TANIA BEATRIZ</t>
  </si>
  <si>
    <t>IC-9374</t>
  </si>
  <si>
    <t>Fact#: 334644 Rec#: 30944 LIGIA AZUCENA ARTEAGA VALENZUELA</t>
  </si>
  <si>
    <t>IC-9373</t>
  </si>
  <si>
    <t>Fact#: 334857 Rec#: 30943 RUIZ VELEZ LIBIA KARINA</t>
  </si>
  <si>
    <t>IC-9372</t>
  </si>
  <si>
    <t>Fact#: 336402 Rec#: 30942 BELLUSCIO S.A.</t>
  </si>
  <si>
    <t>IC-9371</t>
  </si>
  <si>
    <t>Fact#: 336411 Rec#: 30941 DUPROCSA S.A.</t>
  </si>
  <si>
    <t>IC-9370</t>
  </si>
  <si>
    <t>Fact#: 336537 Rec#: 30940 INDUVERIKA S.A.</t>
  </si>
  <si>
    <t>IC-9369</t>
  </si>
  <si>
    <t>Fact#: 336519 Rec#: 30939 AGUIRRE AGUIRRE BEXY DEL ROCIO</t>
  </si>
  <si>
    <t>IC-9368</t>
  </si>
  <si>
    <t>Fact#: 336304 Rec#: 30938 AUTOMEKANO CIA. LTDA</t>
  </si>
  <si>
    <t>IC-9367</t>
  </si>
  <si>
    <t>Fact#: 336560 Rec#: 30937 RITOMI S.A.</t>
  </si>
  <si>
    <t>IC-9366</t>
  </si>
  <si>
    <t>Fact#: 336293 Rec#: 30936 EFFICACITAS CONSULTORA CIA.LTDA.</t>
  </si>
  <si>
    <t>IC-9365</t>
  </si>
  <si>
    <t>Fact#: 336295 Rec#: 30935 EFFICACITAS CONSULTORA CIA.LTDA.</t>
  </si>
  <si>
    <t>IC-9364</t>
  </si>
  <si>
    <t>Fact#: 336294 Rec#: 30934 EFFICACITAS CONSULTORA CIA.LTDA.</t>
  </si>
  <si>
    <t>IC-9363</t>
  </si>
  <si>
    <t>Fact#: 336523 Rec#: 30933 SORIANO LEON  GUSTAVO FERNANDO</t>
  </si>
  <si>
    <t>IC-9362</t>
  </si>
  <si>
    <t>Fact#: 336298 Rec#: 30932 ASOC. DE PROPIETARIOS URB. TERRASOL</t>
  </si>
  <si>
    <t>IC-9361</t>
  </si>
  <si>
    <t>Fact#: 334095 Rec#: 30931 DUNNYA MARLENE VILLAVICENCIO LUZURIAGA</t>
  </si>
  <si>
    <t>IC-9360</t>
  </si>
  <si>
    <t>Fact#: 333895 Rec#: 30930 JAIRO ALBERTO GOMEZ COELLO</t>
  </si>
  <si>
    <t>IC-9359</t>
  </si>
  <si>
    <t>Fact#: 333908 Rec#: 30929 ISABEL ROSARIO QUINDE SORIANO</t>
  </si>
  <si>
    <t>IC-9358</t>
  </si>
  <si>
    <t>Fact#: 334551 Rec#: 30928 FERNANDO XAVIER DROUET CEDEÑO</t>
  </si>
  <si>
    <t>IC-9357</t>
  </si>
  <si>
    <t>Fact#: 335048 Rec#: 30927 TRUJILLO LOPEZ DIANA CAROLINA</t>
  </si>
  <si>
    <t>IC-9356</t>
  </si>
  <si>
    <t>Fact#: 335189 Rec#: 30926 ESPANA BAJANA STEFANIA ELIZABETH</t>
  </si>
  <si>
    <t>IC-9355</t>
  </si>
  <si>
    <t>Fact#: 335611 Rec#: 30925 SUSANA HERMELINDA ANALUISA HARO</t>
  </si>
  <si>
    <t>IC-9354</t>
  </si>
  <si>
    <t>Fact#: 335530 Rec#: 30924 VINUEZA GARCIA EDISON EDUARDO</t>
  </si>
  <si>
    <t>IC-9353</t>
  </si>
  <si>
    <t>Fact#: 334208 Rec#: 30923 GISELLA MARIA YUNES ANDRADE</t>
  </si>
  <si>
    <t>IC-9352</t>
  </si>
  <si>
    <t>Fact#: 333963 Rec#: 30922 MONICA CRIOLLO SALAZAR</t>
  </si>
  <si>
    <t>IC-9351</t>
  </si>
  <si>
    <t>Fact#: 334114 Rec#: 30921 UVIDIA SALTOS  CARLOS BOLIVAR</t>
  </si>
  <si>
    <t>IC-9350</t>
  </si>
  <si>
    <t>Fact#: 335445 Rec#: 30920 PERALTA BENITEZ ROBERTO ELIAS</t>
  </si>
  <si>
    <t>IC-9349</t>
  </si>
  <si>
    <t>Fact#: 334041 Rec#: 30919 FAUSTO EDUARDO  CARBO RIVERA</t>
  </si>
  <si>
    <t>IC-9348</t>
  </si>
  <si>
    <t>Fact#: 334604 Rec#: 30918 CARLOS ADALBERTO SALAVARRIA PALMA</t>
  </si>
  <si>
    <t>IC-9347</t>
  </si>
  <si>
    <t>Fact#: 334011 Rec#: 30917 PAULA JESUS SALAZAR MACIAS</t>
  </si>
  <si>
    <t>IC-9346</t>
  </si>
  <si>
    <t>Fact#: 334930 Rec#: 30916 GILBERT SILVA CECILIA MARIA</t>
  </si>
  <si>
    <t>IC-9345</t>
  </si>
  <si>
    <t>Fact#: 334221 Rec#: 30915 LUIS EDUARDO SANCHEZ TIMM</t>
  </si>
  <si>
    <t>IC-9344</t>
  </si>
  <si>
    <t>Fact#: 333922 Rec#: 30914 KETTY ARACELY GAROFALO LEON</t>
  </si>
  <si>
    <t>IC-9343</t>
  </si>
  <si>
    <t>Fact#: 334465 Rec#: 30913 CARLOS BENJAMIN ROSALES PINO</t>
  </si>
  <si>
    <t>IC-9342</t>
  </si>
  <si>
    <t>Fact#: 331411-334323 Rec#: 30912 GUILLERMO ELOY SERRANO GOMEZ</t>
  </si>
  <si>
    <t>IC-9341</t>
  </si>
  <si>
    <t>Fact#: 333970 Rec#: 30911 JOSE JOAQUIN OLMEDO CASTELLO</t>
  </si>
  <si>
    <t>IC-9340</t>
  </si>
  <si>
    <t>Fact#: 334301 Rec#: 30910 JUAN XAVIER BENEDETI RIPALDA</t>
  </si>
  <si>
    <t>IC-9339</t>
  </si>
  <si>
    <t>Fact#: 334099 Rec#: 30909 ANA LUCRECIA  CABRERA GARCIA</t>
  </si>
  <si>
    <t>IC-9338</t>
  </si>
  <si>
    <t>Fact#: 334672 Rec#: 30908 RICARDO PABLO FALCONI DUEÑAS</t>
  </si>
  <si>
    <t>IC-9337</t>
  </si>
  <si>
    <t>Fact#: 334112 Rec#: 30907 CARLOS ALBERTO RENDON PALMA</t>
  </si>
  <si>
    <t>IC-9336</t>
  </si>
  <si>
    <t>Fact#: 334645 Rec#: 30906 HERNAN ANTONIO ALVEAR MERCHAN</t>
  </si>
  <si>
    <t>IC-9335</t>
  </si>
  <si>
    <t>Fact#: 333870 Rec#: 30905 EVA MARIA VINUEZA OCAÑA</t>
  </si>
  <si>
    <t>IC-9334</t>
  </si>
  <si>
    <t>Fact#: 334136 Rec#: 30904 TERESA DE LA CRUZ TOSCANO BRITO</t>
  </si>
  <si>
    <t>IC-9333</t>
  </si>
  <si>
    <t>Fact#: 334231 Rec#: 30903 LUIS CARLOS ABAD YCAZA</t>
  </si>
  <si>
    <t>IC-9332</t>
  </si>
  <si>
    <t>Fact#: 333964 Rec#: 30902 JENNY CEDEÑO CAAMAÑO</t>
  </si>
  <si>
    <t>IC-9331</t>
  </si>
  <si>
    <t>Fact#: 333880 Rec#: 30901 ROBERTO MUZZIO NARANJO</t>
  </si>
  <si>
    <t>IC-9330</t>
  </si>
  <si>
    <t>Fact#: 334476 Rec#: 30900 EDDIE ENRIQUE HERRERA MEDINA</t>
  </si>
  <si>
    <t>IC-9329</t>
  </si>
  <si>
    <t>Fact#: 334045 Rec#: 30899 FRANKLIN JOAQUIN  DOMINGUEZ VARGAS</t>
  </si>
  <si>
    <t>IC-9328</t>
  </si>
  <si>
    <t>Fact#: 335809 Rec#: 30898 ZULVY BEDON LAGOS</t>
  </si>
  <si>
    <t>IC-9327</t>
  </si>
  <si>
    <t>Fact#: 333894 Rec#: 30897 JUAN JOSE CHACON PACHECO</t>
  </si>
  <si>
    <t>IC-9326</t>
  </si>
  <si>
    <t>Fact#: 333874 Rec#: 30896 MARIA ROSA DUNN YCAZA</t>
  </si>
  <si>
    <t>IC-9325</t>
  </si>
  <si>
    <t>Fact#: 334115 Rec#: 30895 MANRIQUEZ SALAZAR MARIA PAZ</t>
  </si>
  <si>
    <t>IC-9324</t>
  </si>
  <si>
    <t>Fact#: 336053 Rec#: 30894 JOSE FRANCISCO  FERNANDEZ   ESPINOZA</t>
  </si>
  <si>
    <t>IC-9323</t>
  </si>
  <si>
    <t>Fact#: 333891 Rec#: 30893 GISELLE MARIELA CLEMENTE VERA</t>
  </si>
  <si>
    <t>IC-9322</t>
  </si>
  <si>
    <t>Fact#: 335264 Rec#: 30892 CASTILLO PALMA DANIEL ALFREDO</t>
  </si>
  <si>
    <t>IC-9321</t>
  </si>
  <si>
    <t>Fact#: 334391 Rec#: 30891 ANTONIO IGNACIO ARTEAGA FERAUD</t>
  </si>
  <si>
    <t>IC-9320</t>
  </si>
  <si>
    <t>Fact#: 324390-327169-329939-332798-335722 Rec#: 14087 BHURANI SUMEET</t>
  </si>
  <si>
    <t>IC-9245</t>
  </si>
  <si>
    <t>Fact#: 335502 Rec#: 14086 MORENO GOMEZ DUQUE ALFREDO</t>
  </si>
  <si>
    <t>IC-9244</t>
  </si>
  <si>
    <t>Fact#: 335492 Rec#: 14085 MORENO GOMEZ DUQUE ALFREDO</t>
  </si>
  <si>
    <t>IC-9243</t>
  </si>
  <si>
    <t>Fact#: 333889 Rec#: 14084 ORLANDO BOLIVAR RAMOS CRUZ</t>
  </si>
  <si>
    <t>IC-9242</t>
  </si>
  <si>
    <t>Fact#: 334864 Rec#: 14083 SUAREZ MAGALLANES JULIO ALFONSO</t>
  </si>
  <si>
    <t>IC-9241</t>
  </si>
  <si>
    <t>Fact#: 323113-325874-328625-331453-334366 Rec#: 14082 ANGELICA KATTY CALDERON BARRIOS</t>
  </si>
  <si>
    <t>IC-9240</t>
  </si>
  <si>
    <t>Fact#: 335731 Rec#: 14081 CHUCA CHANCAY ANDREA BETZABETH</t>
  </si>
  <si>
    <t>IC-9239</t>
  </si>
  <si>
    <t>Fact#: 334685 Rec#: 14080 NIZA ALEJANDRA MARRIOT CAICEDO</t>
  </si>
  <si>
    <t>IC-9238</t>
  </si>
  <si>
    <t>Fact#: 321437-324190-326966-329733-332588-335510 Rec#: 14079 VILLAMAR GUADAMUD NIXON WILLIAN</t>
  </si>
  <si>
    <t>IC-9237</t>
  </si>
  <si>
    <t>Fact#: 335631 Rec#: 14078 MALDONADO VILLAMAR HUMBERTO MARTIN</t>
  </si>
  <si>
    <t>IC-9236</t>
  </si>
  <si>
    <t>Fact#: 325178-327937-330745-333635 Rec#: 14077 CASTRO VILLEGAS ALBERTO ALEJANDRO</t>
  </si>
  <si>
    <t>IC-9235</t>
  </si>
  <si>
    <t>Fact#: 335151 Rec#: 14076 PILAY QUINDE ALEXI ANDRES</t>
  </si>
  <si>
    <t>IC-9234</t>
  </si>
  <si>
    <t>Fact#: 321677-324427-327207-329977-332837-335762 Rec#: 14075 MACIAS PENAFIEL KATTY MARIBEL</t>
  </si>
  <si>
    <t>IC-9233</t>
  </si>
  <si>
    <t>Fact#: 334351 Rec#: 14074 KEVIN BLADIMIR PONCE GREFA</t>
  </si>
  <si>
    <t>IC-9230</t>
  </si>
  <si>
    <t>Fact#: 323751-326520-329283-332127-335042 Rec#: 14073 CAZAR ERAZO RODRIGO ARTURO</t>
  </si>
  <si>
    <t>IC-9229</t>
  </si>
  <si>
    <t>Fact#: 311137-313847-316445 Rec#: 14072 CERVANTES VERA CONNY STEFANIA</t>
  </si>
  <si>
    <t>IC-9228</t>
  </si>
  <si>
    <t>Fact#: 334311 Rec#: 14071 CINDY LORENA BAJAÑA BELTRAN</t>
  </si>
  <si>
    <t>IC-9227</t>
  </si>
  <si>
    <t>Fact#: 322976-325736-328486-331308-334220 Rec#: 14070 YOLANDA VERONICA MARTINEZ ESPINOZA</t>
  </si>
  <si>
    <t>IC-9226</t>
  </si>
  <si>
    <t>Fact#: 322891-325649-328400-331221-334133 Rec#: 14069 YOLANDA VERONICA MARTINEZ ESPINOZA</t>
  </si>
  <si>
    <t>IC-9223</t>
  </si>
  <si>
    <t>Fact#: 319359-322125 Rec#: 14068 ACUYUL S.A</t>
  </si>
  <si>
    <t>IC-9222</t>
  </si>
  <si>
    <t>Fact#: 298991-301635-304294 Rec#: 14067 MARIA DEL CARMEN CAMBALL TORRES</t>
  </si>
  <si>
    <t>IC-9219</t>
  </si>
  <si>
    <t>Fact#: 2038-2247 Rec#: 14066 AGUDELO GOMEZ ANGELA MARIA</t>
  </si>
  <si>
    <t>IC-9215</t>
  </si>
  <si>
    <t>Fact#: 335452 Rec#: 14065 VALENCIA MEDINA JOSE RICARDO</t>
  </si>
  <si>
    <t>IC-9211</t>
  </si>
  <si>
    <t>Fact#: 334608 Rec#: 14064 EDUARDO CAMPOSANO ULLOA</t>
  </si>
  <si>
    <t>IC-9196</t>
  </si>
  <si>
    <t>Fact#: 330620-333510 Rec#: 14063 ALLINPUBLICIDAD&amp;MARKETING S A</t>
  </si>
  <si>
    <t>IC-9195</t>
  </si>
  <si>
    <t>Fact#: 331918-334832 Rec#: 14062 TAMAYO CARABALLOSO LISANDRA MERCEDES</t>
  </si>
  <si>
    <t>IC-9194</t>
  </si>
  <si>
    <t>Fact#: 335955 Rec#: 14061 MARIN RIVERA FREDDY OMAR</t>
  </si>
  <si>
    <t>IC-9193</t>
  </si>
  <si>
    <t>Fact#: 332611-335533 Rec#: 14060 CUEVA SAREZ JENNIFER STEFANIA</t>
  </si>
  <si>
    <t>IC-9192</t>
  </si>
  <si>
    <t>Fact#: 335553 Rec#: 14059 NAULA ANZOATEGUI ANA MARIA</t>
  </si>
  <si>
    <t>IC-9191</t>
  </si>
  <si>
    <t>Fact#: 332023-334937 Rec#: 14058 SANCHEZ CARRIEL NARCISA DE JESUS</t>
  </si>
  <si>
    <t>IC-9190</t>
  </si>
  <si>
    <t>Fact#: 331828-334741 Rec#: 14057 MARJORIE LUISA SCOTLAND TUTIVEN</t>
  </si>
  <si>
    <t>IC-9189</t>
  </si>
  <si>
    <t>Fact#: 329617-332468-335389 Rec#: 14056 GONZALEZ PENA WRLEY ARNULFO</t>
  </si>
  <si>
    <t>IC-9188</t>
  </si>
  <si>
    <t>Fact#: 333451 Rec#: 30889 WANHAI LINES ECUADOR S.A.</t>
  </si>
  <si>
    <t>IC-9176</t>
  </si>
  <si>
    <t>GASTOS BANCARIOS BCO PACIFICO COMP RET 2173286</t>
  </si>
  <si>
    <t>DR-1970</t>
  </si>
  <si>
    <t>DR-1969</t>
  </si>
  <si>
    <t>Fact#: 334440 Rec#: 14055 ALEXANDER WELLINGTON ALVARADO CARRIEL</t>
  </si>
  <si>
    <t>IC-9161</t>
  </si>
  <si>
    <t>Fact#: 318499-321214-323973-326745-329510-332361-335281 Rec#: 14054 RUIZ JORDAN TERESA DE JESUS</t>
  </si>
  <si>
    <t>IC-9160</t>
  </si>
  <si>
    <t>Fact#: 318446-321162-323919-326691-329456-332304-335223 Rec#: 14053 VALENCIA TORRES IVIS MABEL</t>
  </si>
  <si>
    <t>IC-9159</t>
  </si>
  <si>
    <t>Fact#: 336144 Rec#: 14052 MONTEALEGRE PEDRO JOAQUIN</t>
  </si>
  <si>
    <t>IC-9158</t>
  </si>
  <si>
    <t>Fact#: 330321-333186-336112 Rec#: 14051 CABRERA SOLORZANO NELSON CATITO</t>
  </si>
  <si>
    <t>IC-9157</t>
  </si>
  <si>
    <t>Fact#: 331892-334806 Rec#: 14050 VASQUEZ GOMEZ FREDDY DOLORES</t>
  </si>
  <si>
    <t>IC-9156</t>
  </si>
  <si>
    <t>Fact#: 334411 Rec#: 14049 CARLOS WELLINGTON CHOEZ VERA</t>
  </si>
  <si>
    <t>IC-9155</t>
  </si>
  <si>
    <t>AT-3082</t>
  </si>
  <si>
    <t>Fact#: 323169-325932-328683-331512-334425 Rec#: 14048 EDWUIN JESUS CARRASQUERO RODRIGUEZ</t>
  </si>
  <si>
    <t>IC-9154</t>
  </si>
  <si>
    <t>Fact#: 335586 Rec#: 14047 FLORES GORDILLO LUIS EDUARDO</t>
  </si>
  <si>
    <t>IC-9153</t>
  </si>
  <si>
    <t>Fact#: 335228 Rec#: 14046 GUTIERREZ HERNANDEZ RICARDO ALBERTO</t>
  </si>
  <si>
    <t>IC-9152</t>
  </si>
  <si>
    <t>Fact#: 336220 Rec#: 14045 MITE LOPEZ JESSICA ALEXANDRA</t>
  </si>
  <si>
    <t>IC-9151</t>
  </si>
  <si>
    <t>Fact#: 335095 Rec#: 14044 VASQUEZ DORA JUAN JOSE</t>
  </si>
  <si>
    <t>IC-9150</t>
  </si>
  <si>
    <t>Fact#: 335037 Rec#: 14043 ARROBA VALENCIA  JULIO ZENON</t>
  </si>
  <si>
    <t>IC-9149</t>
  </si>
  <si>
    <t>Fact#: 335174 Rec#: 14042 ROMAN ALVARADO LILIAN ISIDORA</t>
  </si>
  <si>
    <t>IC-9148</t>
  </si>
  <si>
    <t>Fact#: 334744 Rec#: 14041 NARCISA MIRELLA ANDRADE SALTOS</t>
  </si>
  <si>
    <t>IC-9147</t>
  </si>
  <si>
    <t>Fact#: 335282 Rec#: 14040 MAYEZA REGALADO JIMMY HARRY</t>
  </si>
  <si>
    <t>IC-9146</t>
  </si>
  <si>
    <t>Fact#: 336039 Rec#: 14039 GALLEGOS VERA ALEX AUGUSTO</t>
  </si>
  <si>
    <t>IC-9145</t>
  </si>
  <si>
    <t>Fact#: 334917 Rec#: 14038 CAJAS BOHORQUEZ FREDDY XAVIER</t>
  </si>
  <si>
    <t>IC-9144</t>
  </si>
  <si>
    <t>Fact#: 330306-333167-336093 Rec#: 14037 HENRIQUEZ PAZMINO EVELIN MARGARITA</t>
  </si>
  <si>
    <t>IC-9143</t>
  </si>
  <si>
    <t>Fact#: 318442-321158-323915-326687-329452-332300-335219 Rec#: 14036 CARDENAS ORELLANA JONATHAN MAURICIO</t>
  </si>
  <si>
    <t>IC-9142</t>
  </si>
  <si>
    <t>Fact#: 321207-323966-326738-329503-332354-335274 Rec#: 14035 CASTILLO PEREIRA GABRIEL ARCANGEL</t>
  </si>
  <si>
    <t>IC-9141</t>
  </si>
  <si>
    <t>Ago/2020</t>
  </si>
  <si>
    <t>SALDO SEGÚN ESTADO DE CUENTA AL 31 DE AGOSTO DEL 2020</t>
  </si>
  <si>
    <t>SALDO SEGÚN LIBRO BANCOS AL 31 DE AGOSTO DEL 2020</t>
  </si>
  <si>
    <t>SALDO SEGÚN LIBRO BANCOS AL 30 DE SEPTIEMBRE DEL 2020</t>
  </si>
  <si>
    <t>SALDO SEGÚN ESTADO DE CUENTA AL 30 DE SEPTIEMBRE DEL 2020</t>
  </si>
  <si>
    <t>N/D PACIFICO TRANSFERENCIA ROLES DE PAGO 2DA QUINCENA MES DE SEP 2020</t>
  </si>
  <si>
    <t>N/D PACIFICO TRANSFERENCIA PAGO DE FACTURA#419 A PABLO BAQUERIZO DAVILA</t>
  </si>
  <si>
    <t>N/D PACIFICO TRANSFERENCIA POR PAGO DE FACTURAS#127 BYRON BAQUE Y FACTURA#104 FRANCISCO ESTUPIÑAN MES DE SEP 2020</t>
  </si>
  <si>
    <t>NDL-47</t>
  </si>
  <si>
    <t>Fact#: 342837 Rec#: 31325 LOURDES MAGALI PINEDA COBA (FAST CYBER)</t>
  </si>
  <si>
    <t>IC-12640</t>
  </si>
  <si>
    <t>Fact#: 335415-338357-341349 Rec#: 31323 SANCHEZ EGAS LIZETH MARITZA</t>
  </si>
  <si>
    <t>IC-11466</t>
  </si>
  <si>
    <t>Fact#: 341466 Rec#: 31322 HERNANDEZ GOMEZ EDDY MAXIMO</t>
  </si>
  <si>
    <t>IC-11465</t>
  </si>
  <si>
    <t>Fact#: 341161 Rec#: 31321 PERALTA AVILES MIGUEL ANGEL</t>
  </si>
  <si>
    <t>IC-11464</t>
  </si>
  <si>
    <t>Fact#: 332845-335769-338714-341708 Rec#: 31320 JIMENEZ ALVAREZ GARY WINDER</t>
  </si>
  <si>
    <t>IC-11463</t>
  </si>
  <si>
    <t>Fact#: 342089 Rec#: 31319 MARTINEZ PUGA XAVIER ENRRIQUE</t>
  </si>
  <si>
    <t>IC-11462</t>
  </si>
  <si>
    <t>Fact#: 339839 Rec#: 31318 LOURDES DEL ROCIO CHAVEZ VELEZ</t>
  </si>
  <si>
    <t>IC-11461</t>
  </si>
  <si>
    <t>Fact#: 337692-340684 Rec#: 31317 TANIA PAOLA ILLESCAS PIBAQUE</t>
  </si>
  <si>
    <t>IC-11460</t>
  </si>
  <si>
    <t>Fact#: 335273-338217-341208 Rec#: 31316 MANRIQUE OSORIO XAVIER ENRIQUE</t>
  </si>
  <si>
    <t>IC-11459</t>
  </si>
  <si>
    <t>Fact#: 342104 Rec#: 31315 MONGE SCALDAFERRI ANDRES ALBERTO</t>
  </si>
  <si>
    <t>IC-11458</t>
  </si>
  <si>
    <t>Fact#: 337979-340969 Rec#: 14707 ARROBA VALENCIA  JULIO ZENON</t>
  </si>
  <si>
    <t>IC-11457</t>
  </si>
  <si>
    <t>Fact#: 332657-335582-338525-341517 Rec#: 14706 QUINONEZ MINA DARLIS LUCIA</t>
  </si>
  <si>
    <t>IC-11456</t>
  </si>
  <si>
    <t>Fact#: 332571-335493-338435-341427 Rec#: 14705 CONSTANTE GARCIA VICKY POALA</t>
  </si>
  <si>
    <t>IC-11455</t>
  </si>
  <si>
    <t>Fact#: 331138-334051-336990-339984 Rec#: 14704 GREI DOLORES  DELGADO FARIA</t>
  </si>
  <si>
    <t>IC-11454</t>
  </si>
  <si>
    <t>Fact#: 324575-327357-330128-332988-335912-338857-341852 Rec#: 14703 SALAZAR ZULEYMAN FELIX ANTONIO</t>
  </si>
  <si>
    <t>IC-11453</t>
  </si>
  <si>
    <t>Fact#: 340026 Rec#: 14702 ANGELA MARIA ANA  FERAUD MANSSUR</t>
  </si>
  <si>
    <t>IC-11452</t>
  </si>
  <si>
    <t>Fact#: 320839-323585-326355-329118-331957-334871-337813-340804 Rec#: 14701 CRUZ SEGURA SONIA YANINA</t>
  </si>
  <si>
    <t>IC-11451</t>
  </si>
  <si>
    <t>Fact#: 339172-342168 Rec#: 14700 MITE LOPEZ JESSICA ALEXANDRA</t>
  </si>
  <si>
    <t>IC-11450</t>
  </si>
  <si>
    <t>Fact#: 2072-2281-2502-2733 Rec#: 14699 CORREA CUNIN GRACIELA PIEDAD</t>
  </si>
  <si>
    <t>IC-11449</t>
  </si>
  <si>
    <t>Fact#: 338867-341862 Rec#: 14698 MERINO MORAN LUIS MIGUEL</t>
  </si>
  <si>
    <t>IC-11448</t>
  </si>
  <si>
    <t>Fact#: 336080-339026-342021 Rec#: 14697 NEIRA CUENCA MAGNER RICHARD</t>
  </si>
  <si>
    <t>IC-11447</t>
  </si>
  <si>
    <t>Fact#: 341135 Rec#: 14696 MEDINA BORJA LEONARDO JAVIER</t>
  </si>
  <si>
    <t>IC-11446</t>
  </si>
  <si>
    <t>Fact#: 340798 Rec#: 14695 MORALES CASTRO SAMUEL</t>
  </si>
  <si>
    <t>IC-11445</t>
  </si>
  <si>
    <t>Fact#: 338042-341033 Rec#: 14694 DELGADO ILLESCAS GARY ANDRES</t>
  </si>
  <si>
    <t>IC-11444</t>
  </si>
  <si>
    <t>Fact#: 339457 Rec#: 14693 ALLINPUBLICIDAD&amp;MARKETING S A</t>
  </si>
  <si>
    <t>IC-11443</t>
  </si>
  <si>
    <t>Fact#: 340448 Rec#: 14692 ROSA DEL CARMEN SANCHEZ PORTILLA</t>
  </si>
  <si>
    <t>IC-11442</t>
  </si>
  <si>
    <t>Fact#: 334495-337432-340423 Rec#: 14691 DIANA GISELLA JIMENEZ CABRERA</t>
  </si>
  <si>
    <t>IC-11441</t>
  </si>
  <si>
    <t>Fact#: 339782 Rec#: 14690 MERA NEVAREZ FREDEVINDA ALEXANDRA</t>
  </si>
  <si>
    <t>IC-11440</t>
  </si>
  <si>
    <t>Fact#: 337986-340976 Rec#: 14689 FLORES MARTINEZ RAQUEL VERONICA</t>
  </si>
  <si>
    <t>IC-11439</t>
  </si>
  <si>
    <t>Fact#: 341594 Rec#: 14688 RENDON REGALADO MARIANA SOLANGE</t>
  </si>
  <si>
    <t>IC-11438</t>
  </si>
  <si>
    <t>Fact#: 335455-338397-341389 Rec#: 14687 QUIMI LOPEZ FROILAN TITO</t>
  </si>
  <si>
    <t>IC-11437</t>
  </si>
  <si>
    <t>Fact#: 340140 Rec#: 31314 MARIA CRISTINA LOAIZA BREVI</t>
  </si>
  <si>
    <t>IC-11407</t>
  </si>
  <si>
    <t>Fact#: 336115-339061-342057 Rec#: 31313 STURLA GALLEGOS FELIPE NICOLAS</t>
  </si>
  <si>
    <t>IC-11406</t>
  </si>
  <si>
    <t>G B PACIFICO #2211596-32248-30519-33657-33570-32345-30620-28369-28305-27053-27126-25978-26024-23031-23099-21365-21457-20275-20350-19319-19259-18121-18001-18116-16522-14768-14811-13318-13432-12538-12602-11482-10210-10131-08330-08265-06682-06801-05810-05952</t>
  </si>
  <si>
    <t>DR-2499</t>
  </si>
  <si>
    <t>Fact#: 328439 Rec#: 31409 LUIS DANIEL CHIANG GUERRERO</t>
  </si>
  <si>
    <t>IC-12252</t>
  </si>
  <si>
    <t>Fact#: 340096 Rec#: 31408 LUIS DANIEL CHIANG GUERRERO</t>
  </si>
  <si>
    <t>IC-12251</t>
  </si>
  <si>
    <t>Fact#: 342138 Rec#: 31312 ARMIJOS SALAZAR ANA ISABEL</t>
  </si>
  <si>
    <t>IC-11405</t>
  </si>
  <si>
    <t>Fact#: 342128 Rec#: 31311 PRADO FRANCO ANDREA JACQUELINE</t>
  </si>
  <si>
    <t>IC-11404</t>
  </si>
  <si>
    <t>Fact#: 337500-340492 Rec#: 31310 CATHERINE NICOLE RUGEL CARRERA</t>
  </si>
  <si>
    <t>IC-11403</t>
  </si>
  <si>
    <t>Fact#: 341837 Rec#: 31309 MONTES BRIONES JEFFERSON ANTONIO</t>
  </si>
  <si>
    <t>IC-11402</t>
  </si>
  <si>
    <t>Fact#: 339864 Rec#: 31308 RAFAEL VICENTE ERAZO FALQUEZ</t>
  </si>
  <si>
    <t>IC-11401</t>
  </si>
  <si>
    <t>Fact#: 341102 Rec#: 31307 PINO MAULME ENRIQUE GABRIEL</t>
  </si>
  <si>
    <t>IC-11400</t>
  </si>
  <si>
    <t>Fact#: 338791-341785 Rec#: 14686 LOPEZ HERRERA FRANKLIN RIGOBERTO</t>
  </si>
  <si>
    <t>IC-11381</t>
  </si>
  <si>
    <t>Fact#: 339428 Rec#: 14685 LABORATORIOS RENALABSA S A</t>
  </si>
  <si>
    <t>IC-11380</t>
  </si>
  <si>
    <t>Fact#: 335563-338505-341497 Rec#: 14684 HERNANDEZ MARIA ISABEL</t>
  </si>
  <si>
    <t>IC-11379</t>
  </si>
  <si>
    <t>Fact#: 340044 Rec#: 14683 ARCE FLORES NORBERTO</t>
  </si>
  <si>
    <t>IC-11378</t>
  </si>
  <si>
    <t>Fact#: 311943-314650-317320 Rec#: 14682 SORALLA GENOVEVA OCHOA MUÑOZ</t>
  </si>
  <si>
    <t>IC-11377</t>
  </si>
  <si>
    <t>Fact#: 337665-340657 Rec#: 14681 EDGAR HERNAN PEREZ MONTERO</t>
  </si>
  <si>
    <t>IC-11376</t>
  </si>
  <si>
    <t>Fact#: 335133-338077-341068 Rec#: 14680 VALERO ZABALA  JULIA ELIZABETH</t>
  </si>
  <si>
    <t>IC-11375</t>
  </si>
  <si>
    <t>Fact#: 331812-334725-337664-340656 Rec#: 14679 DAVID PETER CHAVEZ GUALE</t>
  </si>
  <si>
    <t>IC-11374</t>
  </si>
  <si>
    <t>Fact#: 332544-335467-338409-341401 Rec#: 14678 NARANJO CADENA DANIEL FIDEL</t>
  </si>
  <si>
    <t>IC-11373</t>
  </si>
  <si>
    <t>Fact#: 340666 Rec#: 14677 JUVIKA JOHANNA CABUYALES HUACON</t>
  </si>
  <si>
    <t>IC-11372</t>
  </si>
  <si>
    <t>Fact#: 337080-340072 Rec#: 14676 ASTUDILLO AYORA CECILIA FILOMENA</t>
  </si>
  <si>
    <t>IC-11371</t>
  </si>
  <si>
    <t>Fact#: 340124 Rec#: 14675 MARIA PIEDAD MONTALVAN CAMPOVERDE</t>
  </si>
  <si>
    <t>IC-11370</t>
  </si>
  <si>
    <t>Fact#: 338707-341701 Rec#: 14674 MACIAS PENAFIEL KATTY MARIBEL</t>
  </si>
  <si>
    <t>IC-11369</t>
  </si>
  <si>
    <t>Fact#: 341148 Rec#: 14673 MOLINA SALAVARRIA ADRIANO ENRIQUE</t>
  </si>
  <si>
    <t>IC-11368</t>
  </si>
  <si>
    <t>Fact#: 339331 Rec#: 31296 DVT DEL ECUADOR S.A</t>
  </si>
  <si>
    <t>IC-11358</t>
  </si>
  <si>
    <t>PENAFIEL TAPIA FRANCISCO MIGUEL CANCELA TELEFONO 3906895 ABONA SGTE FACTURA</t>
  </si>
  <si>
    <t>AT-3099</t>
  </si>
  <si>
    <t>Fact#: 319910-322676-325433-328181-333915 Rec#: 31436 MANUEL ALFREDO MENDOZA RODRIGUEZ</t>
  </si>
  <si>
    <t>IC-12390</t>
  </si>
  <si>
    <t>Fact#: 336772-339765 Rec#: 31367 EMPRESA PUBLICA MUNICIPAL PARA LA GESTIÓN DE LA INNOVACIÓN  Y LA COMPETITIVIDAD, EP</t>
  </si>
  <si>
    <t>IC-11941</t>
  </si>
  <si>
    <t>Fact#: 336551-339544 Rec#: 31306 CASGUZ S A CASA GUZMAN</t>
  </si>
  <si>
    <t>IC-11399</t>
  </si>
  <si>
    <t>Fact#: 336716-339710 Rec#: 31305 CASGUZ S A CASA GUZMAN</t>
  </si>
  <si>
    <t>IC-11398</t>
  </si>
  <si>
    <t>Fact#: 317793-320532-323285-326050-328804-331635-334547-337485-340477 Rec#: 31304 ANGEL ALEX PASHMA GUADALUPE</t>
  </si>
  <si>
    <t>IC-11397</t>
  </si>
  <si>
    <t>Fact#: 340894 Rec#: 31303 HERRERA DIAZ HIALINA AMALIA DE LAS ROSAS</t>
  </si>
  <si>
    <t>IC-11396</t>
  </si>
  <si>
    <t>Fact#: 339844 Rec#: 31302 SIMON EMILIO BRIONES LOOR</t>
  </si>
  <si>
    <t>IC-11395</t>
  </si>
  <si>
    <t>Fact#: 2730 Rec#: 31301 SANGUNA RON TANIA GRICELDA</t>
  </si>
  <si>
    <t>IC-11394</t>
  </si>
  <si>
    <t>Fact#: 338815-341810 Rec#: 31300 REYES SOLIS  MARJORIE YOLANDA</t>
  </si>
  <si>
    <t>IC-11393</t>
  </si>
  <si>
    <t>Fact#: 338377-341369 Rec#: 31299 MERA ESPINOZA LEONEL ANTONIO</t>
  </si>
  <si>
    <t>IC-11392</t>
  </si>
  <si>
    <t>Fact#: 338376-341368 Rec#: 31298 MERA ESPINOZA LEONEL ANTONIO</t>
  </si>
  <si>
    <t>IC-11391</t>
  </si>
  <si>
    <t>Fact#: 340379 Rec#: 31297 MARIA FERNANDA GONZALEZ MITE</t>
  </si>
  <si>
    <t>IC-11390</t>
  </si>
  <si>
    <t>Fact#: 337852-340843 Rec#: 14672 DEL VALLE MONTECE SELENA MARIBEL</t>
  </si>
  <si>
    <t>IC-11336</t>
  </si>
  <si>
    <t>Fact#: 340283 Rec#: 14671 ANDREA CANAHUATI CHAIN</t>
  </si>
  <si>
    <t>IC-11335</t>
  </si>
  <si>
    <t>Fact#: 339721 Rec#: 14670 LA CASA DEL MEDICO LACASADELMEDICO S.A.</t>
  </si>
  <si>
    <t>IC-11334</t>
  </si>
  <si>
    <t>Fact#: 341724 Rec#: 14669 ALZAMORA ALVARADO HECTOR JAVIER</t>
  </si>
  <si>
    <t>IC-11333</t>
  </si>
  <si>
    <t>Fact#: 338289-341281 Rec#: 14668 MOREIRA VELEZ MANUEL ISIDRO</t>
  </si>
  <si>
    <t>IC-11332</t>
  </si>
  <si>
    <t>Fact#: 335441-338383-341375 Rec#: 14667 ORTEGA QUIMI ADRIANA ALEXANDRA</t>
  </si>
  <si>
    <t>IC-11331</t>
  </si>
  <si>
    <t>Fact#: 339430 Rec#: 14666 FILUS S.A</t>
  </si>
  <si>
    <t>IC-11330</t>
  </si>
  <si>
    <t>Fact#: 339429 Rec#: 14665 FILUS S.A</t>
  </si>
  <si>
    <t>IC-11329</t>
  </si>
  <si>
    <t>Fact#: 341419 Rec#: 14664 CASTRO MORA AGRIPINA GARDENIA</t>
  </si>
  <si>
    <t>IC-11328</t>
  </si>
  <si>
    <t>Fact#: 341846 Rec#: 14663 CHOEZ BRAVO JOSE ANTONIO</t>
  </si>
  <si>
    <t>IC-11327</t>
  </si>
  <si>
    <t>Fact#: 339817 Rec#: 31295 Corporación Nacional de Telecomunicaciones-CNT EP</t>
  </si>
  <si>
    <t>IC-11313</t>
  </si>
  <si>
    <t>Fact#: 336372-336487 Rec#: 31294 MEGADATOS S.A.</t>
  </si>
  <si>
    <t>IC-11312</t>
  </si>
  <si>
    <t>Fact#: 341235 Rec#: 31293 PUERO CUERO CARLOS JULIO</t>
  </si>
  <si>
    <t>IC-11311</t>
  </si>
  <si>
    <t>Fact#: 339896 Rec#: 31292 SERGIO ANDRES SEMMINARIO VALENZUELA</t>
  </si>
  <si>
    <t>IC-11310</t>
  </si>
  <si>
    <t>IGLESIA DE JESUCRISTO SUD CANCELA TELEFONO 3945066 ABONA SGTE FACTURA, BCO PACIFICO POR VENTANILLA</t>
  </si>
  <si>
    <t>AT-3100</t>
  </si>
  <si>
    <t>Fact#: 337826-340817 Rec#: 14662 RENDON SOLIS MARJORIE VALENTINA</t>
  </si>
  <si>
    <t>IC-11304</t>
  </si>
  <si>
    <t>Fact#: 338394-341386 Rec#: 14661 VALENCIA MEDINA JOSE RICARDO</t>
  </si>
  <si>
    <t>IC-11303</t>
  </si>
  <si>
    <t>Fact#: 341566 Rec#: 14660 MALDONADO VILLAMAR HUMBERTO MARTIN</t>
  </si>
  <si>
    <t>IC-11302</t>
  </si>
  <si>
    <t>Fact#: 340031 Rec#: 31290 SILVIA XIMENA CHAVEZ CABRERA</t>
  </si>
  <si>
    <t>IC-11305</t>
  </si>
  <si>
    <t>Fact#: 318878-321585-324340-327118-329887-332745-335670-338613-341605 Rec#: 14659 RODRIGUEZ LLAMUCA JOHANNA MIREYA</t>
  </si>
  <si>
    <t>IC-11301</t>
  </si>
  <si>
    <t>Fact#: 339030-342025 Rec#: 14658 NIETO CORDERO EDYIMAR JOSEFINA</t>
  </si>
  <si>
    <t>IC-11300</t>
  </si>
  <si>
    <t>Fact#: 341010 Rec#: 14657 GOMEZ PENAFIEL BLANCA VICTORIA</t>
  </si>
  <si>
    <t>IC-11299</t>
  </si>
  <si>
    <t>Fact#: 323607-326377-329140-331979-334893-337835-340826 Rec#: 14656 ORRALA BALLADARES  JENNIFFER ALEXANDRA</t>
  </si>
  <si>
    <t>IC-11298</t>
  </si>
  <si>
    <t>Fact#: 339996 Rec#: 14655 LAURA BEATRIZ  ENCALADA ESPINOZA</t>
  </si>
  <si>
    <t>IC-11297</t>
  </si>
  <si>
    <t>Fact#: 341139 Rec#: 14654 PENAFIEL TAPIA FRANCISCO MIGUEL</t>
  </si>
  <si>
    <t>IC-11296</t>
  </si>
  <si>
    <t>Fact#: 340467 Rec#: 14653 HOLGER ALFREDO TOMALA DE LA ROSA</t>
  </si>
  <si>
    <t>IC-11295</t>
  </si>
  <si>
    <t>Fact#: 339822 Rec#: 31291 OTECEL</t>
  </si>
  <si>
    <t>IC-11309</t>
  </si>
  <si>
    <t>Fact#: 341314 Rec#: 31289 FALCONI DUEÑAS ELISA MARIA</t>
  </si>
  <si>
    <t>IC-11294</t>
  </si>
  <si>
    <t>Fact#: 323622-326392-329156-331995-334909-337850-340841 Rec#: 31288 BAQUERO PILOSO OTTO XAVIER</t>
  </si>
  <si>
    <t>IC-11286</t>
  </si>
  <si>
    <t>Fact#: 338744-341738 Rec#: 31287 MORA REYES JOSE FRANK</t>
  </si>
  <si>
    <t>IC-11285</t>
  </si>
  <si>
    <t>Fact#: 339955 Rec#: 31286 FERNANDO GABRIEL AVILES USCOCOVICH</t>
  </si>
  <si>
    <t>IC-11284</t>
  </si>
  <si>
    <t>Fact#: 341104 Rec#: 31285 NARANJO BENITES LUIS ALBERTO</t>
  </si>
  <si>
    <t>IC-11283</t>
  </si>
  <si>
    <t>Fact#: 337364-340355 Rec#: 31284 CAROLINA ALICIA EGAS NUÑEZ</t>
  </si>
  <si>
    <t>IC-11282</t>
  </si>
  <si>
    <t>Fact#: 340730 Rec#: 31283 REYES MARTINEZ WILLIE RICARDO</t>
  </si>
  <si>
    <t>IC-11281</t>
  </si>
  <si>
    <t>Fact#: 339621 Rec#: 31282 RAMIREZ TAMAYO ENMA MERCEDES</t>
  </si>
  <si>
    <t>IC-11280</t>
  </si>
  <si>
    <t>Fact#: 339614 Rec#: 31281 RAMIREZ TAMAYO ENMA MERCEDES</t>
  </si>
  <si>
    <t>IC-11279</t>
  </si>
  <si>
    <t>Fact#: 337723-340715 Rec#: 31280 TANHIA ELIZABETH SUAREZ CHANCAY</t>
  </si>
  <si>
    <t>IC-11278</t>
  </si>
  <si>
    <t>Fact#: 320184-322950-325709-328458-331280-334192-337124-340116 Rec#: 31279 JUAN CARLOS LANGARANO DELA</t>
  </si>
  <si>
    <t>IC-11277</t>
  </si>
  <si>
    <t>Fact#: 334374-337308-340299 Rec#: 14652 CARLA MARIA GARCIA ANDRADE</t>
  </si>
  <si>
    <t>IC-11276</t>
  </si>
  <si>
    <t>Fact#: 340756 Rec#: 14651 MINO DOYLET YOLANDA ABIGAIL</t>
  </si>
  <si>
    <t>IC-11275</t>
  </si>
  <si>
    <t>Fact#: 2030-2239-2460-2692 Rec#: 14650 JARAMILLO MONTANO JESSICA XIMENA</t>
  </si>
  <si>
    <t>IC-11274</t>
  </si>
  <si>
    <t>Fact#: 337328-340319 Rec#: 14649 JERRY JEFFREY GARCIA HUAYAMAVE</t>
  </si>
  <si>
    <t>IC-11273</t>
  </si>
  <si>
    <t>Fact#: 337864-340855 Rec#: 14648 SALTOS RODRIGUEZ ANDREA EDITH</t>
  </si>
  <si>
    <t>IC-11272</t>
  </si>
  <si>
    <t>Fact#: 337650-340642 Rec#: 14647 XAVIER ESTRADA BJARNER</t>
  </si>
  <si>
    <t>IC-11271</t>
  </si>
  <si>
    <t>Fact#: 334821-337761-340753 Rec#: 14646 NIETO BARQUET OSCAR AHMED</t>
  </si>
  <si>
    <t>IC-11270</t>
  </si>
  <si>
    <t>Fact#: 341320 Rec#: 14645 FERNANDEZ PACHECO DIANA ISABEL</t>
  </si>
  <si>
    <t>IC-11269</t>
  </si>
  <si>
    <t>Fact#: 335208-338152-341143 Rec#: 14644 RODRIGUEZ ENRIQUES FERNANDO FAVIAN</t>
  </si>
  <si>
    <t>IC-11268</t>
  </si>
  <si>
    <t>Fact#: 338386-341378 Rec#: 14643 PLUAS PAREDES LUBI ISIDRO</t>
  </si>
  <si>
    <t>IC-11267</t>
  </si>
  <si>
    <t>Fact#: 322054-324794-327568-330364-333245-336179-339125-342120 Rec#: 14642 VERA MUNOZ FANNY NARCISA</t>
  </si>
  <si>
    <t>IC-11266</t>
  </si>
  <si>
    <t>Fact#: 341535 Rec#: 14641 ROVELLO VALENCIA JOSE ROMAN</t>
  </si>
  <si>
    <t>IC-11265</t>
  </si>
  <si>
    <t>Fact#: 334285-337219-340211 Rec#: 14640 XIMENA DE LOURDES VASQUEZ HINOJOSA</t>
  </si>
  <si>
    <t>IC-11264</t>
  </si>
  <si>
    <t>Fact#: 340927 Rec#: 14639 TOMALA SANCAN JORGE LUIS</t>
  </si>
  <si>
    <t>IC-11263</t>
  </si>
  <si>
    <t>Fact#: 340718 Rec#: 14638 TOMALA SANCAN JORGE LUIS</t>
  </si>
  <si>
    <t>IC-11262</t>
  </si>
  <si>
    <t>Fact#: 338803-341797 Rec#: 14637 AVILES PEREZ ALFONSO</t>
  </si>
  <si>
    <t>IC-11261</t>
  </si>
  <si>
    <t>Fact#: 339264-342269 Rec#: 14636 AVILES ECHEVER GUSTAVO MICHAEL</t>
  </si>
  <si>
    <t>IC-11260</t>
  </si>
  <si>
    <t>Fact#: 334514-337452-340444 Rec#: 14635 ERIKA SUGEY ANCHUNDIA ALVARADO</t>
  </si>
  <si>
    <t>IC-11259</t>
  </si>
  <si>
    <t>Fact#: 339683 Rec#: 14634 ALVARADO BASURTO SEGUNDO GABRIEL</t>
  </si>
  <si>
    <t>IC-11258</t>
  </si>
  <si>
    <t>Fact#: 341443 Rec#: 14633 ROBALINO VALENCIA  SPARTA SUSANA</t>
  </si>
  <si>
    <t>IC-11257</t>
  </si>
  <si>
    <t>N/D PACIFICO CANCELACIÓN DE FACTURA PORTAL AL SOL CTV. COD:20017298429</t>
  </si>
  <si>
    <t>N/D PACIFICO CANCELACIÓN FACTURA#23832626 CNEL EP</t>
  </si>
  <si>
    <t>N/D PACIFICO CANCELACIÓN FACTURA#23786782 CNEL EP</t>
  </si>
  <si>
    <t>N/D PACIFICO CANCELACIÓN FACTURA#23863141 CNEL EP</t>
  </si>
  <si>
    <t>N/D PACIFICO CANCELACIÓN FACTURA#2286125 CNEL EP</t>
  </si>
  <si>
    <t>N/D PACIFICO CANCELACIÓN FACTURA#23902137 CNEL EP</t>
  </si>
  <si>
    <t>N/D PACIFICO CANCELACIÓN FACTURA#23765431 CNEL EP</t>
  </si>
  <si>
    <t>N/D PACIFICO CANCELACIÓN FACTURA#2435191 CNEL EP</t>
  </si>
  <si>
    <t>VISA - MASTERCARD - PACIFICARD CANCELACION DE VOUCHER, BCO PACIFICO POR TRANSFERENCIA #0517</t>
  </si>
  <si>
    <t>NC-19</t>
  </si>
  <si>
    <t>Fact#: 336417-339415 Rec#: 31278 MARIA LEONOR VALERO SANCHEZ</t>
  </si>
  <si>
    <t>IC-11215</t>
  </si>
  <si>
    <t>Fact#: 336544 Rec#: 31277 YIDEASA S.A</t>
  </si>
  <si>
    <t>IC-11205</t>
  </si>
  <si>
    <t>Fact#: 335100-338043-341034 Rec#: 31276 PAZ SANCHEZ ROXANA MICHELLE</t>
  </si>
  <si>
    <t>IC-11204</t>
  </si>
  <si>
    <t>Fact#: 339606 Rec#: 31275 ASISTMED ASISTENCIA A MEDICOS S.A.</t>
  </si>
  <si>
    <t>IC-11203</t>
  </si>
  <si>
    <t>Fact#: 341784 Rec#: 31274 BUSTAMANTE TORRES CAMILO EDUARDO</t>
  </si>
  <si>
    <t>IC-11202</t>
  </si>
  <si>
    <t>Fact#: 338003-340993 Rec#: 31273 LOZANO OTERO RICARDO REIMONDI LOZANO OTERO</t>
  </si>
  <si>
    <t>IC-11201</t>
  </si>
  <si>
    <t>Fact#: 337329-340320 Rec#: 31272 FEDERICO GUILLERMO VARAS CHIQUITO</t>
  </si>
  <si>
    <t>IC-11200</t>
  </si>
  <si>
    <t>Fact#: 342066 Rec#: 31271 CHACON CALDERON SARITA MARIA DE LOS ANGEL</t>
  </si>
  <si>
    <t>IC-11199</t>
  </si>
  <si>
    <t>Fact#: 329048-331886-334800-337740-340732 Rec#: 31270 GENOVESE CEVALLOS GIANCARLO CESAR</t>
  </si>
  <si>
    <t>IC-11190</t>
  </si>
  <si>
    <t>Fact#: 341949 Rec#: 31268 ESPINOSA ESPINOZA HUGO STANLEY</t>
  </si>
  <si>
    <t>IC-11188</t>
  </si>
  <si>
    <t>N/D PACIFICO REEMBOLSO DE GASTOS SEPT 2020 A MANUEL MERELO ANGULO</t>
  </si>
  <si>
    <t>Fact#: 340382 Rec#: 31269 ENRIQUE FEDERICO ARENAS PILATAXI</t>
  </si>
  <si>
    <t>IC-11189</t>
  </si>
  <si>
    <t>Fact#: 334300-337234-340225 Rec#: 31267 GIOMAR PAOLA CHOEZ CATUTO</t>
  </si>
  <si>
    <t>IC-11187</t>
  </si>
  <si>
    <t>Fact#: 339986 Rec#: 31266 WALTER ENRIQUE  BAJAÑA MEDINA</t>
  </si>
  <si>
    <t>IC-11174</t>
  </si>
  <si>
    <t>Fact#: 335599-338542-341534 Rec#: 31265 SALAS PLUAS PAULO ROBERTO</t>
  </si>
  <si>
    <t>IC-11173</t>
  </si>
  <si>
    <t>Fact#: 339871 Rec#: 31264 VICTOR ANTONIO AGUSTO ALVARADO</t>
  </si>
  <si>
    <t>IC-11172</t>
  </si>
  <si>
    <t>Fact#: 339629 Rec#: 31263 GENERALAIR S. A</t>
  </si>
  <si>
    <t>IC-11171</t>
  </si>
  <si>
    <t>Fact#: 339759 Rec#: 31262 INDUSTRIAL JUVENALIS S.A.</t>
  </si>
  <si>
    <t>IC-11170</t>
  </si>
  <si>
    <t>Fact#: 335149-338093 Rec#: 31261 PAZMINO PRIETO SIXTO JAVIER</t>
  </si>
  <si>
    <t>IC-11155</t>
  </si>
  <si>
    <t>N/D PACIFICO PAGO DE IMPUESTOS RTE IVA MES DE AGOSTO 2020</t>
  </si>
  <si>
    <t>NDL-46</t>
  </si>
  <si>
    <t>N/D PACIFICO PAGO DE IMPUESTOS RETENCIÓN EN LA FUENTE MES DE AGOSTO 2020</t>
  </si>
  <si>
    <t>N/D PACIFICO PAGO DE IMPUESTO A LOS CONSUMOS ESPECIALES MES DE AGOSTO 2020</t>
  </si>
  <si>
    <t>Fact#: 331218-334130-339802 Rec#: 31259 VALAREZO GUZMAN SAUL DE JESUS</t>
  </si>
  <si>
    <t>IC-11143</t>
  </si>
  <si>
    <t>Fact#: 336975 Rec#: 31258 HUGO ANTONIO SALMERON ACOSTA</t>
  </si>
  <si>
    <t>IC-11142</t>
  </si>
  <si>
    <t>Fact#: 336945 Rec#: 31257 BENILDA JESUS ACOSTA ZAMBRANO</t>
  </si>
  <si>
    <t>IC-11141</t>
  </si>
  <si>
    <t>Fact#: 335395-338337 Rec#: 14632 BERMELLO PONCE SALBADOR ATILIO</t>
  </si>
  <si>
    <t>IC-11122</t>
  </si>
  <si>
    <t>Fact#: 304462-307218-309996 Rec#: 14631 VALLE MOSCOSO JORGE RAPHAEL</t>
  </si>
  <si>
    <t>IC-11121</t>
  </si>
  <si>
    <t>Fact#: 331593-334505-337442 Rec#: 14630 RAMIRO RAMON TOALA GARCIA</t>
  </si>
  <si>
    <t>IC-11120</t>
  </si>
  <si>
    <t>Fact#: 335011-337953 Rec#: 14629 MACIAS PERUGACHI OSCAR ROLANDO</t>
  </si>
  <si>
    <t>IC-11119</t>
  </si>
  <si>
    <t>Fact#: 338918 Rec#: 14628 MORENO TELLO CELI DURINDANA</t>
  </si>
  <si>
    <t>IC-11118</t>
  </si>
  <si>
    <t>Fact#: 324862-327628-330424-333308-336249-339210 Rec#: 14627 MEZA PIN YESSICA PAOLA</t>
  </si>
  <si>
    <t>IC-11117</t>
  </si>
  <si>
    <t>Fact#: 339253 Rec#: 14626 ALAVA CORNEJO JOSE ISRAEL</t>
  </si>
  <si>
    <t>IC-11116</t>
  </si>
  <si>
    <t>Fact#: 335432-338374 Rec#: 14625 RONQUILLO LOPEZ BIRMANIA NURY</t>
  </si>
  <si>
    <t>IC-11115</t>
  </si>
  <si>
    <t>Fact#: 331787-334699-337638 Rec#: 14624 BETSY DEL ROCIO GARCIA CASTRO</t>
  </si>
  <si>
    <t>IC-11114</t>
  </si>
  <si>
    <t>Fact#: 337858 Rec#: 14623 CAJAS BOHORQUEZ FREDDY XAVIER</t>
  </si>
  <si>
    <t>IC-11113</t>
  </si>
  <si>
    <t>N/D POR COMISIONES DE WESTERN UNION POR RECAUDACION DEL 11/09/2020 AL 17/09/2020</t>
  </si>
  <si>
    <t>VISA - MASTERCARD - PACIFICARD CANCELACION DE VOUCHER POR DEP EN CTA #DOC 0517 POR RECARGA APPMOVIL</t>
  </si>
  <si>
    <t>Fact#: 327764-330567-333457-336406-339404 Rec#: 31260 ASESORIA ECONOMICA INTEGRAL ADVFINSERVICES S.A.</t>
  </si>
  <si>
    <t>IC-11152</t>
  </si>
  <si>
    <t>Fact#: 339321 Rec#: 31256 LAUDE S.A. LAUDESA ADMINISTRADORA DE FONDOS Y FIDEICOMISOS</t>
  </si>
  <si>
    <t>IC-11103</t>
  </si>
  <si>
    <t>Fact#: 322875-325632-328383-331204-334116-337053 Rec#: 14622 ARMANDO ROBERTO  YAGUAL BRITO</t>
  </si>
  <si>
    <t>IC-11102</t>
  </si>
  <si>
    <t>Fact#: 2414 Rec#: 14621 CRUZ SANTANA MARCOS BOLIVAR</t>
  </si>
  <si>
    <t>IC-11101</t>
  </si>
  <si>
    <t>Fact#: 336910 Rec#: 14620 MORAIMA SEMINARIO TOLEDO</t>
  </si>
  <si>
    <t>IC-11100</t>
  </si>
  <si>
    <t>Fact#: 332690-335615-338558 Rec#: 14619 GAMEZ CUELLAR PEDRO NASARIO</t>
  </si>
  <si>
    <t>IC-11099</t>
  </si>
  <si>
    <t>Fact#: 334413-337348 Rec#: 14618 LUIS GALO IDROBO ACEBO</t>
  </si>
  <si>
    <t>IC-11098</t>
  </si>
  <si>
    <t>Fact#: 311083-313796-316405 Rec#: 14617 VALENZUELA PHILLIPS DANIEL ENRIQUE</t>
  </si>
  <si>
    <t>IC-11097</t>
  </si>
  <si>
    <t>Fact#: 338490 Rec#: 14616 SANCHEZ QUINCHUELA INES MONICA</t>
  </si>
  <si>
    <t>IC-11096</t>
  </si>
  <si>
    <t>Fact#: 338343 Rec#: 14615 VALENCIA NIEVES BYRON BOLIVAR</t>
  </si>
  <si>
    <t>IC-11095</t>
  </si>
  <si>
    <t>Fact#: 339790 Rec#: 14614 ESJURHEC S.A.</t>
  </si>
  <si>
    <t>IC-11094</t>
  </si>
  <si>
    <t>Fact#: 338992 Rec#: 14613 PENAFIEL MOSQUERA MIRNA LORGIA</t>
  </si>
  <si>
    <t>IC-11093</t>
  </si>
  <si>
    <t>Fact#: 337900 Rec#: 14612 CHACHA MOREIRA SINTIA PAOLA</t>
  </si>
  <si>
    <t>IC-11092</t>
  </si>
  <si>
    <t>Fact#: 339273 Rec#: 14611 MITE VENTURA JOHNNY DANIEL</t>
  </si>
  <si>
    <t>IC-11091</t>
  </si>
  <si>
    <t>CAROLA MISHEL ABISAAB MEDINA CANCELA TELEFONO 3945509 ABONA SGTE FACTURA</t>
  </si>
  <si>
    <t>AT-3095</t>
  </si>
  <si>
    <t>Fact#: 331292-334204-337136 Rec#: 31255 ANDRES DAVID AGUIRRE PALACIOS</t>
  </si>
  <si>
    <t>IC-11080</t>
  </si>
  <si>
    <t>Fact#: 333666-336612-339604 Rec#: 31254 SERVICIO &amp; MANTENIMIENTO INDUSTRIAL MANSEINSAJAB S.A</t>
  </si>
  <si>
    <t>IC-11075</t>
  </si>
  <si>
    <t>Fact#: 337612 Rec#: 31253 XAVIER ALFREDO ZANABRIA VILLAMAR</t>
  </si>
  <si>
    <t>IC-11074</t>
  </si>
  <si>
    <t>Fact#: 336941 Rec#: 31252 GLORIA ISABEL MITE LEON</t>
  </si>
  <si>
    <t>IC-11073</t>
  </si>
  <si>
    <t>Fact#: 339271 Rec#: 31251 SILVA ESPINOZA CARLOTA ELIZABETH</t>
  </si>
  <si>
    <t>IC-11072</t>
  </si>
  <si>
    <t>Fact#: 338676 Rec#: 14610 CHUCA CHANCAY ANDREA BETZABETH</t>
  </si>
  <si>
    <t>IC-11071</t>
  </si>
  <si>
    <t>Fact#: 337236 Rec#: 14609 CARLOS IVAN AGUIRRE GARCIA</t>
  </si>
  <si>
    <t>IC-11070</t>
  </si>
  <si>
    <t>Fact#: 2394 Rec#: 14608 CACUANGO LINCANGO EDISON FABIAN</t>
  </si>
  <si>
    <t>IC-11069</t>
  </si>
  <si>
    <t>Fact#: 2493 Rec#: 14607 GUERRERO CASTRO ROSA ELVIRA</t>
  </si>
  <si>
    <t>IC-11068</t>
  </si>
  <si>
    <t>Fact#: 337269 Rec#: 14606 ADRIANA ALEXANDRA CHIQUITO MOLINA</t>
  </si>
  <si>
    <t>IC-11067</t>
  </si>
  <si>
    <t>Fact#: 337475 Rec#: 14605 HOLGER ALFREDO TOMALA DE LA ROSA</t>
  </si>
  <si>
    <t>IC-11066</t>
  </si>
  <si>
    <t>Fact#: 332704-335629-338572 Rec#: 14604 MENENDEZ GARCIA RODRIGO ANTONIO</t>
  </si>
  <si>
    <t>IC-11065</t>
  </si>
  <si>
    <t>Fact#: 335466-338408 Rec#: 14603 NIETO PIN ANDREA ISABELA</t>
  </si>
  <si>
    <t>IC-11064</t>
  </si>
  <si>
    <t>Fact#: 336858 Rec#: 31250 FATIMA LEONOR AGUILAR MURILLO</t>
  </si>
  <si>
    <t>IC-11057</t>
  </si>
  <si>
    <t>Fact#: 338000 Rec#: 31249 ZAMBRANO MOREIRA LUIS ALFREDO</t>
  </si>
  <si>
    <t>IC-11056</t>
  </si>
  <si>
    <t>Fact#: 339552 Rec#: 31248 DELGADO VINTIMILLA CARLOS FERNANDO</t>
  </si>
  <si>
    <t>IC-11055</t>
  </si>
  <si>
    <t>Fact#: 336947 Rec#: 31247 LOURDES JANET BRITO GUILLEN</t>
  </si>
  <si>
    <t>IC-11054</t>
  </si>
  <si>
    <t>Fact#: 331268-334180-337112 Rec#: 14602 MARCOS GERMAN VERA ABAD</t>
  </si>
  <si>
    <t>IC-11047</t>
  </si>
  <si>
    <t>Fact#: 339719 Rec#: 14601 BRODERIN S.A</t>
  </si>
  <si>
    <t>IC-11046</t>
  </si>
  <si>
    <t>Fact#: 338683 Rec#: 14600 CORTEZ CANTOS  PEDRO PABLO</t>
  </si>
  <si>
    <t>IC-11045</t>
  </si>
  <si>
    <t>Fact#: 335688-338632 Rec#: 14599 MARCILLO COBOS DAVID FERNANDO</t>
  </si>
  <si>
    <t>IC-11044</t>
  </si>
  <si>
    <t>Fact#: 339213 Rec#: 14598 TUMBACO VERA JOSE LUIS</t>
  </si>
  <si>
    <t>IC-11043</t>
  </si>
  <si>
    <t>Fact#: 332037-334951-337893 Rec#: 14597 BARBERAN BRIONES JOSE JULIAN</t>
  </si>
  <si>
    <t>IC-11042</t>
  </si>
  <si>
    <t>Fact#: 339024 Rec#: 14596 MACHACILLA QUINCHE MARIO UBALDO</t>
  </si>
  <si>
    <t>IC-11041</t>
  </si>
  <si>
    <t>Fact#: 337280 Rec#: 14595 DENISSE JUDITH FLORES HUERTA</t>
  </si>
  <si>
    <t>IC-11040</t>
  </si>
  <si>
    <t>Fact#: 332278-335196-338140 Rec#: 14594 SIMISTERRA MICOLTA RUBEN DARIO</t>
  </si>
  <si>
    <t>IC-11039</t>
  </si>
  <si>
    <t>Fact#: 338145 Rec#: 14593 VALLE GONZALEZ LIDIA ELIZABETH</t>
  </si>
  <si>
    <t>IC-11038</t>
  </si>
  <si>
    <t>Fact#: 267030-268897-270906 Rec#: 14592 ANGEL JULIO GANAN OROZCO</t>
  </si>
  <si>
    <t>IC-11037</t>
  </si>
  <si>
    <t>Fact#: 334511-337449 Rec#: 14591 DELFIN NESTOR CALDERON GARCIA</t>
  </si>
  <si>
    <t>IC-11036</t>
  </si>
  <si>
    <t>N/D PACIFICO TRANSFERENCIA ANTICIPO A FACTURA POR HONORARIOS PROFESIONALES MES DE SEP 2020, A PABLO BAQUERIZO DÁVILA</t>
  </si>
  <si>
    <t>N/D PACIFICO TRANSFERENCIA ROLES DE PAGO 1ERA QUINCENA MES DE SEPTIEMBRE 2020</t>
  </si>
  <si>
    <t>N/D PACIFICO TRANSFERENCIA PAGO FONDOS DE RESERVA MES DE AGOSTO 2020</t>
  </si>
  <si>
    <t>Fact#: 339344 Rec#: 31245 SOLUCIONES SEGURAS S.A</t>
  </si>
  <si>
    <t>IC-11028</t>
  </si>
  <si>
    <t>Fact#: 336831 Rec#: 31244 JORGE ALFREDO FRANCO MORAN</t>
  </si>
  <si>
    <t>IC-11006</t>
  </si>
  <si>
    <t>Fact#: 335994-338940 Rec#: 31243 GABINO MIRANDA DAVID EDUARDO</t>
  </si>
  <si>
    <t>IC-11005</t>
  </si>
  <si>
    <t>Fact#: 338298 Rec#: 31242 RAMOS MARCILLO CATHERINE LISSETTE</t>
  </si>
  <si>
    <t>IC-11004</t>
  </si>
  <si>
    <t>Fact#: 337181 Rec#: 14590 CARLOS GUILLERMO MUÑOZ GUTIERREZ</t>
  </si>
  <si>
    <t>IC-10998</t>
  </si>
  <si>
    <t>Fact#: 316568-319272-321982 Rec#: 14589 CASTILLO MEDINA YOSELIN EMILIA</t>
  </si>
  <si>
    <t>IC-10997</t>
  </si>
  <si>
    <t>Fact#: 332602-335524-338466 Rec#: 14588 CALONGE GUERRERO JAIR</t>
  </si>
  <si>
    <t>IC-10996</t>
  </si>
  <si>
    <t>Fact#: 335309-338252 Rec#: 14587 ALVARADO HOLGUIN HENRRY EDUARDO</t>
  </si>
  <si>
    <t>IC-10995</t>
  </si>
  <si>
    <t>Fact#: 328981-331819-334732-337670 Rec#: 14586 GLORIA ELEANNE PERERA NOA</t>
  </si>
  <si>
    <t>IC-10994</t>
  </si>
  <si>
    <t>Fact#: 338942 Rec#: 14585 SANCHEZ PEREZ FRANCISCO ROBERTO</t>
  </si>
  <si>
    <t>IC-10993</t>
  </si>
  <si>
    <t>Fact#: 331669-334582-337520 Rec#: 14584 JOHNN FRANCISCO PACHECO FIGUEROA</t>
  </si>
  <si>
    <t>IC-10992</t>
  </si>
  <si>
    <t>Fact#: 331668-334581-337519 Rec#: 14583 JOHNN FRANCISCO PACHECO FIGUEROA</t>
  </si>
  <si>
    <t>IC-10991</t>
  </si>
  <si>
    <t>Fact#: 331393-334304-337238 Rec#: 14582 JOHNN FRANCISCO PACHECO FIGUEROA</t>
  </si>
  <si>
    <t>IC-10990</t>
  </si>
  <si>
    <t>Fact#: 320943-323695-326465-329228-332069-334983-337926 Rec#: 14581 VILLAVICENCIO CEDEÑO CARLOS LUIS</t>
  </si>
  <si>
    <t>IC-10989</t>
  </si>
  <si>
    <t>Fact#: 339491 Rec#: 14580 CENTRO CARDIOLOGICO PREVENCARDIO CIA. LTDA.</t>
  </si>
  <si>
    <t>IC-10988</t>
  </si>
  <si>
    <t>Fact#: 329962-332822-335746-338691 Rec#: 14579 CASTRO OLAYA PATRICIA ANNABEL DEL ROSARIO</t>
  </si>
  <si>
    <t>IC-10987</t>
  </si>
  <si>
    <t>Fact#: 324439-327219-329989-332849-335773-338718 Rec#: 14578 BERMEO ANDRADE RITA AZUCENA</t>
  </si>
  <si>
    <t>IC-10986</t>
  </si>
  <si>
    <t>Fact#: 336522-339519 Rec#: 14577 SALTOS RODRIGUEZ ANDREA EDITH</t>
  </si>
  <si>
    <t>IC-10985</t>
  </si>
  <si>
    <t>Fact#: 320376-323131-325892-328643-331472-334385-337319 Rec#: 14576 LUIS JOSE GUTIERREZ CASTILLO</t>
  </si>
  <si>
    <t>IC-10984</t>
  </si>
  <si>
    <t>Fact#: 322310-325068-327835-330639-333529-336477-339474 Rec#: 14575 JOMALUNKA S.A</t>
  </si>
  <si>
    <t>IC-10983</t>
  </si>
  <si>
    <t>Fact#: 322298-325057-327825-330627-333518-336467-339465 Rec#: 14574 JOMALUNKA S.A</t>
  </si>
  <si>
    <t>IC-10982</t>
  </si>
  <si>
    <t>Fact#: 322297-325056-327824-330628-333517-336466-339464 Rec#: 14573 JOMALUNKA S.A</t>
  </si>
  <si>
    <t>IC-10981</t>
  </si>
  <si>
    <t>Fact#: 2472 Rec#: 14572 ZABALA BARRIONUEVO RITA CECILIA</t>
  </si>
  <si>
    <t>IC-10946</t>
  </si>
  <si>
    <t>Fact#: 337779 Rec#: 14571 ORTIZ CARRILLO ROBERTO JAVIER</t>
  </si>
  <si>
    <t>IC-10945</t>
  </si>
  <si>
    <t>Fact#: 336846 Rec#: 14570 EDDA GLADYS PARRALES GOMEZ</t>
  </si>
  <si>
    <t>IC-10944</t>
  </si>
  <si>
    <t>Fact#: 337107 Rec#: 14569 NESTOR AGUSTIN SIMANCAS PINTA</t>
  </si>
  <si>
    <t>IC-10943</t>
  </si>
  <si>
    <t>Fact#: 339803 Rec#: 14568 YOLANDA VERONICA MARTINEZ ESPINOZA</t>
  </si>
  <si>
    <t>IC-10942</t>
  </si>
  <si>
    <t>Fact#: 336217-339167 Rec#: 14567 ALVARADO VERA YADIRA FRANCISCA</t>
  </si>
  <si>
    <t>IC-10941</t>
  </si>
  <si>
    <t>Fact#: 314322-316980-319705 Rec#: 14566 GUACHO LEMA JORGE LUIS</t>
  </si>
  <si>
    <t>IC-10940</t>
  </si>
  <si>
    <t>Fact#: 338470 Rec#: 14565 FERNANDEZ ZAMBRANO ELSA VIOLETA</t>
  </si>
  <si>
    <t>IC-10939</t>
  </si>
  <si>
    <t>Fact#: 334016-336959 Rec#: 14564 VICENTE GABRIEL VINUEZA MERINO</t>
  </si>
  <si>
    <t>IC-10938</t>
  </si>
  <si>
    <t>Fact#: 334920-337861 Rec#: 14563 ROMERO LITARDO FRANCISCO XAVIER</t>
  </si>
  <si>
    <t>IC-10937</t>
  </si>
  <si>
    <t>Fact#: 339427 Rec#: 31241 ELECTROMOOM S.A.</t>
  </si>
  <si>
    <t>IC-10936</t>
  </si>
  <si>
    <t>Fact#: 339447 Rec#: 31240 CHRISTIAN JAVIER MIDEROS ROMERO</t>
  </si>
  <si>
    <t>IC-10935</t>
  </si>
  <si>
    <t>Fact#: 327967-330774-333664-336610-339602 Rec#: 31239 COMERCIALIZADORA DE PROUCTOS &amp; SERVICIOS ECUADOR S.A</t>
  </si>
  <si>
    <t>IC-10934</t>
  </si>
  <si>
    <t>Fact#: 339775 Rec#: 31238 SERVICIO DE OFICINA COMPUTARIZADO SEROFICOM S.A.</t>
  </si>
  <si>
    <t>IC-10933</t>
  </si>
  <si>
    <t>Fact#: 321697-324446-327226-329996-332856-335780-338725 Rec#: 31237 LUCIN DE LA A ANA GERTRUDIS</t>
  </si>
  <si>
    <t>IC-10932</t>
  </si>
  <si>
    <t>Fact#: 337050 Rec#: 31236 RIOS ORELLANA INGRID DE LA CRUZ</t>
  </si>
  <si>
    <t>IC-10931</t>
  </si>
  <si>
    <t>Fact#: 339574 Rec#: 31234 PAYLESS SHOESOURCE ECUADOR CIA. LTDA.</t>
  </si>
  <si>
    <t>IC-10926</t>
  </si>
  <si>
    <t>Fact#: 339418 Rec#: 31233 OPENGROUP S.A.</t>
  </si>
  <si>
    <t>IC-10925</t>
  </si>
  <si>
    <t>Fact#: 339398 Rec#: 31232 WANHAI LINES ECUADOR S.A.</t>
  </si>
  <si>
    <t>IC-10924</t>
  </si>
  <si>
    <t>N/D PACIFICO CANCELACION FACTURA#68957085 Y FACTURA#447572 OTECEL S.A.</t>
  </si>
  <si>
    <t>Fact#: 335204-338148 Rec#: 14562 PENAFIEL TAPIA FRANCISCO MIGUEL</t>
  </si>
  <si>
    <t>IC-10920</t>
  </si>
  <si>
    <t>Fact#: 324399-327178-329948-332808-335732-338677 Rec#: 14561 ESTRADA VERA BRYAN GABRIEL</t>
  </si>
  <si>
    <t>IC-10919</t>
  </si>
  <si>
    <t>Fact#: 338828 Rec#: 14560 PAREDES TORRES ANGELA DEL ROSARIO</t>
  </si>
  <si>
    <t>IC-10918</t>
  </si>
  <si>
    <t>Fact#: 305531-308284-311013 Rec#: 14559 CATAGUA CHALEN JOHANNA MARIELA</t>
  </si>
  <si>
    <t>IC-10917</t>
  </si>
  <si>
    <t>Fact#: 325155-327915-330724-333613-336558-339551 Rec#: 14558 MATUTE MANUEL VINICIO</t>
  </si>
  <si>
    <t>IC-10916</t>
  </si>
  <si>
    <t>Fact#: 334541-337479 Rec#: 14557 FELIX EDUARDO CARRERA CEDEÑO</t>
  </si>
  <si>
    <t>IC-10915</t>
  </si>
  <si>
    <t>Fact#: 337046 Rec#: 14556 SALAZAR CARRILLO MARIA ANDREA</t>
  </si>
  <si>
    <t>IC-10914</t>
  </si>
  <si>
    <t>Fact#: 337954 Rec#: 14555 BAÑOS BARRAGAN FLOR AMERICA</t>
  </si>
  <si>
    <t>IC-10913</t>
  </si>
  <si>
    <t>Fact#: 335469-338411 Rec#: 14554 BORJA MESIAS SEGUNDO ALFREDO</t>
  </si>
  <si>
    <t>IC-10912</t>
  </si>
  <si>
    <t>Fact#: 329311-332154-335069-338011 Rec#: 14553 FREIRE ORTIZ PEDRO PABLO</t>
  </si>
  <si>
    <t>IC-10911</t>
  </si>
  <si>
    <t>Fact#: 326921-329687-332541-335464-338406 Rec#: 14552 CEDENO MARCILLO IRMA JANETH</t>
  </si>
  <si>
    <t>IC-10910</t>
  </si>
  <si>
    <t>Fact#: 339529 Rec#: 31246 FERRUX S.A.</t>
  </si>
  <si>
    <t>IC-11033</t>
  </si>
  <si>
    <t>Fact#: 339239 Rec#: 31235 RODRIGUEZ DELGADO CARLA LILIANA</t>
  </si>
  <si>
    <t>IC-10929</t>
  </si>
  <si>
    <t>Fact#: 2376-2601 Rec#: 31231 HERRERA CIFUENTES ESTUARDO WLADIMIR</t>
  </si>
  <si>
    <t>IC-10909</t>
  </si>
  <si>
    <t>Fact#: 329250-332091-335005-337948 Rec#: 14551 SAMANIEGO LAVAYEN YESENIA ELIZABETH</t>
  </si>
  <si>
    <t>IC-10905</t>
  </si>
  <si>
    <t>Fact#: 2477 Rec#: 14550 CHAVEZ ZAMBRANO BRYAN SEBASTIAN</t>
  </si>
  <si>
    <t>IC-10904</t>
  </si>
  <si>
    <t>Fact#: 337971 Rec#: 14549 CASTRO DORADO MARJORIE LUCIA</t>
  </si>
  <si>
    <t>IC-10903</t>
  </si>
  <si>
    <t>Fact#: 329998-332858-335782-338727 Rec#: 14548 ZEREGA RECALDE ERIKA PAMELA</t>
  </si>
  <si>
    <t>IC-10902</t>
  </si>
  <si>
    <t>Fact#: 329612-332463-335384-338326 Rec#: 14547 JIMA BRAVO  JOSE FLORENCIO</t>
  </si>
  <si>
    <t>IC-10901</t>
  </si>
  <si>
    <t>Fact#: 317892-320631-323384-326149-328904-331739-334653-337592 Rec#: 14546 JOSE BENITO MUÑOZ ZAMBRANO</t>
  </si>
  <si>
    <t>IC-10900</t>
  </si>
  <si>
    <t>Fact#: 331624-334536-337474 Rec#: 14545 JORJY JIMY RIVERA MONTIEL</t>
  </si>
  <si>
    <t>IC-10899</t>
  </si>
  <si>
    <t>Fact#: 335763-338708 Rec#: 14544 GUAMANQUISPE FLORES ESPERANZA ANTONIETA</t>
  </si>
  <si>
    <t>IC-10898</t>
  </si>
  <si>
    <t>Fact#: 335523-338465 Rec#: 14543 ROSERO MERCADO ELSA KARINA</t>
  </si>
  <si>
    <t>IC-10897</t>
  </si>
  <si>
    <t>Fact#: 334851-337791 Rec#: 31230 JERVIS BASURTO KENYA SORAYA</t>
  </si>
  <si>
    <t>IC-10896</t>
  </si>
  <si>
    <t>Fact#: 336806 Rec#: 31228 CONSORCIO ECUATORIANO DE TELECOMUNICACIONES S.A. CONECEL</t>
  </si>
  <si>
    <t>IC-10888</t>
  </si>
  <si>
    <t>Fact#: 339313 Rec#: 31227 LG ELECTRONICS PANAMA S.A</t>
  </si>
  <si>
    <t>IC-10887</t>
  </si>
  <si>
    <t>Fact#: 339506 Rec#: 31226 CIPORT &amp; TECNAC CIPTE C.L</t>
  </si>
  <si>
    <t>IC-10886</t>
  </si>
  <si>
    <t>N/D PACIFICIO CANCELACION FACTURA#596 LEADING EDGE AUDIT &amp; CONSULTING CIA. LTDA.</t>
  </si>
  <si>
    <t>N/D PACIFICO PAGO DE PLLAS. IESS NORMALES MES DE AGOSTO 2020, COMP#133386956</t>
  </si>
  <si>
    <t>Fact#: 336915 Rec#: 31225 JAVIER MAURICIO RODRIGO ALBAN</t>
  </si>
  <si>
    <t>IC-10883</t>
  </si>
  <si>
    <t>Fact#: 331641-334553-337491 Rec#: 14542 KATTIA MARIA JOSEFINA CARDENAS FREIRE</t>
  </si>
  <si>
    <t>IC-10880</t>
  </si>
  <si>
    <t>Fact#: 336717-339711 Rec#: 14541 TRSC ENTERPRISES S.A</t>
  </si>
  <si>
    <t>IC-10879</t>
  </si>
  <si>
    <t>Fact#: 2312-2534 Rec#: 14540 ALVAREZ MOLINA PAUL ALEJANDRO</t>
  </si>
  <si>
    <t>IC-10878</t>
  </si>
  <si>
    <t>Fact#: 337243 Rec#: 14539 MARIA DEL ROSARIO GUZMAN MASPONS</t>
  </si>
  <si>
    <t>IC-10877</t>
  </si>
  <si>
    <t>Fact#: 320567-323318-326083-328837-331671-334584-337522 Rec#: 14538 MARIA BRIGITE PEREZ MOLINA</t>
  </si>
  <si>
    <t>IC-10876</t>
  </si>
  <si>
    <t>Fact#: 337632 Rec#: 14537 LUIS ENRIQUE APOLINARIO ROJAS</t>
  </si>
  <si>
    <t>IC-10875</t>
  </si>
  <si>
    <t>Fact#: 323205-325969-328721-331550-334463-337399 Rec#: 14536 NUVIA ELIZABETH TORRES VERA</t>
  </si>
  <si>
    <t>IC-10874</t>
  </si>
  <si>
    <t>Fact#: 337245 Rec#: 14535 CINDY LORENA BAJAÑA BELTRAN</t>
  </si>
  <si>
    <t>IC-10873</t>
  </si>
  <si>
    <t>Fact#: 336892 Rec#: 14534 LUIS MANUEL COBOS ARANA</t>
  </si>
  <si>
    <t>IC-10872</t>
  </si>
  <si>
    <t>Fact#: 335513-338455 Rec#: 14533 DIAZ PINARGOTE ISIDORA BEATRIZ</t>
  </si>
  <si>
    <t>IC-10871</t>
  </si>
  <si>
    <t>Fact#: 334370-337304 Rec#: 14532 RUBEN ESTEBAN URRUTIA VINUEZA</t>
  </si>
  <si>
    <t>IC-10870</t>
  </si>
  <si>
    <t>Fact#: 332779-335704-338648 Rec#: 14531 REYES PINCAY JORGE VICTOR</t>
  </si>
  <si>
    <t>IC-10869</t>
  </si>
  <si>
    <t>N/D PACIFICO PAGO DE PLLAS. IESS NORMALES MES DE AGOSTO 2020, COMP#133387220 A PABLO BAQUERIZO DAVILA</t>
  </si>
  <si>
    <t>N/D PACIFICO PAGO DE PLLAS. IESS AJUSTES MES DE AGOSTO 2020, COMP#133386998</t>
  </si>
  <si>
    <t>N/D PACIFICO PAGO DE PLLAS. IESS FONDOS DE RESERVA MES DE AGOSTO 2020, COMP#20193408</t>
  </si>
  <si>
    <t>Ingreso por valores devueltos por pagos Telconet, bco pacifico</t>
  </si>
  <si>
    <t>AMERICAN EXPRESS CANCELACION DEBITO TARJETAS GUAYAQUIL- PAGO DE FACT 337183- 337622- 339442-337801- 339592- 339595- 338182- 338547- 338702- 338853- 338931- 339056- 338939  - 338633- 335902- 338847- 338983- 339760- 339260 POR DEP EN CTA</t>
  </si>
  <si>
    <t>VISA - MASTERCARD - PACIFICARD CANCELACION DEBITO TARJETAS GUAYAQUIL POR TRANSFERENCIA #DOC 1945- PAGO DE FACT 337150- 339354- 337195- 337514- 339443- 339444- 339454- 337788- 337525- 338689- 2462- 338524-</t>
  </si>
  <si>
    <t>Fact#: 334183-337115 Rec#: 31224 CAROLINA GLORIA BRAVO TOMALA</t>
  </si>
  <si>
    <t>IC-10835</t>
  </si>
  <si>
    <t>Fact#: 338041 Rec#: 31223 SOXO QUICHIMBO IVONNE ALEXANDRA</t>
  </si>
  <si>
    <t>IC-10834</t>
  </si>
  <si>
    <t>Fact#: 339467 Rec#: 31222 JORGE ARTURO ZANABRIA VILLAMAR</t>
  </si>
  <si>
    <t>IC-10833</t>
  </si>
  <si>
    <t>Fact#: 337817 Rec#: 31221 LOPEZ PALACIOS DANNY CHRISTIAN</t>
  </si>
  <si>
    <t>IC-10832</t>
  </si>
  <si>
    <t>Fact#: 335708-338652 Rec#: 31220 ROCA AGUILERA FRANCISCO</t>
  </si>
  <si>
    <t>IC-10831</t>
  </si>
  <si>
    <t>Fact#: 337185 Rec#: 31219 HENRY LENY BETANCOURT VITERI</t>
  </si>
  <si>
    <t>IC-10830</t>
  </si>
  <si>
    <t>Fact#: 334903-337844 Rec#: 14530 PINO MATAMOROS GALO EFRAIN</t>
  </si>
  <si>
    <t>IC-10829</t>
  </si>
  <si>
    <t>Fact#: 337463 Rec#: 14529 TEODOMIRO MAYO</t>
  </si>
  <si>
    <t>IC-10828</t>
  </si>
  <si>
    <t>Fact#: 339674 Rec#: 14528 SOLIS REYES OMAR MICHAEL</t>
  </si>
  <si>
    <t>IC-10827</t>
  </si>
  <si>
    <t>Fact#: 2427 Rec#: 14527 SILVA REA OLIVO AMADO</t>
  </si>
  <si>
    <t>IC-10826</t>
  </si>
  <si>
    <t>Fact#: 338442 Rec#: 14526 ORTEGA ARGUELLO GISELLA LORENA</t>
  </si>
  <si>
    <t>IC-10825</t>
  </si>
  <si>
    <t>Fact#: 337674 Rec#: 14525 JUVIKA JOHANNA CABUYALES HUACON</t>
  </si>
  <si>
    <t>IC-10824</t>
  </si>
  <si>
    <t>Fact#: 335399-338341 Rec#: 14524 GUERRERO AMAYA DIEGO ANDRES</t>
  </si>
  <si>
    <t>IC-10823</t>
  </si>
  <si>
    <t>Fact#: 724 Rec#: 31218 COMPAÑIA FARMACEUTICA VERA S.A. COFARVE</t>
  </si>
  <si>
    <t>IC-10815</t>
  </si>
  <si>
    <t>N/D PACIFICO CANCELACION FACTURA#156125052, 156125053, 156125054, 156125055 CNT EP PENSIÓN BÁSICA AGO/2020</t>
  </si>
  <si>
    <t>N/D PACIFICO CANCELACION FACTURA#156125056 CNT EP CONSUMO TELEFONICO AGO/2020</t>
  </si>
  <si>
    <t>N/D PACIFICO LIQ. DE VACACIONES PERIODO SEP/2018 A AGO/2019</t>
  </si>
  <si>
    <t>Fact#: 330945-333847-336811 Rec#: 31324 EMPRESA PUBLICA MUNICIPAL DE TELECOMUNICACIONES, AGUA POTABLE, ALCANTARILLADO Y SANEAMIENTO DE CUENCA. ETAPA EP.</t>
  </si>
  <si>
    <t>IC-11475</t>
  </si>
  <si>
    <t>Fact#: 338046 Rec#: 31217 ARIAS SALAZAR KATHERINE JUSETH</t>
  </si>
  <si>
    <t>IC-10810</t>
  </si>
  <si>
    <t>Fact#: 339121 Rec#: 31216 SALTOS MATA FILADELFO VLADIMIR</t>
  </si>
  <si>
    <t>IC-10809</t>
  </si>
  <si>
    <t>Fact#: 2402 Rec#: 31215 GUATEMAL COLIMBA JUAN BAUTISTA</t>
  </si>
  <si>
    <t>IC-10808</t>
  </si>
  <si>
    <t>Fact#: 336992 Rec#: 31214 WALTER ENRIQUE  BAJAÑA MEDINA</t>
  </si>
  <si>
    <t>IC-10807</t>
  </si>
  <si>
    <t>Fact#: 334940-337882 Rec#: 31213 VARGAS TORRES ZENIA</t>
  </si>
  <si>
    <t>IC-10806</t>
  </si>
  <si>
    <t>Fact#: 321964-324723-327509-330298-333159-336085-339031 Rec#: 14523 MORAN QUISPE DAMARYS YEREISI</t>
  </si>
  <si>
    <t>IC-10805</t>
  </si>
  <si>
    <t>Fact#: 338543 Rec#: 14522 ROVELLO VALENCIA JOSE ROMAN</t>
  </si>
  <si>
    <t>IC-10804</t>
  </si>
  <si>
    <t>Fact#: 332624-335547-338489 Rec#: 14521 ZAMBRANO COLLAGUAZO HECTOR FABIAN</t>
  </si>
  <si>
    <t>IC-10803</t>
  </si>
  <si>
    <t>Fact#: 332101-335015-337957 Rec#: 14520 MARURI FLORES JACINTO FERNANDO</t>
  </si>
  <si>
    <t>IC-10802</t>
  </si>
  <si>
    <t>Fact#: 338382 Rec#: 14519 DESINTONIO HUAYAMAVE ALBERTO LUIS</t>
  </si>
  <si>
    <t>IC-10801</t>
  </si>
  <si>
    <t>Fact#: 331217-334129-337065 Rec#: 14518 ZAVALA ICAZA VICTOR HUGO</t>
  </si>
  <si>
    <t>IC-10800</t>
  </si>
  <si>
    <t>Fact#: 337683 Rec#: 14517 NARCISA MIRELLA ANDRADE SALTOS</t>
  </si>
  <si>
    <t>IC-10799</t>
  </si>
  <si>
    <t>Fact#: 339702 Rec#: 14516 SPORTMEDIC.S.A</t>
  </si>
  <si>
    <t>IC-10798</t>
  </si>
  <si>
    <t>Fact#: 338964 Rec#: 14515 LEON GARCIA MARCELA VERONICA</t>
  </si>
  <si>
    <t>IC-10797</t>
  </si>
  <si>
    <t>Fact#: 339800 Rec#: 14514 PAZMIÑO COELLO JAIME MARCELO</t>
  </si>
  <si>
    <t>IC-10796</t>
  </si>
  <si>
    <t>Fact#: 338506 Rec#: 14513 FIGUEROA RIOS MIGUEL IBSEN</t>
  </si>
  <si>
    <t>IC-10795</t>
  </si>
  <si>
    <t>Fact#: 337290 Rec#: 14512 UBALDO HELIODORO MOTOCHE MEDINA</t>
  </si>
  <si>
    <t>IC-10794</t>
  </si>
  <si>
    <t>Fact#: 337114 Rec#: 14511 JULIO CESAR MONCAYO CRESPIN</t>
  </si>
  <si>
    <t>IC-10793</t>
  </si>
  <si>
    <t>Fact#: 1540-1739-1929-2135-2351-2575 Rec#: 14510 ROSO SANCHEZ JHONATAN ALFONSO</t>
  </si>
  <si>
    <t>IC-10792</t>
  </si>
  <si>
    <t>Fact#: 338885 Rec#: 14509 BACA GARAYCOA HILDA SHELLMA</t>
  </si>
  <si>
    <t>IC-10791</t>
  </si>
  <si>
    <t>Fact#: 334470-337406 Rec#: 14508 NILO JUSTINO GUERRERO INDIO</t>
  </si>
  <si>
    <t>IC-10790</t>
  </si>
  <si>
    <t>Fact#: 337502 Rec#: 14507 DAYANNA ANABELL BAQUERIZO AQUINO</t>
  </si>
  <si>
    <t>IC-10789</t>
  </si>
  <si>
    <t>Fact#: 331532-334445-337381 Rec#: 14506 BERNABE LEONEL MARCILLO MARCILLO</t>
  </si>
  <si>
    <t>IC-10788</t>
  </si>
  <si>
    <t>Fact#: 335526-338468 Rec#: 31209 JURADO LARREA FABRICIO GUSTAVO</t>
  </si>
  <si>
    <t>IC-10772</t>
  </si>
  <si>
    <t>Fact#: 303940-306699-309504 Rec#: 31210 JUAN GABRIEL MORA PLAZA</t>
  </si>
  <si>
    <t>IC-10773</t>
  </si>
  <si>
    <t>Fact#: 338737 Rec#: 31208 ARANA BARROS AMBAR GEOVANA</t>
  </si>
  <si>
    <t>IC-10770</t>
  </si>
  <si>
    <t>Fact#: 336924 Rec#: 31207 ALVARO CORNEJO RODRIGUEZ</t>
  </si>
  <si>
    <t>IC-10754</t>
  </si>
  <si>
    <t>Fact#: 337175 Rec#: 31206 CAROLINA AMALIA IDROVO PIEDRAHITA</t>
  </si>
  <si>
    <t>IC-10753</t>
  </si>
  <si>
    <t>Fact#: 339291 Rec#: 31205 ASOC. DE PROPIETARIOS URB. VIA AL SOL</t>
  </si>
  <si>
    <t>IC-10752</t>
  </si>
  <si>
    <t>Fact#: 337202 Rec#: 31204 MANUEL ISAIAS TAPIA LOPEZ</t>
  </si>
  <si>
    <t>IC-10751</t>
  </si>
  <si>
    <t>Fact#: 329316-332159-335074-338016 Rec#: 31203 CASTILLO RIVERA RUTH NOEMI</t>
  </si>
  <si>
    <t>IC-10750</t>
  </si>
  <si>
    <t>Fact#: 334286-337220 Rec#: 31202 MARCOS GABRIEL ECHEVERRIA GUTIERREZ</t>
  </si>
  <si>
    <t>IC-10749</t>
  </si>
  <si>
    <t>Fact#: 337247 Rec#: 31201 MIRIAM ANTONIETA MARIDUEÑA VALENZUELA</t>
  </si>
  <si>
    <t>IC-10748</t>
  </si>
  <si>
    <t>Fact#: 339299 Rec#: 31200 ASOC. PRO. NEW YORK 12 DE SEPTIEMBRE</t>
  </si>
  <si>
    <t>IC-10747</t>
  </si>
  <si>
    <t>Fact#: 339292 Rec#: 31199 ASOC. PRO. NEW YORK 12 DE SEPTIEMBRE</t>
  </si>
  <si>
    <t>IC-10746</t>
  </si>
  <si>
    <t>Fact#: 336847 Rec#: 31198 GIOVANNY NARVAEZ PORTILLA</t>
  </si>
  <si>
    <t>IC-10745</t>
  </si>
  <si>
    <t>Fact#: 334386-337320 Rec#: 14505 ULISES MARTIN VARGAS FIGUEROA</t>
  </si>
  <si>
    <t>IC-10744</t>
  </si>
  <si>
    <t>Fact#: 338144 Rec#: 14504 MEDINA BORJA LEONARDO JAVIER</t>
  </si>
  <si>
    <t>IC-10743</t>
  </si>
  <si>
    <t>Fact#: 336844 Rec#: 14503 LIDIA JUDITH OJEDA RUIZ</t>
  </si>
  <si>
    <t>IC-10742</t>
  </si>
  <si>
    <t>Fact#: 337769 Rec#: 14502 FREDDY PABLO  ENDARA SAAVEDRA</t>
  </si>
  <si>
    <t>IC-10741</t>
  </si>
  <si>
    <t>Fact#: 338775 Rec#: 14501 VARGAS PARRALES CARLOS JORGE</t>
  </si>
  <si>
    <t>IC-10740</t>
  </si>
  <si>
    <t>Fact#: 305342-308110-310870 Rec#: 14500 ACOSTA SALTOS KEVIN JOSEPH</t>
  </si>
  <si>
    <t>IC-10739</t>
  </si>
  <si>
    <t>Fact#: 335051-337993 Rec#: 14499 RAMIREZ RUIZ MILTON EMILIO</t>
  </si>
  <si>
    <t>IC-10738</t>
  </si>
  <si>
    <t>Fact#: 339751 Rec#: 14498 VDS C.C.C</t>
  </si>
  <si>
    <t>IC-10737</t>
  </si>
  <si>
    <t>Fact#: 336033-338979 Rec#: 14497 MERA NERO JHONNY ALEXANDER</t>
  </si>
  <si>
    <t>IC-10736</t>
  </si>
  <si>
    <t>Fact#: 2481 Rec#: 14496 ESPIN BIFARINI LOURDES TAMARA</t>
  </si>
  <si>
    <t>IC-10735</t>
  </si>
  <si>
    <t>Fact#: 337862 Rec#: 14495 MERCHAN  PEREZ FABIAN BERNARDINO</t>
  </si>
  <si>
    <t>IC-10734</t>
  </si>
  <si>
    <t>Fact#: 339240 Rec#: 14494 LAINEZ FRANCO MILDRED BETSABE</t>
  </si>
  <si>
    <t>IC-10733</t>
  </si>
  <si>
    <t>Fact#: 2411 Rec#: 14493 CADENA CHONTASI OLGA MARIA</t>
  </si>
  <si>
    <t>IC-10732</t>
  </si>
  <si>
    <t>Fact#: 339060 Rec#: 14492 MORAN PINCAY PATRICIA YOLANDA</t>
  </si>
  <si>
    <t>IC-10731</t>
  </si>
  <si>
    <t>Fact#: 334745-337684 Rec#: 14491 NEY AQUILES APOLINARIO RODRIGUEZ</t>
  </si>
  <si>
    <t>IC-10730</t>
  </si>
  <si>
    <t>Fact#: 311082-313795-316403 Rec#: 14490 HERNANDEZ PANCHANA  ARIANA ELIZABETH</t>
  </si>
  <si>
    <t>IC-10729</t>
  </si>
  <si>
    <t>Fact#: 336581-339573 Rec#: 14489 CASTRO VILLEGAS ALBERTO ALEJANDRO</t>
  </si>
  <si>
    <t>IC-10728</t>
  </si>
  <si>
    <t>Fact#: 337996 Rec#: 14488 DE LA O CHACON JOSEPH CHRISTIAN</t>
  </si>
  <si>
    <t>IC-10727</t>
  </si>
  <si>
    <t>Fact#: 338571 Rec#: 14487 SARMIENTO VIVEROS ALEXANDRA ELIZABETH</t>
  </si>
  <si>
    <t>IC-10726</t>
  </si>
  <si>
    <t>Fact#: 322377-325134-327894-330703-333593-336539-339533 Rec#: 14486 TECNOLOGIAS DE BUSINESS S.A  TECBUSINESS</t>
  </si>
  <si>
    <t>IC-10725</t>
  </si>
  <si>
    <t>Fact#: 338475 Rec#: 14485 CUEVA SAREZ JENNIFER STEFANIA</t>
  </si>
  <si>
    <t>IC-10724</t>
  </si>
  <si>
    <t>Fact#: 337456 Rec#: 14484 ROSA DEL CARMEN SANCHEZ PORTILLA</t>
  </si>
  <si>
    <t>IC-10723</t>
  </si>
  <si>
    <t>Fact#: 337910 Rec#: 14482 SELLAN SELLAN EMILIA MARGARITA</t>
  </si>
  <si>
    <t>IC-10720</t>
  </si>
  <si>
    <t>Fact#: 725-726 Rec#: 31196 F.V - AREA ANDINA S.A.</t>
  </si>
  <si>
    <t>IC-10719</t>
  </si>
  <si>
    <t>Fact#: 339728-339729 Rec#: 31195 TOPFOOD CIA. LTDA.</t>
  </si>
  <si>
    <t>IC-10677</t>
  </si>
  <si>
    <t>Fact#: 336827 Rec#: 31194 KATHERINE MALENA CHILUIZA GARCIA</t>
  </si>
  <si>
    <t>IC-10676</t>
  </si>
  <si>
    <t>Fact#: 339472 Rec#: 31193 CONSTRU-YA S.A.</t>
  </si>
  <si>
    <t>IC-10675</t>
  </si>
  <si>
    <t>Fact#: 338960 Rec#: 31192 VARGAS ZAMBRANO HILDA MARIA</t>
  </si>
  <si>
    <t>IC-10674</t>
  </si>
  <si>
    <t>Fact#: 333168-336094-339040 Rec#: 14481 LEON VILLALVA JUAN CARLOS</t>
  </si>
  <si>
    <t>IC-10717</t>
  </si>
  <si>
    <t>Fact#: 332428-335349-338291 Rec#: 14480 BRITO ANDRADE MILTON KLEBER</t>
  </si>
  <si>
    <t>IC-10716</t>
  </si>
  <si>
    <t>Fact#: 332105-335019-337961 Rec#: 14479 FIGUEROA RUIZ NAIDDA ELIZABETH</t>
  </si>
  <si>
    <t>IC-10715</t>
  </si>
  <si>
    <t>Fact#: 337074 Rec#: 14478 ALVARADO PIGUAVE CAROLIN JANET</t>
  </si>
  <si>
    <t>IC-10714</t>
  </si>
  <si>
    <t>Fact#: 337860 Rec#: 14477 SAN LUCAS PEÑA SHEYLA</t>
  </si>
  <si>
    <t>IC-10713</t>
  </si>
  <si>
    <t>Fact#: 338331 Rec#: 14476 GONZALEZ PENA WRLEY ARNULFO</t>
  </si>
  <si>
    <t>IC-10712</t>
  </si>
  <si>
    <t>Fact#: 337176 Rec#: 31229 JAVIER SANTIAGO GUZHÑAY ANDRADE</t>
  </si>
  <si>
    <t>IC-10892</t>
  </si>
  <si>
    <t>Fact#: 334986-337929 Rec#: 14475 RUIZ ZAMBRANO JUAN MANUEL</t>
  </si>
  <si>
    <t>IC-10711</t>
  </si>
  <si>
    <t>Fact#: 2476 Rec#: 14474 SALINAS GONZALEZ JAIME PATRICIO</t>
  </si>
  <si>
    <t>IC-10710</t>
  </si>
  <si>
    <t>Fact#: 321843-324590-327372-330143-333003-335927-338872 Rec#: 14473 CASTILLLO JIMENEZ  EURIPIDES NESTOR</t>
  </si>
  <si>
    <t>IC-10709</t>
  </si>
  <si>
    <t>Fact#: 332448-335369-338311 Rec#: 14472 MARTINEZ DAVILA YINET</t>
  </si>
  <si>
    <t>IC-10708</t>
  </si>
  <si>
    <t>Fact#: 334843-337783 Rec#: 14471 MORA GUERRERO HILDA ANTONIETA</t>
  </si>
  <si>
    <t>IC-10707</t>
  </si>
  <si>
    <t>Fact#: 328687-331516-334429-337365 Rec#: 14470 PATRICIA IVETTE ANCHUNDIA MESTANZA</t>
  </si>
  <si>
    <t>IC-10706</t>
  </si>
  <si>
    <t>Fact#: 334509-337447 Rec#: 14469 CESAR ORLANDO VALLEJO VERA</t>
  </si>
  <si>
    <t>IC-10705</t>
  </si>
  <si>
    <t>Fact#: 325808-328559-331383-334294-337228 Rec#: 14468 NUBIA CICELY LOPEZ CONTRERAS</t>
  </si>
  <si>
    <t>IC-10704</t>
  </si>
  <si>
    <t>Fact#: 337958 Rec#: 14467 ANANGONO COTTO ALEXANDRA MARIBEL</t>
  </si>
  <si>
    <t>IC-10703</t>
  </si>
  <si>
    <t>Fact#: 338172 Rec#: 14466 GUTIERREZ HERNANDEZ RICARDO ALBERTO</t>
  </si>
  <si>
    <t>IC-10702</t>
  </si>
  <si>
    <t>Fact#: 2558 Rec#: 31191 CABEZAS GUERRA MARIA DEL CARMEN</t>
  </si>
  <si>
    <t>IC-10673</t>
  </si>
  <si>
    <t>Fact#: 293632-296133-298722 Rec#: 31197 ANTHONY GABRIEL CEVALLOS FIGUEROA</t>
  </si>
  <si>
    <t>IC-10721</t>
  </si>
  <si>
    <t>Fact#: 339526 Rec#: 31190 SINERGIA MARIN SANCHEZ S.A. SINERMASA</t>
  </si>
  <si>
    <t>IC-10664</t>
  </si>
  <si>
    <t>Fact#: 336089-339035 Rec#: 31188 ELIAS CABRERA ANGELA MARIA</t>
  </si>
  <si>
    <t>IC-10655</t>
  </si>
  <si>
    <t>Fact#: 337002 Rec#: 31187 CARMEN NARCISA  JURADO PAREDES</t>
  </si>
  <si>
    <t>IC-10654</t>
  </si>
  <si>
    <t>Fact#: 337090 Rec#: 31186 VILLAO JURADO ANDREA BELEN</t>
  </si>
  <si>
    <t>IC-10653</t>
  </si>
  <si>
    <t>Fact#: 331063-333977-336920 Rec#: 31185 FREDDY MAURICIO SARANGO MARTINEZ</t>
  </si>
  <si>
    <t>IC-10652</t>
  </si>
  <si>
    <t>Fact#: 339303 Rec#: 31184 ASOCIACION DE PROPIETARIOS III ETAPA LONDRES</t>
  </si>
  <si>
    <t>IC-10651</t>
  </si>
  <si>
    <t>Fact#: 327040-329808-332664-335589-338532 Rec#: 31183 PESANTES GUAMAN DANIEL ARTURO</t>
  </si>
  <si>
    <t>IC-10650</t>
  </si>
  <si>
    <t>Fact#: 336956 Rec#: 31182 FERNANDO GABRIEL AVILES USCOCOVICH</t>
  </si>
  <si>
    <t>IC-10649</t>
  </si>
  <si>
    <t>Fact#: 338721 Rec#: 31181 AMAGUAYA CHUQUI ANGEL DANIEL</t>
  </si>
  <si>
    <t>IC-10648</t>
  </si>
  <si>
    <t>Fact#: 339256 Rec#: 14465 SORIA LAMAN HARRY SUN</t>
  </si>
  <si>
    <t>IC-10647</t>
  </si>
  <si>
    <t>Fact#: 334785-337725 Rec#: 14464 PRECIADO MOREIRA GABRIELA STEFANIA</t>
  </si>
  <si>
    <t>IC-10646</t>
  </si>
  <si>
    <t>Fact#: 338644 Rec#: 14463 BORBOR MORENO LUIS ANTONIO</t>
  </si>
  <si>
    <t>IC-10645</t>
  </si>
  <si>
    <t>Fact#: 338624 Rec#: 14462 RUIZ RUIZ RAUL EDGARDO</t>
  </si>
  <si>
    <t>IC-10644</t>
  </si>
  <si>
    <t>Fact#: 331610-334522-337460 Rec#: 14461 MATILDE PILAR MORA QUIROZ</t>
  </si>
  <si>
    <t>IC-10643</t>
  </si>
  <si>
    <t>Fact#: 337467 Rec#: 14460 JAVIER FEDERICO VILLON ANASTACIO</t>
  </si>
  <si>
    <t>IC-10642</t>
  </si>
  <si>
    <t>Fact#: 337036 Rec#: 14459 ANGELA MARIA ANA  FERAUD MANSSUR</t>
  </si>
  <si>
    <t>IC-10641</t>
  </si>
  <si>
    <t>Fact#: 338755 Rec#: 14458 CASTRO AGUA MARLON JOSE</t>
  </si>
  <si>
    <t>IC-10640</t>
  </si>
  <si>
    <t>Fact#: 335408-338350 Rec#: 14457 ROMERO VERSOZA RICARDO GERONIMO</t>
  </si>
  <si>
    <t>IC-10639</t>
  </si>
  <si>
    <t>Fact#: 338818 Rec#: 14456 PONCE CARRIEL BRENDA LIZETH</t>
  </si>
  <si>
    <t>IC-10638</t>
  </si>
  <si>
    <t>Fact#: 324386-327165-329935-332794-335718-338663 Rec#: 14455 GUTIERREZ NIEVES LIDA AURORA</t>
  </si>
  <si>
    <t>IC-10637</t>
  </si>
  <si>
    <t>Fact#: 336967 Rec#: 14454 CAROLA MISHEL ABISAAB MEDINA</t>
  </si>
  <si>
    <t>IC-10636</t>
  </si>
  <si>
    <t>Fact#: 337746 Rec#: 14453 VASQUEZ GOMEZ FREDDY DOLORES</t>
  </si>
  <si>
    <t>IC-10635</t>
  </si>
  <si>
    <t>Fact#: 335122-338065 Rec#: 14452 RUBEN DARIO HIDALGO MUÑOZ</t>
  </si>
  <si>
    <t>IC-10634</t>
  </si>
  <si>
    <t>Fact#: 339059 Rec#: 14451 CARREÑO ACOSTA JESUS LAUREANO</t>
  </si>
  <si>
    <t>IC-10633</t>
  </si>
  <si>
    <t>Fact#: 339658 Rec#: 31189 MARRIOTT S.A</t>
  </si>
  <si>
    <t>IC-10663</t>
  </si>
  <si>
    <t>Fact#: 320717-323467-326234-328992-331830-334743-337682 Rec#: 14450 NANCY VERONICA RODRIGUEZ GUTIERREZ</t>
  </si>
  <si>
    <t>IC-10632</t>
  </si>
  <si>
    <t>Fact#: 334820-337760 Rec#: 14449 ROBAYO GONZALEZ ROBERTO JAVIER</t>
  </si>
  <si>
    <t>IC-10631</t>
  </si>
  <si>
    <t>Fact#: 333642 Rec#: 31180 ROSERO CRUZ MARIA AUXILIADORA</t>
  </si>
  <si>
    <t>IC-10517</t>
  </si>
  <si>
    <t>Fact#: 338244 Rec#: 31179 REIMBERG BADUY PETER PAUL</t>
  </si>
  <si>
    <t>IC-10516</t>
  </si>
  <si>
    <t>Fact#: 2574 Rec#: 31178 JIMENEZ BERNAL TANIA BEATRIZ</t>
  </si>
  <si>
    <t>IC-10515</t>
  </si>
  <si>
    <t>Fact#: 338696 Rec#: 31177 CASTAÑEDA RENDON JOFFRE AUGUSTO</t>
  </si>
  <si>
    <t>IC-10514</t>
  </si>
  <si>
    <t>Fact#: 339312 Rec#: 31176 DORCIEN S.A</t>
  </si>
  <si>
    <t>IC-10513</t>
  </si>
  <si>
    <t>Fact#: 337738 Rec#: 31175 REYES MARTINEZ WILLIE RICARDO</t>
  </si>
  <si>
    <t>IC-10512</t>
  </si>
  <si>
    <t>Fact#: 336197-339143 Rec#: 31174 ARMIJOS SALAZAR ANA ISABEL</t>
  </si>
  <si>
    <t>IC-10511</t>
  </si>
  <si>
    <t>Fact#: 327572-330368-333249-336187-339133 Rec#: 31173 PRADO FRANCO ANDREA JACQUELINE</t>
  </si>
  <si>
    <t>IC-10510</t>
  </si>
  <si>
    <t>Fact#: 337154 Rec#: 31172 JAIME RICARDO ZUÑIGA RODRIGUEZ</t>
  </si>
  <si>
    <t>IC-10509</t>
  </si>
  <si>
    <t>Fact#: 335463-338405 Rec#: 31171 CANDO REYES JOSE MAURICIO</t>
  </si>
  <si>
    <t>IC-10508</t>
  </si>
  <si>
    <t>Fact#: 333644-336590-339582 Rec#: 31169 VUMILATINA MEDICINA PREPAGADA S.A.</t>
  </si>
  <si>
    <t>IC-10471</t>
  </si>
  <si>
    <t>Fact#: 337802 Rec#: 14448 ARIAS FLORES ENRIQUE SEBASTIAN</t>
  </si>
  <si>
    <t>IC-10449</t>
  </si>
  <si>
    <t>Fact#: 331666-334579-337517 Rec#: 14447 AMADA ORQUIDEA CAICEDO TREJO</t>
  </si>
  <si>
    <t>IC-10448</t>
  </si>
  <si>
    <t>Fact#: 334914-337855 Rec#: 14446 MURILLO MIRANDA GUILLERMO XAVIER</t>
  </si>
  <si>
    <t>IC-10447</t>
  </si>
  <si>
    <t>Fact#: 335131-338075 Rec#: 14445 MENDEZ VILLON CARMEN MARISOL</t>
  </si>
  <si>
    <t>IC-10446</t>
  </si>
  <si>
    <t>Fact#: 338184 Rec#: 14444 ORTEGA CONFORME  JANET AURORA</t>
  </si>
  <si>
    <t>IC-10445</t>
  </si>
  <si>
    <t>Fact#: 338769 Rec#: 14443 FRANCO RODRIGUEZ FEDERICO ENRIQUE</t>
  </si>
  <si>
    <t>IC-10444</t>
  </si>
  <si>
    <t>Fact#: 337059 Rec#: 14442 NELIS MARIA PINARGOTE YEPEZ</t>
  </si>
  <si>
    <t>IC-10443</t>
  </si>
  <si>
    <t>Fact#: 337805 Rec#: 14441 SUAREZ MAGALLANES JULIO ALFONSO</t>
  </si>
  <si>
    <t>IC-10442</t>
  </si>
  <si>
    <t>Fact#: 333322-336263-339222 Rec#: 14440 BENAVIDES QUIMI KAREN RUSHELL</t>
  </si>
  <si>
    <t>IC-10441</t>
  </si>
  <si>
    <t>Fact#: 338504 Rec#: 14439 CABRERA JIMENES FAUSTO IBAN</t>
  </si>
  <si>
    <t>IC-10440</t>
  </si>
  <si>
    <t>Fact#: 339257 Rec#: 14438 PALACIOS ALVARADO JULIO RAMON</t>
  </si>
  <si>
    <t>IC-10439</t>
  </si>
  <si>
    <t>Fact#: 337457 Rec#: 14437 YOFFRE TEODORO ROQUE APOLO</t>
  </si>
  <si>
    <t>IC-10438</t>
  </si>
  <si>
    <t>Fact#: 338730 Rec#: 14436 ALZAMORA ALVARADO HECTOR JAVIER</t>
  </si>
  <si>
    <t>IC-10437</t>
  </si>
  <si>
    <t>Fact#: 330851-333744-336688-339681 Rec#: 14435 DULCOSTA S.A.</t>
  </si>
  <si>
    <t>IC-10436</t>
  </si>
  <si>
    <t>Fact#: 338766 Rec#: 14434 VERA DOMINGUEZ JOSE MARCELO</t>
  </si>
  <si>
    <t>IC-10435</t>
  </si>
  <si>
    <t>Fact#: 321130-323886-326657-329422-332268-335185-338129 Rec#: 14433 ZAMORA AVILA ANGELA MARIA</t>
  </si>
  <si>
    <t>IC-10434</t>
  </si>
  <si>
    <t>Fact#: 338095 Rec#: 14432 PILAY QUINDE ALEXI ANDRES</t>
  </si>
  <si>
    <t>IC-10433</t>
  </si>
  <si>
    <t>Fact#: 332177-335093-338036 Rec#: 14431 DUENAS RUIZ TERESA EDITH</t>
  </si>
  <si>
    <t>IC-10432</t>
  </si>
  <si>
    <t>Fact#: 337386 Rec#: 14430 JAVIER ENRIQUE ARTEAGA MENENDEZ</t>
  </si>
  <si>
    <t>IC-10431</t>
  </si>
  <si>
    <t>Fact#: 335258-338202 Rec#: 14429 CRISPIN ALTAMIRANO  MONICA ELIZABETH</t>
  </si>
  <si>
    <t>IC-10430</t>
  </si>
  <si>
    <t>Fact#: 336441-339439 Rec#: 14428 FOODSERVEC FOOD SERVICE ECUADOR S.A</t>
  </si>
  <si>
    <t>IC-10429</t>
  </si>
  <si>
    <t>Fact#: 337156 Rec#: 14427 CESAR AUGUSTO BAQUERIZO AROSEMENA</t>
  </si>
  <si>
    <t>IC-10428</t>
  </si>
  <si>
    <t>Fact#: 2204-2426 Rec#: 14426 ZAMBRANO OLMEDO VERONICA PATRICIA</t>
  </si>
  <si>
    <t>IC-10427</t>
  </si>
  <si>
    <t>Fact#: 2343-2567 Rec#: 14425 AGUILAR ECHEVERRIA LUIS FERNANDO</t>
  </si>
  <si>
    <t>IC-10426</t>
  </si>
  <si>
    <t>Fact#: 337285 Rec#: 14424 KEVIN BLADIMIR PONCE GREFA</t>
  </si>
  <si>
    <t>IC-10425</t>
  </si>
  <si>
    <t>Fact#: 337681 Rec#: 14423 MAYI CECIBEL VILLACRES GUZMAN</t>
  </si>
  <si>
    <t>IC-10424</t>
  </si>
  <si>
    <t>Fact#: 336794-339789 Rec#: 14422 LANDIVAR VELIZ CARLOS ALEX</t>
  </si>
  <si>
    <t>IC-10423</t>
  </si>
  <si>
    <t>Fact#: 338017 Rec#: 14421 XIAOBAO WENG</t>
  </si>
  <si>
    <t>IC-10422</t>
  </si>
  <si>
    <t>Fact#: 333204-336130-339076 Rec#: 14420 JIMENEZ OCHOA LUIS ENRIQUE</t>
  </si>
  <si>
    <t>IC-10421</t>
  </si>
  <si>
    <t>Fact#: 339400 Rec#: 31165 BELLUSCIO S.A.</t>
  </si>
  <si>
    <t>IC-10507</t>
  </si>
  <si>
    <t>Fact#: 339409 Rec#: 31164 DUPROCSA S.A.</t>
  </si>
  <si>
    <t>IC-10506</t>
  </si>
  <si>
    <t>Fact#: 339531 Rec#: 31163 INDUVERIKA S.A.</t>
  </si>
  <si>
    <t>IC-10505</t>
  </si>
  <si>
    <t>Fact#: 339516 Rec#: 31162 AGUIRRE AGUIRRE BEXY DEL ROCIO</t>
  </si>
  <si>
    <t>IC-10504</t>
  </si>
  <si>
    <t>Fact#: 339300 Rec#: 31161 ASOC. DE PROPIETARIOS URB. TERRASOL</t>
  </si>
  <si>
    <t>IC-10503</t>
  </si>
  <si>
    <t>Fact#: 339306 Rec#: 31160 AUTOMEKANO CIA. LTDA</t>
  </si>
  <si>
    <t>IC-10502</t>
  </si>
  <si>
    <t>Fact#: 325079-327846-330650-333540-336488-339485 Rec#: 31159 RITOMI S.A.</t>
  </si>
  <si>
    <t>IC-10501</t>
  </si>
  <si>
    <t>Fact#: 339295 Rec#: 31158 EFFICACITAS CONSULTORA CIA.LTDA.</t>
  </si>
  <si>
    <t>IC-10500</t>
  </si>
  <si>
    <t>Fact#: 339297 Rec#: 31157 EFFICACITAS CONSULTORA CIA.LTDA.</t>
  </si>
  <si>
    <t>IC-10499</t>
  </si>
  <si>
    <t>Fact#: 339296 Rec#: 31156 EFFICACITAS CONSULTORA CIA.LTDA.</t>
  </si>
  <si>
    <t>IC-10498</t>
  </si>
  <si>
    <t>Fact#: 337034 Rec#: 31155 DUNNYA MARLENE VILLAVICENCIO LUZURIAGA</t>
  </si>
  <si>
    <t>IC-10497</t>
  </si>
  <si>
    <t>Fact#: 336841 Rec#: 31154 JAIRO ALBERTO GOMEZ COELLO</t>
  </si>
  <si>
    <t>IC-10496</t>
  </si>
  <si>
    <t>Fact#: 337051 Rec#: 31153 UVIDIA SALTOS  CARLOS BOLIVAR</t>
  </si>
  <si>
    <t>IC-10495</t>
  </si>
  <si>
    <t>Fact#: 338387 Rec#: 31152 PERALTA BENITEZ ROBERTO ELIAS</t>
  </si>
  <si>
    <t>IC-10494</t>
  </si>
  <si>
    <t>Fact#: 337038 Rec#: 31151 ANA LUCRECIA  CABRERA GARCIA</t>
  </si>
  <si>
    <t>IC-10493</t>
  </si>
  <si>
    <t>Fact#: 336954 Rec#: 31150 PAULA JESUS SALAZAR MACIAS</t>
  </si>
  <si>
    <t>IC-10492</t>
  </si>
  <si>
    <t>Fact#: 337871 Rec#: 31149 GILBERT SILVA CECILIA MARIA</t>
  </si>
  <si>
    <t>IC-10491</t>
  </si>
  <si>
    <t>Fact#: 339154 Rec#: 31148 NIEVES RODRIGUEZ JORGE ELIECER</t>
  </si>
  <si>
    <t>IC-10490</t>
  </si>
  <si>
    <t>Fact#: 338554 Rec#: 31147 SUSANA HERMELINDA ANALUISA HARO</t>
  </si>
  <si>
    <t>IC-10489</t>
  </si>
  <si>
    <t>Fact#: 338472 Rec#: 31146 VINUEZA GARCIA EDISON EDUARDO</t>
  </si>
  <si>
    <t>IC-10488</t>
  </si>
  <si>
    <t>Fact#: 337140 Rec#: 31145 GISELLA MARIA YUNES ANDRADE</t>
  </si>
  <si>
    <t>IC-10487</t>
  </si>
  <si>
    <t>Fact#: 336907 Rec#: 31144 MONICA CRIOLLO SALAZAR</t>
  </si>
  <si>
    <t>IC-10486</t>
  </si>
  <si>
    <t>Fact#: 336981 Rec#: 31143 FAUSTO EDUARDO  CARBO RIVERA</t>
  </si>
  <si>
    <t>IC-10485</t>
  </si>
  <si>
    <t>Fact#: 337542 Rec#: 31142 CARLOS ADALBERTO SALAVARRIA PALMA</t>
  </si>
  <si>
    <t>IC-10484</t>
  </si>
  <si>
    <t>Fact#: 336854 Rec#: 31141 ISABEL ROSARIO QUINDE SORIANO</t>
  </si>
  <si>
    <t>IC-10483</t>
  </si>
  <si>
    <t>Fact#: 337489 Rec#: 31140 FERNANDO XAVIER DROUET CEDEÑO</t>
  </si>
  <si>
    <t>IC-10482</t>
  </si>
  <si>
    <t>Fact#: 337990 Rec#: 31139 TRUJILLO LOPEZ DIANA CAROLINA</t>
  </si>
  <si>
    <t>IC-10481</t>
  </si>
  <si>
    <t>Fact#: 338133 Rec#: 31138 ESPANA BAJANA STEFANIA ELIZABETH</t>
  </si>
  <si>
    <t>IC-10480</t>
  </si>
  <si>
    <t>Fact#: 337153 Rec#: 31137 LUIS EDUARDO SANCHEZ TIMM</t>
  </si>
  <si>
    <t>IC-10479</t>
  </si>
  <si>
    <t>Fact#: 336868 Rec#: 31136 KETTY ARACELY GAROFALO LEON</t>
  </si>
  <si>
    <t>IC-10478</t>
  </si>
  <si>
    <t>Fact#: 337401 Rec#: 31135 CARLOS BENJAMIN ROSALES PINO</t>
  </si>
  <si>
    <t>IC-10477</t>
  </si>
  <si>
    <t>Fact#: 337257 Rec#: 31134 GUILLERMO ELOY SERRANO GOMEZ</t>
  </si>
  <si>
    <t>IC-10476</t>
  </si>
  <si>
    <t>Fact#: 336914 Rec#: 31133 JOSE JOAQUIN OLMEDO CASTELLO</t>
  </si>
  <si>
    <t>IC-10475</t>
  </si>
  <si>
    <t>Fact#: 337235 Rec#: 31132 JUAN XAVIER BENEDETI RIPALDA</t>
  </si>
  <si>
    <t>IC-10474</t>
  </si>
  <si>
    <t>Fact#: 338999 Rec#: 31131 JOSE FRANCISCO  FERNANDEZ   ESPINOZA</t>
  </si>
  <si>
    <t>IC-10473</t>
  </si>
  <si>
    <t>Fact#: 337611 Rec#: 31130 RICARDO PABLO FALCONI DUEÑAS</t>
  </si>
  <si>
    <t>IC-10470</t>
  </si>
  <si>
    <t>Fact#: 336908 Rec#: 31129 JENNY CEDEÑO CAAMAÑO</t>
  </si>
  <si>
    <t>IC-10467</t>
  </si>
  <si>
    <t>Fact#: 336826 Rec#: 31128 ROBERTO MUZZIO NARANJO</t>
  </si>
  <si>
    <t>IC-10466</t>
  </si>
  <si>
    <t>Fact#: 336837 Rec#: 31127 GISELLE MARIELA CLEMENTE VERA</t>
  </si>
  <si>
    <t>IC-10465</t>
  </si>
  <si>
    <t>Fact#: 336840 Rec#: 31126 JUAN JOSE CHACON PACHECO</t>
  </si>
  <si>
    <t>IC-10464</t>
  </si>
  <si>
    <t>Fact#: 336807 Rec#: 31168 Corporación Nacional de Telecomunicaciones-CNT EP</t>
  </si>
  <si>
    <t>IC-10463</t>
  </si>
  <si>
    <t>Fact#: 336808 Rec#: 31167 Corporación Nacional de Telecomunicaciones-CNT EP</t>
  </si>
  <si>
    <t>IC-10462</t>
  </si>
  <si>
    <t>Fact#: 337163 Rec#: 31125 LUIS CARLOS ABAD YCAZA</t>
  </si>
  <si>
    <t>IC-10461</t>
  </si>
  <si>
    <t>Fact#: 337052 Rec#: 31124 MANRIQUEZ SALAZAR MARIA PAZ</t>
  </si>
  <si>
    <t>IC-10460</t>
  </si>
  <si>
    <t>Fact#: 337049 Rec#: 31123 CARLOS ALBERTO RENDON PALMA</t>
  </si>
  <si>
    <t>IC-10459</t>
  </si>
  <si>
    <t>Fact#: 337584 Rec#: 31122 HERNAN ANTONIO ALVEAR MERCHAN</t>
  </si>
  <si>
    <t>IC-10458</t>
  </si>
  <si>
    <t>Fact#: 336816 Rec#: 31121 EVA MARIA VINUEZA OCAÑA</t>
  </si>
  <si>
    <t>IC-10457</t>
  </si>
  <si>
    <t>Fact#: 337070 Rec#: 31120 TERESA DE LA CRUZ TOSCANO BRITO</t>
  </si>
  <si>
    <t>IC-10456</t>
  </si>
  <si>
    <t>Fact#: 336820 Rec#: 31119 MARIA ROSA DUNN YCAZA</t>
  </si>
  <si>
    <t>IC-10455</t>
  </si>
  <si>
    <t>Fact#: 336985 Rec#: 31118 FRANKLIN JOAQUIN  DOMINGUEZ VARGAS</t>
  </si>
  <si>
    <t>IC-10454</t>
  </si>
  <si>
    <t>Fact#: 338055 Rec#: 31166 LOGROÑO REYES VICENTE JAVIER</t>
  </si>
  <si>
    <t>IC-10453</t>
  </si>
  <si>
    <t>Fact#: 338754 Rec#: 31117 ZULVY BEDON LAGOS</t>
  </si>
  <si>
    <t>IC-10452</t>
  </si>
  <si>
    <t>Fact#: 338208 Rec#: 31116 CASTILLO PALMA DANIEL ALFREDO</t>
  </si>
  <si>
    <t>IC-10451</t>
  </si>
  <si>
    <t>Fact#: 337326 Rec#: 31115 ANTONIO IGNACIO ARTEAGA FERAUD</t>
  </si>
  <si>
    <t>IC-10450</t>
  </si>
  <si>
    <t>Fact#: 335920-338865 Rec#: 14419 PONCE BURGOS NORMA ISABEL</t>
  </si>
  <si>
    <t>IC-10420</t>
  </si>
  <si>
    <t>Fact#: 338467 Rec#: 14418 GUERRERO RENDON VICTORIA EDITA</t>
  </si>
  <si>
    <t>IC-10419</t>
  </si>
  <si>
    <t>Fact#: 334901-337842 Rec#: 14417 REINA SALAZAR JOSE DIEGO</t>
  </si>
  <si>
    <t>IC-10418</t>
  </si>
  <si>
    <t>Fact#: 338568 Rec#: 14416 PARRALES CABRERA TEOFILO CELESTINO</t>
  </si>
  <si>
    <t>IC-10417</t>
  </si>
  <si>
    <t>Fact#: 331348-334260-337192 Rec#: 14415 MARCOS ANTONIO MIRANDA MORAN</t>
  </si>
  <si>
    <t>IC-10416</t>
  </si>
  <si>
    <t>Fact#: 335889-338834 Rec#: 14414 CABEZA RODRIGUEZ PETER FABRICIO</t>
  </si>
  <si>
    <t>IC-10415</t>
  </si>
  <si>
    <t>Fact#: 337539 Rec#: 14413 EDISON FERNANDO MERA CASTAÑEDA</t>
  </si>
  <si>
    <t>IC-10414</t>
  </si>
  <si>
    <t>Fact#: 337425 Rec#: 14412 CORA MARGARITA ROCIO GALLARDO CRUSELLAS</t>
  </si>
  <si>
    <t>IC-10413</t>
  </si>
  <si>
    <t>Fact#: 334148-337081 Rec#: 14411 LOPEZ LOPEZ WASHINGTON FERMIN</t>
  </si>
  <si>
    <t>IC-10411</t>
  </si>
  <si>
    <t>Fact#: 338118 Rec#: 14410 ROMAN ALVARADO LILIAN ISIDORA</t>
  </si>
  <si>
    <t>IC-10407</t>
  </si>
  <si>
    <t>Fact#: 334706-337645 Rec#: 14409 HANS EDUARDO NORIEGA ALBUJA</t>
  </si>
  <si>
    <t>IC-10403</t>
  </si>
  <si>
    <t>Fact#: 337132 Rec#: 14408 MARIA PIEDAD MONTALVAN CAMPOVERDE</t>
  </si>
  <si>
    <t>IC-10400</t>
  </si>
  <si>
    <t>Fact#: 332734-335659-338602 Rec#: 14407 RENDON REGALADO MARIANA SOLANGE</t>
  </si>
  <si>
    <t>IC-10399</t>
  </si>
  <si>
    <t>Fact#: 339090 Rec#: 14406 MONTEALEGRE PEDRO JOAQUIN</t>
  </si>
  <si>
    <t>IC-10398</t>
  </si>
  <si>
    <t>Fact#: 337552 Rec#: 14405 MOISES ROBERTO FRANCO ANDRADE</t>
  </si>
  <si>
    <t>IC-10397</t>
  </si>
  <si>
    <t>Fact#: 2487 Rec#: 14404 GUTIERREZ ALVAREZ TERESA EUGENIA</t>
  </si>
  <si>
    <t>IC-10396</t>
  </si>
  <si>
    <t>Fact#: 338904 Rec#: 14403 SANTANA MORENO SAUL AUGUSTO</t>
  </si>
  <si>
    <t>IC-10395</t>
  </si>
  <si>
    <t>Fact#: 337317 Rec#: 14402 NAIM ANTONIO YUNES MARIDUEÑA</t>
  </si>
  <si>
    <t>IC-10394</t>
  </si>
  <si>
    <t>Fact#: 332160-335075-338018 Rec#: 14401 YANEZ ARROYO LUIS ALBERTO</t>
  </si>
  <si>
    <t>IC-10393</t>
  </si>
  <si>
    <t>Fact#: 337585 Rec#: 14400 GALO ENRIQUE ESTUPIÑAN VERA</t>
  </si>
  <si>
    <t>IC-10392</t>
  </si>
  <si>
    <t>Fact#: 338662 Rec#: 14399 LUCAS VALAREZO CRISTINA EVELIN</t>
  </si>
  <si>
    <t>IC-10391</t>
  </si>
  <si>
    <t>Fact#: 332818-335742-338687 Rec#: 14398 LEON ANDRADE CRISTIAN ALFREDO</t>
  </si>
  <si>
    <t>IC-10390</t>
  </si>
  <si>
    <t>Fact#: 338038 Rec#: 14397 VASQUEZ DORA JUAN JOSE</t>
  </si>
  <si>
    <t>IC-10388</t>
  </si>
  <si>
    <t>Fact#: 335376-338318 Rec#: 14396 AVILA ORTIZ GEOVANNY FABRICIO</t>
  </si>
  <si>
    <t>IC-10387</t>
  </si>
  <si>
    <t>Fact#: 338995 Rec#: 14395 FERRIN ANDRADE ERICKA MARIUXI</t>
  </si>
  <si>
    <t>IC-10386</t>
  </si>
  <si>
    <t>Fact#: 339809 Rec#: 14483 ADELAIDA BETHSAIDA BRIONES</t>
  </si>
  <si>
    <t>IC-10722</t>
  </si>
  <si>
    <t>Fact#: 339765 Rec#: 31170 EMPRESA PUBLICA MUNICIPAL PARA LA GESTIÓN DE LA INNOVACIÓN  Y LA COMPETITIVIDAD, EP</t>
  </si>
  <si>
    <t>IC-10472</t>
  </si>
  <si>
    <t>Fact#: 334212-337144 Rec#: 31114 GUILLERMO IGNACIO JORGE BAQUERIZO VASQUEZ</t>
  </si>
  <si>
    <t>IC-10368</t>
  </si>
  <si>
    <t>Fact#: 337375 Rec#: 31113 CARLOS EDUARDO CARVAJAL LOOR</t>
  </si>
  <si>
    <t>IC-10367</t>
  </si>
  <si>
    <t>Fact#: 336459 Rec#: 31112 ALLINPUBLICIDAD&amp;MARKETING S A</t>
  </si>
  <si>
    <t>IC-10366</t>
  </si>
  <si>
    <t>Fact#: 338102 Rec#: 31111 GONZALEZ SANCHEZ CESAR IVAN</t>
  </si>
  <si>
    <t>IC-10365</t>
  </si>
  <si>
    <t>Fact#: 337118 Rec#: 31110 GRACIELA GUADALUPE MEREJILDO VERA</t>
  </si>
  <si>
    <t>IC-10364</t>
  </si>
  <si>
    <t>Fact#: 337793 Rec#: 31109 QUINTO BAZAN JOHNN HENRY</t>
  </si>
  <si>
    <t>IC-10363</t>
  </si>
  <si>
    <t>Fact#: 335306-338249 Rec#: 31108 SILVA ARMAS MARIA TERESA</t>
  </si>
  <si>
    <t>IC-10362</t>
  </si>
  <si>
    <t>Fact#: 336965 Rec#: 14394 SANDRA PATRICIA MOREJON LLANOS</t>
  </si>
  <si>
    <t>IC-10352</t>
  </si>
  <si>
    <t>Fact#: 322075-324815-336207-339153 Rec#: 14393 CARDONA RUIZ JOSE ALEXANDER</t>
  </si>
  <si>
    <t>IC-10351</t>
  </si>
  <si>
    <t>Fact#: 2533 Rec#: 14392 MINDA POZO EDVIN ERNESTO</t>
  </si>
  <si>
    <t>IC-10350</t>
  </si>
  <si>
    <t>Fact#: 332383-335303-338246 Rec#: 14391 CHOLOTA OQUENDO JORDAN GONZALO</t>
  </si>
  <si>
    <t>IC-10349</t>
  </si>
  <si>
    <t>Fact#: 338317 Rec#: 14390 ROMMEL ANTONIO ZAMORA TRIGUERO</t>
  </si>
  <si>
    <t>IC-10348</t>
  </si>
  <si>
    <t>Fact#: 338154 Rec#: 14389 VELASQUEZ POLIT NINA NATASHA</t>
  </si>
  <si>
    <t>IC-10347</t>
  </si>
  <si>
    <t>Fact#: 335998-338944 Rec#: 14388 LOPEZ MALDONADO CARLOS ROLANDO</t>
  </si>
  <si>
    <t>IC-10346</t>
  </si>
  <si>
    <t>Fact#: 336995 Rec#: 14387 ALEX ENRIQUE  MARTINEZ ESPINOZA</t>
  </si>
  <si>
    <t>IC-10345</t>
  </si>
  <si>
    <t>Fact#: 333258-336199-339145 Rec#: 14386 LINDAO CEDENO KATHERIN LIZBETH</t>
  </si>
  <si>
    <t>IC-10344</t>
  </si>
  <si>
    <t>Fact#: 338851 Rec#: 14385 CHOEZ BRAVO JOSE ANTONIO</t>
  </si>
  <si>
    <t>IC-10343</t>
  </si>
  <si>
    <t>Fact#: 337360 Rec#: 14384 OMAR JOSSUE GRANIZO HUAYAMAVE</t>
  </si>
  <si>
    <t>IC-10342</t>
  </si>
  <si>
    <t>Fact#: 339162 Rec#: 14383 MENDEZ LAINEZ RUTH ELIZABETH</t>
  </si>
  <si>
    <t>IC-10341</t>
  </si>
  <si>
    <t>Fact#: 337621 Rec#: 14382 NEISI LORENA CHONG MELGAR</t>
  </si>
  <si>
    <t>IC-10340</t>
  </si>
  <si>
    <t>Fact#: 335471-338413 Rec#: 14381 ORELLANA CALDERON JUAN CARLOS</t>
  </si>
  <si>
    <t>IC-10339</t>
  </si>
  <si>
    <t>Fact#: 338160 Rec#: 14380 RIVADENEIRA SACON GRACE ALEXANDRA</t>
  </si>
  <si>
    <t>IC-10338</t>
  </si>
  <si>
    <t>Fact#: 338917 Rec#: 14379 FIGUEROA GAVELA SILVIA FABIOLA</t>
  </si>
  <si>
    <t>IC-10337</t>
  </si>
  <si>
    <t>Fact#: 330263-333124-336050-338996 Rec#: 14378 ORRALA VILLON MARJORIE ESTEFANIA</t>
  </si>
  <si>
    <t>IC-10336</t>
  </si>
  <si>
    <t>Fact#: 330433-333317-336258-339219 Rec#: 14377 BORBOR ORTIZ MARIA JOSE</t>
  </si>
  <si>
    <t>IC-10335</t>
  </si>
  <si>
    <t>Fact#: 331231-334144-337077 Rec#: 14376 MARIA EUGENIA TERAN JORDAN</t>
  </si>
  <si>
    <t>IC-10334</t>
  </si>
  <si>
    <t>Fact#: 335038-337980 Rec#: 14375 ELIZALDE MAZZINI PAULINA GABRIELA</t>
  </si>
  <si>
    <t>IC-10333</t>
  </si>
  <si>
    <t>Sep/2020</t>
  </si>
  <si>
    <t>Fact#: 331582-334494-337431-340422-343951 Rec#: 15066 EDGAR JUNIOR ESPINOZA BAJAÑA</t>
  </si>
  <si>
    <t>IC-12729</t>
  </si>
  <si>
    <t>Fact#: 345785 Rec#: 15065 SORIA LAMAN HARRY SUN</t>
  </si>
  <si>
    <t>IC-12728</t>
  </si>
  <si>
    <t>Fact#: 337626-340617-344142 Rec#: 15064 CARMEN LUISA PORTUGAL JACOME</t>
  </si>
  <si>
    <t>IC-12727</t>
  </si>
  <si>
    <t>Fact#: 343597 Rec#: 15063 ALVARADO PIGUAVE CAROLIN JANET</t>
  </si>
  <si>
    <t>IC-12726</t>
  </si>
  <si>
    <t>Fact#: 344243 Rec#: 15062 TOMALA SANCAN JORGE LUIS</t>
  </si>
  <si>
    <t>IC-12725</t>
  </si>
  <si>
    <t>Fact#: 344453 Rec#: 15061 TOMALA SANCAN JORGE LUIS</t>
  </si>
  <si>
    <t>IC-12724</t>
  </si>
  <si>
    <t>Fact#: 345681 Rec#: 15060 MENDEZ LAINEZ RUTH ELIZABETH</t>
  </si>
  <si>
    <t>IC-12723</t>
  </si>
  <si>
    <t>Fact#: 341974-345497 Rec#: 15059 MERA NERO JHONNY ALEXANDER</t>
  </si>
  <si>
    <t>IC-12722</t>
  </si>
  <si>
    <t>Fact#: 340652-344177 Rec#: 15058 BEATRIZ MARIA DEL CARMEN PACHECO BALLESTEROS</t>
  </si>
  <si>
    <t>IC-12721</t>
  </si>
  <si>
    <t>Fact#: 343837 Rec#: 15057 WILLINGTON HUGO ROSALES MEDINA</t>
  </si>
  <si>
    <t>IC-12720</t>
  </si>
  <si>
    <t>Fact#: 338212-341203-344727 Rec#: 15056 INTRIAGO TORRES NARCISA JANETH</t>
  </si>
  <si>
    <t>IC-12719</t>
  </si>
  <si>
    <t>Fact#: 340397-343927 Rec#: 15055 NILO JUSTINO GUERRERO INDIO</t>
  </si>
  <si>
    <t>IC-12718</t>
  </si>
  <si>
    <t>Fact#: 344967 Rec#: 15054 ROBALINO VALENCIA  SPARTA SUSANA</t>
  </si>
  <si>
    <t>IC-12717</t>
  </si>
  <si>
    <t>N/D PACIFICO CANCELACIÓN DE FACTURA#422 A BAQUERIZO DAVILA PABLO POR HONORARIOS PROFESIONALES</t>
  </si>
  <si>
    <t>NDL-55</t>
  </si>
  <si>
    <t>N/D PACIFICO ROLES DE PAGO 2DA QUINCENA DE OCTUBRE DEL 2020</t>
  </si>
  <si>
    <t>NDL-53</t>
  </si>
  <si>
    <t>N/D PACIFICO CANCELACIÓN DERECHO DE CONCESIONES 0.50% 3ER TRIMESTRE, SERVICIOS DE TELECOMUNICACIONES A TRAVÉS DE TERMINALES DE USO PÚBLICO</t>
  </si>
  <si>
    <t>N/D PACIFICO CANCELACIÓN DERECHO DE CONCESIONES 0.50% 3ER TRIMESTRE, TELEFONIA LARGA DISTANCIA INTERNACIONAL</t>
  </si>
  <si>
    <t>N/D PACIFICO CANCELACIÓN DERECHO DE CONCESIONES 0.50% 3ER TRIMESTRE, TELEFONIA FIJA LOCAL</t>
  </si>
  <si>
    <t>N/D PACIFICO CANCELACIÓN FODETEL 1% 3ER TRIMESTRE POR SERVICIO DE TELECOMUNICACIONES A TRAVÉS  DE TERMINALES DE USO PÚBLICO</t>
  </si>
  <si>
    <t>N/D PACIFICO CANCELACIÓN FODETEL 1% 3ER TRIMESTRE POR TELEFONIA LARGA DISTANCIA INTERNACIONAL</t>
  </si>
  <si>
    <t>N/D PACIFICO CANCELACIÓN FODETEL 1% 3ER TRIMESTRES TELEFONIA FIJA LOCAL</t>
  </si>
  <si>
    <t>Fact#: 343363 Rec#: 31508 Corporación Nacional de Telecomunicaciones-CNT EP</t>
  </si>
  <si>
    <t>IC-12819</t>
  </si>
  <si>
    <t>Fact#: 343074 Rec#: 31507 DATA TOOLS S.A.</t>
  </si>
  <si>
    <t>IC-12818</t>
  </si>
  <si>
    <t>Fact#: 339869-343411 Rec#: 31497 FATIMA LEONOR AGUILAR MURILLO</t>
  </si>
  <si>
    <t>IC-12762</t>
  </si>
  <si>
    <t>Fact#: 322437-325194-327953-330760-333650-336596-339588-343132 Rec#: 31496 ETHERIA S.A.</t>
  </si>
  <si>
    <t>IC-12761</t>
  </si>
  <si>
    <t>Fact#: 320146-325670-328420-331241-334154-337087-340079-343609 Rec#: 31495 ITURRALDE TORRES EDUARDO ANIBAL</t>
  </si>
  <si>
    <t>IC-12760</t>
  </si>
  <si>
    <t>Fact#: 343097 Rec#: 31494 DELGADO VINTIMILLA CARLOS FERNANDO</t>
  </si>
  <si>
    <t>IC-12759</t>
  </si>
  <si>
    <t>Fact#: 336029-338975-341970-345493 Rec#: 31493 LARA CHERE FREDY GONZALO</t>
  </si>
  <si>
    <t>IC-12758</t>
  </si>
  <si>
    <t>Fact#: 340434-343962 Rec#: 15053 RAMIRO RAMON TOALA GARCIA</t>
  </si>
  <si>
    <t>IC-12716</t>
  </si>
  <si>
    <t>Fact#: 337531-340523-344049 Rec#: 15052 EDWIN ANDRES REYES TOALA</t>
  </si>
  <si>
    <t>IC-12715</t>
  </si>
  <si>
    <t>Fact#: 323214-325979-328731-331560-334473-337409-340400-343930 Rec#: 15051 WILINTON ALEXANDER GUZMAN MUÑETON</t>
  </si>
  <si>
    <t>IC-12714</t>
  </si>
  <si>
    <t>Fact#: 341210-344734 Rec#: 15050 MIRABAL RODRIGUEZ CRISTINA</t>
  </si>
  <si>
    <t>IC-12713</t>
  </si>
  <si>
    <t>Fact#: 342923 Rec#: 15049 ASOCIACION DE PROPIETARIOS DE LA URBANIZACION PUER</t>
  </si>
  <si>
    <t>IC-12712</t>
  </si>
  <si>
    <t>Fact#: 344021 Rec#: 15048 DAYANNA ANABELL BAQUERIZO AQUINO</t>
  </si>
  <si>
    <t>IC-12711</t>
  </si>
  <si>
    <t>Fact#: 344659 Rec#: 15047 MEDINA BORJA LEONARDO JAVIER</t>
  </si>
  <si>
    <t>IC-12710</t>
  </si>
  <si>
    <t>Fact#: 341393-344917 Rec#: 15046 PANCHANA GONZALEZ GLADYS HAIDEE</t>
  </si>
  <si>
    <t>IC-12709</t>
  </si>
  <si>
    <t>Fact#: 345118 Rec#: 15045 RENDON REGALADO MARIANA SOLANGE</t>
  </si>
  <si>
    <t>IC-12708</t>
  </si>
  <si>
    <t>Fact#: 341244-344767 Rec#: 15044 ALVARADO HOLGUIN HENRRY EDUARDO</t>
  </si>
  <si>
    <t>IC-12707</t>
  </si>
  <si>
    <t>Fact#: 343806 Rec#: 15043 KEVIN BLADIMIR PONCE GREFA</t>
  </si>
  <si>
    <t>IC-12706</t>
  </si>
  <si>
    <t>Fact#: 326158-328913-331748-334662-337601-340592-344117 Rec#: 15042 LOURDES DEL ROCIO JIMENEZ ACOSTA</t>
  </si>
  <si>
    <t>IC-12705</t>
  </si>
  <si>
    <t>Fact#: 334287-337221-340213-343742 Rec#: 15041 SANTIAGO ISRAEL PUERTAS SOLANO</t>
  </si>
  <si>
    <t>IC-12704</t>
  </si>
  <si>
    <t>Fact#: 344341 Rec#: 15040 RENDON SOLIS MARJORIE VALENTINA</t>
  </si>
  <si>
    <t>IC-12703</t>
  </si>
  <si>
    <t>Fact#: 345090 Rec#: 15039 MALDONADO VILLAMAR HUMBERTO MARTIN</t>
  </si>
  <si>
    <t>IC-12702</t>
  </si>
  <si>
    <t>Fact#: 344609 Rec#: 15038 VELEZ CASTRO HARRY VICENTE</t>
  </si>
  <si>
    <t>IC-12701</t>
  </si>
  <si>
    <t>Fact#: 341439-344963 Rec#: 15037 TENORIO PRECIADO SUSANA MIRELLA</t>
  </si>
  <si>
    <t>IC-12700</t>
  </si>
  <si>
    <t>Fact#: 345384 Rec#: 15036 MERINO MORAN LUIS MIGUEL</t>
  </si>
  <si>
    <t>IC-12699</t>
  </si>
  <si>
    <t>Fact#: 340483-344010 Rec#: 15035 KATTIA MARIA JOSEFINA CARDENAS FREIRE</t>
  </si>
  <si>
    <t>IC-12698</t>
  </si>
  <si>
    <t>Fact#: 340884-344409 Rec#: 15034 BARBERAN BRIONES JOSE JULIAN</t>
  </si>
  <si>
    <t>IC-12697</t>
  </si>
  <si>
    <t>Fact#: 338491-341483-345007 Rec#: 15033 MORALES GUARANDA SERGIO ANTONIO</t>
  </si>
  <si>
    <t>IC-12696</t>
  </si>
  <si>
    <t>Fact#: 340970-344496 Rec#: 15032 ELIZALDE MAZZINI PAULINA GABRIELA</t>
  </si>
  <si>
    <t>IC-12695</t>
  </si>
  <si>
    <t>Fact#: 345148 Rec#: 15031 MARCILLO COBOS DAVID FERNANDO</t>
  </si>
  <si>
    <t>IC-12694</t>
  </si>
  <si>
    <t>Fact#: 343436 Rec#: 31478 SERGIO ANDRES SEMMINARIO VALENZUELA</t>
  </si>
  <si>
    <t>IC-12641</t>
  </si>
  <si>
    <t>GASTO BANCARIO PACIFICO #2267480-67387-65033-65090-63586-63521-62146-62193-60739-60657-56489-56388-55142-55198-53520-53595-51482-51369-50235-50102-488948-49001-47779-47677-45819-45723-43591-43678-42499-42387-41200-41087-39622-39488-66336-37359-35064-37482</t>
  </si>
  <si>
    <t>DR-3033</t>
  </si>
  <si>
    <t>N/d por comisiones de western union por recaudacion del 26/10/2020 al 29/10/2020</t>
  </si>
  <si>
    <t>DR-2757</t>
  </si>
  <si>
    <t>N/D BCO. PACIFCO CANCELACION FACTURA#13O A BYRON BAQUE MAS REEMBOLSO DE MOVILIZACIÓN Y FACTURA#106 A FRANCISCO ESTUPIÑAN POR HONORARIOS MES DE OCT 2020</t>
  </si>
  <si>
    <t>N/D PACIFICO CANCELACIÓN DE FACTURA#2752960 CNEL EP</t>
  </si>
  <si>
    <t>N/D PACIFICO CANCELACIÓN DE FACTURA#24596654 CNEL EP</t>
  </si>
  <si>
    <t>N/D PACIFICO CANCELACIÓN DE FACTURA#24562928 CNEL EP</t>
  </si>
  <si>
    <t>N/D PACIFICO CANCELACIÓN DE FACTURA#24558141 CNEL EP</t>
  </si>
  <si>
    <t>N/D PACIFICO CANCELACIÓN FACTURA#24800518 CNEL EP</t>
  </si>
  <si>
    <t>N/D PACIFICO CANCELACIÓN DE FACTURA CNEL EP A CTV</t>
  </si>
  <si>
    <t>N/D PACIFICO CANCELACIÓN DE FACTURA#2455866 CNEL EP</t>
  </si>
  <si>
    <t>Fact#: 344990 Rec#: 31490 HERNANDEZ GOMEZ EDDY MAXIMO</t>
  </si>
  <si>
    <t>IC-12686</t>
  </si>
  <si>
    <t>Fact#: 3044 Rec#: 31489 SANGUNA RON TANIA GRICELDA</t>
  </si>
  <si>
    <t>IC-12685</t>
  </si>
  <si>
    <t>Fact#: 344332 Rec#: 31488 LOPEZ PALACIOS DANNY CHRISTIAN</t>
  </si>
  <si>
    <t>IC-12684</t>
  </si>
  <si>
    <t>Fact#: 343382 Rec#: 31487 LOURDES DEL ROCIO CHAVEZ VELEZ</t>
  </si>
  <si>
    <t>IC-12683</t>
  </si>
  <si>
    <t>Fact#: 343415 Rec#: 31486 ARTURO ALFONSO VELASCO TUTIVEN</t>
  </si>
  <si>
    <t>IC-12682</t>
  </si>
  <si>
    <t>Fact#: 344732 Rec#: 31485 MANRIQUE OSORIO XAVIER ENRIQUE</t>
  </si>
  <si>
    <t>IC-12681</t>
  </si>
  <si>
    <t>Fact#: 343406 Rec#: 31484 RAFAEL VICENTE ERAZO FALQUEZ</t>
  </si>
  <si>
    <t>IC-12680</t>
  </si>
  <si>
    <t>Fact#: 343405 Rec#: 31483 NERY LILIANA OCHOA BAQUE</t>
  </si>
  <si>
    <t>IC-12679</t>
  </si>
  <si>
    <t>Fact#: 338927-341923-345446 Rec#: 15030 MENDIETA VILLALVA ROSA MARIA</t>
  </si>
  <si>
    <t>IC-12675</t>
  </si>
  <si>
    <t>Fact#: 341674-345198 Rec#: 15029 CORDOBA EIDER JOSE</t>
  </si>
  <si>
    <t>IC-12674</t>
  </si>
  <si>
    <t>Fact#: 344280 Rec#: 15028 MINO DOYLET YOLANDA ABIGAIL</t>
  </si>
  <si>
    <t>IC-12673</t>
  </si>
  <si>
    <t>Fact#: 341070-344596 Rec#: 15027 JAIME MENDOZA JIMMY JHON</t>
  </si>
  <si>
    <t>IC-12672</t>
  </si>
  <si>
    <t>Fact#: 343525 Rec#: 15026 OSCAR HUMBERTO  BRITO GUILLEN</t>
  </si>
  <si>
    <t>IC-12671</t>
  </si>
  <si>
    <t>Fact#: 341348-344872 Rec#: 15025 CEVALLOS ORVEN AMADITA</t>
  </si>
  <si>
    <t>IC-12670</t>
  </si>
  <si>
    <t>Fact#: 324704-327495-330276-333137-336063-339009-342004-345527 Rec#: 15024 BRIONES BAQUERIZO ALFREDO ROBERTO</t>
  </si>
  <si>
    <t>IC-12669</t>
  </si>
  <si>
    <t>Fact#: 343676 Rec#: 15023 CESAR AUGUSTO BAQUERIZO AROSEMENA</t>
  </si>
  <si>
    <t>IC-12666</t>
  </si>
  <si>
    <t>Fact#: 345483 Rec#: 15022 LEON GARCIA MARCELA VERONICA</t>
  </si>
  <si>
    <t>IC-12652</t>
  </si>
  <si>
    <t>Fact#: 338773-341767-345290 Rec#: 15021 MENDEZ CARABALI FREDDY MANUEL</t>
  </si>
  <si>
    <t>IC-12650</t>
  </si>
  <si>
    <t>Fact#: 344535 Rec#: 15020 GOMEZ PENAFIEL BLANCA VICTORIA</t>
  </si>
  <si>
    <t>IC-12649</t>
  </si>
  <si>
    <t>Fact#: 342050-345574 Rec#: 15019 MARTINEZ LOOR LOURDES ELIZABETH</t>
  </si>
  <si>
    <t>IC-12648</t>
  </si>
  <si>
    <t>Fact#: 333039-335963-338908-341904-345427 Rec#: 15018 ZAMBRANO RIVERA EDINSON EDGAR</t>
  </si>
  <si>
    <t>IC-12647</t>
  </si>
  <si>
    <t>Fact#: 343005 Rec#: 15017 ALLINPUBLICIDAD&amp;MARKETING S A</t>
  </si>
  <si>
    <t>IC-12646</t>
  </si>
  <si>
    <t>Fact#: 334517-337455-340447-343975 Rec#: 15016 MARTHA WENDY VILLEGAS MONTOYA</t>
  </si>
  <si>
    <t>IC-12645</t>
  </si>
  <si>
    <t>Fact#: 343362 Rec#: 31479 Corporación Nacional de Telecomunicaciones-CNT EP</t>
  </si>
  <si>
    <t>IC-12642</t>
  </si>
  <si>
    <t>Fact#: 341436-344960 Rec#: 15015 MORENO GOMEZ DUQUE ALFREDO</t>
  </si>
  <si>
    <t>IC-12614</t>
  </si>
  <si>
    <t>Fact#: 341426-344950 Rec#: 15014 MORENO GOMEZ DUQUE ALFREDO</t>
  </si>
  <si>
    <t>IC-12613</t>
  </si>
  <si>
    <t>Fact#: 345472 Rec#: 31476 ESPINOSA ESPINOZA HUGO STANLEY</t>
  </si>
  <si>
    <t>IC-12594</t>
  </si>
  <si>
    <t>Fact#: 334755-337694-340686-344211 Rec#: 31475 WENDY LORENA QUIMIS CHOEZ</t>
  </si>
  <si>
    <t>IC-12593</t>
  </si>
  <si>
    <t>N/D PACIFICO CANCELACIÓN POR FACTURA#3059103 DE CNEL EP</t>
  </si>
  <si>
    <t>N/D PACIFICO CANCELACIÓN DE FACTURA#2632036 CNEL EP</t>
  </si>
  <si>
    <t>Fact#: 343909 Rec#: 31482 MARIA FERNANDA GONZALEZ MITE</t>
  </si>
  <si>
    <t>IC-12678</t>
  </si>
  <si>
    <t>Fact#: 343387 Rec#: 31481 SIMON EMILIO BRIONES LOOR</t>
  </si>
  <si>
    <t>IC-12677</t>
  </si>
  <si>
    <t>Fact#: 345360 Rec#: 31480 MONTES BRIONES JEFFERSON ANTONIO</t>
  </si>
  <si>
    <t>IC-12676</t>
  </si>
  <si>
    <t>Fact#: 345455-345863 Rec#: 31477 MALDONADO GONZALEZ MARIA VERONICA</t>
  </si>
  <si>
    <t>IC-12595</t>
  </si>
  <si>
    <t>Fact#: 341217-344741 Rec#: 15013 MAYEZA REGALADO JIMMY HARRY</t>
  </si>
  <si>
    <t>IC-12586</t>
  </si>
  <si>
    <t>Fact#: 344288 Rec#: 15012 TAMAYO CARABALLOSO LISANDRA MERCEDES</t>
  </si>
  <si>
    <t>IC-12585</t>
  </si>
  <si>
    <t>Fact#: 338535-341527-345051 Rec#: 15011 JURADO VELEZ JONNY EUGENIO</t>
  </si>
  <si>
    <t>IC-12584</t>
  </si>
  <si>
    <t>Fact#: 341803-345326 Rec#: 15010 PERALTA RODRIGUEZ MARLON SANTIAGO</t>
  </si>
  <si>
    <t>IC-12583</t>
  </si>
  <si>
    <t>Fact#: 344198 Rec#: 15009 MAYI CECIBEL VILLACRES GUZMAN</t>
  </si>
  <si>
    <t>IC-12582</t>
  </si>
  <si>
    <t>Fact#: 344943 Rec#: 15008 CASTRO MORA AGRIPINA GARDENIA</t>
  </si>
  <si>
    <t>IC-12581</t>
  </si>
  <si>
    <t>Fact#: 329361-332205-335121-338064-341055-344580 Rec#: 15007 CEDENO CEVALLOS ALEJANDRO EUGENIO</t>
  </si>
  <si>
    <t>IC-12580</t>
  </si>
  <si>
    <t>Fact#: 2981 Rec#: 15006 TIO ALVAREZ ADRIAN</t>
  </si>
  <si>
    <t>IC-12579</t>
  </si>
  <si>
    <t>Fact#: 339954-343488 Rec#: 15005 BELINDA LEONOR QUIJANO GOMEZ</t>
  </si>
  <si>
    <t>IC-12578</t>
  </si>
  <si>
    <t>Fact#: 343653 Rec#: 15004 MARIA PIEDAD MONTALVAN CAMPOVERDE</t>
  </si>
  <si>
    <t>IC-12577</t>
  </si>
  <si>
    <t>Fact#: 341343-344867 Rec#: 15003 CHANG ZHI TONG</t>
  </si>
  <si>
    <t>IC-12576</t>
  </si>
  <si>
    <t>Fact#: 345320 Rec#: 15002 AVILES PEREZ ALFONSO</t>
  </si>
  <si>
    <t>IC-12575</t>
  </si>
  <si>
    <t>Fact#: 323332-326097-328851-331685-334598-337536-340528-344054 Rec#: 15001 ALEX EMILIO TELLO CEDEÑO</t>
  </si>
  <si>
    <t>IC-12574</t>
  </si>
  <si>
    <t>Fact#: 337849-340840-344364 Rec#: 15000 BURGOS BRIONES MARIA PAMELA</t>
  </si>
  <si>
    <t>IC-12573</t>
  </si>
  <si>
    <t>Fact#: 337916-340906-344432 Rec#: 14999 ANDRADE ALVARADO NANCY NOEMI</t>
  </si>
  <si>
    <t>IC-12572</t>
  </si>
  <si>
    <t>Fact#: 343500 Rec#: 14998 CAROLA MISHEL ABISAAB MEDINA</t>
  </si>
  <si>
    <t>IC-12571</t>
  </si>
  <si>
    <t>Fact#: 345302 Rec#: 14997 SOLARTE SOLARTE HERNEY SEBASTIAN</t>
  </si>
  <si>
    <t>IC-12570</t>
  </si>
  <si>
    <t>Fact#: 343563 Rec#: 14996 CARLOS GUSTAVO PICO MONTALVAN</t>
  </si>
  <si>
    <t>IC-12569</t>
  </si>
  <si>
    <t>Fact#: 343501 Rec#: 14995 CARLOS GUSTAVO PICO MONTALVAN</t>
  </si>
  <si>
    <t>IC-12568</t>
  </si>
  <si>
    <t>Fact#: 337159-340150-343679 Rec#: 14994 MARIA ELENA MORA LUZCANDO</t>
  </si>
  <si>
    <t>IC-12567</t>
  </si>
  <si>
    <t>Fact#: 340519-344045 Rec#: 14993 MARCO VINICIO GONZALEZ LEDESMA</t>
  </si>
  <si>
    <t>IC-12566</t>
  </si>
  <si>
    <t>Fact#: 340518-344044 Rec#: 14992 MARGARITA MAGALI VILLAMAR AGUAYO</t>
  </si>
  <si>
    <t>IC-12565</t>
  </si>
  <si>
    <t>Fact#: 337241-340232-343761 Rec#: 14991 JESUS NEREYDA CHIQUITO VERA</t>
  </si>
  <si>
    <t>IC-12564</t>
  </si>
  <si>
    <t>Fact#: 342228 Rec#: 31474 ANGEL ROGELIO PUMA MEDINA</t>
  </si>
  <si>
    <t>IC-12563</t>
  </si>
  <si>
    <t>Fact#: 340695 Rec#: 31473 ANGEL ROGELIO PUMA MEDINA</t>
  </si>
  <si>
    <t>IC-12562</t>
  </si>
  <si>
    <t>Fact#: 345255 Rec#: 31472 ARANA BARROS AMBAR GEOVANA</t>
  </si>
  <si>
    <t>IC-12535</t>
  </si>
  <si>
    <t>Fact#: 312387-315077-317765 Rec#: 31471 ROMELIA JACOBA FERNANDEZ RAMIREZ</t>
  </si>
  <si>
    <t>IC-12534</t>
  </si>
  <si>
    <t>Fact#: 344892 Rec#: 31470 MERA ESPINOZA LEONEL ANTONIO</t>
  </si>
  <si>
    <t>IC-12533</t>
  </si>
  <si>
    <t>Fact#: 344893 Rec#: 31469 MERA ESPINOZA LEONEL ANTONIO</t>
  </si>
  <si>
    <t>IC-12532</t>
  </si>
  <si>
    <t>Fact#: 344628 Rec#: 31468 PINO MAULME ENRIQUE GABRIEL</t>
  </si>
  <si>
    <t>IC-12531</t>
  </si>
  <si>
    <t>Fact#: 341243-344766 Rec#: 31467 PINO ARROBA ALVARO ERNESTO</t>
  </si>
  <si>
    <t>IC-12530</t>
  </si>
  <si>
    <t>Fact#: 345652 Rec#: 31466 PRADO FRANCO ANDREA JACQUELINE</t>
  </si>
  <si>
    <t>IC-12529</t>
  </si>
  <si>
    <t>Fact#: 344419 Rec#: 31465 HERRERA DIAZ HIALINA AMALIA DE LAS ROSAS</t>
  </si>
  <si>
    <t>IC-12528</t>
  </si>
  <si>
    <t>Fact#: 331421-334333-337267-340258-343787 Rec#: 14990 CARLOS JOSE SALAZAR ALBAN</t>
  </si>
  <si>
    <t>IC-12527</t>
  </si>
  <si>
    <t>Fact#: 344663 Rec#: 14989 PENAFIEL TAPIA FRANCISCO MIGUEL</t>
  </si>
  <si>
    <t>IC-12526</t>
  </si>
  <si>
    <t>Fact#: 345769 Rec#: 31463 CAGUANA VELESACA NORMA ALEXANDRA</t>
  </si>
  <si>
    <t>IC-12522</t>
  </si>
  <si>
    <t>Fact#: 344667 Rec#: 14988 RODRIGUEZ ENRIQUES FERNANDO FAVIAN</t>
  </si>
  <si>
    <t>IC-12498</t>
  </si>
  <si>
    <t>Fact#: 340514-344040 Rec#: 14987 MARIA BRIGITE PEREZ MOLINA</t>
  </si>
  <si>
    <t>IC-12497</t>
  </si>
  <si>
    <t>Fact#: 343247 Rec#: 14986 SPORTMEDIC.S.A</t>
  </si>
  <si>
    <t>IC-12496</t>
  </si>
  <si>
    <t>Fact#: 336246-339207-342203-345727 Rec#: 14985 GONZALES LOJA MARIA FERNANDA</t>
  </si>
  <si>
    <t>IC-12495</t>
  </si>
  <si>
    <t>Fact#: 340951-344477 Rec#: 14984 FIGUEROA RUIZ NAIDDA ELIZABETH</t>
  </si>
  <si>
    <t>IC-12494</t>
  </si>
  <si>
    <t>Fact#: 341374-344898 Rec#: 14983 DESINTONIO HUAYAMAVE ALBERTO LUIS</t>
  </si>
  <si>
    <t>IC-12493</t>
  </si>
  <si>
    <t>Fact#: 344843 Rec#: 14982 JIMA BRAVO  JOSE FLORENCIO</t>
  </si>
  <si>
    <t>IC-12492</t>
  </si>
  <si>
    <t>Fact#: 331703-334616-337554-340546-344072 Rec#: 14981 RUTH ANGELICA VERDEZOTO GAIBOR</t>
  </si>
  <si>
    <t>IC-12491</t>
  </si>
  <si>
    <t>Fact#: 340612-344137 Rec#: 14980 NEISI LORENA CHONG MELGAR</t>
  </si>
  <si>
    <t>IC-12490</t>
  </si>
  <si>
    <t>Fact#: 336726-339720-343264 Rec#: 14979 MERCHAN BALON CHRISTOPHER FERNANDO</t>
  </si>
  <si>
    <t>IC-12489</t>
  </si>
  <si>
    <t>Fact#: 345248 Rec#: 14978 ALZAMORA ALVARADO HECTOR JAVIER</t>
  </si>
  <si>
    <t>IC-12488</t>
  </si>
  <si>
    <t>Fact#: 340576-344101 Rec#: 14977 GALO ENRIQUE ESTUPIÑAN VERA</t>
  </si>
  <si>
    <t>IC-12487</t>
  </si>
  <si>
    <t>Fact#: 344277 Rec#: 14976 NIETO BARQUET OSCAR AHMED</t>
  </si>
  <si>
    <t>IC-12486</t>
  </si>
  <si>
    <t>Fact#: 343577 Rec#: 14975 ARCE FLORES NORBERTO</t>
  </si>
  <si>
    <t>IC-12485</t>
  </si>
  <si>
    <t>Fact#: 344834 Rec#: 14974 ROMMEL ANTONIO ZAMORA TRIGUERO</t>
  </si>
  <si>
    <t>IC-12484</t>
  </si>
  <si>
    <t>Fact#: 341987-345510 Rec#: 14973 PENAFIEL MOSQUERA MIRNA LORGIA</t>
  </si>
  <si>
    <t>IC-12483</t>
  </si>
  <si>
    <t>Fact#: 345167 Rec#: 14972 CHANCAY SOLEDISPA VICTOR MANUEL</t>
  </si>
  <si>
    <t>IC-12482</t>
  </si>
  <si>
    <t>Fact#: 321415-324169-326945-329712-332566-335488-338430-341422-344946 Rec#: 14971 BENITEZ SIGUENZA CECILIA DEL CARMEN</t>
  </si>
  <si>
    <t>IC-12481</t>
  </si>
  <si>
    <t>Fact#: 340676-344201 Rec#: 14970 NEY AQUILES APOLINARIO RODRIGUEZ</t>
  </si>
  <si>
    <t>IC-12480</t>
  </si>
  <si>
    <t>Fact#: 335180-338124-341115-344640 Rec#: 14969 ZHICAY CARRILLO FRANKLIN GEOVANNY</t>
  </si>
  <si>
    <t>IC-12479</t>
  </si>
  <si>
    <t>Fact#: 344533 Rec#: 14968 YANEZ ARROYO LUIS ALBERTO</t>
  </si>
  <si>
    <t>IC-12478</t>
  </si>
  <si>
    <t>Fact#: 338210-341201-344725 Rec#: 14967 APOLO QUEZADA IVAN RAMIRO</t>
  </si>
  <si>
    <t>IC-12477</t>
  </si>
  <si>
    <t>Fact#: 342026-345549 Rec#: 14966 MORAN QUISPE DAMARYS YEREISI</t>
  </si>
  <si>
    <t>IC-12476</t>
  </si>
  <si>
    <t>Fact#: 342126-345650-345651 Rec#: 31450 BOWEN FLORES WALTER EDISON</t>
  </si>
  <si>
    <t>IC-12442</t>
  </si>
  <si>
    <t>Fact#: 345752 Rec#: 31449 ANGEL ROGELIO PUMA MEDINA</t>
  </si>
  <si>
    <t>IC-12440</t>
  </si>
  <si>
    <t>Fact#: 344220 Rec#: 31448 ANGEL ROGELIO PUMA MEDINA</t>
  </si>
  <si>
    <t>IC-12439</t>
  </si>
  <si>
    <t>Fact#: 339374-339484 Rec#: 31447 MEGADATOS S.A.</t>
  </si>
  <si>
    <t>IC-12438</t>
  </si>
  <si>
    <t>Fact#: 723 Rec#: 31491 CONSORCIO VEOLIA-PROACTIVA</t>
  </si>
  <si>
    <t>IC-12741</t>
  </si>
  <si>
    <t>Fact#: 343333 Rec#: 14962 ESJURHEC S.A.</t>
  </si>
  <si>
    <t>IC-12550</t>
  </si>
  <si>
    <t>Fact#: 339946-343481 Rec#: 31462 LOURDES JANET BRITO GUILLEN</t>
  </si>
  <si>
    <t>IC-12510</t>
  </si>
  <si>
    <t>Fact#: 343349 Rec#: 31461 ADMINASES S A</t>
  </si>
  <si>
    <t>IC-12509</t>
  </si>
  <si>
    <t>Fact#: 333299-336239-339200-342196-345720 Rec#: 31460 MALDONADO CORDOVA SARA MARIELA</t>
  </si>
  <si>
    <t>IC-12508</t>
  </si>
  <si>
    <t>Fact#: 343664 Rec#: 31459 GUILLERMO IGNACIO JORGE BAQUERIZO VASQUEZ</t>
  </si>
  <si>
    <t>IC-12507</t>
  </si>
  <si>
    <t>Fact#: 341241-344764 Rec#: 31458 SILVA ARMAS MARIA TERESA</t>
  </si>
  <si>
    <t>IC-12506</t>
  </si>
  <si>
    <t>Fact#: 344908 Rec#: 31457 ANZULES LEMA JUAN GABRIEL</t>
  </si>
  <si>
    <t>IC-12505</t>
  </si>
  <si>
    <t>Fact#: 338257-341249-344772 Rec#: 31456 VALERO CEPEDA IVONNE MARIA</t>
  </si>
  <si>
    <t>IC-12504</t>
  </si>
  <si>
    <t>Fact#: 340489-344016 Rec#: 31455 AIMARA RODRIGUEZ FERNANDEZ</t>
  </si>
  <si>
    <t>IC-12503</t>
  </si>
  <si>
    <t>Fact#: 343150 Rec#: 31454 ASISTMED ASISTENCIA A MEDICOS S.A.</t>
  </si>
  <si>
    <t>IC-12502</t>
  </si>
  <si>
    <t>Fact#: 337142-340133-343662 Rec#: 31453 EVELYN ROSANGELA ARGUELLO JURADO</t>
  </si>
  <si>
    <t>IC-12501</t>
  </si>
  <si>
    <t>Fact#: 338119-341110-344635 Rec#: 31452 BERNAL MORAN ALEX XAVIER</t>
  </si>
  <si>
    <t>IC-12500</t>
  </si>
  <si>
    <t>Fact#: 345590 Rec#: 31451 CHACON CALDERON SARITA MARIA DE LOS ANGEL</t>
  </si>
  <si>
    <t>IC-12499</t>
  </si>
  <si>
    <t>Fact#: 343529 Rec#: 14965 LAURA BEATRIZ  ENCALADA ESPINOZA</t>
  </si>
  <si>
    <t>IC-12475</t>
  </si>
  <si>
    <t>Fact#: 337977-340967-344493 Rec#: 14964 SEN SANG GARCIA LENIN CESAR</t>
  </si>
  <si>
    <t>IC-12474</t>
  </si>
  <si>
    <t>Fact#: 344845 Rec#: 14963 FERNANDEZ PACHECO DIANA ISABEL</t>
  </si>
  <si>
    <t>IC-12473</t>
  </si>
  <si>
    <t>Fact#: 339958-343492 Rec#: 14961 VICENTE GABRIEL VINUEZA MERINO</t>
  </si>
  <si>
    <t>IC-12471</t>
  </si>
  <si>
    <t>Fact#: 334527-337465-340457-343984 Rec#: 14960 ALONSO RIGOBERTO VALENCIA CHICA</t>
  </si>
  <si>
    <t>IC-12470</t>
  </si>
  <si>
    <t>Fact#: 344910 Rec#: 14959 VALENCIA MEDINA JOSE RICARDO</t>
  </si>
  <si>
    <t>IC-12469</t>
  </si>
  <si>
    <t>Fact#: 316028-318726-321439 Rec#: 14958 ALFONZO TIGRE GUILLERMO DARIO</t>
  </si>
  <si>
    <t>IC-12468</t>
  </si>
  <si>
    <t>Fact#: 339969-343503 Rec#: 14957 MARCOS ALFREDO CHANG HI FONG</t>
  </si>
  <si>
    <t>IC-12467</t>
  </si>
  <si>
    <t>Fact#: 340849-344373 Rec#: 14956 CAJAS BOHORQUEZ FREDDY XAVIER</t>
  </si>
  <si>
    <t>IC-12466</t>
  </si>
  <si>
    <t>Fact#: 343813 Rec#: 14955 ANDREA CANAHUATI CHAIN</t>
  </si>
  <si>
    <t>IC-12465</t>
  </si>
  <si>
    <t>Fact#: 343559 Rec#: 14954 ANGELA MARIA ANA  FERAUD MANSSUR</t>
  </si>
  <si>
    <t>IC-12464</t>
  </si>
  <si>
    <t>Fact#: 341409-344933 Rec#: 14953 SAN ANDRES OREJUELA ELSA JANNETT</t>
  </si>
  <si>
    <t>IC-12463</t>
  </si>
  <si>
    <t>Fact#: 341498-345022 Rec#: 14952 FIGUEROA RIOS MIGUEL IBSEN</t>
  </si>
  <si>
    <t>IC-12462</t>
  </si>
  <si>
    <t>Fact#: 331505-334418-337353-340344-343874 Rec#: 14951 BRYAN JOEL BURGOS GALARZA</t>
  </si>
  <si>
    <t>IC-12461</t>
  </si>
  <si>
    <t>Fact#: 336979-339976-343510 Rec#: 14950 ROXANA ELIZABETH QUIMI MORA</t>
  </si>
  <si>
    <t>IC-12460</t>
  </si>
  <si>
    <t>Fact#: 311048-321811-324556-327337-330108-332968-335892-338837-341832-345355 Rec#: 14949 PONCE GANCHOZO MARICELA RAQUEL</t>
  </si>
  <si>
    <t>IC-12459</t>
  </si>
  <si>
    <t>Fact#: 335957-338902-341898-345421 Rec#: 14948 RIVADENEIRA ZAMBRANO ANGEL FAUSTO</t>
  </si>
  <si>
    <t>IC-12458</t>
  </si>
  <si>
    <t>Fact#: 344690 Rec#: 14947 MONTOYA RENDON GUSTAVO ADOLFO</t>
  </si>
  <si>
    <t>IC-12457</t>
  </si>
  <si>
    <t>Fact#: 333952-336896-339899-343439 Rec#: 14946 LINO MARTIN  BRITO BRITO</t>
  </si>
  <si>
    <t>IC-12433</t>
  </si>
  <si>
    <t>Fact#: 341177-344701 Rec#: 14945 CHAVEZ ZAMBRANO MARIA DOLORES</t>
  </si>
  <si>
    <t>IC-12432</t>
  </si>
  <si>
    <t>Fact#: 335658-338601-341593-345117 Rec#: 14944 ROMO VILLAFUERTE MARIA ISABEL</t>
  </si>
  <si>
    <t>IC-12431</t>
  </si>
  <si>
    <t>Fact#: 344335 Rec#: 14943 VASQUEZ AYALA MARIA DE LOURDES</t>
  </si>
  <si>
    <t>IC-12430</t>
  </si>
  <si>
    <t>Fact#: 343564 Rec#: 31446 SILVIA XIMENA CHAVEZ CABRERA</t>
  </si>
  <si>
    <t>IC-12412</t>
  </si>
  <si>
    <t>Fact#: 339814 Rec#: 31445 CONSORCIO ECUATORIANO DE TELECOMUNICACIONES S.A. CONECEL</t>
  </si>
  <si>
    <t>IC-12405</t>
  </si>
  <si>
    <t>Fact#: 344295 Rec#: 31443 ORTIZ CARRILLO ROBERTO JAVIER</t>
  </si>
  <si>
    <t>IC-12400</t>
  </si>
  <si>
    <t>Fact#: 723-730 Rec#: 31442 CONSORCIO VEOLIA-PROACTIVA</t>
  </si>
  <si>
    <t>IC-12399</t>
  </si>
  <si>
    <t>Fact#: 344839 Rec#: 31441 FALCONI DUEÑAS ELISA MARIA</t>
  </si>
  <si>
    <t>IC-12398</t>
  </si>
  <si>
    <t>Fact#: 729 Rec#: 31439 CONSORCIO VEOLIA-PROACTIVA</t>
  </si>
  <si>
    <t>IC-12396</t>
  </si>
  <si>
    <t>Fact#: 342946 Rec#: 31438 WANHAI LINES ECUADOR S.A.</t>
  </si>
  <si>
    <t>IC-12395</t>
  </si>
  <si>
    <t>Fact#: 343912 Rec#: 31440 ENRIQUE FEDERICO ARENAS PILATAXI</t>
  </si>
  <si>
    <t>IC-12397</t>
  </si>
  <si>
    <t>N/D PACIFICO CANCELACION FACTURAS#157807888, #157807889, #157807890, #157807891 CNT EP</t>
  </si>
  <si>
    <t>N/D PACIFICO VALORES POR GASTOS DE VIAJE TÉCNICO INSPECCIÓN ARCOTEL NODO-AMBATO A BYRON BAQUE BAQUE</t>
  </si>
  <si>
    <t>Fact#: 3064-3308 Rec#: 31735 CALLE DURAN DIEGO VINICIO</t>
  </si>
  <si>
    <t>IC-13934</t>
  </si>
  <si>
    <t>Fact#: 343075 Rec#: 31437 FERRUX S.A.</t>
  </si>
  <si>
    <t>IC-12392</t>
  </si>
  <si>
    <t>Fact#: 343669 Rec#: 31435 MARIA CRISTINA LOAIZA BREVI</t>
  </si>
  <si>
    <t>IC-12375</t>
  </si>
  <si>
    <t>Fact#: 343466 Rec#: 31434 OMAR  PALADINES CORDOVA</t>
  </si>
  <si>
    <t>IC-12373</t>
  </si>
  <si>
    <t>N/D PACIFICO PAGO DE IMPUESTOS EN RETENCION IVA MES DE SEP 2020</t>
  </si>
  <si>
    <t>NDL-58</t>
  </si>
  <si>
    <t>N/D PACIFICO PAGO DE IMPUESTOS DE RETENCIÓN EN LA FUENTE MES DE SEP 2020</t>
  </si>
  <si>
    <t>NDL-57</t>
  </si>
  <si>
    <t>N/D PACIFICO PAGO DE IMPUESTOS A LOS CONSUMOS ESPECIALES MES DE SEP 2020</t>
  </si>
  <si>
    <t>NDL-56</t>
  </si>
  <si>
    <t>Fact#: 323857-326628-329393-332237-335154 Rec#: 31695 JARAMILLO RIVERA WILLIAN ADOLFO</t>
  </si>
  <si>
    <t>IC-13740</t>
  </si>
  <si>
    <t>Fact#: 341084 Rec#: 31433 PAZMINO PRIETO SIXTO JAVIER</t>
  </si>
  <si>
    <t>IC-12367</t>
  </si>
  <si>
    <t>Fact#: 337936-340926 Rec#: 31431 SORIANO SUAREZ GUILBERT SAUL</t>
  </si>
  <si>
    <t>IC-12352</t>
  </si>
  <si>
    <t>Fact#: 334765-337705-340697 Rec#: 31430 JAVIER ALEJANDRO PAREDES SALTOS</t>
  </si>
  <si>
    <t>IC-12351</t>
  </si>
  <si>
    <t>Fact#: 342851 Rec#: 31429 ASOCIACION DE PROPIETARIOS III ETAPA LONDRES</t>
  </si>
  <si>
    <t>IC-12350</t>
  </si>
  <si>
    <t>Fact#: 336901-339901 Rec#: 31428 NORMA ELISA YEPEZ JIMENEZ</t>
  </si>
  <si>
    <t>IC-12349</t>
  </si>
  <si>
    <t>VISA - MASTERCARD - PACIFICARD CANCELACION PAGO CON TARJETA NETVOICE WEB, CLIENTE RIERA ORDOÑEZ MIGUEL ANGEL, FACT #2516 - 2748</t>
  </si>
  <si>
    <t>NC-10</t>
  </si>
  <si>
    <t>Fact#: 340986 Rec#: 14942 DE LA O CHACON JOSEPH CHRISTIAN</t>
  </si>
  <si>
    <t>IC-12316</t>
  </si>
  <si>
    <t>Fact#: 341940 Rec#: 14941 LOPEZ MALDONADO CARLOS ROLANDO</t>
  </si>
  <si>
    <t>IC-12315</t>
  </si>
  <si>
    <t>Fact#: 343290 Rec#: 14940 ANTEPARAS FOOD COMPANY ANTEFOOD S.A.</t>
  </si>
  <si>
    <t>IC-12314</t>
  </si>
  <si>
    <t>Fact#: 335840-338785-341779 Rec#: 14939 SOLARTE SOLARTE HERNEY SEBASTIAN</t>
  </si>
  <si>
    <t>IC-12313</t>
  </si>
  <si>
    <t>Fact#: 342976 Rec#: 14938 LABORATORIOS RENALABSA S A</t>
  </si>
  <si>
    <t>IC-12312</t>
  </si>
  <si>
    <t>Fact#: 338868-341863 Rec#: 14937 RIVERA PINTO RAMONA ELIZABETH</t>
  </si>
  <si>
    <t>IC-12311</t>
  </si>
  <si>
    <t>Fact#: 343228 Rec#: 14936 ALVARADO BASURTO SEGUNDO GABRIEL</t>
  </si>
  <si>
    <t>IC-12310</t>
  </si>
  <si>
    <t>Fact#: 341482 Rec#: 14935 SANCHEZ QUINCHUELA INES MONICA</t>
  </si>
  <si>
    <t>IC-12309</t>
  </si>
  <si>
    <t>Fact#: 341487 Rec#: 14934 NAULA ANZOATEGUI ANA MARIA</t>
  </si>
  <si>
    <t>IC-12308</t>
  </si>
  <si>
    <t>Fact#: 336923-339923 Rec#: 31424 LAURO DAVID TORRES CARRILLO</t>
  </si>
  <si>
    <t>IC-12294</t>
  </si>
  <si>
    <t>Fact#: 738-740 Rec#: 31413 F.V - AREA ANDINA S.A.</t>
  </si>
  <si>
    <t>IC-12283</t>
  </si>
  <si>
    <t>TELCONET S.A., CANCELACIÓN DE FACTURAS SEGÚN DETALLE ADJUNTO</t>
  </si>
  <si>
    <t>EG-107</t>
  </si>
  <si>
    <t>PERALTA CASTILLO ELSA DEL ROCIO ABONA SGTE FACTURA, BCO PACIFICO POR VENTANILLA</t>
  </si>
  <si>
    <t>AT-3117</t>
  </si>
  <si>
    <t>Fact#: 336391-336393-339389-339391-342937-342939 Rec#: 31427 JUAYATABC TELEVISION S.A.</t>
  </si>
  <si>
    <t>IC-12348</t>
  </si>
  <si>
    <t>Fact#: 339909 Rec#: 14933 MORAIMA SEMINARIO TOLEDO</t>
  </si>
  <si>
    <t>IC-12307</t>
  </si>
  <si>
    <t>Fact#: 340948 Rec#: 14932 ANANGONO COTTO ALEXANDRA MARIBEL</t>
  </si>
  <si>
    <t>IC-12306</t>
  </si>
  <si>
    <t>Fact#: 334245-337177-340168 Rec#: 14931 MABEL EMMA VALVERDE VULGARIN</t>
  </si>
  <si>
    <t>IC-12305</t>
  </si>
  <si>
    <t>Fact#: 340172 Rec#: 14930 CARLOS GUILLERMO MUÑOZ GUTIERREZ</t>
  </si>
  <si>
    <t>IC-12304</t>
  </si>
  <si>
    <t>Fact#: 338336-341328 Rec#: 14929 NEIRA PILLASAGUA ROSA DEL CARMEN</t>
  </si>
  <si>
    <t>IC-12303</t>
  </si>
  <si>
    <t>Fact#: 340339 Rec#: 14928 LUIS GALO IDROBO ACEBO</t>
  </si>
  <si>
    <t>IC-12302</t>
  </si>
  <si>
    <t>Fact#: 2624 Rec#: 14927 CACUANGO LINCANGO EDISON FABIAN</t>
  </si>
  <si>
    <t>IC-12301</t>
  </si>
  <si>
    <t>Fact#: 2766 Rec#: 14926 ALVAREZ MOLINA PAUL ALEJANDRO</t>
  </si>
  <si>
    <t>IC-12300</t>
  </si>
  <si>
    <t>Fact#: 337930-340920 Rec#: 14925 CASTRO RIVERA JONATHAN GEOVANNY</t>
  </si>
  <si>
    <t>IC-12299</t>
  </si>
  <si>
    <t>Fact#: 335921-338866-341861 Rec#: 14924 PEREZ ASENCIO LUCIANO ALBERTO</t>
  </si>
  <si>
    <t>IC-12298</t>
  </si>
  <si>
    <t>Fact#: 312630-315312-318005 Rec#: 14923 PRISCILA NORALMA DELA AVENDANO</t>
  </si>
  <si>
    <t>IC-12297</t>
  </si>
  <si>
    <t>Fact#: 341234 Rec#: 14922 YUMBLA MENDIETA MONICA ELIZABETH</t>
  </si>
  <si>
    <t>IC-12296</t>
  </si>
  <si>
    <t>Fact#: 334730-337668-340660 Rec#: 14921 ESMERALDA MARITZA ALVARADO SEGURA</t>
  </si>
  <si>
    <t>IC-12295</t>
  </si>
  <si>
    <t>Fact#: 2888 Rec#: 31423 ROSO SANCHEZ JHONATAN ALFONSO</t>
  </si>
  <si>
    <t>IC-12293</t>
  </si>
  <si>
    <t>Fact#: 340166 Rec#: 31422 CAROLINA AMALIA IDROVO PIEDRAHITA</t>
  </si>
  <si>
    <t>IC-12292</t>
  </si>
  <si>
    <t>Fact#: 342860 Rec#: 31421 DORCIEN S.A</t>
  </si>
  <si>
    <t>IC-12291</t>
  </si>
  <si>
    <t>Fact#: 339940 Rec#: 31420 GLORIA ISABEL MITE LEON</t>
  </si>
  <si>
    <t>IC-12290</t>
  </si>
  <si>
    <t>Fact#: 340145 Rec#: 31419 JAIME RICARDO ZUÑIGA RODRIGUEZ</t>
  </si>
  <si>
    <t>IC-12289</t>
  </si>
  <si>
    <t>Fact#: 342869 Rec#: 31418 LAUDE S.A. LAUDESA ADMINISTRADORA DE FONDOS Y FIDEICOMISOS</t>
  </si>
  <si>
    <t>IC-12288</t>
  </si>
  <si>
    <t>Fact#: 333897-336843-339854 Rec#: 31417 LEONOR MARGARITA MONTOYA ALVARADO</t>
  </si>
  <si>
    <t>IC-12287</t>
  </si>
  <si>
    <t>Fact#: 342116 Rec#: 31416 SALTOS MATA FILADELFO VLADIMIR</t>
  </si>
  <si>
    <t>IC-12286</t>
  </si>
  <si>
    <t>Fact#: 339944 Rec#: 31415 BENILDA JESUS ACOSTA ZAMBRANO</t>
  </si>
  <si>
    <t>IC-12285</t>
  </si>
  <si>
    <t>Fact#: 339973 Rec#: 31414 HUGO ANTONIO SALMERON ACOSTA</t>
  </si>
  <si>
    <t>IC-12284</t>
  </si>
  <si>
    <t>Fact#: 341911 Rec#: 14920 LAUZO MARISCAL MANUEL DAVID</t>
  </si>
  <si>
    <t>IC-12260</t>
  </si>
  <si>
    <t>Fact#: 2456-2688 Rec#: 31426 ZAPATA FLORES GILMAR FABRICIO</t>
  </si>
  <si>
    <t>IC-12330</t>
  </si>
  <si>
    <t>Fact#: 341900 Rec#: 14919 SANTANA MORENO SAUL AUGUSTO</t>
  </si>
  <si>
    <t>IC-12246</t>
  </si>
  <si>
    <t>Fact#: 340961 Rec#: 14918 CASTRO DORADO MARJORIE LUCIA</t>
  </si>
  <si>
    <t>IC-12245</t>
  </si>
  <si>
    <t>Fact#: 340022 Rec#: 14917 ROSA MARGARITA  BARRIGA CANTOS</t>
  </si>
  <si>
    <t>IC-12244</t>
  </si>
  <si>
    <t>Fact#: 337870-340861 Rec#: 14916 CARRILLO ANCHUNDIA FLOR MARIA</t>
  </si>
  <si>
    <t>IC-12243</t>
  </si>
  <si>
    <t>Fact#: 334211-337143-340134 Rec#: 14915 JENNIFER MARITZA BAJAÑA MERCHAN</t>
  </si>
  <si>
    <t>IC-12242</t>
  </si>
  <si>
    <t>Fact#: 340271 Rec#: 14914 DENISSE JUDITH FLORES HUERTA</t>
  </si>
  <si>
    <t>IC-12241</t>
  </si>
  <si>
    <t>Fact#: 340763 Rec#: 14913 MOROCHO CRUZ ELIZABETH MERCEDEZ</t>
  </si>
  <si>
    <t>IC-12240</t>
  </si>
  <si>
    <t>Fact#: 337605-340596 Rec#: 14912 JACKELINE LUCIA LOOR ORTEGA</t>
  </si>
  <si>
    <t>IC-12239</t>
  </si>
  <si>
    <t>Fact#: 341575 Rec#: 14911 TRIVINO BARONA GEORGE XAVIER</t>
  </si>
  <si>
    <t>IC-12238</t>
  </si>
  <si>
    <t>N/D PACIFICO ANTICIPO A FACTURA DE OCT POR HONORARIOS A PABLO BAQUERIZO DAVILA</t>
  </si>
  <si>
    <t>N/D PACIFICO PAGO DE FONDOS DE RESERVA MES DE SEP 2020</t>
  </si>
  <si>
    <t>Fact#: 342858 Rec#: 31411 SOLVESA  ECUADOR S.A</t>
  </si>
  <si>
    <t>IC-12258</t>
  </si>
  <si>
    <t>Fact#: 342861 Rec#: 31410 LG ELECTRONICS PANAMA S.A</t>
  </si>
  <si>
    <t>IC-12256</t>
  </si>
  <si>
    <t>Fact#: 338025-341015 Rec#: 31407 DURAN POLIT MARIA DANIELLA</t>
  </si>
  <si>
    <t>IC-12249</t>
  </si>
  <si>
    <t>Fact#: 333876-336822-339833 Rec#: 31406 LORENA VANONI ARMIJOS</t>
  </si>
  <si>
    <t>IC-12248</t>
  </si>
  <si>
    <t>Fact#: 340439 Rec#: 14910 CESAR ORLANDO VALLEJO VERA</t>
  </si>
  <si>
    <t>IC-12237</t>
  </si>
  <si>
    <t>Fact#: 2341-2565-2877 Rec#: 14909 RODRIGUEZ GUEVARA MARIA AUGUSTA</t>
  </si>
  <si>
    <t>IC-12236</t>
  </si>
  <si>
    <t>Fact#: 340023 Rec#: 14908 PATRICIA ALEXANDRA  COBOS JARA</t>
  </si>
  <si>
    <t>IC-12235</t>
  </si>
  <si>
    <t>Fact#: 321669-324419-327199-329969-332829-335754-338699-341693 Rec#: 14907 MITE VERGARA EDISON CLAUDIO</t>
  </si>
  <si>
    <t>IC-12234</t>
  </si>
  <si>
    <t>Fact#: 341769 Rec#: 14906 VARGAS PARRALES CARLOS JORGE</t>
  </si>
  <si>
    <t>IC-12233</t>
  </si>
  <si>
    <t>Fact#: 332153-335068-338010-341000 Rec#: 14905 CHICHANDE DIAZ LUIS ENRIQUE</t>
  </si>
  <si>
    <t>IC-12232</t>
  </si>
  <si>
    <t>Fact#: 342086 Rec#: 14904 MONTEALEGRE PEDRO JOAQUIN</t>
  </si>
  <si>
    <t>IC-12231</t>
  </si>
  <si>
    <t>Fact#: 341136 Rec#: 14903 VALLE GONZALEZ LIDIA ELIZABETH</t>
  </si>
  <si>
    <t>IC-12230</t>
  </si>
  <si>
    <t>Fact#: 337541-340533 Rec#: 14902 MAYRA MARIELA MORAN MOREIRA</t>
  </si>
  <si>
    <t>IC-12229</t>
  </si>
  <si>
    <t>Fact#: 2704 Rec#: 14901 ZABALA BARRIONUEVO RITA CECILIA</t>
  </si>
  <si>
    <t>IC-12228</t>
  </si>
  <si>
    <t>Fact#: 331008-333923-336869-339880 Rec#: 14900 MELVA PATRICIA TORRES ALMEIDA</t>
  </si>
  <si>
    <t>IC-12227</t>
  </si>
  <si>
    <t>Fact#: 341151 Rec#: 14899 RIVADENEIRA SACON GRACE ALEXANDRA</t>
  </si>
  <si>
    <t>IC-12226</t>
  </si>
  <si>
    <t>Fact#: 338573-341565 Rec#: 14898 PITA PENAFIEL ALISON CAROLINA</t>
  </si>
  <si>
    <t>IC-12225</t>
  </si>
  <si>
    <t>Fact#: 341914 Rec#: 14897 MORENO TELLO CELI DURINDANA</t>
  </si>
  <si>
    <t>IC-12224</t>
  </si>
  <si>
    <t>N/D PACIFICO ROLES DE PAGO 1ERA QUINCENA MES DE OCTUBRE 2020</t>
  </si>
  <si>
    <t>Fact#: 340428 Rec#: 31412 ANTHONY GABRIEL CEVALLOS FIGUEROA</t>
  </si>
  <si>
    <t>IC-12259</t>
  </si>
  <si>
    <t>Fact#: 332549-335472-338414-341406 Rec#: 14896 GUADALUPE REMACHE SILVIA FABIOLA</t>
  </si>
  <si>
    <t>IC-12211</t>
  </si>
  <si>
    <t>Fact#: 335919-338864-341859 Rec#: 14895 PONCE BURGOS NORMA ISABEL</t>
  </si>
  <si>
    <t>IC-12210</t>
  </si>
  <si>
    <t>Fact#: 341860 Rec#: 14894 PONCE BURGOS NORMA ISABEL</t>
  </si>
  <si>
    <t>IC-12209</t>
  </si>
  <si>
    <t>Fact#: 342244 Rec#: 14893 LAINEZ FRANCO MILDRED BETSABE</t>
  </si>
  <si>
    <t>IC-12208</t>
  </si>
  <si>
    <t>Fact#: 335986-338932-341928 Rec#: 14892 AYLLON LOOR ANGGYE LORENA</t>
  </si>
  <si>
    <t>IC-12207</t>
  </si>
  <si>
    <t>Fact#: 335674-338617-341609 Rec#: 14891 CHALEN LOOR JHONNY ALEXANDER</t>
  </si>
  <si>
    <t>IC-12206</t>
  </si>
  <si>
    <t>Fact#: 337984-340974 Rec#: 14890 CAZAR ERAZO RODRIGO ARTURO</t>
  </si>
  <si>
    <t>IC-12205</t>
  </si>
  <si>
    <t>Fact#: 335070-338012-341002 Rec#: 14889 SARMIENTO SARMIENTO JULIO RODRIGO</t>
  </si>
  <si>
    <t>IC-12204</t>
  </si>
  <si>
    <t>Fact#: 341677 Rec#: 14888 CORTEZ CANTOS  PEDRO PABLO</t>
  </si>
  <si>
    <t>IC-12203</t>
  </si>
  <si>
    <t>Fact#: 2644 Rec#: 14887 CRUZ SANTANA MARCOS BOLIVAR</t>
  </si>
  <si>
    <t>IC-12202</t>
  </si>
  <si>
    <t>Fact#: 335882-338827-341822 Rec#: 14886 HERRERA LOOR GUILLERMO NILBERTO</t>
  </si>
  <si>
    <t>IC-12201</t>
  </si>
  <si>
    <t>Fact#: 2469-2701 Rec#: 14885 PAREDES PEREZ GUSTAVO XAVIER</t>
  </si>
  <si>
    <t>IC-12200</t>
  </si>
  <si>
    <t>Fact#: 324579-327361-330132-332992-335916-338861-341856 Rec#: 14884 PRIETO MOLINA ALLAN JOAO</t>
  </si>
  <si>
    <t>IC-12199</t>
  </si>
  <si>
    <t>Fact#: 341088 Rec#: 14883 RUIZ SOLANO KELVIL ORLANDO</t>
  </si>
  <si>
    <t>IC-12198</t>
  </si>
  <si>
    <t>Fact#: 338731-341725 Rec#: 14882 SAQUICELA SORIA MARCELO ALEJANDRO</t>
  </si>
  <si>
    <t>IC-12197</t>
  </si>
  <si>
    <t>Fact#: 340337 Rec#: 14881 CARLOS WELLINGTON CHOEZ VERA</t>
  </si>
  <si>
    <t>IC-12196</t>
  </si>
  <si>
    <t>Fact#: 342995 Rec#: 31405 CHRISTIAN JAVIER MIDEROS ROMERO</t>
  </si>
  <si>
    <t>IC-12195</t>
  </si>
  <si>
    <t>Fact#: 339842 Rec#: 31404 JORGE ALFREDO FRANCO MORAN</t>
  </si>
  <si>
    <t>IC-12194</t>
  </si>
  <si>
    <t>Fact#: 337007-339998 Rec#: 31403 HAYDEE GANDIOSA  FALUGIANI MORA</t>
  </si>
  <si>
    <t>IC-12193</t>
  </si>
  <si>
    <t>Fact#: 342975 Rec#: 31402 ELECTROMOOM S.A.</t>
  </si>
  <si>
    <t>IC-12192</t>
  </si>
  <si>
    <t>SANDRA PATRICIA MOREJON LLANOS CANCELA TELEFONO 3945486 ABONA SGTE FACTURA</t>
  </si>
  <si>
    <t>AT-3114</t>
  </si>
  <si>
    <t>Fact#: 336934-339933 Rec#: 14880 ELSIE RUTH  ZERDA BARRENO</t>
  </si>
  <si>
    <t>IC-12163</t>
  </si>
  <si>
    <t>Fact#: 335627-338570-341562 Rec#: 14879 MARIN CESAR EDUARDO</t>
  </si>
  <si>
    <t>IC-12162</t>
  </si>
  <si>
    <t>Fact#: 328303-331124-334037-336977-339975 Rec#: 14878 BETTY EUVENIA ACOSTA CAJAPE</t>
  </si>
  <si>
    <t>IC-12161</t>
  </si>
  <si>
    <t>Fact#: 335101-338044-341035 Rec#: 14877 COROZO CORTEZ VICTOR LELY</t>
  </si>
  <si>
    <t>IC-12160</t>
  </si>
  <si>
    <t>Fact#: 341166 Rec#: 14876 MONTOYA RENDON GUSTAVO ADOLFO</t>
  </si>
  <si>
    <t>IC-12159</t>
  </si>
  <si>
    <t>Fact#: 339920 Rec#: 31401 FREDDY MAURICIO SARANGO MARTINEZ</t>
  </si>
  <si>
    <t>IC-12158</t>
  </si>
  <si>
    <t>Fact#: 341093 Rec#: 31400 GONZALEZ SANCHEZ CESAR IVAN</t>
  </si>
  <si>
    <t>IC-12157</t>
  </si>
  <si>
    <t>Fact#: 342955 Rec#: 31399 STEVEN MICHAEL RAMOS MEZA</t>
  </si>
  <si>
    <t>IC-12156</t>
  </si>
  <si>
    <t>Fact#: 339407 Rec#: 31398 STEVEN MICHAEL RAMOS MEZA</t>
  </si>
  <si>
    <t>IC-12155</t>
  </si>
  <si>
    <t>LUIS ENRIQUE APOLINARIO ROJAS CANCELA TELEFONO 3902256 ABONA SGTE FACTURA, PAGO WETSERN UNION</t>
  </si>
  <si>
    <t>AT-3113</t>
  </si>
  <si>
    <t>N/D PACIFICO CANCELACION FACTURA#69782324 PLAN CORP. FACTURA#219473 CUOTA 4/24 OTECEL S.A.</t>
  </si>
  <si>
    <t>N/D PACIFICO PAGO DE PLLAS. IESS NORMALES MES DE SEP 2020, COMP#134578368 A PABLO BAQUERIZO DAVILA</t>
  </si>
  <si>
    <t>N/D PACIFICO PAGO PLLAS. IESS FONDOS DE RESERVA MES DE SEP 2020, COMP#</t>
  </si>
  <si>
    <t>N/D PACIFICO PAGO PLLAS. IESS AJUSTES MES DE SEP 2020, COMP#134567914</t>
  </si>
  <si>
    <t>N/D PACIFICO PAGO PLLAS. IESS PREST. QUIROGRAFARIO MES SEP 2020, COMP#31604698</t>
  </si>
  <si>
    <t>N/D PACIFICO PAGO PLLAS. PREST. HIPOTECARIO MES DE SEP 2020, COMP#9432858</t>
  </si>
  <si>
    <t>N/D PACIFICO PAGO PLLAS. IESS NORMALES MES DE SEP 2020, COMP#134567841</t>
  </si>
  <si>
    <t>Fact#: 342167 Rec#: 31432 JARAMILLO JALON JOSE GABRIEL</t>
  </si>
  <si>
    <t>IC-12355</t>
  </si>
  <si>
    <t>Fact#: 334837-337777-340769 Rec#: 31396 TENENUELA CEPEDA MARIA MANUELA</t>
  </si>
  <si>
    <t>IC-12054</t>
  </si>
  <si>
    <t>Fact#: 343255 Rec#: 31395 CASGUZ S A CASA GUZMAN</t>
  </si>
  <si>
    <t>IC-12053</t>
  </si>
  <si>
    <t>Fact#: 343090 Rec#: 31394 CASGUZ S A CASA GUZMAN</t>
  </si>
  <si>
    <t>IC-12052</t>
  </si>
  <si>
    <t>Fact#: 339924 Rec#: 31393 ALVARO CORNEJO RODRIGUEZ</t>
  </si>
  <si>
    <t>IC-12051</t>
  </si>
  <si>
    <t>Fact#: 341032 Rec#: 31392 SOXO QUICHIMBO IVONNE ALEXANDRA</t>
  </si>
  <si>
    <t>IC-12050</t>
  </si>
  <si>
    <t>Fact#: 335685-338628-341621 Rec#: 14875 CASTRO BARZOLA KEVIN JONATHAN</t>
  </si>
  <si>
    <t>IC-12049</t>
  </si>
  <si>
    <t>Fact#: 2724 Rec#: 14874 GUERRERO CASTRO ROSA ELVIRA</t>
  </si>
  <si>
    <t>IC-12048</t>
  </si>
  <si>
    <t>Fact#: 339087-342083 Rec#: 14873 LLERAS EVARISTO RAFAEL GUSTAVO</t>
  </si>
  <si>
    <t>IC-12047</t>
  </si>
  <si>
    <t>Fact#: 342318 Rec#: 14872 DOROTHY VIRGINIA ALBAN CANEPA</t>
  </si>
  <si>
    <t>IC-12046</t>
  </si>
  <si>
    <t>Fact#: 338567-341559 Rec#: 14871 INFANTE MINDIOLA JULIA MARLENE</t>
  </si>
  <si>
    <t>IC-12045</t>
  </si>
  <si>
    <t>Fact#: 340538 Rec#: 14870 EDUARDO CAMPOSANO ULLOA</t>
  </si>
  <si>
    <t>IC-12044</t>
  </si>
  <si>
    <t>Fact#: 338706-341700 Rec#: 14869 MACAS VERA CARLOS ERNESTO</t>
  </si>
  <si>
    <t>IC-12043</t>
  </si>
  <si>
    <t>Fact#: 342978 Rec#: 14868 FILUS S.A</t>
  </si>
  <si>
    <t>IC-12042</t>
  </si>
  <si>
    <t>Fact#: 342977 Rec#: 14867 FILUS S.A</t>
  </si>
  <si>
    <t>IC-12041</t>
  </si>
  <si>
    <t>Fact#: 2656 Rec#: 14866 ZAMBRANO OLMEDO VERONICA PATRICIA</t>
  </si>
  <si>
    <t>IC-12040</t>
  </si>
  <si>
    <t>N/D PACIFICO CANCELACION FACTURA#157807892 CNT EP</t>
  </si>
  <si>
    <t>N/D PACIFICO CANCELACION FACTURA#2641247 CNEL EP</t>
  </si>
  <si>
    <t>N/D PACIFICO TRANSFERENCIA A SUPERINTENDENCIA DE COMPAÑÍA POR  CONTRIBUCION AÑO 2020</t>
  </si>
  <si>
    <t>Fact#: 343308 Rec#: 31390 EMPRESA PUBLICA MUNICIPAL PARA LA GESTIÓN DE LA INNOVACIÓN  Y LA COMPETITIVIDAD, EP</t>
  </si>
  <si>
    <t>IC-12032</t>
  </si>
  <si>
    <t>Fact#: 341395 Rec#: 31385 VILLON SORIANO DIOSELINA SOLEDAD</t>
  </si>
  <si>
    <t>IC-12021</t>
  </si>
  <si>
    <t>Fact#: 339993 Rec#: 31384 CARMEN NARCISA  JURADO PAREDES</t>
  </si>
  <si>
    <t>IC-12020</t>
  </si>
  <si>
    <t>Fact#: 340082 Rec#: 31383 VILLAO JURADO ANDREA BELEN</t>
  </si>
  <si>
    <t>IC-12019</t>
  </si>
  <si>
    <t>Fact#: 340603 Rec#: 31382 XAVIER ALFREDO ZANABRIA VILLAMAR</t>
  </si>
  <si>
    <t>IC-12018</t>
  </si>
  <si>
    <t>Fact#: 343015 Rec#: 31381 JORGE ARTURO ZANABRIA VILLAMAR</t>
  </si>
  <si>
    <t>IC-12017</t>
  </si>
  <si>
    <t>Fact#: 330629-333519-336468-339466-343014 Rec#: 31380 EDGAR MARCELO MERA VASQUEZ</t>
  </si>
  <si>
    <t>IC-12016</t>
  </si>
  <si>
    <t>Fact#: 343148 Rec#: 31379 SERVICIO &amp; MANTENIMIENTO INDUSTRIAL MANSEINSAJAB S.A</t>
  </si>
  <si>
    <t>IC-12015</t>
  </si>
  <si>
    <t>Fact#: 337797-340788 Rec#: 31378 RUIZ VELEZ LIBIA KARINA</t>
  </si>
  <si>
    <t>IC-12014</t>
  </si>
  <si>
    <t>Fact#: 337583-340574 Rec#: 31377 LIGIA AZUCENA ARTEAGA VALENZUELA</t>
  </si>
  <si>
    <t>IC-12013</t>
  </si>
  <si>
    <t>Fact#: 342033 Rec#: 31376 CASTRO ESPINALES LUCELINA PRIMITIVA</t>
  </si>
  <si>
    <t>IC-12012</t>
  </si>
  <si>
    <t>Fact#: 341303 Rec#: 14865 MARTINEZ DAVILA YINET</t>
  </si>
  <si>
    <t>IC-12011</t>
  </si>
  <si>
    <t>Fact#: 337450-340442 Rec#: 14864 CECILIA ISABEL PORTILLA ESPINOZA</t>
  </si>
  <si>
    <t>IC-12010</t>
  </si>
  <si>
    <t>Fact#: 341702 Rec#: 14863 GUAMANQUISPE FLORES ESPERANZA ANTONIETA</t>
  </si>
  <si>
    <t>IC-12009</t>
  </si>
  <si>
    <t>Fact#: 336025-338971-341966 Rec#: 14862 MORAN MOSQUERA JORGE RAMON</t>
  </si>
  <si>
    <t>IC-12008</t>
  </si>
  <si>
    <t>Fact#: 341462 Rec#: 14861 FERNANDEZ ZAMBRANO ELSA VIOLETA</t>
  </si>
  <si>
    <t>IC-12007</t>
  </si>
  <si>
    <t>Fact#: 342321 Rec#: 14860 LOPEZ ORTEGA ROMMY KARINA</t>
  </si>
  <si>
    <t>IC-12006</t>
  </si>
  <si>
    <t>Fact#: 340631 Rec#: 14859 ALEXANDRA JACKELINE SANCHEZ ZAMBRANO</t>
  </si>
  <si>
    <t>IC-12005</t>
  </si>
  <si>
    <t>Fact#: 323763-326532-329296-332140-335055-337997-340987 Rec#: 14858 MENDEZ ROSALES GIOCONDA EREUTEIDA</t>
  </si>
  <si>
    <t>IC-12004</t>
  </si>
  <si>
    <t>Fact#: 334376-337310-340301 Rec#: 14857 ERICK LUIS GARCIA CONTRERAS</t>
  </si>
  <si>
    <t>IC-12003</t>
  </si>
  <si>
    <t>Fact#: 324379-327158-329928-332787-335711-338655-341649 Rec#: 14856 GUARANDA SALAZAR MILTON JUAN</t>
  </si>
  <si>
    <t>IC-12002</t>
  </si>
  <si>
    <t>Fact#: 340416 Rec#: 14855 CORA MARGARITA ROCIO GALLARDO CRUSELLAS</t>
  </si>
  <si>
    <t>IC-12001</t>
  </si>
  <si>
    <t>Fact#: 322311-325069-327836-330640-333530-336478-339475-343023 Rec#: 14854 JOMALUNKA S.A</t>
  </si>
  <si>
    <t>IC-12000</t>
  </si>
  <si>
    <t>Fact#: 320391-323146-325909-328659-331488-334401-337336-340327 Rec#: 14853 GRACE JUANA CRUZ CHIPRE</t>
  </si>
  <si>
    <t>IC-11999</t>
  </si>
  <si>
    <t>Fact#: 337529-340521 Rec#: 14852 NANCY ESTHELA SANCHEZ</t>
  </si>
  <si>
    <t>IC-11998</t>
  </si>
  <si>
    <t>Fact#: 338225-341216 Rec#: 14851 RUIZ JORDAN TERESA DE JESUS</t>
  </si>
  <si>
    <t>IC-11997</t>
  </si>
  <si>
    <t>Fact#: 334813-337753-340745 Rec#: 14850 YAGUAL GOMEZ JOHAN ALEJANDRO</t>
  </si>
  <si>
    <t>IC-11996</t>
  </si>
  <si>
    <t>Fact#: 340746 Rec#: 14849 GONZALEZ MELLA CRISTIAN ALEJANDRO</t>
  </si>
  <si>
    <t>IC-11969</t>
  </si>
  <si>
    <t>Fact#: 338329-341321 Rec#: 14848 SEGOVIA TOMALA DENNIS ABEL</t>
  </si>
  <si>
    <t>IC-11968</t>
  </si>
  <si>
    <t>Fact#: 333583-336529-339525-343071 Rec#: 14847 SANCHEZ TIMM RAFAEL ANDRES</t>
  </si>
  <si>
    <t>IC-11967</t>
  </si>
  <si>
    <t>Fact#: 323445-326211-328969-331807-334720-337659-340651 Rec#: 14846 ANDRES GONZALO CELI PEREZ</t>
  </si>
  <si>
    <t>IC-11966</t>
  </si>
  <si>
    <t>Fact#: 340811 Rec#: 14845 VASQUEZ AYALA MARIA DE LOURDES</t>
  </si>
  <si>
    <t>IC-11965</t>
  </si>
  <si>
    <t>Fact#: 340844 Rec#: 14844 CABEZA BENITEZ MONSERRATE FATIMA</t>
  </si>
  <si>
    <t>IC-11964</t>
  </si>
  <si>
    <t>Fact#: 2870 Rec#: 31389 CABEZAS GUERRA MARIA DEL CARMEN</t>
  </si>
  <si>
    <t>IC-12031</t>
  </si>
  <si>
    <t>Fact#: 329556-332407-335328-338270-341262 Rec#: 14843 MINA MONTANO JUVER RUBEN</t>
  </si>
  <si>
    <t>IC-11963</t>
  </si>
  <si>
    <t>Fact#: 339857 Rec#: 14842 EDDA GLADYS PARRALES GOMEZ</t>
  </si>
  <si>
    <t>IC-11962</t>
  </si>
  <si>
    <t>Fact#: 340835 Rec#: 14841 PINO MATAMOROS GALO EFRAIN</t>
  </si>
  <si>
    <t>IC-11961</t>
  </si>
  <si>
    <t>Fact#: 340459 Rec#: 14840 JAVIER FEDERICO VILLON ANASTACIO</t>
  </si>
  <si>
    <t>IC-11960</t>
  </si>
  <si>
    <t>Fact#: 340771 Rec#: 14839 ORTIZ CARRILLO ROBERTO JAVIER</t>
  </si>
  <si>
    <t>IC-11959</t>
  </si>
  <si>
    <t>Fact#: 2718 Rec#: 14838 GUTIERREZ ALVAREZ TERESA EUGENIA</t>
  </si>
  <si>
    <t>IC-11958</t>
  </si>
  <si>
    <t>Fact#: 339058-342054 Rec#: 14837 CABRERA SOLORZANO NELSON CATITO</t>
  </si>
  <si>
    <t>IC-11957</t>
  </si>
  <si>
    <t>Fact#: 343318 Rec#: 31364 SERVICIO DE OFICINA COMPUTARIZADO SEROFICOM S.A.</t>
  </si>
  <si>
    <t>IC-12121</t>
  </si>
  <si>
    <t>Fact#: 343219 Rec#: 14834 SOLIS REYES OMAR MICHAEL</t>
  </si>
  <si>
    <t>IC-12117</t>
  </si>
  <si>
    <t>Fact#: 343054 Rec#: 31370 CIPORT &amp; TECNAC CIPTE C.L</t>
  </si>
  <si>
    <t>IC-12112</t>
  </si>
  <si>
    <t>Fact#: 343346 Rec#: 14829 IMPORT &amp; EXPORT BRAMBILLA CARRENO S.A. IMEXBRAMCAR</t>
  </si>
  <si>
    <t>IC-12111</t>
  </si>
  <si>
    <t>Fact#: 341731 Rec#: 31388 ARANA BARROS AMBAR GEOVANA</t>
  </si>
  <si>
    <t>IC-12030</t>
  </si>
  <si>
    <t>Fact#: 339396 Rec#: 31387 YARECUADOR CIA. LTDA</t>
  </si>
  <si>
    <t>IC-12029</t>
  </si>
  <si>
    <t>Fact#: 331019-333933-336877-339886 Rec#: 31386 LUIS EDUARDO BAQUERIZO BRAND</t>
  </si>
  <si>
    <t>IC-12028</t>
  </si>
  <si>
    <t>Fact#: 337014-340005 Rec#: 31366 VICENTE  IMAICELA ROSILLO</t>
  </si>
  <si>
    <t>IC-11919</t>
  </si>
  <si>
    <t>Fact#: 341476 Rec#: 31365 TAFUR MOSQUERA AMPARO JACQUELINE</t>
  </si>
  <si>
    <t>IC-11918</t>
  </si>
  <si>
    <t>Fact#: 341192 Rec#: 31363 DUARTE DEMERA FRANCISCO JAVIER</t>
  </si>
  <si>
    <t>IC-11916</t>
  </si>
  <si>
    <t>Fact#: 339934 Rec#: 31362 MARTHA CECILIA  SANTOS BERMUDEZ</t>
  </si>
  <si>
    <t>IC-11915</t>
  </si>
  <si>
    <t>Fact#: 332341-335261-338205-341196 Rec#: 14836 ESCOBAR HERRERA EDISON EDUARDO</t>
  </si>
  <si>
    <t>IC-11912</t>
  </si>
  <si>
    <t>Fact#: 341670 Rec#: 14835 CHUCA CHANCAY ANDREA BETZABETH</t>
  </si>
  <si>
    <t>IC-11911</t>
  </si>
  <si>
    <t>Fact#: 340693 Rec#: 14833 JOSE ANTONIO CABEZAS BURGOS</t>
  </si>
  <si>
    <t>IC-11909</t>
  </si>
  <si>
    <t>Fact#: 341960 Rec#: 14832 LEON GARCIA MARCELA VERONICA</t>
  </si>
  <si>
    <t>IC-11908</t>
  </si>
  <si>
    <t>Fact#: 333149-336075-339021-342016 Rec#: 14831 JOSE ANTONIO  DIAZ ACOSTA</t>
  </si>
  <si>
    <t>IC-11907</t>
  </si>
  <si>
    <t>Fact#: 334650-337589-340580 Rec#: 14830 SARA DEL CONSUELO OCHOA VELASCO</t>
  </si>
  <si>
    <t>IC-11906</t>
  </si>
  <si>
    <t>Fact#: 337316-340307 Rec#: 14828 WILLINGTON HUGO ROSALES MEDINA</t>
  </si>
  <si>
    <t>IC-11904</t>
  </si>
  <si>
    <t>Fact#: 341521 Rec#: 14827 FLORES GORDILLO LUIS EDUARDO</t>
  </si>
  <si>
    <t>IC-11903</t>
  </si>
  <si>
    <t>Fact#: 340147 Rec#: 14826 CESAR AUGUSTO BAQUERIZO AROSEMENA</t>
  </si>
  <si>
    <t>IC-11902</t>
  </si>
  <si>
    <t>OPENGROUP S.A. ABONA FACT MES SEPTIEMBRE, BCO PACIFICO POR TRANSFERENCIA #DOC 1641</t>
  </si>
  <si>
    <t>AT-3111</t>
  </si>
  <si>
    <t>AMERICAN EXPRESS CANCELACION DEBITO TARJETAS GUAYAQUIL- PAGO DE FACT 340174- 340613- 340792- 343136- 343139- 341173- 341539- 341696- 341848- 341927- 342052- 341935- 341625- 341842- 341978- 343303- 342265 POR DEP EN CTA #DOC 1945</t>
  </si>
  <si>
    <t>VISA - MASTERCARD - PACIFICARD CANCELACION DEBITO TARJETAS GUAYAQUIL- PAGO DE FACT 340141- 342902- 340186- 340506- 342991- 342992- 343002-340780-340517- 341683- 2694- 341516- 342263- 342249</t>
  </si>
  <si>
    <t>Fact#: 2914 Rec#: 31372 HERRERA CIFUENTES ESTUARDO WLADIMIR</t>
  </si>
  <si>
    <t>IC-12120</t>
  </si>
  <si>
    <t>Fact#: 343271-343272 Rec#: 31371 TOPFOOD CIA. LTDA.</t>
  </si>
  <si>
    <t>IC-12119</t>
  </si>
  <si>
    <t>Fact#: 343263 Rec#: 14824 BRODERIN S.A</t>
  </si>
  <si>
    <t>IC-12118</t>
  </si>
  <si>
    <t>Fact#: 339792-343335 Rec#: 14813 ASISTENCA TECNICA INDUSTRIAL ATEIND S.A.</t>
  </si>
  <si>
    <t>IC-12116</t>
  </si>
  <si>
    <t>Fact#: 323333-326098-328852-331686 Rec#: 31375 RODDY RAINER RAMIREZ ROJAS</t>
  </si>
  <si>
    <t>IC-11953</t>
  </si>
  <si>
    <t>Fact#: 339838 Rec#: 31373 KATHERINE MALENA CHILUIZA GARCIA</t>
  </si>
  <si>
    <t>IC-11949</t>
  </si>
  <si>
    <t>Fact#: 2632 Rec#: 31361 GUATEMAL COLIMBA JUAN BAUTISTA</t>
  </si>
  <si>
    <t>IC-11914</t>
  </si>
  <si>
    <t>Fact#: 340040 Rec#: 31360 RIOS ORELLANA INGRID DE LA CRUZ</t>
  </si>
  <si>
    <t>IC-11913</t>
  </si>
  <si>
    <t>Fact#: 340544 Rec#: 14825 MOISES ROBERTO FRANCO ANDRADE</t>
  </si>
  <si>
    <t>IC-11901</t>
  </si>
  <si>
    <t>Fact#: 332271-335188-338132-341123 Rec#: 14823 ROMERO LOPEZ ANDRES ROBERTO</t>
  </si>
  <si>
    <t>IC-11899</t>
  </si>
  <si>
    <t>Fact#: 317727-320467-323223-325988-328740-331569-334482-337419-340410 Rec#: 14822 CHRISTIAN DAVID REATEGUI BURNEO</t>
  </si>
  <si>
    <t>IC-11898</t>
  </si>
  <si>
    <t>Fact#: 341981 Rec#: 14821 CARPIO PORTILLA RAUL MOISES</t>
  </si>
  <si>
    <t>IC-11897</t>
  </si>
  <si>
    <t>Fact#: 337613-340604 Rec#: 14820 CARLOS RAUL CARPIO FREIRE</t>
  </si>
  <si>
    <t>IC-11896</t>
  </si>
  <si>
    <t>Fact#: 340296 Rec#: 14819 JONATHAN XAVIER RIVAS FIGUEROA</t>
  </si>
  <si>
    <t>IC-11895</t>
  </si>
  <si>
    <t>Fact#: 2658 Rec#: 14818 SILVA REA OLIVO AMADO</t>
  </si>
  <si>
    <t>IC-11894</t>
  </si>
  <si>
    <t>Fact#: 340717 Rec#: 14817 PRECIADO MOREIRA GABRIELA STEFANIA</t>
  </si>
  <si>
    <t>IC-11893</t>
  </si>
  <si>
    <t>Fact#: 331455-334368-337302-340293 Rec#: 14816 MAGALY BETSABETH NAVARRETE LOOR</t>
  </si>
  <si>
    <t>IC-11892</t>
  </si>
  <si>
    <t>Fact#: 2213-2435-2666 Rec#: 14815 TIO ALVAREZ ADRIAN</t>
  </si>
  <si>
    <t>IC-11891</t>
  </si>
  <si>
    <t>Fact#: 333443-336392-339390 Rec#: 14814 INDUSTRIA COLOMBO ECUATORIANA DE CARROCERIAS CARCE</t>
  </si>
  <si>
    <t>IC-11890</t>
  </si>
  <si>
    <t>Fact#: 341307 Rec#: 14812 SALAZAR TELLO NICOLAS EDUARDO</t>
  </si>
  <si>
    <t>IC-11888</t>
  </si>
  <si>
    <t>Fact#: 341749 Rec#: 14811 CASTRO AGUA MARLON JOSE</t>
  </si>
  <si>
    <t>IC-11880</t>
  </si>
  <si>
    <t>Fact#: 341813 Rec#: 14810 PONCE CARRIEL BRENDA LIZETH</t>
  </si>
  <si>
    <t>IC-11879</t>
  </si>
  <si>
    <t>Fact#: 341310 Rec#: 14809 AVILA ORTIZ GEOVANNY FABRICIO</t>
  </si>
  <si>
    <t>IC-11878</t>
  </si>
  <si>
    <t>Fact#: 338229-341220 Rec#: 14808 INTRIAGO GANCHOZO ANGELA MERCEDES</t>
  </si>
  <si>
    <t>IC-11877</t>
  </si>
  <si>
    <t>Fact#: 323648-326418-329181-332021-334935-337876-340867 Rec#: 14807 HOLGUIN SUAREZ NELSON AMADOR</t>
  </si>
  <si>
    <t>IC-11876</t>
  </si>
  <si>
    <t>Fact#: 340311 Rec#: 14806 ULISES MARTIN VARGAS FIGUEROA</t>
  </si>
  <si>
    <t>IC-11875</t>
  </si>
  <si>
    <t>CONSTRU-YA S.A. ABONA SGTE FACTURA, BCO PACIFICO POR TRANSFERENCIA #DOC 1641</t>
  </si>
  <si>
    <t>AT-3107</t>
  </si>
  <si>
    <t>CENTRO CARDIOLOGICO PREVENCARDIO CIA. LTDA. CNACELA TELEFONO 3902319 ABONA SGTE FACTURA</t>
  </si>
  <si>
    <t>AT-3104</t>
  </si>
  <si>
    <t>Fact#: 324909-327678-330480-333374-336324-339326-342874 Rec#: 31464 REDENLACE S.A.</t>
  </si>
  <si>
    <t>IC-12523</t>
  </si>
  <si>
    <t>Fact#: 343174 Rec#: 31359 GENERALAIR S. A</t>
  </si>
  <si>
    <t>IC-12110</t>
  </si>
  <si>
    <t>Fact#: 342839 Rec#: 31355 ASOC. DE PROPIETARIOS URB. VIA AL SOL</t>
  </si>
  <si>
    <t>IC-12109</t>
  </si>
  <si>
    <t>Fact#: 322263-325023-327791-330593-333484-336433-339431-342979 Rec#: 31357 WILMER JONAS MEJIA LEON</t>
  </si>
  <si>
    <t>IC-12108</t>
  </si>
  <si>
    <t>Fact#: 323788-326557-329322-332165-335080-338024-341014 Rec#: 14805 REINOSO VASCONEZ RONALD HUMBERTO</t>
  </si>
  <si>
    <t>IC-11874</t>
  </si>
  <si>
    <t>Fact#: 340988 Rec#: 14804 DIAZ CHAMBA WALTER OVIDIO</t>
  </si>
  <si>
    <t>IC-11873</t>
  </si>
  <si>
    <t>Fact#: 341318 Rec#: 14803 JIMA BRAVO  JOSE FLORENCIO</t>
  </si>
  <si>
    <t>IC-11872</t>
  </si>
  <si>
    <t>Fact#: 2641 Rec#: 14802 CADENA CHONTASI OLGA MARIA</t>
  </si>
  <si>
    <t>IC-11871</t>
  </si>
  <si>
    <t>Fact#: 339855 Rec#: 14801 LIDIA JUDITH OJEDA RUIZ</t>
  </si>
  <si>
    <t>IC-11870</t>
  </si>
  <si>
    <t>Fact#: 340836 Rec#: 14800 ZAMBRANO CASTRO JOSE JAIR</t>
  </si>
  <si>
    <t>IC-11869</t>
  </si>
  <si>
    <t>Fact#: 341366 Rec#: 14799 RONQUILLO LOPEZ BIRMANIA NURY</t>
  </si>
  <si>
    <t>IC-11868</t>
  </si>
  <si>
    <t>Fact#: 340494 Rec#: 14798 DAYANNA ANABELL BAQUERIZO AQUINO</t>
  </si>
  <si>
    <t>IC-11867</t>
  </si>
  <si>
    <t>Fact#: 320546-323298-326063-328817-331649-334561-337499-340491 Rec#: 14797 CRISTIAN ALAN PARRALES TUMBACO</t>
  </si>
  <si>
    <t>IC-11866</t>
  </si>
  <si>
    <t>Fact#: 320545-323297-326062-328816-331648-334560-337498-340490 Rec#: 14796 CRISTIAN ALAN PARRALES TUMBACO</t>
  </si>
  <si>
    <t>IC-11865</t>
  </si>
  <si>
    <t>Fact#: 340236 Rec#: 14795 CINDY LORENA BAJAÑA BELTRAN</t>
  </si>
  <si>
    <t>IC-11864</t>
  </si>
  <si>
    <t>Fact#: 2713 Rec#: 14794 ESPIN BIFARINI LOURDES TAMARA</t>
  </si>
  <si>
    <t>IC-11863</t>
  </si>
  <si>
    <t>Fact#: 341563 Rec#: 14793 SARMIENTO VIVEROS ALEXANDRA ELIZABETH</t>
  </si>
  <si>
    <t>IC-11862</t>
  </si>
  <si>
    <t>Fact#: 342260 Rec#: 14792 GONZALEZ BARRERA ANABEL NATALI</t>
  </si>
  <si>
    <t>IC-11861</t>
  </si>
  <si>
    <t>Fact#: 2708 Rec#: 14791 SALINAS GONZALEZ JAIME PATRICIO</t>
  </si>
  <si>
    <t>IC-11860</t>
  </si>
  <si>
    <t>Fact#: 341255 Rec#: 14790 CAICHE ROMERO GRACE SOFIA</t>
  </si>
  <si>
    <t>IC-11859</t>
  </si>
  <si>
    <t>Fact#: 307464-310235-312992 Rec#: 14789 OSTAIZA OSTAIZA ERIK VICENTE</t>
  </si>
  <si>
    <t>IC-11858</t>
  </si>
  <si>
    <t>Fact#: 340919 Rec#: 14788 RUIZ ZAMBRANO JUAN MANUEL</t>
  </si>
  <si>
    <t>IC-11857</t>
  </si>
  <si>
    <t>Fact#: 339379 Rec#: 14787 REFRIGERACIÓN INDUSTRIAL CORNEJO REFRICOR-EC CIA.</t>
  </si>
  <si>
    <t>IC-11856</t>
  </si>
  <si>
    <t>Fact#: 338191-341182 Rec#: 14786 CORTEZ AVILES PEDRO ROGELIO</t>
  </si>
  <si>
    <t>IC-11855</t>
  </si>
  <si>
    <t>Fact#: 340793 Rec#: 14785 ARIAS FLORES ENRIQUE SEBASTIAN</t>
  </si>
  <si>
    <t>IC-11854</t>
  </si>
  <si>
    <t>Fact#: 340351 Rec#: 14784 OMAR JOSSUE GRANIZO HUAYAMAVE</t>
  </si>
  <si>
    <t>IC-11853</t>
  </si>
  <si>
    <t>Fact#: 342261 Rec#: 14783 SORIA LAMAN HARRY SUN</t>
  </si>
  <si>
    <t>IC-11852</t>
  </si>
  <si>
    <t>Fact#: 341975 Rec#: 14782 ALVARADO JALCA JAZMIN ESTHER</t>
  </si>
  <si>
    <t>IC-11851</t>
  </si>
  <si>
    <t>Fact#: 337523-340515 Rec#: 14781 WILMER RIGOBERTO ROMERO ROBLES</t>
  </si>
  <si>
    <t>IC-11850</t>
  </si>
  <si>
    <t>Fact#: 2765 Rec#: 14780 MINDA POZO EDVIN ERNESTO</t>
  </si>
  <si>
    <t>IC-11849</t>
  </si>
  <si>
    <t>Fact#: 338746-341740 Rec#: 14779 FREIRE ANDRADE PAOLA MARIA</t>
  </si>
  <si>
    <t>IC-11831</t>
  </si>
  <si>
    <t>Fact#: 339915 Rec#: 31358 JAVIER MAURICIO RODRIGO ALBAN</t>
  </si>
  <si>
    <t>IC-11829</t>
  </si>
  <si>
    <t>Fact#: 341236 Rec#: 31356 REIMBERG BADUY PETER PAUL</t>
  </si>
  <si>
    <t>IC-11827</t>
  </si>
  <si>
    <t>SOLUCIONES SEGURAS S.A CANCELA FACT SEPTIEMBRE, BCO PACIFICO POR DEP EN CTA #DOC 100776385</t>
  </si>
  <si>
    <t>AT-3112</t>
  </si>
  <si>
    <t>SINERGIA MARIN SANCHEZ S.A. SINERMASA ABONA FACT MES SEPTIEMBRE</t>
  </si>
  <si>
    <t>AT-3106</t>
  </si>
  <si>
    <t>Fact#: 330910-333802-336746-339740-343283 Rec#: 14768 LOPEZ FLOREZ CARLOS RAFAEL</t>
  </si>
  <si>
    <t>IC-13693</t>
  </si>
  <si>
    <t>Fact#: 2887 Rec#: 31350 JIMENEZ BERNAL TANIA BEATRIZ</t>
  </si>
  <si>
    <t>IC-12106</t>
  </si>
  <si>
    <t>Fact#: 342987 Rec#: 14763 FOODSERVEC FOOD SERVICE ECUADOR S.A</t>
  </si>
  <si>
    <t>IC-12104</t>
  </si>
  <si>
    <t>Fact#: 339821 Rec#: 31391 Corporación Nacional de Telecomunicaciones-CNT EP</t>
  </si>
  <si>
    <t>IC-12034</t>
  </si>
  <si>
    <t>Fact#: 324334-327112-329881-332739-335664-338607-341599 Rec#: 31369 ERAZO TIGRERO MARJORIE KATIUSKA</t>
  </si>
  <si>
    <t>IC-11943</t>
  </si>
  <si>
    <t>Fact#: 333916-336862-339873 Rec#: 31368 ARTURO ALFONSO VELASCO TUTIVEN</t>
  </si>
  <si>
    <t>IC-11942</t>
  </si>
  <si>
    <t>Fact#: 339930 Rec#: 31354 OMAR  PALADINES CORDOVA</t>
  </si>
  <si>
    <t>IC-11795</t>
  </si>
  <si>
    <t>Fact#: 341290 Rec#: 31349 RAMOS MARCILLO CATHERINE LISSETTE</t>
  </si>
  <si>
    <t>IC-11727</t>
  </si>
  <si>
    <t>Fact#: 342274 Rec#: 31348 SILVA ESPINOZA CARLOTA ELIZABETH</t>
  </si>
  <si>
    <t>IC-11726</t>
  </si>
  <si>
    <t>Fact#: 342009 Rec#: 31347 SANCHEZ MEDINA FELIX</t>
  </si>
  <si>
    <t>IC-11725</t>
  </si>
  <si>
    <t>Fact#: 340238 Rec#: 31346 MIRIAM ANTONIETA MARIDUEÑA VALENZUELA</t>
  </si>
  <si>
    <t>IC-11724</t>
  </si>
  <si>
    <t>Fact#: 340623 Rec#: 31345 LUIS ENRIQUE APOLINARIO ROJAS</t>
  </si>
  <si>
    <t>IC-11723</t>
  </si>
  <si>
    <t>Fact#: 339858 Rec#: 31344 GIOVANNY NARVAEZ PORTILLA</t>
  </si>
  <si>
    <t>IC-11722</t>
  </si>
  <si>
    <t>Fact#: 339879 Rec#: 31343 KETTY ARACELY GAROFALO LEON</t>
  </si>
  <si>
    <t>IC-11721</t>
  </si>
  <si>
    <t>Fact#: 341124 Rec#: 31342 ESPANA BAJANA STEFANIA ELIZABETH</t>
  </si>
  <si>
    <t>IC-11720</t>
  </si>
  <si>
    <t>Fact#: 341661 Rec#: 14778 BHURANI SUMEET</t>
  </si>
  <si>
    <t>IC-11719</t>
  </si>
  <si>
    <t>Fact#: 340367 Rec#: 14777 ALEXANDER WELLINGTON ALVARADO CARRIEL</t>
  </si>
  <si>
    <t>IC-11718</t>
  </si>
  <si>
    <t>Fact#: 338479-341471 Rec#: 14776 CORDOVA REYES CARLOS HORACIO</t>
  </si>
  <si>
    <t>IC-11717</t>
  </si>
  <si>
    <t>Fact#: 341637 Rec#: 14775 BORBOR MORENO LUIS ANTONIO</t>
  </si>
  <si>
    <t>IC-11716</t>
  </si>
  <si>
    <t>Fact#: 341938 Rec#: 14774 SANCHEZ PEREZ FRANCISCO ROBERTO</t>
  </si>
  <si>
    <t>IC-11715</t>
  </si>
  <si>
    <t>Fact#: 257417-259082-260642 Rec#: 14773 JEXY CECILIA TORRES TORRES</t>
  </si>
  <si>
    <t>IC-11714</t>
  </si>
  <si>
    <t>Fact#: 340761 Rec#: 14772 FREDDY PABLO  ENDARA SAAVEDRA</t>
  </si>
  <si>
    <t>IC-11713</t>
  </si>
  <si>
    <t>Fact#: 340675 Rec#: 14771 NARCISA MIRELLA ANDRADE SALTOS</t>
  </si>
  <si>
    <t>IC-11712</t>
  </si>
  <si>
    <t>Fact#: 340853 Rec#: 14770 MERCHAN  PEREZ FABIAN BERNARDINO</t>
  </si>
  <si>
    <t>IC-11711</t>
  </si>
  <si>
    <t>Fact#: 340377 Rec#: 14769 JAVIER ENRIQUE ARTEAGA MENENDEZ</t>
  </si>
  <si>
    <t>IC-11710</t>
  </si>
  <si>
    <t>Fact#: 292655-295141-297733 Rec#: 14767 LUIS OSWALDO HERRERA HERRERA</t>
  </si>
  <si>
    <t>IC-11708</t>
  </si>
  <si>
    <t>Fact#: 2441-2673 Rec#: 14766 CRUZ JOSE AMABLE</t>
  </si>
  <si>
    <t>IC-11707</t>
  </si>
  <si>
    <t>Fact#: 339964 Rec#: 14765 SANDRA PATRICIA MOREJON LLANOS</t>
  </si>
  <si>
    <t>IC-11706</t>
  </si>
  <si>
    <t>Fact#: 316563-319267 Rec#: 14764 MARIN PAREDES ISRAEL DAVID</t>
  </si>
  <si>
    <t>IC-11705</t>
  </si>
  <si>
    <t>Fact#: 341145 Rec#: 14762 VELASQUEZ POLIT NINA NATASHA</t>
  </si>
  <si>
    <t>IC-11703</t>
  </si>
  <si>
    <t>Fact#: 341496 Rec#: 14761 CABRERA JIMENES FAUSTO IBAN</t>
  </si>
  <si>
    <t>IC-11702</t>
  </si>
  <si>
    <t>Fact#: 341109 Rec#: 14760 ROMAN ALVARADO LILIAN ISIDORA</t>
  </si>
  <si>
    <t>IC-11701</t>
  </si>
  <si>
    <t>Fact#: 318951-321650-324400-327180-329950-332810-335734-338679 Rec#: 14759 ALZAMORA RAMIREZ PEDRO FAUSTO</t>
  </si>
  <si>
    <t>IC-11700</t>
  </si>
  <si>
    <t>Fact#: 332326-335246-338190-341181 Rec#: 14758 CASTILLO PAZMINO ANTHONI AARON</t>
  </si>
  <si>
    <t>IC-11686</t>
  </si>
  <si>
    <t>Fact#: 323692-326462-329225-332066-334980-337923-340913 Rec#: 14757 ARIAS RIVERA SONIA CARMEN</t>
  </si>
  <si>
    <t>IC-11685</t>
  </si>
  <si>
    <t>Fact#: 339117-342112 Rec#: 14756 RIZZO BASTIDAS CECILIA ELIZABETH</t>
  </si>
  <si>
    <t>IC-11684</t>
  </si>
  <si>
    <t>Fact#: 336236-339196-342192 Rec#: 14755 PENA MUENTES MARCELA EDELMIRA</t>
  </si>
  <si>
    <t>IC-11683</t>
  </si>
  <si>
    <t>MARRIOTT S.A CANCELA TELEFONO 3900612 ABONA SGTE FACTURA, BCO PACIFICO POR DEP EN CTA #DOC 100085946</t>
  </si>
  <si>
    <t>AT-3105</t>
  </si>
  <si>
    <t>Fact#: 338903-341899 Rec#: 31353 ROSERO TEJADA RICARDO EMILIO</t>
  </si>
  <si>
    <t>IC-11794</t>
  </si>
  <si>
    <t>Fact#: 341459 Rec#: 14754 GUERRERO RENDON VICTORIA EDITA</t>
  </si>
  <si>
    <t>IC-11682</t>
  </si>
  <si>
    <t>Fact#: 329788-332644-335568-338510-341502 Rec#: 14753 RAMOS PACHAY JOSE MANUEL</t>
  </si>
  <si>
    <t>IC-11681</t>
  </si>
  <si>
    <t>Fact#: 340049 Rec#: 14752 NELIS MARIA PINARGOTE YEPEZ</t>
  </si>
  <si>
    <t>IC-11680</t>
  </si>
  <si>
    <t>Fact#: 341823 Rec#: 14751 PAREDES TORRES ANGELA DEL ROSARIO</t>
  </si>
  <si>
    <t>IC-11679</t>
  </si>
  <si>
    <t>Fact#: 341086 Rec#: 14749 PILAY QUINDE ALEXI ANDRES</t>
  </si>
  <si>
    <t>IC-11677</t>
  </si>
  <si>
    <t>Fact#: 336192-339138-342133 Rec#: 14748 ZAPATA ROMERO ROBERTO DRUVAL</t>
  </si>
  <si>
    <t>IC-11676</t>
  </si>
  <si>
    <t>Fact#: 334322-337256-340247 Rec#: 14747 GINGER LIZBETH GOMEZ CALDERON</t>
  </si>
  <si>
    <t>IC-11675</t>
  </si>
  <si>
    <t>Fact#: 338846-341841 Rec#: 14746 CERCADO MENDOZA MARIA AUXILIADORA</t>
  </si>
  <si>
    <t>IC-11674</t>
  </si>
  <si>
    <t>Fact#: 341066 Rec#: 14745 MENDEZ VILLON CARMEN MARISOL</t>
  </si>
  <si>
    <t>IC-11673</t>
  </si>
  <si>
    <t>Fact#: 340356 Rec#: 14744 PATRICIA IVETTE ANCHUNDIA MESTANZA</t>
  </si>
  <si>
    <t>IC-11672</t>
  </si>
  <si>
    <t>Fact#: 342294 Rec#: 14743 PRIETO VEGA MARTHA MARIA ELIZABETH</t>
  </si>
  <si>
    <t>IC-11671</t>
  </si>
  <si>
    <t>Fact#: 340860 Rec#: 14742 QUIÑONEZ VILLOTA KATTY ELIANA</t>
  </si>
  <si>
    <t>IC-11670</t>
  </si>
  <si>
    <t>Fact#: 340066 Rec#: 14741 ALVARADO PIGUAVE CAROLIN JANET</t>
  </si>
  <si>
    <t>IC-11669</t>
  </si>
  <si>
    <t>Fact#: 341028 Rec#: 14740 VASQUEZ DORA JUAN JOSE</t>
  </si>
  <si>
    <t>IC-11668</t>
  </si>
  <si>
    <t>Fact#: 338985-341980 Rec#: 14739 GALLEGOS VERA ALEX AUGUSTO</t>
  </si>
  <si>
    <t>IC-11667</t>
  </si>
  <si>
    <t>Fact#: 339553-343098 Rec#: 31606 RITOMI S.A.</t>
  </si>
  <si>
    <t>IC-13267</t>
  </si>
  <si>
    <t>Fact#: 343033 Rec#: 31605 RITOMI S.A.</t>
  </si>
  <si>
    <t>IC-13266</t>
  </si>
  <si>
    <t>Fact#: 342845 Rec#: 31603 EFFICACITAS CONSULTORA CIA.LTDA.</t>
  </si>
  <si>
    <t>IC-13265</t>
  </si>
  <si>
    <t>Fact#: 342844 Rec#: 31602 EFFICACITAS CONSULTORA CIA.LTDA.</t>
  </si>
  <si>
    <t>IC-13264</t>
  </si>
  <si>
    <t>Fact#: 346394 Rec#: 31601 TRUJILLO LOPEZ DIANA CAROLINA</t>
  </si>
  <si>
    <t>IC-13263</t>
  </si>
  <si>
    <t>Fact#: 341046 Rec#: 31352 LOGROÑO REYES VICENTE JAVIER</t>
  </si>
  <si>
    <t>IC-11793</t>
  </si>
  <si>
    <t>Fact#: 336814-339820 Rec#: 31351 CONSORCIO ECUATORIANO DE TELECOMUNICACIONES S.A. CONECEL</t>
  </si>
  <si>
    <t>IC-11792</t>
  </si>
  <si>
    <t>Fact#: 323333 Rec#: 31341 RODDY RAINER RAMIREZ ROJAS</t>
  </si>
  <si>
    <t>IC-11574</t>
  </si>
  <si>
    <t>Fact#: 342245 Rec#: 31340 CAGUANA VELESACA NORMA ALEXANDRA</t>
  </si>
  <si>
    <t>IC-11573</t>
  </si>
  <si>
    <t>Fact#: 336129-339075-342071 Rec#: 31339 VELASQUEZ SANTANA NESTOR SIGIFREDO</t>
  </si>
  <si>
    <t>IC-11572</t>
  </si>
  <si>
    <t>Fact#: 341956 Rec#: 31338 VARGAS ZAMBRANO HILDA MARIA</t>
  </si>
  <si>
    <t>IC-11571</t>
  </si>
  <si>
    <t>Fact#: 340194 Rec#: 31337 MANUEL ISAIAS TAPIA LOPEZ</t>
  </si>
  <si>
    <t>IC-11566</t>
  </si>
  <si>
    <t>Fact#: 340808 Rec#: 31336 LOPEZ PALACIOS DANNY CHRISTIAN</t>
  </si>
  <si>
    <t>IC-11565</t>
  </si>
  <si>
    <t>Fact#: 338228-341219 Rec#: 31335 UBILLA MORAN MARIANA JACQUELINE</t>
  </si>
  <si>
    <t>IC-11564</t>
  </si>
  <si>
    <t>Fact#: 341690 Rec#: 31334 CASTAÑEDA RENDON JOFFRE AUGUSTO</t>
  </si>
  <si>
    <t>IC-11563</t>
  </si>
  <si>
    <t>Fact#: 341037 Rec#: 31333 ARIAS SALAZAR KATHERINE JUSETH</t>
  </si>
  <si>
    <t>IC-11562</t>
  </si>
  <si>
    <t>Fact#: 337528-340520 Rec#: 31332 MELCHOR MAURICIO VALENCIA PEREZ</t>
  </si>
  <si>
    <t>IC-11561</t>
  </si>
  <si>
    <t>Fact#: 335716-338661-341655 Rec#: 14738 ZAVALA TORO CRUZ SISIBEL</t>
  </si>
  <si>
    <t>IC-11560</t>
  </si>
  <si>
    <t>Fact#: 341560 Rec#: 14737 PARRALES CABRERA TEOFILO CELESTINO</t>
  </si>
  <si>
    <t>IC-11559</t>
  </si>
  <si>
    <t>Fact#: 340328 Rec#: 14736 CARLOS ENRIQUE TAPIA TAPIA</t>
  </si>
  <si>
    <t>IC-11558</t>
  </si>
  <si>
    <t>Fact#: 341656 Rec#: 14735 LUCAS VALAREZO CRISTINA EVELIN</t>
  </si>
  <si>
    <t>IC-11557</t>
  </si>
  <si>
    <t>Fact#: 341008 Rec#: 14734 YANEZ ARROYO LUIS ALBERTO</t>
  </si>
  <si>
    <t>IC-11556</t>
  </si>
  <si>
    <t>Fact#: 341930 Rec#: 14733 VILLAMAR CARRANZA MARISOL DEL PILAR</t>
  </si>
  <si>
    <t>IC-11555</t>
  </si>
  <si>
    <t>Fact#: 339079-342075 Rec#: 14732 BROCEL LOZANO DIEGO EFRAIN</t>
  </si>
  <si>
    <t>IC-11554</t>
  </si>
  <si>
    <t>Fact#: 332505-335428-338370-341362 Rec#: 14731 CRUZ MONTANO CLAUDIA JOHANNA</t>
  </si>
  <si>
    <t>IC-11553</t>
  </si>
  <si>
    <t>Fact#: 341309 Rec#: 14730 ROMMEL ANTONIO ZAMORA TRIGUERO</t>
  </si>
  <si>
    <t>IC-11552</t>
  </si>
  <si>
    <t>Fact#: 337029-340020 Rec#: 14729 MARIA DEL CARMEN VERA VALVERDE</t>
  </si>
  <si>
    <t>IC-11551</t>
  </si>
  <si>
    <t>Fact#: 340281 Rec#: 14728 UBALDO HELIODORO MOTOCHE MEDINA</t>
  </si>
  <si>
    <t>IC-11550</t>
  </si>
  <si>
    <t>Fact#: 331845-334758-337697-340689 Rec#: 14727 CARLOS GREGORIO HURTADO MOSQUERA</t>
  </si>
  <si>
    <t>IC-11549</t>
  </si>
  <si>
    <t>GILBERT SILVA CECILIA MARIA ABONA SGTE FACTURA</t>
  </si>
  <si>
    <t>AT-3173</t>
  </si>
  <si>
    <t>NIEVES RODRIGUEZ JORGE ELIECER ABONA SGTE FACTURA</t>
  </si>
  <si>
    <t>AT-3172</t>
  </si>
  <si>
    <t>LUIS EDUARDO SANCHEZ TIMM ABONA SGTE FACTURA</t>
  </si>
  <si>
    <t>AT-3171</t>
  </si>
  <si>
    <t>PERALTA BENITEZ ROBERTO ELIAS ABONA SGTE FACTURA</t>
  </si>
  <si>
    <t>AT-3170</t>
  </si>
  <si>
    <t>FAUSTO EDUARDO  CARBO RIVERA ABONA SGTE FACTURA</t>
  </si>
  <si>
    <t>AT-3169</t>
  </si>
  <si>
    <t>CARLOS ADALBERTO SALAVARRIA PALMA ABONA SGTE FACTURA</t>
  </si>
  <si>
    <t>AT-3168</t>
  </si>
  <si>
    <t>ANA LUCRECIA  CABRERA GARCIA ABONA SGTE FACTURA</t>
  </si>
  <si>
    <t>AT-3167</t>
  </si>
  <si>
    <t>UVIDIA SALTOS  CARLOS BOLIVAR ABONA SGTE FACTURA</t>
  </si>
  <si>
    <t>AT-3166</t>
  </si>
  <si>
    <t>GUILLERMO ELOY SERRANO GOMEZ ABONA SGTE FACTURA</t>
  </si>
  <si>
    <t>AT-3165</t>
  </si>
  <si>
    <t>BENEDETI RIPALDA JUAN XAVIER ABONA SGTE FACTURA</t>
  </si>
  <si>
    <t>AT-3164</t>
  </si>
  <si>
    <t>JOSE JOAQUIN OLMEDO CASTELLO ABONA SGTE FACTURA</t>
  </si>
  <si>
    <t>AT-3163</t>
  </si>
  <si>
    <t>JAIRO ALBERTO GOMEZ COELLO ABONA SGTE FACTURA</t>
  </si>
  <si>
    <t>AT-3162</t>
  </si>
  <si>
    <t>PAULA JESUS SALAZAR MACIAS ABONA SGTE FACTURA</t>
  </si>
  <si>
    <t>AT-3161</t>
  </si>
  <si>
    <t>AUTOMEKANO CIA. LTDA ABONA SGTE FACTURA</t>
  </si>
  <si>
    <t>AT-3160</t>
  </si>
  <si>
    <t>ASOC. DE PROPIETARIOS URB. TERRASOL ABONA SGTE FACTURA</t>
  </si>
  <si>
    <t>AT-3159</t>
  </si>
  <si>
    <t>CARLOS BENJAMIN ROSALES PINO ABONA SGTE FACTURA</t>
  </si>
  <si>
    <t>AT-3158</t>
  </si>
  <si>
    <t>LUIS CESAR GAMARRA GONZALES ABONA SGTE FACTURA</t>
  </si>
  <si>
    <t>AT-3157</t>
  </si>
  <si>
    <t>FERNANDO XAVIER DROUET CEDEÑO ABONA SGTE FACTURA</t>
  </si>
  <si>
    <t>AT-3156</t>
  </si>
  <si>
    <t>EFFICACITAS CONSULTORA CIA.LTDA. ABONA SGTE FACTURA</t>
  </si>
  <si>
    <t>AT-3155</t>
  </si>
  <si>
    <t>BELLUSCIO S.A. ABONA SGTE FACTURA</t>
  </si>
  <si>
    <t>AT-3154</t>
  </si>
  <si>
    <t>DUPROCSA S.A. ABONA SGTE FACTURA</t>
  </si>
  <si>
    <t>AT-3153</t>
  </si>
  <si>
    <t>INDUVERIKA S.A. ABONA SGTE FACTURA</t>
  </si>
  <si>
    <t>AT-3152</t>
  </si>
  <si>
    <t>AGUIRRE AGUIRRE BEXY DEL ROCIO ABONA SGTE FACTURA</t>
  </si>
  <si>
    <t>AT-3151</t>
  </si>
  <si>
    <t>SUSANA HERMELINDA ANALUISA HARO ABONA SGTE FACTURA</t>
  </si>
  <si>
    <t>AT-3150</t>
  </si>
  <si>
    <t>VINUEZA GARCIA EDISON EDUARDO ABONA SGTE FACTURA</t>
  </si>
  <si>
    <t>AT-3149</t>
  </si>
  <si>
    <t>GISELLA MARIA YUNES ANDRADE ABONA SGTE FACTURA</t>
  </si>
  <si>
    <t>AT-3148</t>
  </si>
  <si>
    <t>MONICA CRIOLLO SALAZAR ABONA SGTE FACTURA</t>
  </si>
  <si>
    <t>AT-3147</t>
  </si>
  <si>
    <t>ISABEL ROSARIO QUINDE SORIANO ABONA SGTE FACTURA</t>
  </si>
  <si>
    <t>AT-3146</t>
  </si>
  <si>
    <t>GISELLE MARIELA CLEMENTE VERA ABONA SGTE FACTURA</t>
  </si>
  <si>
    <t>AT-3145</t>
  </si>
  <si>
    <t>ZULVY BEDON LAGOS ABONA SGTE FACTURA</t>
  </si>
  <si>
    <t>AT-3144</t>
  </si>
  <si>
    <t>JOSE FRANCISCO  FERNANDEZ   ESPINOZA ABONA SGTE FACTURA</t>
  </si>
  <si>
    <t>AT-3143</t>
  </si>
  <si>
    <t>HERNAN ANTONIO ALVEAR MERCHAN ABONA SGTE FACTURA</t>
  </si>
  <si>
    <t>AT-3142</t>
  </si>
  <si>
    <t>EVA MARIA VINUEZA OCAÑA ABONA SGTE FACTURA</t>
  </si>
  <si>
    <t>AT-3141</t>
  </si>
  <si>
    <t>JUAN JOSE CHACON PACHECO ABONA SGTE FACTURA</t>
  </si>
  <si>
    <t>AT-3140</t>
  </si>
  <si>
    <t>LUIS CARLOS ABAD YCAZA ABONA SGTE FACTURA</t>
  </si>
  <si>
    <t>AT-3139</t>
  </si>
  <si>
    <t>JENNY CEDEÑO CAAMAÑO ABONA SGTE FACTURA</t>
  </si>
  <si>
    <t>AT-3138</t>
  </si>
  <si>
    <t>ROBERTO MUZZIO NARANJO ABONA SGTE FACTURA</t>
  </si>
  <si>
    <t>AT-3137</t>
  </si>
  <si>
    <t>CARLOS ALBERTO RENDON PALMA ABONA SGTE FACTURA</t>
  </si>
  <si>
    <t>AT-3136</t>
  </si>
  <si>
    <t>TERESA DE LA CRUZ TOSCANO BRITO ABONA SGTE FACTURA</t>
  </si>
  <si>
    <t>AT-3135</t>
  </si>
  <si>
    <t>MARIA ROSA DUNN YCAZA ABONA SGTE FACTURA</t>
  </si>
  <si>
    <t>AT-3134</t>
  </si>
  <si>
    <t>MANRIQUEZ SALAZAR MARIA PAZ ABONA SGTE FACTURA</t>
  </si>
  <si>
    <t>AT-3133</t>
  </si>
  <si>
    <t>RICARDO PABLO FALCONI DUEÑAS ABONA SGTE FACTURA</t>
  </si>
  <si>
    <t>AT-3132</t>
  </si>
  <si>
    <t>FRANKLIN JOAQUIN  DOMINGUEZ VARGAS ABONA SGTE FACTURA</t>
  </si>
  <si>
    <t>AT-3131</t>
  </si>
  <si>
    <t>CANDO REYES JOSE MAURICIO ABONA SGTE FACTURA</t>
  </si>
  <si>
    <t>AT-3130</t>
  </si>
  <si>
    <t>ANTONIO IGNACIO ARTEAGA FERAUD ABONA SGTE FACTURA</t>
  </si>
  <si>
    <t>AT-3129</t>
  </si>
  <si>
    <t>CAMPOS MANZABA ESTEFANIA XIOMARA CANCELA TEELFONO 3908084 ABONA SGTE FACTURA, PAGO WESTERN UNION</t>
  </si>
  <si>
    <t>AT-3102</t>
  </si>
  <si>
    <t>Fact#: 342127 Rec#: 31331 BOWEN FLORES WALTER EDISON</t>
  </si>
  <si>
    <t>IC-11519</t>
  </si>
  <si>
    <t>Fact#: 321980-324734-327523-330313-333175-336101-339047-342042 Rec#: 31330 VALLEJO PROANO FABIAN IGNACIO</t>
  </si>
  <si>
    <t>IC-11518</t>
  </si>
  <si>
    <t>Fact#: 340785 Rec#: 31329 QUINTO BAZAN JOHNN HENRY</t>
  </si>
  <si>
    <t>IC-11507</t>
  </si>
  <si>
    <t>Fact#: 341082 Rec#: 31328 PERALTA CASTILLO ELSA DEL ROCIO</t>
  </si>
  <si>
    <t>IC-11506</t>
  </si>
  <si>
    <t>Fact#: 340110 Rec#: 31327 GRACIELA GUADALUPE MEREJILDO VERA</t>
  </si>
  <si>
    <t>IC-11505</t>
  </si>
  <si>
    <t>Fact#: 341715 Rec#: 31326 AMAGUAYA CHUQUI ANGEL DANIEL</t>
  </si>
  <si>
    <t>IC-11504</t>
  </si>
  <si>
    <t>Fact#: 341643 Rec#: 14726 CHANCAY SOLEDISPA VICTOR MANUEL</t>
  </si>
  <si>
    <t>IC-11503</t>
  </si>
  <si>
    <t>Fact#: 322573-325329-328087-330893-333785-336728-339722 Rec#: 14725 LOOR ZAMBRANO EDGAR ASDRUBAL</t>
  </si>
  <si>
    <t>IC-11502</t>
  </si>
  <si>
    <t>Fact#: 339111-342106 Rec#: 14724 GOMEZ ALCIVAR RUBER GIL</t>
  </si>
  <si>
    <t>IC-11501</t>
  </si>
  <si>
    <t>Fact#: 339992 Rec#: 14723 OSCAR HUMBERTO  BRITO GUILLEN</t>
  </si>
  <si>
    <t>IC-11500</t>
  </si>
  <si>
    <t>Fact#: 341913 Rec#: 14722 FIGUEROA GAVELA SILVIA FABIOLA</t>
  </si>
  <si>
    <t>IC-11499</t>
  </si>
  <si>
    <t>Fact#: 337321-340312 Rec#: 14721 RODOLFO JAVIER CASSAGNE VERA</t>
  </si>
  <si>
    <t>IC-11498</t>
  </si>
  <si>
    <t>Fact#: 337772-340764 Rec#: 14720 TAMAYO CARABALLOSO LISANDRA MERCEDES</t>
  </si>
  <si>
    <t>IC-11497</t>
  </si>
  <si>
    <t>Fact#: 339426 Rec#: 14719 JIMENEZ &amp; JIMENEZ, ABOGADOS Y COMPAÑIA</t>
  </si>
  <si>
    <t>IC-11496</t>
  </si>
  <si>
    <t>Fact#: 339498 Rec#: 14718 NEDERAGRO S.A.</t>
  </si>
  <si>
    <t>IC-11495</t>
  </si>
  <si>
    <t>Fact#: 340308 Rec#: 14717 NAIM ANTONIO YUNES MARIDUEÑA</t>
  </si>
  <si>
    <t>IC-11494</t>
  </si>
  <si>
    <t>Fact#: 337301-340292 Rec#: 14716 ANGELA LEONOR SAAVEDRA QUINTO</t>
  </si>
  <si>
    <t>IC-11493</t>
  </si>
  <si>
    <t>Fact#: 340851 Rec#: 14715 SAN LUCAS PEÑA SHEYLA</t>
  </si>
  <si>
    <t>IC-11492</t>
  </si>
  <si>
    <t>Fact#: 342157 Rec#: 14714 MENDEZ LAINEZ RUTH ELIZABETH</t>
  </si>
  <si>
    <t>IC-11491</t>
  </si>
  <si>
    <t>Fact#: 321029-323786-326555-329320-332163-335078-338022-341012 Rec#: 14713 DUCHI ALCOSER JHONNY FERNANDO</t>
  </si>
  <si>
    <t>IC-11490</t>
  </si>
  <si>
    <t>Fact#: 340276 Rec#: 14712 KEVIN BLADIMIR PONCE GREFA</t>
  </si>
  <si>
    <t>IC-11489</t>
  </si>
  <si>
    <t>Fact#: 341624 Rec#: 14711 MARCILLO COBOS DAVID FERNANDO</t>
  </si>
  <si>
    <t>IC-11488</t>
  </si>
  <si>
    <t>Fact#: 340636 Rec#: 14710 HANS EDUARDO NORIEGA ALBUJA</t>
  </si>
  <si>
    <t>IC-11487</t>
  </si>
  <si>
    <t>Fact#: 334289-337223-340215 Rec#: 14709 LUCILA SOLANGE FLOR ORELLANA</t>
  </si>
  <si>
    <t>IC-11486</t>
  </si>
  <si>
    <t>Fact#: 342137 Rec#: 14708 PRECIADO SALVATIERRA PATRICIA PAOLA</t>
  </si>
  <si>
    <t>IC-11485</t>
  </si>
  <si>
    <t>Oct/2020</t>
  </si>
  <si>
    <t>Fact#: 345232-347733 Rec#: 31759 JIMENEZ ALVAREZ GARY WINDER</t>
  </si>
  <si>
    <t>IC-14086</t>
  </si>
  <si>
    <t>Fact#: 343823-346776 Rec#: 15436 MAGALY BETSABETH NAVARRETE LOOR</t>
  </si>
  <si>
    <t>IC-14085</t>
  </si>
  <si>
    <t>Fact#: 346540 Rec#: 15435 LAURA BEATRIZ  ENCALADA ESPINOZA</t>
  </si>
  <si>
    <t>IC-14068</t>
  </si>
  <si>
    <t>Fact#: 2745-3059-3303 Rec#: 15434 CRUZ CESAR BELISARIO</t>
  </si>
  <si>
    <t>IC-14067</t>
  </si>
  <si>
    <t>Fact#: 345087-347592 Rec#: 15433 SARMIENTO VIVEROS ALEXANDRA ELIZABETH</t>
  </si>
  <si>
    <t>IC-14066</t>
  </si>
  <si>
    <t>Fact#: 346516 Rec#: 15432 CAROLA MISHEL ABISAAB MEDINA</t>
  </si>
  <si>
    <t>IC-14065</t>
  </si>
  <si>
    <t>Fact#: 346567 Rec#: 15431 ANGELA MARIA ANA  FERAUD MANSSUR</t>
  </si>
  <si>
    <t>IC-14064</t>
  </si>
  <si>
    <t>Fact#: 345630-348133 Rec#: 15430 GOMEZ ALCIVAR RUBER GIL</t>
  </si>
  <si>
    <t>IC-14063</t>
  </si>
  <si>
    <t>Fact#: 346989 Rec#: 15429 NIZA ALEJANDRA MARRIOT CAICEDO</t>
  </si>
  <si>
    <t>IC-14062</t>
  </si>
  <si>
    <t>Fact#: 347380 Rec#: 15428 MAYEZA REGALADO JIMMY HARRY</t>
  </si>
  <si>
    <t>IC-14061</t>
  </si>
  <si>
    <t>Fact#: 318051-320785-323536-326306-329067-331905-334819-337759-340751-344275 Rec#: 15427 GONZALEZ MOREIRA MARIO ALEJANDRO</t>
  </si>
  <si>
    <t>IC-14060</t>
  </si>
  <si>
    <t>Fact#: 340509 Rec#: 15426 AMADA ORQUIDEA CAICEDO TREJO</t>
  </si>
  <si>
    <t>IC-14059</t>
  </si>
  <si>
    <t>Fact#: 344558-347268 Rec#: 15425 DELGADO ILLESCAS GARY ANDRES</t>
  </si>
  <si>
    <t>IC-14058</t>
  </si>
  <si>
    <t>Fact#: 334621-337559-340551-344077 Rec#: 15424 CESAR AURELIO BARRERA MORALES</t>
  </si>
  <si>
    <t>IC-14057</t>
  </si>
  <si>
    <t>Fact#: 345225-347726 Rec#: 15423 MACIAS PENAFIEL KATTY MARIBEL</t>
  </si>
  <si>
    <t>IC-14056</t>
  </si>
  <si>
    <t>Fact#: 337355-340346-343876 Rec#: 15422 DIEGO FRANCISCO PONCE MENDOZA</t>
  </si>
  <si>
    <t>IC-14055</t>
  </si>
  <si>
    <t>Fact#: 347648 Rec#: 15421 MARCILLO COBOS DAVID FERNANDO</t>
  </si>
  <si>
    <t>IC-14054</t>
  </si>
  <si>
    <t>Fact#: 346515 Rec#: 15420 PABLO ENRIQUE GONZENBACH IGLESIAS</t>
  </si>
  <si>
    <t>IC-14053</t>
  </si>
  <si>
    <t>Fact#: 323560-326330-329092-331931-334845-337785-340777-344301 Rec#: 15419 FLORES LAVAYEN HECTOR GIOVANNY</t>
  </si>
  <si>
    <t>IC-14052</t>
  </si>
  <si>
    <t>Fact#: 332253-335170-338114-341105-344631 Rec#: 15418 ROCAFUERTE FIGUEROA DILGLA MARIANELA</t>
  </si>
  <si>
    <t>IC-14051</t>
  </si>
  <si>
    <t>Fact#: 347150 Rec#: 15417 ARROYO AYOVI SANDRA YADIRA</t>
  </si>
  <si>
    <t>IC-14050</t>
  </si>
  <si>
    <t>Fact#: 335315-338258-341250-344773 Rec#: 15416 GRANADOS MUTIS JUAN PABLO</t>
  </si>
  <si>
    <t>IC-14049</t>
  </si>
  <si>
    <t>Fact#: 344059-346939 Rec#: 15415 MAYRA MARIELA MORAN MOREIRA</t>
  </si>
  <si>
    <t>IC-14048</t>
  </si>
  <si>
    <t>Fact#: 337382-340373-343903 Rec#: 15414 GIOVANNY FRANCISCO TOLOZANO YEPEZ</t>
  </si>
  <si>
    <t>IC-14047</t>
  </si>
  <si>
    <t>Fact#: 321019-323774-326543-329308-332151-335066-338008-340998-344524 Rec#: 15413 SALAZAR MONTIEL ABEL OLIMPO</t>
  </si>
  <si>
    <t>IC-14046</t>
  </si>
  <si>
    <t>Fact#: 323743-326512-329275-332118-335032-337974-340964-344490 Rec#: 31758 SUQUILANDA VERA MICHAEL ANTONIO</t>
  </si>
  <si>
    <t>IC-14045</t>
  </si>
  <si>
    <t>Fact#: 336616-339608-343152-346180 Rec#: 31757 MONCAYO ONATE NELSON GABRIEL</t>
  </si>
  <si>
    <t>IC-14044</t>
  </si>
  <si>
    <t>Fact#: 325041-327809-330612-333502-336451-339449-342997-346024 Rec#: 31756 SOCIEDAD DE HECHO SAMBAC</t>
  </si>
  <si>
    <t>IC-14043</t>
  </si>
  <si>
    <t>Fact#: 345239-347740 Rec#: 31755 AMAGUAYA CHUQUI ANGEL DANIEL</t>
  </si>
  <si>
    <t>IC-14042</t>
  </si>
  <si>
    <t>Fact#: 346440 Rec#: 31754 RAFAEL VICENTE ERAZO FALQUEZ</t>
  </si>
  <si>
    <t>IC-14041</t>
  </si>
  <si>
    <t>Fact#: 347172 Rec#: 31753 HERRERA DIAZ HIALINA AMALIA DE LAS ROSAS</t>
  </si>
  <si>
    <t>IC-14040</t>
  </si>
  <si>
    <t>Fact#: 343695-346685 Rec#: 31752 CAROLINA AMALIA IDROVO PIEDRAHITA</t>
  </si>
  <si>
    <t>IC-14039</t>
  </si>
  <si>
    <t>Fact#: 348155 Rec#: 31751 PRADO FRANCO ANDREA JACQUELINE</t>
  </si>
  <si>
    <t>IC-14038</t>
  </si>
  <si>
    <t>Fact#: 344296-347090 Rec#: 31750 SALAZAR JAIME CECILIA NARCISA</t>
  </si>
  <si>
    <t>IC-14037</t>
  </si>
  <si>
    <t>Fact#: 345581-348084 Rec#: 31749 STURLA GALLEGOS FELIPE NICOLAS</t>
  </si>
  <si>
    <t>IC-14036</t>
  </si>
  <si>
    <t>Fact#: 333332-336273-339233-342236-345760-348263 Rec#: 31748 MAZZINI RADA MARIELA PAOLA</t>
  </si>
  <si>
    <t>IC-14035</t>
  </si>
  <si>
    <t>Fact#: 345971 Rec#: 31747 YARECUADOR CIA. LTDA</t>
  </si>
  <si>
    <t>IC-14033</t>
  </si>
  <si>
    <t>Fact#: 347975 Rec#: 31746 ESPINOSA ESPINOZA HUGO STANLEY</t>
  </si>
  <si>
    <t>IC-14032</t>
  </si>
  <si>
    <t>Fact#: 345595-348098 Rec#: 31745 VELASQUEZ SANTANA NESTOR SIGIFREDO</t>
  </si>
  <si>
    <t>IC-14031</t>
  </si>
  <si>
    <t>Fact#: 344846-347447 Rec#: 15412 SEGOVIA TOMALA DENNIS ABEL</t>
  </si>
  <si>
    <t>IC-13981</t>
  </si>
  <si>
    <t>Fact#: 340655-344180-347015 Rec#: 15411 CESAR VICENTE ALDAZABAL ALZAMORA</t>
  </si>
  <si>
    <t>IC-13980</t>
  </si>
  <si>
    <t>Fact#: 340698-344223-347043 Rec#: 15410 ALEXANDRE FABIAN MARTINEZ CARRION</t>
  </si>
  <si>
    <t>IC-13979</t>
  </si>
  <si>
    <t>Fact#: 343468-346489 Rec#: 15409 ELSIE RUTH  ZERDA BARRENO</t>
  </si>
  <si>
    <t>IC-13978</t>
  </si>
  <si>
    <t>Fact#: 316581-333190-336116-339062-342058-345582-348085 Rec#: 15408 MOSCOSO MEJIA GUSTAVO ANTONIO</t>
  </si>
  <si>
    <t>IC-13977</t>
  </si>
  <si>
    <t>Fact#: 347595 Rec#: 15407 MALDONADO VILLAMAR HUMBERTO MARTIN</t>
  </si>
  <si>
    <t>IC-13976</t>
  </si>
  <si>
    <t>Fact#: 334491-337428-340419-343948 Rec#: 15406 LUIS FERNANDO RODRIGUEZ TAPIA</t>
  </si>
  <si>
    <t>IC-13968</t>
  </si>
  <si>
    <t>Fact#: 348287 Rec#: 15405 GONZALEZ BARRERA ANABEL NATALI</t>
  </si>
  <si>
    <t>IC-13967</t>
  </si>
  <si>
    <t>Fact#: 3127 Rec#: 15404 RODRIGUEZ GUEVARA MARIA AUGUSTA</t>
  </si>
  <si>
    <t>IC-13966</t>
  </si>
  <si>
    <t>Fact#: 347747 Rec#: 15403 VITE CALDERON PEDRO PABLO</t>
  </si>
  <si>
    <t>IC-13965</t>
  </si>
  <si>
    <t>Fact#: 347416 Rec#: 15402 CAMPOVERDE AREVALO WILLIAM HERNAN</t>
  </si>
  <si>
    <t>IC-13964</t>
  </si>
  <si>
    <t>Fact#: 338854-341849-345372-347874 Rec#: 15401 AGUAYO SOLORZANO JOEL GEOVANNY</t>
  </si>
  <si>
    <t>IC-13963</t>
  </si>
  <si>
    <t>Fact#: 344539-347252 Rec#: 15400 REINOSO VASCONEZ RONALD HUMBERTO</t>
  </si>
  <si>
    <t>IC-13962</t>
  </si>
  <si>
    <t>Fact#: 346829 Rec#: 15399 RICHARD VICENTE TORRES POVEDA</t>
  </si>
  <si>
    <t>IC-13961</t>
  </si>
  <si>
    <t>Fact#: 344161-347002 Rec#: 15398 HANS EDUARDO NORIEGA ALBUJA</t>
  </si>
  <si>
    <t>IC-13960</t>
  </si>
  <si>
    <t>Fact#: 347067 Rec#: 15397 GONZALEZ MELLA CRISTIAN ALEJANDRO</t>
  </si>
  <si>
    <t>IC-13959</t>
  </si>
  <si>
    <t>Fact#: 333144-336070-339016-342011-345534-348037 Rec#: 15396 ARAUJO AGUIRRE JUAN JOSE</t>
  </si>
  <si>
    <t>IC-13958</t>
  </si>
  <si>
    <t>Fact#: 344890-347476 Rec#: 15395 RONQUILLO LOPEZ BIRMANIA NURY</t>
  </si>
  <si>
    <t>IC-13957</t>
  </si>
  <si>
    <t>Fact#: 325346-330916-333808-336752-339746-343289-346317 Rec#: 31807 ROYAL TOUR S.A.</t>
  </si>
  <si>
    <t>IC-14255</t>
  </si>
  <si>
    <t>Fact#: 338019-341009-344534 Rec#: 31744 MORAN CABELLO JUSUETH WENSTLAND</t>
  </si>
  <si>
    <t>IC-13975</t>
  </si>
  <si>
    <t>Fact#: 331710-334623-337561-340553-344079 Rec#: 31743 RICARDO ARMANDO COLOMA MOLINA</t>
  </si>
  <si>
    <t>IC-13974</t>
  </si>
  <si>
    <t>Fact#: 348244 Rec#: 31742 DUQUE ESTEVEZ MIRKA</t>
  </si>
  <si>
    <t>IC-13973</t>
  </si>
  <si>
    <t>Fact#: 346423 Rec#: 31741 SIMON EMILIO BRIONES LOOR</t>
  </si>
  <si>
    <t>IC-13972</t>
  </si>
  <si>
    <t>Fact#: 348116 Rec#: 31740 MARTINEZ PUGA XAVIER ENRRIQUE</t>
  </si>
  <si>
    <t>IC-13971</t>
  </si>
  <si>
    <t>Fact#: 339129-342124-345648-348151 Rec#: 31739 MAZZINI RIVADENEIRA VALERIE GEOVANNA</t>
  </si>
  <si>
    <t>IC-13970</t>
  </si>
  <si>
    <t>Fact#: 347110 Rec#: 31738 LOPEZ PALACIOS DANNY CHRISTIAN</t>
  </si>
  <si>
    <t>IC-13969</t>
  </si>
  <si>
    <t>Fact#: 343740-346718 Rec#: 15394 XIMENA DE LOURDES VASQUEZ HINOJOSA</t>
  </si>
  <si>
    <t>IC-13956</t>
  </si>
  <si>
    <t>Fact#: 347342 Rec#: 15393 RIVADENEIRA SACON GRACE ALEXANDRA</t>
  </si>
  <si>
    <t>IC-13955</t>
  </si>
  <si>
    <t>Fact#: 344672-347340 Rec#: 15392 MOLINA SALAVARRIA ADRIANO ENRIQUE</t>
  </si>
  <si>
    <t>IC-13954</t>
  </si>
  <si>
    <t>Fact#: 338259-341251-344774 Rec#: 15391 CEVALLOS BRIONES GEMA PAOLA</t>
  </si>
  <si>
    <t>IC-13953</t>
  </si>
  <si>
    <t>Fact#: 347821 Rec#: 15390 AVILES PEREZ ALFONSO</t>
  </si>
  <si>
    <t>IC-13952</t>
  </si>
  <si>
    <t>Fact#: 333694-336638-339631-343176-346204 Rec#: 15389 ITURRALDE CALAHORRANO VICTOR ALFREDO</t>
  </si>
  <si>
    <t>IC-13951</t>
  </si>
  <si>
    <t>Fact#: 338353-341345-344869 Rec#: 15388 MOLINA PALMA WALTER DANIEL</t>
  </si>
  <si>
    <t>IC-13950</t>
  </si>
  <si>
    <t>Fact#: 347338 Rec#: 15387 VELASQUEZ POLIT NINA NATASHA</t>
  </si>
  <si>
    <t>IC-13949</t>
  </si>
  <si>
    <t>Fact#: 344614-347301 Rec#: 15386 RUIZ SOLANO KELVIL ORLANDO</t>
  </si>
  <si>
    <t>IC-13948</t>
  </si>
  <si>
    <t>Fact#: 347263 Rec#: 15385 VASQUEZ DORA JUAN JOSE</t>
  </si>
  <si>
    <t>IC-13947</t>
  </si>
  <si>
    <t>Fact#: 346769 Rec#: 15384 ANDREA CANAHUATI CHAIN</t>
  </si>
  <si>
    <t>IC-13946</t>
  </si>
  <si>
    <t>Fact#: 347248 Rec#: 15383 YANEZ ARROYO LUIS ALBERTO</t>
  </si>
  <si>
    <t>IC-13945</t>
  </si>
  <si>
    <t>Fact#: 340983-344509-347233 Rec#: 15382 RAMIREZ RUIZ MILTON EMILIO</t>
  </si>
  <si>
    <t>IC-13944</t>
  </si>
  <si>
    <t>Fact#: 346363 Rec#: 15381 ASISTENCA TECNICA INDUSTRIAL ATEIND S.A.</t>
  </si>
  <si>
    <t>IC-13943</t>
  </si>
  <si>
    <t>Fact#: 347446 Rec#: 15380 FERNANDEZ PACHECO DIANA ISABEL</t>
  </si>
  <si>
    <t>IC-13942</t>
  </si>
  <si>
    <t>Fact#: 270028-272067-274158 Rec#: 15379 GRETHA JULYANA GONZALEZ GUZMAN</t>
  </si>
  <si>
    <t>IC-13941</t>
  </si>
  <si>
    <t>Fact#: 323835-326605-329370-332214-335130-338074-341065-344591 Rec#: 15378 ROMERO VERA MARIANA DE LAS MERCEDES</t>
  </si>
  <si>
    <t>IC-13940</t>
  </si>
  <si>
    <t>Fact#: 334802-337742-340734-344258 Rec#: 15377 LEON PIN OSWALDO NEMECIO</t>
  </si>
  <si>
    <t>IC-13939</t>
  </si>
  <si>
    <t>Fact#: 343360 Rec#: 31737 CONSORCIO ECUATORIANO DE TELECOMUNICACIONES S.A. CONECEL</t>
  </si>
  <si>
    <t>IC-13938</t>
  </si>
  <si>
    <t>Fact#: 346405 Rec#: 31736 Corporación Nacional de Telecomunicaciones-CNT EP</t>
  </si>
  <si>
    <t>IC-13937</t>
  </si>
  <si>
    <t>Fact#: 346628 Rec#: 31734 LUIS DANIEL CHIANG GUERRERO</t>
  </si>
  <si>
    <t>IC-13932</t>
  </si>
  <si>
    <t>Fact#: 343626-346627 Rec#: 31733 LUIS DANIEL CHIANG GUERRERO</t>
  </si>
  <si>
    <t>IC-13931</t>
  </si>
  <si>
    <t>Fact#: 333594-336540-339534-343080-346107 Rec#: 15376 COOPERATIVA DE AHORRO Y CREDITO MUSHUK YUYAY-CHIMBORAZO LTDA</t>
  </si>
  <si>
    <t>IC-13925</t>
  </si>
  <si>
    <t>Fact#: 343553-346561 Rec#: 15375 MARIA DEL CARMEN VERA VALVERDE</t>
  </si>
  <si>
    <t>IC-13924</t>
  </si>
  <si>
    <t>Fact#: 323561-326331-329093-331932-334846-337786-340778-344302 Rec#: 15374 VERA VELASQUEZ MARIA AUXILIADORA</t>
  </si>
  <si>
    <t>IC-13923</t>
  </si>
  <si>
    <t>Fact#: 343989-346885 Rec#: 15373 MAGDALENA CONCEPCION FRANCO CORREA</t>
  </si>
  <si>
    <t>IC-13922</t>
  </si>
  <si>
    <t>Fact#: 340036-343569-346576 Rec#: 15372 SALAZAR CARRILLO MARIA ANDREA</t>
  </si>
  <si>
    <t>IC-13921</t>
  </si>
  <si>
    <t>Fact#: 343841-346791 Rec#: 15371 ULISES MARTIN VARGAS FIGUEROA</t>
  </si>
  <si>
    <t>IC-13920</t>
  </si>
  <si>
    <t>Fact#: 343555-346563 Rec#: 15370 ROSA MARGARITA  BARRIGA CANTOS</t>
  </si>
  <si>
    <t>IC-13919</t>
  </si>
  <si>
    <t>Fact#: 347525 Rec#: 15369 ROBALINO VALENCIA  SPARTA SUSANA</t>
  </si>
  <si>
    <t>IC-13918</t>
  </si>
  <si>
    <t>Fact#: 337695-340687-344212 Rec#: 15368 GABRIEL CLEMENTE MEJIA MATA</t>
  </si>
  <si>
    <t>IC-13917</t>
  </si>
  <si>
    <t>Fact#: 340852-344376-347145 Rec#: 15367 ROMERO LITARDO FRANCISCO XAVIER</t>
  </si>
  <si>
    <t>IC-13916</t>
  </si>
  <si>
    <t>Fact#: 346930 Rec#: 15366 EDWIN ANDRES REYES TOALA</t>
  </si>
  <si>
    <t>IC-13915</t>
  </si>
  <si>
    <t>Fact#: 332456-335377-338319-341311-344836 Rec#: 15365 CEDENO VILLAVICENCIO ROBERTO ANTONIO</t>
  </si>
  <si>
    <t>IC-13914</t>
  </si>
  <si>
    <t>Fact#: 344899-347482 Rec#: 15364 ORTEGA QUIMI ADRIANA ALEXANDRA</t>
  </si>
  <si>
    <t>IC-13913</t>
  </si>
  <si>
    <t>Fact#: 335480-338422-341414-344938 Rec#: 15363 LOPEZ JARA PATRICIO ALBERTO</t>
  </si>
  <si>
    <t>IC-13909</t>
  </si>
  <si>
    <t>Fact#: 347571 Rec#: 15362 FLORES GORDILLO LUIS EDUARDO</t>
  </si>
  <si>
    <t>IC-13908</t>
  </si>
  <si>
    <t>Fact#: 345021-347559 Rec#: 15361 HERNANDEZ MARIA ISABEL</t>
  </si>
  <si>
    <t>IC-13907</t>
  </si>
  <si>
    <t>Fact#: 347171 Rec#: 15360 MIGUEZ ACOSTA WILLIAM GERMAN</t>
  </si>
  <si>
    <t>IC-13906</t>
  </si>
  <si>
    <t>Fact#: 347271 Rec#: 15359 ESPINOZA ZUNIGA ISABEL MARIA</t>
  </si>
  <si>
    <t>IC-13905</t>
  </si>
  <si>
    <t>Fact#: 346859 Rec#: 31732 JEAN PAUL ESPINOZA CONSTANTE</t>
  </si>
  <si>
    <t>IC-13904</t>
  </si>
  <si>
    <t>Fact#: 340176-343705-346693 Rec#: 31731 HENRY LENY BETANCOURT VITERI</t>
  </si>
  <si>
    <t>IC-13903</t>
  </si>
  <si>
    <t>Fact#: 344925-347498 Rec#: 31730 NARANJO CADENA DANIEL FIDEL</t>
  </si>
  <si>
    <t>IC-13902</t>
  </si>
  <si>
    <t>Fact#: 340445-343973-346872 Rec#: 31729 WILSON ISMAEL MIRANDA POZO</t>
  </si>
  <si>
    <t>IC-13901</t>
  </si>
  <si>
    <t>Fact#: 344716-347363 Rec#: 31728 DUARTE DEMERA FRANCISCO JAVIER</t>
  </si>
  <si>
    <t>IC-13900</t>
  </si>
  <si>
    <t>Fact#: 346907 Rec#: 31727 AIMARA RODRIGUEZ FERNANDEZ</t>
  </si>
  <si>
    <t>IC-13899</t>
  </si>
  <si>
    <t>Fact#: 348093 Rec#: 31726 CHACON CALDERON SARITA MARIA DE LOS ANGEL</t>
  </si>
  <si>
    <t>IC-13898</t>
  </si>
  <si>
    <t>Fact#: 344824-347431 Rec#: 31725 PALADINES RODRIGUEZ VICTOR EMILIO</t>
  </si>
  <si>
    <t>IC-13874</t>
  </si>
  <si>
    <t>Fact#: 342922-343032 Rec#: 31724 MEGADATOS S.A.</t>
  </si>
  <si>
    <t>IC-13873</t>
  </si>
  <si>
    <t>Fact#: 321107-323864-326635-329400-332246-335163-338107-341098-344624 Rec#: 31723 ORTIZ ACOSTA HERNAN GONZALO</t>
  </si>
  <si>
    <t>IC-13870</t>
  </si>
  <si>
    <t>Fact#: 331747-334661-337600-340591-344116 Rec#: 15358 VILMA NINFA MORA MORA</t>
  </si>
  <si>
    <t>IC-13866</t>
  </si>
  <si>
    <t>Fact#: 332427-335348-338290-341282-344806 Rec#: 15357 ESCANDON DIAZ FRANCISCO DAVID</t>
  </si>
  <si>
    <t>IC-13865</t>
  </si>
  <si>
    <t>Fact#: 346880 Rec#: 15356 TEODOMIRO MAYO</t>
  </si>
  <si>
    <t>IC-13864</t>
  </si>
  <si>
    <t>Fact#: 343701-346691 Rec#: 15355 CARLOS GUILLERMO MUÑOZ GUTIERREZ</t>
  </si>
  <si>
    <t>IC-13863</t>
  </si>
  <si>
    <t>Fact#: 347371 Rec#: 15354 APOLO QUEZADA IVAN RAMIRO</t>
  </si>
  <si>
    <t>IC-13862</t>
  </si>
  <si>
    <t>Fact#: 346650 Rec#: 15353 MARIA PIEDAD MONTALVAN CAMPOVERDE</t>
  </si>
  <si>
    <t>IC-13861</t>
  </si>
  <si>
    <t>Fact#: 348403 Rec#: 15352 JIMENEZ &amp; JIMENEZ, ABOGADOS Y COMPAÑIA</t>
  </si>
  <si>
    <t>IC-13860</t>
  </si>
  <si>
    <t>Fact#: 343826-346779 Rec#: 15351 JONATHAN XAVIER RIVAS FIGUEROA</t>
  </si>
  <si>
    <t>IC-13859</t>
  </si>
  <si>
    <t>Fact#: 343897-346832 Rec#: 15350 ALEXANDER WELLINGTON ALVARADO CARRIEL</t>
  </si>
  <si>
    <t>IC-13858</t>
  </si>
  <si>
    <t>Fact#: 335317-338260-341252-344775 Rec#: 15349 ASTUDILLO JARA ISRAEL WILLIAM</t>
  </si>
  <si>
    <t>IC-13857</t>
  </si>
  <si>
    <t>Fact#: 323475-326242-329000-331838-334751-337690-340682-344207 Rec#: 15348 SONIA GUERRA IGLESIAS</t>
  </si>
  <si>
    <t>IC-13856</t>
  </si>
  <si>
    <t>Fact#: 340877-344402-347160 Rec#: 15347 CEVALLOS PLUAS JULIT LORENA</t>
  </si>
  <si>
    <t>IC-13855</t>
  </si>
  <si>
    <t>Fact#: 343972-346871 Rec#: 15346 ERIKA SUGEY ANCHUNDIA ALVARADO</t>
  </si>
  <si>
    <t>IC-13854</t>
  </si>
  <si>
    <t>Fact#: 344185-347019 Rec#: 15345 ESMERALDA MARITZA ALVARADO SEGURA</t>
  </si>
  <si>
    <t>IC-13853</t>
  </si>
  <si>
    <t>Fact#: 337680-340672-344197 Rec#: 15344 MARJORIE LUISA SCOTLAND TUTIVEN</t>
  </si>
  <si>
    <t>IC-13852</t>
  </si>
  <si>
    <t>Fact#: 341881-345404-347906 Rec#: 15343 BACA GARAYCOA HILDA SHELLMA</t>
  </si>
  <si>
    <t>IC-13851</t>
  </si>
  <si>
    <t>Fact#: 321072-323829-326598-329363-332207-335123-338066-341057-344582 Rec#: 15342 ALEMAN SEGARRA SHIRLEY ELIZABETH</t>
  </si>
  <si>
    <t>IC-13850</t>
  </si>
  <si>
    <t>Fact#: 337300-340291-343821 Rec#: 31722 ANGELICA KATTY CALDERON BARRIOS</t>
  </si>
  <si>
    <t>IC-13849</t>
  </si>
  <si>
    <t>Fact#: 337962-340952-344478 Rec#: 31721 BAJANA DE LA ROSA SANTIAGO EDISON</t>
  </si>
  <si>
    <t>IC-13848</t>
  </si>
  <si>
    <t>Fact#: 347796 Rec#: 31720 ALFREDO GEOVANNY SANCHEZ BENAVIDES</t>
  </si>
  <si>
    <t>IC-13847</t>
  </si>
  <si>
    <t>Fact#: 346808 Rec#: 31719 ALFREDO GEOVANNY SANCHEZ BENAVIDES</t>
  </si>
  <si>
    <t>IC-13846</t>
  </si>
  <si>
    <t>Fact#: 348243 Rec#: 31718 SUESCUM ROMERO  NATHALY VIRINEYA</t>
  </si>
  <si>
    <t>IC-13845</t>
  </si>
  <si>
    <t>Fact#: 343413-346445 Rec#: 31717 VICTOR ANTONIO AGUSTO ALVARADO</t>
  </si>
  <si>
    <t>IC-13844</t>
  </si>
  <si>
    <t>Fact#: 333307-336248-339209-342205-345729-348232 Rec#: 31716 FLORES ORTEGA MERCEDES ROCIO</t>
  </si>
  <si>
    <t>IC-13843</t>
  </si>
  <si>
    <t>Fact#: 346346 Rec#: 31715 SERVICIO DE OFICINA COMPUTARIZADO SEROFICOM S.A.</t>
  </si>
  <si>
    <t>IC-13842</t>
  </si>
  <si>
    <t>Fact#: 345897 Rec#: 31714 LAUDE S.A. LAUDESA ADMINISTRADORA DE FONDOS Y FIDEICOMISOS</t>
  </si>
  <si>
    <t>IC-13841</t>
  </si>
  <si>
    <t>Fact#: 344019-346910 Rec#: 31713 CATHERINE NICOLE RUGEL CARRERA</t>
  </si>
  <si>
    <t>IC-13840</t>
  </si>
  <si>
    <t>Fact#: 346178 Rec#: 31712 ASISTMED ASISTENCIA A MEDICOS S.A.</t>
  </si>
  <si>
    <t>IC-13839</t>
  </si>
  <si>
    <t>Fact#: 343441-346464 Rec#: 31711 NORMA ELISA YEPEZ JIMENEZ</t>
  </si>
  <si>
    <t>IC-13838</t>
  </si>
  <si>
    <t>Fact#: 346841 Rec#: 31710 ENRIQUE FEDERICO ARENAS PILATAXI</t>
  </si>
  <si>
    <t>IC-13835</t>
  </si>
  <si>
    <t>Fact#: 346486 Rec#: 31709 OMAR  PALADINES CORDOVA</t>
  </si>
  <si>
    <t>IC-13834</t>
  </si>
  <si>
    <t>Fact#: 346572 Rec#: 31708 SILVIA XIMENA CHAVEZ CABRERA</t>
  </si>
  <si>
    <t>IC-13833</t>
  </si>
  <si>
    <t>Fact#: 345973 Rec#: 31706 WANHAI LINES ECUADOR S.A.</t>
  </si>
  <si>
    <t>IC-13807</t>
  </si>
  <si>
    <t>N/D PACIFICO PAGO DE IMPUESTOS IVA MES DE OCTUBRE 2020</t>
  </si>
  <si>
    <t>N/D PACIFICO PAGO DE IMPUESTOS RETENCION EN LA FUENTE MES DE OCT 2020</t>
  </si>
  <si>
    <t>N/D PACIFICO PAGO DE IMPUESTO A LOS CONSUMOS ESPECIALES MES DE OCT 2020</t>
  </si>
  <si>
    <t>Fact#: 346146 Rec#: 31705 PAYLESS SHOESOURCE ECUADOR CIA. LTDA.</t>
  </si>
  <si>
    <t>IC-13794</t>
  </si>
  <si>
    <t>Fact#: 746 Rec#: 31704 F.V - AREA ANDINA S.A.</t>
  </si>
  <si>
    <t>IC-13793</t>
  </si>
  <si>
    <t>Fact#: 331000-333915-336861-339872 Rec#: 31707 MANUEL ALFREDO MENDOZA RODRIGUEZ</t>
  </si>
  <si>
    <t>IC-13822</t>
  </si>
  <si>
    <t>N/d por comisiones de western union por recaudacion del 13/11/2020 al 19/11/2020</t>
  </si>
  <si>
    <t>Fact#: 346101 Rec#: 31703 DATA TOOLS S.A.</t>
  </si>
  <si>
    <t>IC-13786</t>
  </si>
  <si>
    <t>Fact#: 322777-325534-328285-331106-334019-336962-339961-343495 Rec#: 31702 FAUSTO LEONARDO  ORTIZ DE LA CADENA</t>
  </si>
  <si>
    <t>IC-13785</t>
  </si>
  <si>
    <t>Fact#: 340107-343637 Rec#: 31701 CAROLINA GLORIA BRAVO TOMALA</t>
  </si>
  <si>
    <t>IC-13784</t>
  </si>
  <si>
    <t>Fact#: 344562 Rec#: 31700 ARIAS SALAZAR KATHERINE JUSETH</t>
  </si>
  <si>
    <t>IC-13783</t>
  </si>
  <si>
    <t>Fact#: 344046 Rec#: 31699 MELCHOR MAURICIO VALENCIA PEREZ</t>
  </si>
  <si>
    <t>IC-13782</t>
  </si>
  <si>
    <t>Fact#: 345613 Rec#: 31698 MARTINEZ PUGA XAVIER ENRRIQUE</t>
  </si>
  <si>
    <t>IC-13781</t>
  </si>
  <si>
    <t>Fact#: 343460 Rec#: 31697 LAURO DAVID TORRES CARRILLO</t>
  </si>
  <si>
    <t>IC-13780</t>
  </si>
  <si>
    <t>Fact#: 344519 Rec#: 31696 LOZANO OTERO RICARDO REIMONDI LOZANO OTERO</t>
  </si>
  <si>
    <t>IC-13779</t>
  </si>
  <si>
    <t>Fact#: 332190-335106-338049-341040-344565 Rec#: 15341 GUERRERO SPOONER IVON KATHERINE</t>
  </si>
  <si>
    <t>IC-13778</t>
  </si>
  <si>
    <t>Fact#: 313450-316075-318773 Rec#: 15340 MUNIZ MARTINEZ CARMEN ALEJA</t>
  </si>
  <si>
    <t>IC-13777</t>
  </si>
  <si>
    <t>Fact#: 340531-344057 Rec#: 15339 EDISON FERNANDO MERA CASTAÑEDA</t>
  </si>
  <si>
    <t>IC-13776</t>
  </si>
  <si>
    <t>Fact#: 340234-343763 Rec#: 15338 MARIA DEL ROSARIO GUZMAN MASPONS</t>
  </si>
  <si>
    <t>IC-13775</t>
  </si>
  <si>
    <t>Fact#: 335595-338538-341530-345054 Rec#: 15337 MORALES MARCILLO YESENIA MONICA</t>
  </si>
  <si>
    <t>IC-13774</t>
  </si>
  <si>
    <t>Fact#: 317568-320308-323066-325828-328578-331403-334314-337248-340239-343768 Rec#: 15336 RAUL ARTURO LEON ORTIZ</t>
  </si>
  <si>
    <t>IC-13773</t>
  </si>
  <si>
    <t>Fact#: 2939 Rec#: 15335 CACUANGO LINCANGO EDISON FABIAN</t>
  </si>
  <si>
    <t>IC-13772</t>
  </si>
  <si>
    <t>Fact#: 325026-327794-330596-333487-336436-339434-342982-346009 Rec#: 15334 FORMICONSTRUC S.A.</t>
  </si>
  <si>
    <t>IC-13771</t>
  </si>
  <si>
    <t>Fact#: 325025-327793-330595-333486-336435-339433-342981-346008 Rec#: 15333 FORMICONSTRUC S.A.</t>
  </si>
  <si>
    <t>IC-13770</t>
  </si>
  <si>
    <t>Fact#: 341819-345342 Rec#: 15332 CABRERA GOMEZ MARTHA INES</t>
  </si>
  <si>
    <t>IC-13769</t>
  </si>
  <si>
    <t>Fact#: 344105 Rec#: 15331 SARA DEL CONSUELO OCHOA VELASCO</t>
  </si>
  <si>
    <t>IC-13768</t>
  </si>
  <si>
    <t>Fact#: 337610-340601-344126 Rec#: 15330 CARLOS ENRIQUE PAZ FIALLOS</t>
  </si>
  <si>
    <t>IC-13767</t>
  </si>
  <si>
    <t>Fact#: 320886-323634-326404-329168-332008-334922-337863-340854-344378 Rec#: 15329 MUÑOZ QUINTO MONICA ANABELLE</t>
  </si>
  <si>
    <t>IC-13766</t>
  </si>
  <si>
    <t>Fact#: 330121-332981-335905-338850-341845-345368 Rec#: 15328 MACIAS MIRANDA DELIA ADRIANA</t>
  </si>
  <si>
    <t>IC-13765</t>
  </si>
  <si>
    <t>Fact#: 334924-337865-340856-344380 Rec#: 15327 PLAZA CHUNGA SILVIA MARIA</t>
  </si>
  <si>
    <t>IC-13764</t>
  </si>
  <si>
    <t>Fact#: 323983-326755-329519-332370-335290-338233-341225-344748 Rec#: 15326 AGUINO ARTEAGA MARIA DE LOURDES</t>
  </si>
  <si>
    <t>IC-13763</t>
  </si>
  <si>
    <t>Fact#: 324642-327424-330195-333055-335979-338925-341921-345444 Rec#: 15325 TAPIA RODRIGUEZ MARIOLI MARITZA</t>
  </si>
  <si>
    <t>IC-13762</t>
  </si>
  <si>
    <t>Fact#: 344560 Rec#: 15324 COROZO CORTEZ VICTOR LELY</t>
  </si>
  <si>
    <t>IC-13761</t>
  </si>
  <si>
    <t>IGLESIA DE JESUCRISTO SUD CANCELA TELEFONO 3945066 ABONA SGTE FACTURA- PAGO WESTERN UNION</t>
  </si>
  <si>
    <t>AT-3185</t>
  </si>
  <si>
    <t>Fact#: 320709-323458-326225-328983-331821-334734-337672-340664 Rec#: 31694 JUAN CARLOS MARTINEZ FASSIO</t>
  </si>
  <si>
    <t>IC-13735</t>
  </si>
  <si>
    <t>Fact#: 321224-323985-326757-329521-332372-335292-338235-341227-344750 Rec#: 31693 MEDINA CRUZ JHONNY SERGIO</t>
  </si>
  <si>
    <t>IC-13734</t>
  </si>
  <si>
    <t>Fact#: 337775-340767-344291 Rec#: 31692 MARTEN CABALLERO NILDA</t>
  </si>
  <si>
    <t>IC-13733</t>
  </si>
  <si>
    <t>Fact#: 337509-340501-344028 Rec#: 15323 EDDY ALBERTO BUSTOS PEÑAHERRERA</t>
  </si>
  <si>
    <t>IC-13723</t>
  </si>
  <si>
    <t>Fact#: 316000-318701-321414 Rec#: 15322 ALARCON GARCIA FRANCISCO ANTONIO</t>
  </si>
  <si>
    <t>IC-13722</t>
  </si>
  <si>
    <t>Fact#: 345619 Rec#: 15321 LETTY DEL CISNE DAVILA ROMO</t>
  </si>
  <si>
    <t>IC-13721</t>
  </si>
  <si>
    <t>Fact#: 332574-335496-338439-341431-344955 Rec#: 15320 TUAREZ MORALES EDISON ULDARICO</t>
  </si>
  <si>
    <t>IC-13720</t>
  </si>
  <si>
    <t>Fact#: 328796-331627-334539-337477-340469-343996 Rec#: 15319 EINER JOSE VALENCIA BUSTAMANTE</t>
  </si>
  <si>
    <t>IC-13719</t>
  </si>
  <si>
    <t>Fact#: 344986 Rec#: 15318 FERNANDEZ ZAMBRANO ELSA VIOLETA</t>
  </si>
  <si>
    <t>IC-13718</t>
  </si>
  <si>
    <t>Fact#: 337274-340265-343795 Rec#: 15317 JONATHAN DANIEL GAMBOA NARANJO</t>
  </si>
  <si>
    <t>IC-13717</t>
  </si>
  <si>
    <t>Fact#: 344385 Rec#: 15316 CARRILLO ANCHUNDIA FLOR MARIA</t>
  </si>
  <si>
    <t>IC-13716</t>
  </si>
  <si>
    <t>Fact#: 320721-323471-326238-328996-331834-334747-337686-340678-344203 Rec#: 15315 PEDRO ROBERTO MERELLO LOPEZ</t>
  </si>
  <si>
    <t>IC-13715</t>
  </si>
  <si>
    <t>Fact#: 340452-343979 Rec#: 15314 MATILDE PILAR MORA QUIROZ</t>
  </si>
  <si>
    <t>IC-13714</t>
  </si>
  <si>
    <t>Fact#: 321563-324314-327092-329861-332717-335642-338585-341577-345101 Rec#: 15313 BIMBELA HEREDIA AXEL AARON</t>
  </si>
  <si>
    <t>IC-13713</t>
  </si>
  <si>
    <t>Fact#: 332034-334948-337890-340881-344406 Rec#: 15312 GOMEZ LOPEZ SAMUEL ELEODORO</t>
  </si>
  <si>
    <t>IC-13712</t>
  </si>
  <si>
    <t>Fact#: 342974-346001 Rec#: 15311 JIMENEZ &amp; JIMENEZ, ABOGADOS Y COMPAÑIA</t>
  </si>
  <si>
    <t>IC-13711</t>
  </si>
  <si>
    <t>Fact#: 2700-3015 Rec#: 15310 AGUDELO GOMEZ ANGELA MARIA</t>
  </si>
  <si>
    <t>IC-13710</t>
  </si>
  <si>
    <t>Fact#: 345006 Rec#: 15309 SANCHEZ QUINCHUELA INES MONICA</t>
  </si>
  <si>
    <t>IC-13709</t>
  </si>
  <si>
    <t>Fact#: 341760-345283 Rec#: 15308 VERA DOMINGUEZ JOSE MARCELO</t>
  </si>
  <si>
    <t>IC-13708</t>
  </si>
  <si>
    <t>Fact#: 340461-343988 Rec#: 31691 EDISON PATRICIO SOSA SALAME</t>
  </si>
  <si>
    <t>IC-13697</t>
  </si>
  <si>
    <t>AT-3183</t>
  </si>
  <si>
    <t>Fact#: 326483-329246-332087-335001-337944-340934-344460 Rec#: 31690 RODRIGUEZ BADILLO GLENDA MARITZA</t>
  </si>
  <si>
    <t>IC-13696</t>
  </si>
  <si>
    <t>Fact#: 338508-341500-345024 Rec#: 15307 DUQUE ROMERO LENIN EFRAIN</t>
  </si>
  <si>
    <t>IC-13691</t>
  </si>
  <si>
    <t>Fact#: 338459-341451-344975 Rec#: 15306 TOBAR MOROCHO JOSE AUGUSTO</t>
  </si>
  <si>
    <t>IC-13690</t>
  </si>
  <si>
    <t>Fact#: 343446 Rec#: 15305 MORAIMA SEMINARIO TOLEDO</t>
  </si>
  <si>
    <t>IC-13689</t>
  </si>
  <si>
    <t>Fact#: 334729-337667-340659-344184 Rec#: 15304 ELIDA DEL CARMEN MOREIRA VELEZ</t>
  </si>
  <si>
    <t>IC-13688</t>
  </si>
  <si>
    <t>Fact#: 343801 Rec#: 15303 DENISSE JUDITH FLORES HUERTA</t>
  </si>
  <si>
    <t>IC-13687</t>
  </si>
  <si>
    <t>Fact#: 346335 Rec#: 15302 SEGURIDAD &amp; PROTECCION TECNICA SEPROTECSECURITY CIA. LTDA.</t>
  </si>
  <si>
    <t>IC-13686</t>
  </si>
  <si>
    <t>Fact#: 3080 Rec#: 15301 ALVAREZ MOLINA PAUL ALEJANDRO</t>
  </si>
  <si>
    <t>IC-13685</t>
  </si>
  <si>
    <t>Fact#: 336260-342218-345742 Rec#: 15300 LEMOS CASTILLO PEDRO FELIX</t>
  </si>
  <si>
    <t>IC-13684</t>
  </si>
  <si>
    <t>Fact#: 332084-334998-337941-340931-344457 Rec#: 15299 PERALTA GODOY JORGE DAVID</t>
  </si>
  <si>
    <t>IC-13683</t>
  </si>
  <si>
    <t>Fact#: 339182-342178-345702 Rec#: 15298 VALVERDE MACAY CARLOS ARTURO</t>
  </si>
  <si>
    <t>IC-13682</t>
  </si>
  <si>
    <t>Fact#: 328696-331525-334438-337374-340365-343895 Rec#: 15297 LORENA LISSET NUÑEZ RODRIGUEZ</t>
  </si>
  <si>
    <t>IC-13680</t>
  </si>
  <si>
    <t>Fact#: 323951-326723-329488-332339-335259-338203-341194-344718 Rec#: 15296 AGUIRRE HURTADO KATHERINE ELIZABETH</t>
  </si>
  <si>
    <t>IC-13679</t>
  </si>
  <si>
    <t>Fact#: 340911-344437 Rec#: 15295 LUQUE RIVAS MARIA ROSA</t>
  </si>
  <si>
    <t>IC-13678</t>
  </si>
  <si>
    <t>Fact#: 346318 Rec#: 15294 ANTEPARAS FOOD COMPANY ANTEFOOD S.A.</t>
  </si>
  <si>
    <t>IC-13677</t>
  </si>
  <si>
    <t>Fact#: 343079-346106 Rec#: 15293 TECNOLOGIAS DE BUSINESS S.A  TECBUSINESS</t>
  </si>
  <si>
    <t>IC-13676</t>
  </si>
  <si>
    <t>Fact#: 337251-340242-343771 Rec#: 15292 JUAN CARLOS SANCHEZ AGUAS</t>
  </si>
  <si>
    <t>IC-13675</t>
  </si>
  <si>
    <t>Fact#: 337620-340611-344136 Rec#: 15291 MARITZA MABEL USHIÑA GIRALDO</t>
  </si>
  <si>
    <t>IC-13674</t>
  </si>
  <si>
    <t>Fact#: 2959 Rec#: 15290 CRUZ SANTANA MARCOS BOLIVAR</t>
  </si>
  <si>
    <t>IC-13673</t>
  </si>
  <si>
    <t>Fact#: 277549-279938-282238 Rec#: 15289 CINTHYA ELIZABETH JARA CAGUA</t>
  </si>
  <si>
    <t>IC-13672</t>
  </si>
  <si>
    <t>Fact#: 334959-337901-340892-344417 Rec#: 15288 CHAVEZ GUAYARA ANDREINA PILAR</t>
  </si>
  <si>
    <t>IC-13671</t>
  </si>
  <si>
    <t>Fact#: 315145-317836-320577 Rec#: 15287 JENNIFER STEFANIA MACANCELA AVENDAÑO</t>
  </si>
  <si>
    <t>IC-13668</t>
  </si>
  <si>
    <t>Fact#: 340073-343604 Rec#: 15286 LOPEZ LOPEZ WASHINGTON FERMIN</t>
  </si>
  <si>
    <t>IC-13666</t>
  </si>
  <si>
    <t>Fact#: 344287 Rec#: 15285 MOROCHO CRUZ ELIZABETH MERCEDEZ</t>
  </si>
  <si>
    <t>IC-13665</t>
  </si>
  <si>
    <t>Fact#: 336205-339151-342146-345670 Rec#: 15284 LANDA SANCHEZ JAZMIN ALEXANDRA</t>
  </si>
  <si>
    <t>IC-13664</t>
  </si>
  <si>
    <t>Fact#: 332390-335310-338253-341245-344768 Rec#: 15283 GUERRERO CRESPIN JULIO ENRIQUE</t>
  </si>
  <si>
    <t>IC-13663</t>
  </si>
  <si>
    <t>Fact#: 324871-333318-336259-339220-342216-345740 Rec#: 31686 SUESCUM ROMERO  NATHALY VIRINEYA</t>
  </si>
  <si>
    <t>IC-13660</t>
  </si>
  <si>
    <t>Fact#: 324956-327725-330528-333422-336371-339373-342921-345948 Rec#: 31689 LABORATORIO BIOTANICALS DEL ECUADOR S.A.</t>
  </si>
  <si>
    <t>IC-13659</t>
  </si>
  <si>
    <t>Fact#: 322194-324955-327724-330527-333421-336370-339372-342920-345947 Rec#: 31688 LABORATORIO BIOTANICALS DEL ECUADOR S.A.</t>
  </si>
  <si>
    <t>IC-13658</t>
  </si>
  <si>
    <t>Fact#: 337003-339994-343527 Rec#: 31687 MARY ELENA  MONROY PAREDES</t>
  </si>
  <si>
    <t>IC-13657</t>
  </si>
  <si>
    <t>N/D CANCELACION DE FACTURA#3316932 CNEL EP</t>
  </si>
  <si>
    <t>N/D PACIFICO CANCELACIÓN DE ENERGÍA ELECTRICA CTV COD:200017298429 CNEL EP</t>
  </si>
  <si>
    <t>N/D PACIFICO CANCELACIÓN DE FACTURA#25401049 CNEL EP</t>
  </si>
  <si>
    <t>N/D PACIFICO CANCELACIÓN DE FACTURA#25409911 CNEL EP</t>
  </si>
  <si>
    <t>N/D PACIFICO CANCELACIÓN DE FACTURA#25397918 CNEL EP</t>
  </si>
  <si>
    <t>N/D PACIFICO CANCELACIÓN DE FACTURA#25330266 CNEL EP</t>
  </si>
  <si>
    <t>N/D PACIFICO CANCELACIÓN DE FACTURA#2529107 CNEL EP</t>
  </si>
  <si>
    <t>N/D PACIFICO CANCELACIÓN DE FACTURA#3067898 CNEL EP</t>
  </si>
  <si>
    <t>N/D PACIFICO CANCELACIÓN DE FACTURA#2960343 CNEL EP</t>
  </si>
  <si>
    <t>Fact#: 338307-341299 Rec#: 31685 PALADINES RODRIGUEZ VICTOR EMILIO</t>
  </si>
  <si>
    <t>IC-13629</t>
  </si>
  <si>
    <t>Fact#: 339403-342951-345978 Rec#: 31684 AUTOMERCADO S.A.</t>
  </si>
  <si>
    <t>IC-13618</t>
  </si>
  <si>
    <t>Fact#: 339402-342950-345977 Rec#: 31683 AUTOMERCADO S.A.</t>
  </si>
  <si>
    <t>IC-13617</t>
  </si>
  <si>
    <t>Fact#: 339562-343106-346134 Rec#: 31682 ALVARADO PIN EMILIO PABLO</t>
  </si>
  <si>
    <t>IC-13616</t>
  </si>
  <si>
    <t>Fact#: 339512-343060-346086 Rec#: 31680 ETYECU S A</t>
  </si>
  <si>
    <t>IC-13615</t>
  </si>
  <si>
    <t>Fact#: 339639-343184-346212 Rec#: 31681 ADUANOVACORP S.A.</t>
  </si>
  <si>
    <t>IC-13614</t>
  </si>
  <si>
    <t>Fact#: 331667-334580-337518-340510-344036 Rec#: 31679 ROSANA LETICIA VIOLA</t>
  </si>
  <si>
    <t>IC-13612</t>
  </si>
  <si>
    <t>Fact#: 345662 Rec#: 31678 ARMIJOS SALAZAR ANA ISABEL</t>
  </si>
  <si>
    <t>IC-13611</t>
  </si>
  <si>
    <t>Fact#: 340105-343635 Rec#: 31677 FERNANDO JAVIER MARTINEZ GOMEZ</t>
  </si>
  <si>
    <t>IC-13610</t>
  </si>
  <si>
    <t>Fact#: 339749-343292-346320 Rec#: 31676 PAN ZI</t>
  </si>
  <si>
    <t>IC-13609</t>
  </si>
  <si>
    <t>Fact#: 339748-343291-346319 Rec#: 31675 PAN ZI</t>
  </si>
  <si>
    <t>IC-13608</t>
  </si>
  <si>
    <t>Fact#: 322601-325359-336765-339758-343301-346329 Rec#: 31674 MÜLLER CARDENAS MICHAEL</t>
  </si>
  <si>
    <t>IC-13607</t>
  </si>
  <si>
    <t>Fact#: 340990-344516 Rec#: 31673 ZAMBRANO MOREIRA LUIS ALFREDO</t>
  </si>
  <si>
    <t>IC-13606</t>
  </si>
  <si>
    <t>Fact#: 343540 Rec#: 31672 TANNIA ELIZABETH  CARRERA CALDERON</t>
  </si>
  <si>
    <t>IC-13605</t>
  </si>
  <si>
    <t>Fact#: 344240 Rec#: 31671 TANHIA ELIZABETH SUAREZ CHANCAY</t>
  </si>
  <si>
    <t>IC-13604</t>
  </si>
  <si>
    <t>Fact#: 343475 Rec#: 31670 GLORIA ISABEL MITE LEON</t>
  </si>
  <si>
    <t>IC-13603</t>
  </si>
  <si>
    <t>Fact#: 344557 Rec#: 31669 SOXO QUICHIMBO IVONNE ALEXANDRA</t>
  </si>
  <si>
    <t>IC-13602</t>
  </si>
  <si>
    <t>Fact#: 345201 Rec#: 15282 CORTEZ CANTOS  PEDRO PABLO</t>
  </si>
  <si>
    <t>IC-13601</t>
  </si>
  <si>
    <t>Fact#: 332392-335312-338255-341247-344770 Rec#: 15281 VENEGAS ARTEAGA CARLOS ALFREDO</t>
  </si>
  <si>
    <t>IC-13600</t>
  </si>
  <si>
    <t>Fact#: 343486 Rec#: 15280 MARCOS ROBERTO CALDERON VELASQUEZ</t>
  </si>
  <si>
    <t>IC-13599</t>
  </si>
  <si>
    <t>Fact#: 337259-340250-343779 Rec#: 15279 JANETH CATALINA DAVILA TOMALA</t>
  </si>
  <si>
    <t>IC-13598</t>
  </si>
  <si>
    <t>Fact#: 323803-326572-329337-332180-335096-338039-341029-344554 Rec#: 15278 DUPRE MELLA HERNAN TADEO</t>
  </si>
  <si>
    <t>IC-13597</t>
  </si>
  <si>
    <t>Fact#: 320363-323119-325880-328631-331460-334373-337307-340298-343828 Rec#: 15277 MOISES SIGIFREDO OBANDO MONTENEGRO</t>
  </si>
  <si>
    <t>IC-13596</t>
  </si>
  <si>
    <t>Fact#: 345423 Rec#: 15276 SANTANA MORENO SAUL AUGUSTO</t>
  </si>
  <si>
    <t>IC-13595</t>
  </si>
  <si>
    <t>Fact#: 345185 Rec#: 15275 BHURANI SUMEET</t>
  </si>
  <si>
    <t>IC-13593</t>
  </si>
  <si>
    <t>Fact#: 332012-334926-337867-340858-344382 Rec#: 15274 ARROYO AYOVI SANDRA YADIRA</t>
  </si>
  <si>
    <t>IC-13591</t>
  </si>
  <si>
    <t>Fact#: 341001-344526 Rec#: 15273 FREIRE ORTIZ PEDRO PABLO</t>
  </si>
  <si>
    <t>IC-13590</t>
  </si>
  <si>
    <t>Fact#: 344270 Rec#: 15272 GONZALEZ MELLA CRISTIAN ALEJANDRO</t>
  </si>
  <si>
    <t>IC-13589</t>
  </si>
  <si>
    <t>Fact#: 323787-326556-329321-332164-335079-338023-341013-344538 Rec#: 15271 CARRASCO ARANA LEONELA MERCEDES</t>
  </si>
  <si>
    <t>IC-13588</t>
  </si>
  <si>
    <t>Fact#: 341271-344795 Rec#: 15270 CAMPOVERDE AREVALO WILLIAM HERNAN</t>
  </si>
  <si>
    <t>IC-13587</t>
  </si>
  <si>
    <t>Fact#: 344009 Rec#: 15269 IRENE ZENOBIA MUÑIZ DELGADO</t>
  </si>
  <si>
    <t>IC-13579</t>
  </si>
  <si>
    <t>Fact#: 334985-337928-340918-344444 Rec#: 15268 VERA GUZMAN SILVIA AZUCENA</t>
  </si>
  <si>
    <t>IC-13578</t>
  </si>
  <si>
    <t>Fact#: 340775-344299 Rec#: 15267 MORA GUERRERO HILDA ANTONIETA</t>
  </si>
  <si>
    <t>IC-13577</t>
  </si>
  <si>
    <t>Fact#: 338690-341684-345208 Rec#: 15266 RONALD DAVID CONTRERAS POTES</t>
  </si>
  <si>
    <t>IC-13576</t>
  </si>
  <si>
    <t>Fact#: 340466-343993 Rec#: 15265 JORJY JIMY RIVERA MONTIEL</t>
  </si>
  <si>
    <t>IC-13575</t>
  </si>
  <si>
    <t>Fact#: 331482-334395-337330-340321-343851 Rec#: 15264 PACO OLMEDO ORNA AYMACANA</t>
  </si>
  <si>
    <t>IC-13573</t>
  </si>
  <si>
    <t>Fact#: 332108-335022-337964-340954-344480 Rec#: 15263 SALEM ONETO MARIA AUXILIADORA</t>
  </si>
  <si>
    <t>IC-13570</t>
  </si>
  <si>
    <t>Fact#: 2405-2635-2950 Rec#: 15262 INTRIAGO ALCIVAR DAISY ADRIANA</t>
  </si>
  <si>
    <t>IC-13569</t>
  </si>
  <si>
    <t>Fact#: 322466-325225-327984-330791-333681-336627-339620-343164-346192 Rec#: 15261 VIOSCULPT ECUADOR S.A.</t>
  </si>
  <si>
    <t>IC-13568</t>
  </si>
  <si>
    <t>Fact#: 340752-344276 Rec#: 15260 ROBAYO GONZALEZ ROBERTO JAVIER</t>
  </si>
  <si>
    <t>IC-13567</t>
  </si>
  <si>
    <t>Fact#: 323180-325943-328694-331523-334436-337372-340363-343893 Rec#: 15259 RICHARD VICENTE TORRES POVEDA</t>
  </si>
  <si>
    <t>IC-13566</t>
  </si>
  <si>
    <t>Fact#: 345436 Rec#: 15258 FIGUEROA GAVELA SILVIA FABIOLA</t>
  </si>
  <si>
    <t>IC-13565</t>
  </si>
  <si>
    <t>Fact#: 335173-338117-341108-344633 Rec#: 15257 PENA PAREDES PEDRO PABLO</t>
  </si>
  <si>
    <t>IC-13564</t>
  </si>
  <si>
    <t>Fact#: 341434-344958 Rec#: 15256 ORTEGA ARGUELLO GISELLA LORENA</t>
  </si>
  <si>
    <t>IC-13563</t>
  </si>
  <si>
    <t>Fact#: 332859-335783-338728-341722-345246 Rec#: 31668 VITE CALDERON PEDRO PABLO</t>
  </si>
  <si>
    <t>IC-13557</t>
  </si>
  <si>
    <t>Fact#: 333676-333703-333704-333705-336622-336647-336648-336649-339615-339640-339641-339642-343159-34 Rec#: 31664 RUIZ ROMAN ROMMEL ELIAS</t>
  </si>
  <si>
    <t>IC-13532</t>
  </si>
  <si>
    <t>JOSE LUIS ROSERO CABALLERO CANCELA TELEFONO 3920056 ABONA SGTE FACTURA POR WESTERN UNION</t>
  </si>
  <si>
    <t>AT-3182</t>
  </si>
  <si>
    <t>Fact#: 336455-339453-343001-346028 Rec#: 31665 SERVICITY C A</t>
  </si>
  <si>
    <t>IC-13533</t>
  </si>
  <si>
    <t>Fact#: 341036-344561 Rec#: 15255 ESPINOZA ZUNIGA ISABEL MARIA</t>
  </si>
  <si>
    <t>IC-13531</t>
  </si>
  <si>
    <t>Fact#: 340893-344418 Rec#: 15254 MIGUEZ ACOSTA WILLIAM GERMAN</t>
  </si>
  <si>
    <t>IC-13530</t>
  </si>
  <si>
    <t>Fact#: 343531 Rec#: 15253 HAYDEE GANDIOSA  FALUGIANI MORA</t>
  </si>
  <si>
    <t>IC-13529</t>
  </si>
  <si>
    <t>Fact#: 340455-343982 Rec#: 15252 TEODOMIRO MAYO</t>
  </si>
  <si>
    <t>IC-13528</t>
  </si>
  <si>
    <t>Fact#: 341642-345166 Rec#: 15251 REYES PINCAY JORGE VICTOR</t>
  </si>
  <si>
    <t>IC-13527</t>
  </si>
  <si>
    <t>Fact#: 345045 Rec#: 15250 FLORES GORDILLO LUIS EDUARDO</t>
  </si>
  <si>
    <t>IC-13526</t>
  </si>
  <si>
    <t>Fact#: 344660 Rec#: 15249 VALLE GONZALEZ LIDIA ELIZABETH</t>
  </si>
  <si>
    <t>IC-13525</t>
  </si>
  <si>
    <t>Fact#: 344474 Rec#: 15248 ANANGONO COTTO ALEXANDRA MARIBEL</t>
  </si>
  <si>
    <t>IC-13524</t>
  </si>
  <si>
    <t>Fact#: 335458-338400-341392-344916 Rec#: 15247 BOLANO HURTADO SUGEY MERY</t>
  </si>
  <si>
    <t>IC-13523</t>
  </si>
  <si>
    <t>Fact#: 320168-322934-325692-328441-331262-334175-337106-340098-343628 Rec#: 15246 EDIN ERNESTO CISNEROS MAESTRE</t>
  </si>
  <si>
    <t>IC-13522</t>
  </si>
  <si>
    <t>Fact#: 332316-335236-338180-341171-344695 Rec#: 15245 ARGUELLO VACILIA HILDA ARACELLY</t>
  </si>
  <si>
    <t>IC-13521</t>
  </si>
  <si>
    <t>Fact#: 344218 Rec#: 15244 JOSE ANTONIO CABEZAS BURGOS</t>
  </si>
  <si>
    <t>IC-13520</t>
  </si>
  <si>
    <t>Fact#: 344502 Rec#: 15243 FLORES MARTINEZ RAQUEL VERONICA</t>
  </si>
  <si>
    <t>IC-13519</t>
  </si>
  <si>
    <t>Fact#: 335741-338686-341680-345204 Rec#: 15242 MORA SANCHEZ DIANA LISSETH</t>
  </si>
  <si>
    <t>IC-13518</t>
  </si>
  <si>
    <t>Fact#: 340615-344140 Rec#: 15241 NIZA ALEJANDRA MARRIOT CAICEDO</t>
  </si>
  <si>
    <t>IC-13517</t>
  </si>
  <si>
    <t>Fact#: 340449-343976 Rec#: 15240 YOFFRE TEODORO ROQUE APOLO</t>
  </si>
  <si>
    <t>IC-13516</t>
  </si>
  <si>
    <t>Fact#: 341400-344924 Rec#: 15239 NIETO PIN ANDREA ISABELA</t>
  </si>
  <si>
    <t>IC-13515</t>
  </si>
  <si>
    <t>Fact#: 345503 Rec#: 15238 GALLEGOS VERA ALEX AUGUSTO</t>
  </si>
  <si>
    <t>IC-13514</t>
  </si>
  <si>
    <t>Fact#: 330518-333412-336361-339363-342910-345937 Rec#: 31663 JORGE RODRIGUEZ Y DUQUE</t>
  </si>
  <si>
    <t>IC-13513</t>
  </si>
  <si>
    <t>Fact#: 335366-338308-341300-344825 Rec#: 31662 MONTESDEOCA ZAMBRANO SILVIA MARIA</t>
  </si>
  <si>
    <t>IC-13512</t>
  </si>
  <si>
    <t>Fact#: 338378-341370-344894 Rec#: 31661 VELIZ CASTRO RICARDO XAVIER</t>
  </si>
  <si>
    <t>IC-13511</t>
  </si>
  <si>
    <t>Fact#: 338423-341415-344939 Rec#: 31660 ECHEVERRIA MATA ALVARO DANIEL</t>
  </si>
  <si>
    <t>IC-13510</t>
  </si>
  <si>
    <t>Fact#: 343353 Rec#: 31659 JUAN CARLOS LANGARANO DELA</t>
  </si>
  <si>
    <t>IC-13509</t>
  </si>
  <si>
    <t>Fact#: 345798 Rec#: 31656 SILVA ESPINOZA CARLOTA ELIZABETH</t>
  </si>
  <si>
    <t>IC-13508</t>
  </si>
  <si>
    <t>Fact#: 345532 Rec#: 31655 SANCHEZ MEDINA FELIX</t>
  </si>
  <si>
    <t>IC-13507</t>
  </si>
  <si>
    <t>Fact#: 333837-336789-339784-343327-346355 Rec#: 31654 JAUREGUI RICO FERNANDO</t>
  </si>
  <si>
    <t>IC-13506</t>
  </si>
  <si>
    <t>Fact#: 343385 Rec#: 31653 JORGE ALFREDO FRANCO MORAN</t>
  </si>
  <si>
    <t>IC-13505</t>
  </si>
  <si>
    <t>Fact#: 343507 Rec#: 31652 HUGO ANTONIO SALMERON ACOSTA</t>
  </si>
  <si>
    <t>IC-13504</t>
  </si>
  <si>
    <t>Fact#: 337056-340046-343579 Rec#: 31658 VINUEZA GALLARDO CARLOS ENRIQUE</t>
  </si>
  <si>
    <t>IC-13503</t>
  </si>
  <si>
    <t>Fact#: 336949-339948-343482 Rec#: 31657 FREDDY RENE VALLEJO MEDRANDA</t>
  </si>
  <si>
    <t>IC-13502</t>
  </si>
  <si>
    <t>Fact#: 343400 Rec#: 31651 GIOVANNY NARVAEZ PORTILLA</t>
  </si>
  <si>
    <t>IC-13501</t>
  </si>
  <si>
    <t>Fact#: 343850 Rec#: 31650 FEDERICO GUILLERMO VARAS CHIQUITO</t>
  </si>
  <si>
    <t>IC-13500</t>
  </si>
  <si>
    <t>Fact#: 340928-344454 Rec#: 31649 CUSME BENITES MIGUEL ANGEL</t>
  </si>
  <si>
    <t>IC-13499</t>
  </si>
  <si>
    <t>Fact#: 342944 Rec#: 31648 YARECUADOR CIA. LTDA</t>
  </si>
  <si>
    <t>IC-13488</t>
  </si>
  <si>
    <t>Fact#: 345919 Rec#: 31647 SOLUCIONES SEGURAS S.A</t>
  </si>
  <si>
    <t>IC-13485</t>
  </si>
  <si>
    <t>Fact#: 337654-340646-344171 Rec#: 31646 MEIBOL CRUZ VELEZ SANCHEZ</t>
  </si>
  <si>
    <t>IC-13452</t>
  </si>
  <si>
    <t>Fact#: 341857-345379 Rec#: 31645 GUALAN HIDALGO MARCO ANTONIO</t>
  </si>
  <si>
    <t>IC-13451</t>
  </si>
  <si>
    <t>Fact#: 345992 Rec#: 31644 OPENGROUP S.A.</t>
  </si>
  <si>
    <t>IC-13450</t>
  </si>
  <si>
    <t>NARANJO BENITES LUIS ALBERTO CANCELA TELEFONO 3907960 ABONA SGTE FACTURA</t>
  </si>
  <si>
    <t>AT-3180</t>
  </si>
  <si>
    <t>Fact#: 341163-344687 Rec#: 15237 GUTIERREZ HERNANDEZ RICARDO ALBERTO</t>
  </si>
  <si>
    <t>IC-13443</t>
  </si>
  <si>
    <t>Fact#: 346169 Rec#: 15236 SAKURA HATSUMI INTERNACIONAL EXPORTADORA S.A</t>
  </si>
  <si>
    <t>IC-13442</t>
  </si>
  <si>
    <t>Fact#: 332170-335086-338030-341020-344545 Rec#: 15235 ALVARADO ALAVA FREDDY LENIN</t>
  </si>
  <si>
    <t>IC-13441</t>
  </si>
  <si>
    <t>Fact#: 337575-340567-344093 Rec#: 15234 BELGICA ALEXANDRA MALATS PENA</t>
  </si>
  <si>
    <t>IC-13440</t>
  </si>
  <si>
    <t>Fact#: 342080-345604 Rec#: 15233 ALCIVAR GARRIDO FABRICIO ANTONIO</t>
  </si>
  <si>
    <t>IC-13439</t>
  </si>
  <si>
    <t>Fact#: 338237-341229-344752 Rec#: 15232 GUAMAN IZA LILIANA ARACELY</t>
  </si>
  <si>
    <t>IC-13438</t>
  </si>
  <si>
    <t>Fact#: 341901-345424 Rec#: 15231 MACIAS GRACIA JOHNNY FRANCISCO</t>
  </si>
  <si>
    <t>IC-13437</t>
  </si>
  <si>
    <t>Fact#: 328684-331513-334426-337362-340353-343883 Rec#: 15230 RAQUEL YOLANDA POSADA RAMIREZ</t>
  </si>
  <si>
    <t>IC-13436</t>
  </si>
  <si>
    <t>Fact#: 346165 Rec#: 15229 CORPORACION DE TRANSPORTISTAS DEL ECUADOR S.A.</t>
  </si>
  <si>
    <t>IC-13435</t>
  </si>
  <si>
    <t>Fact#: 343663 Rec#: 15228 JENNIFER MARITZA BAJAÑA MERCHAN</t>
  </si>
  <si>
    <t>IC-13434</t>
  </si>
  <si>
    <t>Fact#: 340846-344370 Rec#: 15227 MURILLO MIRANDA GUILLERMO XAVIER</t>
  </si>
  <si>
    <t>IC-13432</t>
  </si>
  <si>
    <t>Fact#: 346004 Rec#: 15226 FILUS S.A</t>
  </si>
  <si>
    <t>IC-13431</t>
  </si>
  <si>
    <t>Fact#: 346005 Rec#: 15225 FILUS S.A</t>
  </si>
  <si>
    <t>IC-13429</t>
  </si>
  <si>
    <t>Fact#: 343858 Rec#: 15224 CARLOS ENRIQUE TAPIA TAPIA</t>
  </si>
  <si>
    <t>IC-13428</t>
  </si>
  <si>
    <t>PAREDES TORRES ANGELA DEL ROSARIO CANCELA TELEFONO 3906015 ABONA SGTE FACTURA</t>
  </si>
  <si>
    <t>AT-3178</t>
  </si>
  <si>
    <t>N/D PACIFICO PAGO DE FONDOS DE RESERVA MES DE OCTUBRE 2020</t>
  </si>
  <si>
    <t>N/D PACIFICO ANTICIPO A FACTURA DE NOV 2020, A PABLO BAQUERIZO DAVILA</t>
  </si>
  <si>
    <t>N/D PACIFICO ROLES DE PAGO 1ERA QUINCENA MES DE NOVIEMBRE DEL 2020</t>
  </si>
  <si>
    <t>Fact#: 343357-343358 Rec#: 31667 PRIETO MOLINA ALLAN JOAO</t>
  </si>
  <si>
    <t>IC-13550</t>
  </si>
  <si>
    <t>Fact#: 333316-336257-339218-342214-345738 Rec#: 31666 VERA  CARCHIPULLA DOUGLAS  JOEL</t>
  </si>
  <si>
    <t>IC-13534</t>
  </si>
  <si>
    <t>Fact#: 346081 Rec#: 31642 CIPORT &amp; TECNAC CIPTE C.L</t>
  </si>
  <si>
    <t>IC-13421</t>
  </si>
  <si>
    <t>Fact#: 343754 Rec#: 31641 GIOMAR PAOLA CHOEZ CATUTO</t>
  </si>
  <si>
    <t>IC-13420</t>
  </si>
  <si>
    <t>Fact#: 345889 Rec#: 31640 LG ELECTRONICS PANAMA S.A</t>
  </si>
  <si>
    <t>IC-13419</t>
  </si>
  <si>
    <t>Fact#: 739 Rec#: 31639 CONSORCIO VEOLIA-PROACTIVA</t>
  </si>
  <si>
    <t>IC-13418</t>
  </si>
  <si>
    <t>Fact#: 339695-343240-346268 Rec#: 31638 ALVARADO COBOS ALDO MANUEL</t>
  </si>
  <si>
    <t>IC-13411</t>
  </si>
  <si>
    <t>Fact#: 319949-322715-325472-328221-331040-333954-336898-339900-343440 Rec#: 31637 ELIANA JOANELY BARCHI GUTIERREZ</t>
  </si>
  <si>
    <t>IC-13410</t>
  </si>
  <si>
    <t>Fact#: 346022 Rec#: 31636 CHRISTIAN JAVIER MIDEROS ROMERO</t>
  </si>
  <si>
    <t>IC-13409</t>
  </si>
  <si>
    <t>Fact#: 345866 Rec#: 31635 ASOC. DE PROPIETARIOS URB. VIA AL SOL</t>
  </si>
  <si>
    <t>IC-13408</t>
  </si>
  <si>
    <t>Fact#: 346002 Rec#: 31634 ELECTROMOOM S.A.</t>
  </si>
  <si>
    <t>IC-13407</t>
  </si>
  <si>
    <t>Fact#: 345059 Rec#: 15223 ROVELLO VALENCIA JOSE ROMAN</t>
  </si>
  <si>
    <t>IC-13406</t>
  </si>
  <si>
    <t>Fact#: 314561-317233-319976 Rec#: 15222 ALEXANDRA KATHERINE ROMO MONTOYA</t>
  </si>
  <si>
    <t>IC-13405</t>
  </si>
  <si>
    <t>Fact#: 339139-342134-345658 Rec#: 15221 HOLGUIN VAQUE PEDRO PABLO</t>
  </si>
  <si>
    <t>IC-13404</t>
  </si>
  <si>
    <t>Fact#: 341238-344761 Rec#: 15220 CHOLOTA OQUENDO JORDAN GONZALO</t>
  </si>
  <si>
    <t>IC-13403</t>
  </si>
  <si>
    <t>Fact#: 336086-339032-342027-345550 Rec#: 15219 CHOEZ ANCHUNDIA WILTER ANTONIO</t>
  </si>
  <si>
    <t>IC-13402</t>
  </si>
  <si>
    <t>Fact#: 3019 Rec#: 15218 ZABALA BARRIONUEVO RITA CECILIA</t>
  </si>
  <si>
    <t>IC-13401</t>
  </si>
  <si>
    <t>Fact#: 2973 Rec#: 15217 SILVA REA OLIVO AMADO</t>
  </si>
  <si>
    <t>IC-13400</t>
  </si>
  <si>
    <t>Fact#: 319681-322446-325204-327963-330770-333660-336606-339598-343142-346170 Rec#: 15216 CORPALVAH S A</t>
  </si>
  <si>
    <t>IC-13399</t>
  </si>
  <si>
    <t>Fact#: 345124 Rec#: 15215 SOLANO DE LA TORRE EFRAIN ALFREDO</t>
  </si>
  <si>
    <t>IC-13398</t>
  </si>
  <si>
    <t>Fact#: 341597-345121 Rec#: 15214 CHELE TORO OSCAR EULICES</t>
  </si>
  <si>
    <t>IC-13397</t>
  </si>
  <si>
    <t>Fact#: 338209-341200-344724 Rec#: 15213 VILLEGAS BASTIDAS JOSE ALFREDO</t>
  </si>
  <si>
    <t>IC-13396</t>
  </si>
  <si>
    <t>Fact#: 340637-344162 Rec#: 15212 KATHERINE VIVIANA GUIM SANTILLAN</t>
  </si>
  <si>
    <t>IC-13395</t>
  </si>
  <si>
    <t>Fact#: 338156-341147-344671 Rec#: 15211 JIMENEZ MARCHAN CARLOS ALEJANDRO</t>
  </si>
  <si>
    <t>IC-13394</t>
  </si>
  <si>
    <t>Fact#: 320620-323373-326138-328892-331726-334640-337579-340570-344096 Rec#: 15210 YULEXI ANDREA ANGULO ROSALES</t>
  </si>
  <si>
    <t>IC-13393</t>
  </si>
  <si>
    <t>Fact#: 343308 Rec#: 31633 EMPRESA PUBLICA MUNICIPAL PARA LA GESTIÓN DE LA INNOVACIÓN  Y LA COMPETITIVIDAD, EP</t>
  </si>
  <si>
    <t>IC-13362</t>
  </si>
  <si>
    <t>Fact#: 339310 Rec#: 31632 SOLVESA  ECUADOR S.A</t>
  </si>
  <si>
    <t>IC-13361</t>
  </si>
  <si>
    <t>Fact#: 342308-345830 Rec#: 31631 BATTEN SORIANO CARLOS ARTURO</t>
  </si>
  <si>
    <t>IC-13360</t>
  </si>
  <si>
    <t>Fact#: 334020-336963-339962 Rec#: 31630 CHRISTIAN ARTHUR KONANZ SCHOTEL</t>
  </si>
  <si>
    <t>IC-13359</t>
  </si>
  <si>
    <t>Fact#: 321037-323795-326564-329329-332172-335088-338032-341022-344547 Rec#: 31629 ECHEVERRIA REYES JOE JOFFREY</t>
  </si>
  <si>
    <t>IC-13358</t>
  </si>
  <si>
    <t>Fact#: 342217-345741 Rec#: 31628 DUQUE ESTEVEZ MIRKA</t>
  </si>
  <si>
    <t>IC-13357</t>
  </si>
  <si>
    <t>Fact#: 342030-345553 Rec#: 31627 ELIAS CABRERA ANGELA MARIA</t>
  </si>
  <si>
    <t>IC-13356</t>
  </si>
  <si>
    <t>Fact#: 333459-336408-339406-342954-345981 Rec#: 31626 ANEMASA S.A.</t>
  </si>
  <si>
    <t>IC-13355</t>
  </si>
  <si>
    <t>Fact#: 345295 Rec#: 31625 ALFREDO GEOVANNY SANCHEZ BENAVIDES</t>
  </si>
  <si>
    <t>IC-13354</t>
  </si>
  <si>
    <t>Fact#: 324313-327091-329860-332716-335641-338584-341576-345100 Rec#: 31624 AREVALO PONCE JAVIER MAURICIO</t>
  </si>
  <si>
    <t>IC-13353</t>
  </si>
  <si>
    <t>Fact#: 343158-346186 Rec#: 31623 RAMIREZ TAMAYO ENMA MERCEDES</t>
  </si>
  <si>
    <t>IC-13352</t>
  </si>
  <si>
    <t>Fact#: 343165-346193 Rec#: 31622 RAMIREZ TAMAYO ENMA MERCEDES</t>
  </si>
  <si>
    <t>IC-13351</t>
  </si>
  <si>
    <t>Fact#: 343697 Rec#: 15209 MABEL EMMA VALVERDE VULGARIN</t>
  </si>
  <si>
    <t>IC-13342</t>
  </si>
  <si>
    <t>Fact#: 343325-346353 Rec#: 15208 MERA NEVAREZ FREDEVINDA ALEXANDRA</t>
  </si>
  <si>
    <t>IC-13341</t>
  </si>
  <si>
    <t>Fact#: 333962-336906-339905-343443 Rec#: 15207 ALFREDO BARRIGA HOLGUIN</t>
  </si>
  <si>
    <t>IC-13340</t>
  </si>
  <si>
    <t>Fact#: 335849-338794-341788-345311 Rec#: 15206 VILLACIS ALVARADO EDGAR EUSTORGIO</t>
  </si>
  <si>
    <t>IC-13339</t>
  </si>
  <si>
    <t>Fact#: 343399 Rec#: 15205 EDDA GLADYS PARRALES GOMEZ</t>
  </si>
  <si>
    <t>IC-13338</t>
  </si>
  <si>
    <t>Fact#: 320791-323542-326312-329073-331911-334825-337765-340757-344281 Rec#: 15204 BARRAGAN QUISHPE PATRICIO XAVIER</t>
  </si>
  <si>
    <t>IC-13337</t>
  </si>
  <si>
    <t>Fact#: 345463 Rec#: 15203 LOPEZ MALDONADO CARLOS ROLANDO</t>
  </si>
  <si>
    <t>IC-13336</t>
  </si>
  <si>
    <t>Fact#: 335183-338127-341118-344643 Rec#: 15202 PARRALES GONZALEZ NIXA JASMIN</t>
  </si>
  <si>
    <t>IC-13335</t>
  </si>
  <si>
    <t>Fact#: 321296-324052-326826-329591-332442-335363-338305-341297-344822 Rec#: 15201 VELASTEGUI COELLAR MICHAEL PATRICIO</t>
  </si>
  <si>
    <t>IC-13334</t>
  </si>
  <si>
    <t>Fact#: 337614-340605-344130 Rec#: 15200 ALEX RICARDO POLIT LUNA</t>
  </si>
  <si>
    <t>IC-13333</t>
  </si>
  <si>
    <t>Fact#: 340372-343902 Rec#: 15199 BERNABE LEONEL MARCILLO MARCILLO</t>
  </si>
  <si>
    <t>IC-13332</t>
  </si>
  <si>
    <t>Fact#: 346397 Rec#: 31643 REYES MARTINEZ WILLIE RICARDO</t>
  </si>
  <si>
    <t>IC-13422</t>
  </si>
  <si>
    <t>Fact#: 342258-345782 Rec#: 15198 ALAVA CORNEJO JOSE ISRAEL</t>
  </si>
  <si>
    <t>IC-13331</t>
  </si>
  <si>
    <t>Fact#: 340055-343587 Rec#: 15197 ZAVALA ICAZA VICTOR HUGO</t>
  </si>
  <si>
    <t>IC-13330</t>
  </si>
  <si>
    <t>Fact#: 345292 Rec#: 15196 VARGAS PARRALES CARLOS JORGE</t>
  </si>
  <si>
    <t>IC-13329</t>
  </si>
  <si>
    <t>Fact#: 323749-326518-329281-332125-335039-337981-340971-344497 Rec#: 15195 PIZARRO CARDENAS MIGUEL MODESTO</t>
  </si>
  <si>
    <t>IC-13328</t>
  </si>
  <si>
    <t>Fact#: 343046-346073 Rec#: 15194 NEDERAGRO S.A.</t>
  </si>
  <si>
    <t>IC-13327</t>
  </si>
  <si>
    <t>Fact#: 342140-345664 Rec#: 15193 LINDAO CEDENO KATHERIN LIZBETH</t>
  </si>
  <si>
    <t>IC-13326</t>
  </si>
  <si>
    <t>Fact#: 346014 Rec#: 15192 FOODSERVEC FOOD SERVICE ECUADOR S.A</t>
  </si>
  <si>
    <t>IC-13325</t>
  </si>
  <si>
    <t>Fact#: 3032 Rec#: 15191 GUTIERREZ ALVAREZ TERESA EUGENIA</t>
  </si>
  <si>
    <t>IC-13324</t>
  </si>
  <si>
    <t>Fact#: 343829 Rec#: 15190 CARLA MARIA GARCIA ANDRADE</t>
  </si>
  <si>
    <t>IC-13323</t>
  </si>
  <si>
    <t>Fact#: 345264 Rec#: 15189 FREIRE ANDRADE PAOLA MARIA</t>
  </si>
  <si>
    <t>IC-13322</t>
  </si>
  <si>
    <t>Fact#: 345437 Rec#: 15188 MORENO TELLO CELI DURINDANA</t>
  </si>
  <si>
    <t>IC-13321</t>
  </si>
  <si>
    <t>Fact#: 345011 Rec#: 15187 NAULA ANZOATEGUI ANA MARIA</t>
  </si>
  <si>
    <t>IC-13320</t>
  </si>
  <si>
    <t>Fact#: 330133-332993-335917-338862-341857 Rec#: 31621 GUALAN HIDALGO MARCO ANTONIO</t>
  </si>
  <si>
    <t>IC-13305</t>
  </si>
  <si>
    <t>Fact#: 343302-346330 Rec#: 31620 INDUSTRIAL JUVENALIS S.A.</t>
  </si>
  <si>
    <t>IC-13301</t>
  </si>
  <si>
    <t>Fact#: 343885 Rec#: 31619 CAROLINA ALICIA EGAS NUÑEZ</t>
  </si>
  <si>
    <t>IC-13300</t>
  </si>
  <si>
    <t>Fact#: 342840-345867 Rec#: 31618 ASOC. PRO. NEW YORK 12 DE SEPTIEMBRE</t>
  </si>
  <si>
    <t>IC-13299</t>
  </si>
  <si>
    <t>Fact#: 342847-345874 Rec#: 31617 ASOC. PRO. NEW YORK 12 DE SEPTIEMBRE</t>
  </si>
  <si>
    <t>IC-13298</t>
  </si>
  <si>
    <t>Fact#: 343348-346377 Rec#: 31616 REPROLIMIT CIA.LTDA</t>
  </si>
  <si>
    <t>IC-13290</t>
  </si>
  <si>
    <t>Fact#: 346382 Rec#: 31615 DUME ALCIVAR ALEX ENRIQUE</t>
  </si>
  <si>
    <t>IC-13289</t>
  </si>
  <si>
    <t>N/D PACIFICO PAGO PLLAS. IESS NORMALES MES DE OCT 2020, COMP#135615471 A PABLO BAQUERIZO DAVILA</t>
  </si>
  <si>
    <t>N/D PACIFICO PAGO PLLAS. IESS PREST. QUIROGRAFARIO MES DE OCT 2020, COMP#32305500</t>
  </si>
  <si>
    <t>N/D PACIFICO PAGO DE PLLAS. IESS PREST. HIPOTECARIO MES DE OCT 2020, COMP#</t>
  </si>
  <si>
    <t>N/D PACIFICO PAGO PLLAS. IESS FONDOS DE RESERVA MES DE OCT 2020, COMP#20426962</t>
  </si>
  <si>
    <t>N/D PACIFICO PAGO PLLAS. IESS AJUSTE MES DE OCT 2020, COMP#135602586</t>
  </si>
  <si>
    <t>N/D PACIFICO PAGO DE PLLAS. IESS NORMALES MES DE OCT-2020, COMP#135602440</t>
  </si>
  <si>
    <t>Fact#: 3137 Rec#: 31614 JIMENEZ BERNAL TANIA BEATRIZ</t>
  </si>
  <si>
    <t>IC-13283</t>
  </si>
  <si>
    <t>Fact#: 343489 Rec#: 31613 FERNANDO GABRIEL AVILES USCOCOVICH</t>
  </si>
  <si>
    <t>IC-13282</t>
  </si>
  <si>
    <t>Fact#: 341646-345170 Rec#: 31612 ROCA AGUILERA FRANCISCO</t>
  </si>
  <si>
    <t>IC-13281</t>
  </si>
  <si>
    <t>Fact#: 346006 Rec#: 31611 WILMER JONAS MEJIA LEON</t>
  </si>
  <si>
    <t>IC-13280</t>
  </si>
  <si>
    <t>Fact#: 346336 Rec#: 31610 EMPRESA PUBLICA MUNICIPAL PARA LA GESTIÓN DE LA INNOVACIÓN  Y LA COMPETITIVIDAD, EP</t>
  </si>
  <si>
    <t>IC-13279</t>
  </si>
  <si>
    <t>Fact#: 345083 Rec#: 15186 INFANTE MINDIOLA JULIA MARLENE</t>
  </si>
  <si>
    <t>IC-13278</t>
  </si>
  <si>
    <t>Fact#: 2988 Rec#: 15185 CRUZ JOSE AMABLE</t>
  </si>
  <si>
    <t>IC-13277</t>
  </si>
  <si>
    <t>Fact#: 2709-3024 Rec#: 15184 CHAVEZ ZAMBRANO BRYAN SEBASTIAN</t>
  </si>
  <si>
    <t>IC-13276</t>
  </si>
  <si>
    <t>Fact#: 345020 Rec#: 15183 CABRERA JIMENES FAUSTO IBAN</t>
  </si>
  <si>
    <t>IC-13275</t>
  </si>
  <si>
    <t>Fact#: 338900-341896-345419 Rec#: 15182 MARIN RIVERA FREDDY OMAR</t>
  </si>
  <si>
    <t>IC-13274</t>
  </si>
  <si>
    <t>Fact#: 324230-327006-329774-332630-335554-338496-341488-345012 Rec#: 15181 ALVARADO EDGAR ANTONIO</t>
  </si>
  <si>
    <t>IC-13273</t>
  </si>
  <si>
    <t>Fact#: 340944-344470 Rec#: 15180 BAÑOS BARRAGAN FLOR AMERICA</t>
  </si>
  <si>
    <t>IC-13272</t>
  </si>
  <si>
    <t>Fact#: 341342-344866 Rec#: 15179 ROMERO VERSOZA RICARDO GERONIMO</t>
  </si>
  <si>
    <t>IC-13271</t>
  </si>
  <si>
    <t>Fact#: 338070-341061-344587 Rec#: 15178 BELARDE BRAVO WILLIAM JASMANI</t>
  </si>
  <si>
    <t>IC-13270</t>
  </si>
  <si>
    <t>Fact#: 344423 Rec#: 15177 REYES MUÑOZ FRANCISCO XAVIER</t>
  </si>
  <si>
    <t>IC-13269</t>
  </si>
  <si>
    <t>Fact#: 344648 Rec#: 15176 ROMERO LOPEZ ANDRES ROBERTO</t>
  </si>
  <si>
    <t>IC-13268</t>
  </si>
  <si>
    <t>N/D PACIFICO CANCELACIÓN DE FACTURA#160351416 CNT EP</t>
  </si>
  <si>
    <t>N/D PACIFICO CANCELACIÓN DE FACTURAS#160351412, #160351413, #160351414, #160351415 CNT EP</t>
  </si>
  <si>
    <t>N/D PACIFICO CANCELACIÓN DE FACTURA#424 BAQUERIZO DAVILA PABLO JONATHAN</t>
  </si>
  <si>
    <t>Fact#: 330134-332994-335918-338863-341858-345380 Rec#: 31599 GUALAN HIDALGO MARCO ANTONIO</t>
  </si>
  <si>
    <t>IC-13225</t>
  </si>
  <si>
    <t>Fact#: 311054-313766-316380 Rec#: 31598 MONTES BRIONES JEFFERSON ANTONIO</t>
  </si>
  <si>
    <t>IC-13218</t>
  </si>
  <si>
    <t>Fact#: 346379 Rec#: 31597 ADMINASES S A</t>
  </si>
  <si>
    <t>IC-13217</t>
  </si>
  <si>
    <t>Fact#: 345640 Rec#: 31596 SALTOS MATA FILADELFO VLADIMIR</t>
  </si>
  <si>
    <t>IC-13216</t>
  </si>
  <si>
    <t>Fact#: 334031-336972-339970-343504 Rec#: 31595 MARIA DOLORES COBOS MARMOLEJO</t>
  </si>
  <si>
    <t>IC-13215</t>
  </si>
  <si>
    <t>Fact#: 345000 Rec#: 31594 TAFUR MOSQUERA AMPARO JACQUELINE</t>
  </si>
  <si>
    <t>IC-13214</t>
  </si>
  <si>
    <t>Fact#: 346042 Rec#: 31593 JORGE ARTURO ZANABRIA VILLAMAR</t>
  </si>
  <si>
    <t>IC-13213</t>
  </si>
  <si>
    <t>Fact#: 343723 Rec#: 31592 MANUEL ISAIAS TAPIA LOPEZ</t>
  </si>
  <si>
    <t>IC-13212</t>
  </si>
  <si>
    <t>Fact#: 345628 Rec#: 31591 MONGE SCALDAFERRI ANDRES ALBERTO</t>
  </si>
  <si>
    <t>IC-13211</t>
  </si>
  <si>
    <t>Fact#: 331238-334151-337084-340076-343606 Rec#: 31590 RODRIGUEZ Y DUQUE JORGE</t>
  </si>
  <si>
    <t>IC-13210</t>
  </si>
  <si>
    <t>Fact#: 344759 Rec#: 31589 REIMBERG BADUY PETER PAUL</t>
  </si>
  <si>
    <t>IC-13209</t>
  </si>
  <si>
    <t>Fact#: 343573 Rec#: 31588 RIOS ORELLANA INGRID DE LA CRUZ</t>
  </si>
  <si>
    <t>IC-13208</t>
  </si>
  <si>
    <t>Fact#: 344309 Rec#: 31587 QUINTO BAZAN JOHNN HENRY</t>
  </si>
  <si>
    <t>IC-13207</t>
  </si>
  <si>
    <t>Fact#: 344377 Rec#: 15175 MERCHAN  PEREZ FABIAN BERNARDINO</t>
  </si>
  <si>
    <t>IC-13206</t>
  </si>
  <si>
    <t>Fact#: 341293-344817 Rec#: 15174 YUNEZ PARRA JOSE MIGUEL</t>
  </si>
  <si>
    <t>IC-13205</t>
  </si>
  <si>
    <t>Fact#: 344359 Rec#: 15173 PINO MATAMOROS GALO EFRAIN</t>
  </si>
  <si>
    <t>IC-13204</t>
  </si>
  <si>
    <t>Fact#: 337445-340437-343965 Rec#: 15172 ISABEL RODRIGUEZ RIZO</t>
  </si>
  <si>
    <t>IC-13203</t>
  </si>
  <si>
    <t>Fact#: 340062-343593 Rec#: 15171 CAMPUZANO GUERRERO EMMA IVON</t>
  </si>
  <si>
    <t>IC-13202</t>
  </si>
  <si>
    <t>Fact#: 320558-323311-326076-328830-331662-334574-337512-340504-344031 Rec#: 15170 SILVIA FILOMENA MOLINA BARONA</t>
  </si>
  <si>
    <t>IC-13201</t>
  </si>
  <si>
    <t>Fact#: 346003 Rec#: 15169 LABORATORIOS RENALABSA S A</t>
  </si>
  <si>
    <t>IC-13200</t>
  </si>
  <si>
    <t>Fact#: 332198-335114-338057-341048-344573 Rec#: 15168 GONZALEZ MURO CARLOS LUIS</t>
  </si>
  <si>
    <t>IC-13199</t>
  </si>
  <si>
    <t>Fact#: 329353-332197-335113-338056-341047-344572 Rec#: 15167 ALARCON MORALES JENNY ROCIO</t>
  </si>
  <si>
    <t>IC-13198</t>
  </si>
  <si>
    <t>Fact#: 341335-344859 Rec#: 15166 VALENCIA NIEVES BYRON BOLIVAR</t>
  </si>
  <si>
    <t>IC-13197</t>
  </si>
  <si>
    <t>Fact#: 335034-337976-340966-344492 Rec#: 15165 MOLINA ALCIVAR CESAR RAUL</t>
  </si>
  <si>
    <t>IC-13196</t>
  </si>
  <si>
    <t>Fact#: 335041-337983-340973-344499 Rec#: 15164 SALAZAR VELEZ ERIKA MARIA</t>
  </si>
  <si>
    <t>IC-13195</t>
  </si>
  <si>
    <t>Fact#: 334372-337306-340297-343827 Rec#: 15163 TERESA LEONOR SALAZAR PLUAS</t>
  </si>
  <si>
    <t>IC-13194</t>
  </si>
  <si>
    <t>Fact#: 344835 Rec#: 15162 AVILA ORTIZ GEOVANNY FABRICIO</t>
  </si>
  <si>
    <t>IC-13193</t>
  </si>
  <si>
    <t>Fact#: 331546-334459-337395-340386-343916 Rec#: 15161 JONATHAN SAHI ALVES BAUTISTA</t>
  </si>
  <si>
    <t>IC-13192</t>
  </si>
  <si>
    <t>Fact#: 341529-345053 Rec#: 15160 BALSECA CALVA GRACIELA RAQUEL</t>
  </si>
  <si>
    <t>IC-13191</t>
  </si>
  <si>
    <t>Fact#: 2879-3129 Rec#: 15159 AGUILAR ECHEVERRIA LUIS FERNANDO</t>
  </si>
  <si>
    <t>IC-13190</t>
  </si>
  <si>
    <t>Fact#: 346047 Rec#: 31584 CONSTRU-YA S.A.</t>
  </si>
  <si>
    <t>IC-13120</t>
  </si>
  <si>
    <t>Fact#: 340095-343625 Rec#: 31583 LUIS DANIEL CHIANG GUERRERO</t>
  </si>
  <si>
    <t>IC-13119</t>
  </si>
  <si>
    <t>Fact#: 337532-340524-344050 Rec#: 31582 CARMEN ELIZABETH BELTRAN GARCES</t>
  </si>
  <si>
    <t>IC-13118</t>
  </si>
  <si>
    <t>Fact#: 345364 Rec#: 15158 CERCADO MENDOZA MARIA AUXILIADORA</t>
  </si>
  <si>
    <t>IC-13110</t>
  </si>
  <si>
    <t>Fact#: 345548 Rec#: 15157 NIETO CORDERO EDYIMAR JOSEFINA</t>
  </si>
  <si>
    <t>IC-13109</t>
  </si>
  <si>
    <t>Fact#: 340204-343733 Rec#: 15156 EVELYN DAYANA LINO DELGADO</t>
  </si>
  <si>
    <t>IC-13108</t>
  </si>
  <si>
    <t>Fact#: 344983 Rec#: 15155 GUERRERO RENDON VICTORIA EDITA</t>
  </si>
  <si>
    <t>IC-13107</t>
  </si>
  <si>
    <t>Fact#: 337878-340869-344393 Rec#: 15154 SANCHEZ CARRIEL NARCISA DE JESUS</t>
  </si>
  <si>
    <t>IC-13106</t>
  </si>
  <si>
    <t>Fact#: 3120 Rec#: 31581 CABEZAS GUERRA MARIA DEL CARMEN</t>
  </si>
  <si>
    <t>IC-13112</t>
  </si>
  <si>
    <t>Fact#: 343381 Rec#: 31580 KATHERINE MALENA CHILUIZA GARCIA</t>
  </si>
  <si>
    <t>IC-13111</t>
  </si>
  <si>
    <t>Fact#: 345784 Rec#: 15153 GONZALEZ BARRERA ANABEL NATALI</t>
  </si>
  <si>
    <t>IC-13086</t>
  </si>
  <si>
    <t>Fact#: 345453 Rec#: 15152 VILLAMAR CARRANZA MARISOL DEL PILAR</t>
  </si>
  <si>
    <t>IC-13085</t>
  </si>
  <si>
    <t>Fact#: 343986 Rec#: 15151 JAVIER FEDERICO VILLON ANASTACIO</t>
  </si>
  <si>
    <t>IC-13084</t>
  </si>
  <si>
    <t>Fact#: 316430-319151-321873 Rec#: 15150 CHICA GARCIA DEISY KARINA</t>
  </si>
  <si>
    <t>IC-13083</t>
  </si>
  <si>
    <t>Fact#: 340099-343629 Rec#: 15149 NESTOR AGUSTIN SIMANCAS PINTA</t>
  </si>
  <si>
    <t>IC-13082</t>
  </si>
  <si>
    <t>Fact#: 344064 Rec#: 15148 EDUARDO CAMPOSANO ULLOA</t>
  </si>
  <si>
    <t>IC-13081</t>
  </si>
  <si>
    <t>Fact#: 344634 Rec#: 15147 ROMAN ALVARADO LILIAN ISIDORA</t>
  </si>
  <si>
    <t>IC-13080</t>
  </si>
  <si>
    <t>Fact#: 339278-342281-345806 Rec#: 15146 MONTOYA LEON DARWIN SANTIAGO</t>
  </si>
  <si>
    <t>IC-13079</t>
  </si>
  <si>
    <t>Fact#: 343364 Rec#: 31586 CONSORCIO ECUATORIANO DE TELECOMUNICACIONES S.A. CONECEL</t>
  </si>
  <si>
    <t>IC-13189</t>
  </si>
  <si>
    <t>Fact#: 343365 Rec#: 31585 OTECEL</t>
  </si>
  <si>
    <t>IC-13188</t>
  </si>
  <si>
    <t>Fact#: 328744-331573-334486-337423-340414-343944 Rec#: 31579 JEAN PAUL ESPINOZA CONSTANTE</t>
  </si>
  <si>
    <t>IC-13093</t>
  </si>
  <si>
    <t>Fact#: 343526 Rec#: 31578 CARMEN NARCISA  JURADO PAREDES</t>
  </si>
  <si>
    <t>IC-13092</t>
  </si>
  <si>
    <t>Fact#: 343612 Rec#: 31577 VILLAO JURADO ANDREA BELEN</t>
  </si>
  <si>
    <t>IC-13091</t>
  </si>
  <si>
    <t>Fact#: 340037-343570 Rec#: 31576 CALLE VACA LORENA GICELLA</t>
  </si>
  <si>
    <t>IC-13090</t>
  </si>
  <si>
    <t>Fact#: 344209 Rec#: 31575 TANIA PAOLA ILLESCAS PIBAQUE</t>
  </si>
  <si>
    <t>IC-13089</t>
  </si>
  <si>
    <t>Fact#: 332605-335527-338469-341461-344985 Rec#: 31574 ANDRADE AMOROZO AUGUSTO GUIDO</t>
  </si>
  <si>
    <t>IC-13088</t>
  </si>
  <si>
    <t>Fact#: 345888 Rec#: 31573 DORCIEN S.A</t>
  </si>
  <si>
    <t>IC-13087</t>
  </si>
  <si>
    <t>Fact#: 338777-341771-345294 Rec#: 15145 BUSTAMANTE CHUQUIMARCA SANDRA ELIZABETH</t>
  </si>
  <si>
    <t>IC-13078</t>
  </si>
  <si>
    <t>Fact#: 343397 Rec#: 15144 LIDIA JUDITH OJEDA RUIZ</t>
  </si>
  <si>
    <t>IC-13077</t>
  </si>
  <si>
    <t>Fact#: 344495 Rec#: 15143 ARROBA VALENCIA  JULIO ZENON</t>
  </si>
  <si>
    <t>IC-13076</t>
  </si>
  <si>
    <t>Fact#: 345084 Rec#: 15142 PARRALES CABRERA TEOFILO CELESTINO</t>
  </si>
  <si>
    <t>IC-13075</t>
  </si>
  <si>
    <t>Fact#: 3038 Rec#: 15141 GUERRERO CASTRO ROSA ELVIRA</t>
  </si>
  <si>
    <t>IC-13074</t>
  </si>
  <si>
    <t>Fact#: 346293 Rec#: 15140 LA CASA DEL MEDICO LACASADELMEDICO S.A.</t>
  </si>
  <si>
    <t>IC-13073</t>
  </si>
  <si>
    <t>Fact#: 3028 Rec#: 15139 ESPIN BIFARINI LOURDES TAMARA</t>
  </si>
  <si>
    <t>IC-13072</t>
  </si>
  <si>
    <t>Fact#: 344367 Rec#: 15138 DEL VALLE MONTECE SELENA MARIBEL</t>
  </si>
  <si>
    <t>IC-13071</t>
  </si>
  <si>
    <t>Fact#: 339113-342108-345632 Rec#: 15137 CABEZAS QUINONEZ LEONELA KATHERINE</t>
  </si>
  <si>
    <t>IC-13070</t>
  </si>
  <si>
    <t>Fact#: 332692-335617-338560-341552-345076 Rec#: 15136 MARTINEZ ABAD DOUGLAS GUILLERMO</t>
  </si>
  <si>
    <t>IC-13069</t>
  </si>
  <si>
    <t>Fact#: 338845-341840-345363 Rec#: 15135 PARRAGA JOSE JUAN</t>
  </si>
  <si>
    <t>IC-13068</t>
  </si>
  <si>
    <t>Fact#: 346066 Rec#: 15134 CENTRO CARDIOLOGICO PREVENCARDIO CIA. LTDA.</t>
  </si>
  <si>
    <t>IC-13067</t>
  </si>
  <si>
    <t>Fact#: 343881 Rec#: 15133 OMAR JOSSUE GRANIZO HUAYAMAVE</t>
  </si>
  <si>
    <t>IC-13066</t>
  </si>
  <si>
    <t>Fact#: 324135-326910-329676-332530-335453-338395-341387-344911 Rec#: 15132 GUSNAY MULLO MARTHA YOLANDA</t>
  </si>
  <si>
    <t>IC-13065</t>
  </si>
  <si>
    <t>Fact#: 344445 Rec#: 15131 RUIZ ZAMBRANO JUAN MANUEL</t>
  </si>
  <si>
    <t>IC-13064</t>
  </si>
  <si>
    <t>Fact#: 343956 Rec#: 31572 ANTHONY GABRIEL CEVALLOS FIGUEROA</t>
  </si>
  <si>
    <t>IC-13040</t>
  </si>
  <si>
    <t>AMERICAN EXPRESS CANCELACION DEBITO TARJETAS GUAYAQUIL- PAGO DE FACT 343703- 344138- 342990- 346017- 344316- 346164- 346167- 344697- 345063- 345220- 345371- 345450- 345576- 345458  - 345149- 345365- 345501- 346331- 345789- 345835- 345815 POR DEP EN CTA</t>
  </si>
  <si>
    <t>VISA - MASTERCARD - PACIFICARD CANCELACION DEBITO TARJETAS GUAYAQUIL- PAG DE FACT 343670- 345929- 343715- 344033- 346019- 346018- 346029- 344304- 344043- 345207- 3009- 345040- 345773- 345787 POR DEP EN CTA</t>
  </si>
  <si>
    <t>Fact#: 281874-284171-286449 Rec#: 15130 PEDRO CHRISTIAN CORRAL CELLERI</t>
  </si>
  <si>
    <t>IC-13062</t>
  </si>
  <si>
    <t>Fact#: 345346 Rec#: 15129 PAREDES TORRES ANGELA DEL ROSARIO</t>
  </si>
  <si>
    <t>IC-13061</t>
  </si>
  <si>
    <t>Fact#: 2956 Rec#: 15128 CADENA CHONTASI OLGA MARIA</t>
  </si>
  <si>
    <t>IC-13060</t>
  </si>
  <si>
    <t>Fact#: 335949-338894-341890-345413 Rec#: 15127 MAJOJO MANZABA JOSE LUIS</t>
  </si>
  <si>
    <t>IC-13059</t>
  </si>
  <si>
    <t>Fact#: 3023 Rec#: 15126 SALINAS GONZALEZ JAIME PATRICIO</t>
  </si>
  <si>
    <t>IC-13058</t>
  </si>
  <si>
    <t>Fact#: 345461 Rec#: 15125 SANCHEZ PEREZ FRANCISCO ROBERTO</t>
  </si>
  <si>
    <t>IC-13057</t>
  </si>
  <si>
    <t>Fact#: 339960-343494 Rec#: 15124 GRACIELA ELENA CAMACHO COELLO</t>
  </si>
  <si>
    <t>IC-13056</t>
  </si>
  <si>
    <t>Fact#: 343066-346093 Rec#: 15123 SALTOS RODRIGUEZ ANDREA EDITH</t>
  </si>
  <si>
    <t>IC-13055</t>
  </si>
  <si>
    <t>Fact#: 345610 Rec#: 15122 MONTEALEGRE PEDRO JOAQUIN</t>
  </si>
  <si>
    <t>IC-13054</t>
  </si>
  <si>
    <t>Fact#: 344379 Rec#: 15121 SALTOS RODRIGUEZ ANDREA EDITH</t>
  </si>
  <si>
    <t>IC-13053</t>
  </si>
  <si>
    <t>Fact#: 343907 Rec#: 15120 JAVIER ENRIQUE ARTEAGA MENENDEZ</t>
  </si>
  <si>
    <t>IC-13052</t>
  </si>
  <si>
    <t>Fact#: 342072-345596 Rec#: 15119 JIMENEZ OCHOA LUIS ENRIQUE</t>
  </si>
  <si>
    <t>IC-13051</t>
  </si>
  <si>
    <t>Fact#: 343765 Rec#: 15118 CINDY LORENA BAJAÑA BELTRAN</t>
  </si>
  <si>
    <t>IC-13050</t>
  </si>
  <si>
    <t>Fact#: 343581 Rec#: 15117 NELIS MARIA PINARGOTE YEPEZ</t>
  </si>
  <si>
    <t>IC-13049</t>
  </si>
  <si>
    <t>Fact#: 343811 Rec#: 15116 UBALDO HELIODORO MOTOCHE MEDINA</t>
  </si>
  <si>
    <t>IC-13048</t>
  </si>
  <si>
    <t>Fact#: 345272 Rec#: 15115 CASTRO AGUA MARLON JOSE</t>
  </si>
  <si>
    <t>IC-13047</t>
  </si>
  <si>
    <t>Fact#: 338623-341615-345139 Rec#: 15114 ALVAREZ BORRERO JUAN CARLOS</t>
  </si>
  <si>
    <t>IC-13046</t>
  </si>
  <si>
    <t>Fact#: 341564-345088 Rec#: 15113 MENENDEZ GARCIA RODRIGO ANTONIO</t>
  </si>
  <si>
    <t>IC-13045</t>
  </si>
  <si>
    <t>Fact#: 344007 Rec#: 15112 PEDRO JAVIER BAQUERIZO SUAREZ</t>
  </si>
  <si>
    <t>IC-13044</t>
  </si>
  <si>
    <t>Fact#: 333701-336645-339638-343183-346211 Rec#: 31571 CAMPOS VELEZ HENRRY GONZALO</t>
  </si>
  <si>
    <t>IC-13031</t>
  </si>
  <si>
    <t>Fact#: 345556 Rec#: 31570 CASTRO ESPINALES LUCELINA PRIMITIVA</t>
  </si>
  <si>
    <t>IC-13030</t>
  </si>
  <si>
    <t>Fact#: 329112-331951-334865-337806-340797-344321 Rec#: 31569 PERALTA RUA JOSE LUIS</t>
  </si>
  <si>
    <t>IC-13029</t>
  </si>
  <si>
    <t>Fact#: 331239-334152-337085-340077-343607 Rec#: 31568 HUGO RENE LUNA</t>
  </si>
  <si>
    <t>IC-13028</t>
  </si>
  <si>
    <t>Fact#: 2947 Rec#: 31567 GUATEMAL COLIMBA JUAN BAUTISTA</t>
  </si>
  <si>
    <t>IC-13027</t>
  </si>
  <si>
    <t>Fact#: 340873-344398 Rec#: 31566 VARGAS TORRES ZENIA</t>
  </si>
  <si>
    <t>IC-13026</t>
  </si>
  <si>
    <t>Fact#: 346176 Rec#: 31565 SERVICIO &amp; MANTENIMIENTO INDUSTRIAL MANSEINSAJAB S.A</t>
  </si>
  <si>
    <t>IC-13025</t>
  </si>
  <si>
    <t>Fact#: 343461 Rec#: 31564 ALVARO CORNEJO RODRIGUEZ</t>
  </si>
  <si>
    <t>IC-13024</t>
  </si>
  <si>
    <t>Fact#: 346365 Rec#: 31563 VERA AREVALO JESSICA ELIZABETH</t>
  </si>
  <si>
    <t>IC-13023</t>
  </si>
  <si>
    <t>Fact#: 343767 Rec#: 31562 MIRIAM ANTONIETA MARIDUEÑA VALENZUELA</t>
  </si>
  <si>
    <t>IC-13022</t>
  </si>
  <si>
    <t>Fact#: 343674 Rec#: 31561 JAIME RICARDO ZUÑIGA RODRIGUEZ</t>
  </si>
  <si>
    <t>IC-13021</t>
  </si>
  <si>
    <t>Fact#: 344571 Rec#: 31560 LOGROÑO REYES VICENTE JAVIER</t>
  </si>
  <si>
    <t>IC-12973</t>
  </si>
  <si>
    <t>Fact#: 346099 Rec#: 31505 SINERGIA MARIN SANCHEZ S.A. SINERMASA</t>
  </si>
  <si>
    <t>IC-12816</t>
  </si>
  <si>
    <t>Fact#: 346124 Rec#: 31559 DELGADO VINTIMILLA CARLOS FERNANDO</t>
  </si>
  <si>
    <t>IC-12871</t>
  </si>
  <si>
    <t>Fact#: 344919 Rec#: 31558 VILLON SORIANO DIOSELINA SOLEDAD</t>
  </si>
  <si>
    <t>IC-12870</t>
  </si>
  <si>
    <t>Fact#: 344814 Rec#: 31557 RAMOS MARCILLO CATHERINE LISSETTE</t>
  </si>
  <si>
    <t>IC-12869</t>
  </si>
  <si>
    <t>Fact#: 342948-345975 Rec#: 31556 BELLUSCIO S.A.</t>
  </si>
  <si>
    <t>IC-12868</t>
  </si>
  <si>
    <t>Fact#: 342957-345984 Rec#: 31555 DUPROCSA S.A.</t>
  </si>
  <si>
    <t>IC-12867</t>
  </si>
  <si>
    <t>Fact#: 343077-346104 Rec#: 31554 INDUVERIKA S.A.</t>
  </si>
  <si>
    <t>IC-12866</t>
  </si>
  <si>
    <t>Fact#: 343064-346090 Rec#: 31553 AGUIRRE AGUIRRE BEXY DEL ROCIO</t>
  </si>
  <si>
    <t>IC-12865</t>
  </si>
  <si>
    <t>Fact#: 342848-345875 Rec#: 31552 ASOC. DE PROPIETARIOS URB. TERRASOL</t>
  </si>
  <si>
    <t>IC-12864</t>
  </si>
  <si>
    <t>Fact#: 342854-345882 Rec#: 31551 AUTOMEKANO CIA. LTDA</t>
  </si>
  <si>
    <t>IC-12863</t>
  </si>
  <si>
    <t>Fact#: 342843-345870 Rec#: 31550 EFFICACITAS CONSULTORA CIA.LTDA.</t>
  </si>
  <si>
    <t>IC-12862</t>
  </si>
  <si>
    <t>Fact#: 340481-344008 Rec#: 31549 FERNANDO XAVIER DROUET CEDEÑO</t>
  </si>
  <si>
    <t>IC-12861</t>
  </si>
  <si>
    <t>Fact#: 340980-344506 Rec#: 31548 TRUJILLO LOPEZ DIANA CAROLINA</t>
  </si>
  <si>
    <t>IC-12860</t>
  </si>
  <si>
    <t>Fact#: 340862-344386 Rec#: 31547 GILBERT SILVA CECILIA MARIA</t>
  </si>
  <si>
    <t>IC-12859</t>
  </si>
  <si>
    <t>Fact#: 342149-345673 Rec#: 31546 NIEVES RODRIGUEZ JORGE ELIECER</t>
  </si>
  <si>
    <t>IC-12858</t>
  </si>
  <si>
    <t>Fact#: 344649 Rec#: 31545 ESPANA BAJANA STEFANIA ELIZABETH</t>
  </si>
  <si>
    <t>IC-12857</t>
  </si>
  <si>
    <t>Fact#: 341546-345070 Rec#: 31544 SUSANA HERMELINDA ANALUISA HARO</t>
  </si>
  <si>
    <t>IC-12856</t>
  </si>
  <si>
    <t>Fact#: 343420 Rec#: 31543 KETTY ARACELY GAROFALO LEON</t>
  </si>
  <si>
    <t>IC-12855</t>
  </si>
  <si>
    <t>Fact#: 341379-344903 Rec#: 31542 PERALTA BENITEZ ROBERTO ELIAS</t>
  </si>
  <si>
    <t>IC-12854</t>
  </si>
  <si>
    <t>Fact#: 339978-343512 Rec#: 31541 FAUSTO EDUARDO  CARBO RIVERA</t>
  </si>
  <si>
    <t>IC-12853</t>
  </si>
  <si>
    <t>Fact#: 340534-344060 Rec#: 31540 CARLOS ADALBERTO SALAVARRIA PALMA</t>
  </si>
  <si>
    <t>IC-12852</t>
  </si>
  <si>
    <t>Fact#: 339865-343407 Rec#: 31539 ISABEL ROSARIO QUINDE SORIANO</t>
  </si>
  <si>
    <t>IC-12851</t>
  </si>
  <si>
    <t>Fact#: 340248-343777 Rec#: 31538 GUILLERMO ELOY SERRANO GOMEZ</t>
  </si>
  <si>
    <t>IC-12850</t>
  </si>
  <si>
    <t>Fact#: 339913-343450 Rec#: 31537 JOSE JOAQUIN OLMEDO CASTELLO</t>
  </si>
  <si>
    <t>IC-12849</t>
  </si>
  <si>
    <t>Fact#: 340226-343755 Rec#: 31536 JUAN XAVIER BENEDETI RIPALDA</t>
  </si>
  <si>
    <t>IC-12848</t>
  </si>
  <si>
    <t>Fact#: 339852-343395 Rec#: 31535 JAIRO ALBERTO GOMEZ COELLO</t>
  </si>
  <si>
    <t>IC-12847</t>
  </si>
  <si>
    <t>Fact#: 339953-343487 Rec#: 31534 PAULA JESUS SALAZAR MACIAS</t>
  </si>
  <si>
    <t>IC-12846</t>
  </si>
  <si>
    <t>Fact#: 340144-343673 Rec#: 31533 LUIS EDUARDO SANCHEZ TIMM</t>
  </si>
  <si>
    <t>IC-12845</t>
  </si>
  <si>
    <t>Fact#: 341464-344988 Rec#: 31532 VINUEZA GARCIA EDISON EDUARDO</t>
  </si>
  <si>
    <t>IC-12844</t>
  </si>
  <si>
    <t>Fact#: 340131-343660 Rec#: 31531 GISELLA MARIA YUNES ANDRADE</t>
  </si>
  <si>
    <t>IC-12843</t>
  </si>
  <si>
    <t>Fact#: 339906-343444 Rec#: 31530 MONICA CRIOLLO SALAZAR</t>
  </si>
  <si>
    <t>IC-12842</t>
  </si>
  <si>
    <t>Fact#: 340392-343922 Rec#: 31529 CARLOS BENJAMIN ROSALES PINO</t>
  </si>
  <si>
    <t>IC-12841</t>
  </si>
  <si>
    <t>Fact#: 340041-343574 Rec#: 31528 UVIDIA SALTOS  CARLOS BOLIVAR</t>
  </si>
  <si>
    <t>IC-12840</t>
  </si>
  <si>
    <t>Fact#: 333978-336921-339921-343458 Rec#: 31527 LUIS CESAR GAMARRA GONZALES</t>
  </si>
  <si>
    <t>IC-12839</t>
  </si>
  <si>
    <t>Fact#: 340028-343561 Rec#: 31526 ANA LUCRECIA  CABRERA GARCIA</t>
  </si>
  <si>
    <t>IC-12838</t>
  </si>
  <si>
    <t>Fact#: 339848-343391 Rec#: 31525 GISELLE MARIELA CLEMENTE VERA</t>
  </si>
  <si>
    <t>IC-12837</t>
  </si>
  <si>
    <t>Fact#: 340575-344100 Rec#: 31524 HERNAN ANTONIO ALVEAR MERCHAN</t>
  </si>
  <si>
    <t>IC-12836</t>
  </si>
  <si>
    <t>Fact#: 339827-343370 Rec#: 31523 EVA MARIA VINUEZA OCAÑA</t>
  </si>
  <si>
    <t>IC-12835</t>
  </si>
  <si>
    <t>Fact#: 339851-343394 Rec#: 31522 JUAN JOSE CHACON PACHECO</t>
  </si>
  <si>
    <t>IC-12833</t>
  </si>
  <si>
    <t>Fact#: 340154-343683 Rec#: 31521 LUIS CARLOS ABAD YCAZA</t>
  </si>
  <si>
    <t>IC-12832</t>
  </si>
  <si>
    <t>Fact#: 341994-345517 Rec#: 31520 JOSE FRANCISCO  FERNANDEZ   ESPINOZA</t>
  </si>
  <si>
    <t>IC-12831</t>
  </si>
  <si>
    <t>Fact#: 340602-344127 Rec#: 31519 RICARDO PABLO FALCONI DUEÑAS</t>
  </si>
  <si>
    <t>IC-12830</t>
  </si>
  <si>
    <t>Fact#: 341748-345271 Rec#: 31518 ZULVY BEDON LAGOS</t>
  </si>
  <si>
    <t>IC-12829</t>
  </si>
  <si>
    <t>Fact#: 339907-343445 Rec#: 31517 JENNY CEDEÑO CAAMAÑO</t>
  </si>
  <si>
    <t>IC-12828</t>
  </si>
  <si>
    <t>Fact#: 339837-343380 Rec#: 31516 ROBERTO MUZZIO NARANJO</t>
  </si>
  <si>
    <t>IC-12827</t>
  </si>
  <si>
    <t>Fact#: 339982-343516 Rec#: 31515 FRANKLIN JOAQUIN  DOMINGUEZ VARGAS</t>
  </si>
  <si>
    <t>IC-12826</t>
  </si>
  <si>
    <t>Fact#: 341397-344921 Rec#: 31514 CANDO REYES JOSE MAURICIO</t>
  </si>
  <si>
    <t>IC-12825</t>
  </si>
  <si>
    <t>Fact#: 340039-343572 Rec#: 31513 CARLOS ALBERTO RENDON PALMA</t>
  </si>
  <si>
    <t>IC-12824</t>
  </si>
  <si>
    <t>Fact#: 340061-343592 Rec#: 31512 TERESA DE LA CRUZ TOSCANO BRITO</t>
  </si>
  <si>
    <t>IC-12823</t>
  </si>
  <si>
    <t>Fact#: 339831-343374 Rec#: 31511 MARIA ROSA DUNN YCAZA</t>
  </si>
  <si>
    <t>IC-12822</t>
  </si>
  <si>
    <t>Fact#: 340042-343575 Rec#: 31510 MANRIQUEZ SALAZAR MARIA PAZ</t>
  </si>
  <si>
    <t>IC-12821</t>
  </si>
  <si>
    <t>Fact#: 340317-343847 Rec#: 31509 ANTONIO IGNACIO ARTEAGA FERAUD</t>
  </si>
  <si>
    <t>IC-12820</t>
  </si>
  <si>
    <t>Fact#: 346231 Rec#: 31506 MARRIOTT S.A</t>
  </si>
  <si>
    <t>IC-12817</t>
  </si>
  <si>
    <t>Fact#: 345194 Rec#: 15111 CHUCA CHANCAY ANDREA BETZABETH</t>
  </si>
  <si>
    <t>IC-12815</t>
  </si>
  <si>
    <t>Fact#: 335683-338626-341619-345143 Rec#: 15110 MARQUEZ SELLAN NICOLAS AGAPITO</t>
  </si>
  <si>
    <t>IC-12814</t>
  </si>
  <si>
    <t>Fact#: 330103-332963-335887-338832-341827-345350 Rec#: 15109 BARZOLA ARREAGA IVAN ABEL</t>
  </si>
  <si>
    <t>IC-12813</t>
  </si>
  <si>
    <t>Fact#: 320319-323077-325839-328589-331415-334327-337261-340252-343781 Rec#: 15108 FREDY JHOVANY VARGAS LEON</t>
  </si>
  <si>
    <t>IC-12812</t>
  </si>
  <si>
    <t>Fact#: 341175-344699 Rec#: 15107 ORTEGA CONFORME  JANET AURORA</t>
  </si>
  <si>
    <t>IC-12811</t>
  </si>
  <si>
    <t>Fact#: 340796-344320 Rec#: 15106 SUAREZ MAGALLANES JULIO ALFONSO</t>
  </si>
  <si>
    <t>IC-12810</t>
  </si>
  <si>
    <t>Fact#: 335778-338723-341717-345241 Rec#: 15105 LARA MARURI SANDRA ELIZABETH</t>
  </si>
  <si>
    <t>IC-12809</t>
  </si>
  <si>
    <t>Fact#: 337168-340159-343688 Rec#: 15104 JIMMY LEANDRO MERCHAN JALCA</t>
  </si>
  <si>
    <t>IC-12808</t>
  </si>
  <si>
    <t>Fact#: 333612-336557-339550-343095 Rec#: 15103 PACHECO CACERES DENISE ERIKA</t>
  </si>
  <si>
    <t>IC-12807</t>
  </si>
  <si>
    <t>Fact#: 343332 Rec#: 15102 LANDIVAR VELIZ CARLOS ALEX</t>
  </si>
  <si>
    <t>IC-12806</t>
  </si>
  <si>
    <t>Fact#: 344200 Rec#: 15101 NARCISA MIRELLA ANDRADE SALTOS</t>
  </si>
  <si>
    <t>IC-12805</t>
  </si>
  <si>
    <t>Fact#: 343265 Rec#: 15100 LA CASA DEL MEDICO LACASADELMEDICO S.A.</t>
  </si>
  <si>
    <t>IC-12804</t>
  </si>
  <si>
    <t>Fact#: 343867 Rec#: 15099 CARLOS WELLINGTON CHOEZ VERA</t>
  </si>
  <si>
    <t>IC-12803</t>
  </si>
  <si>
    <t>Fact#: 340157-343686 Rec#: 15098 LISETTE JOHANNA MEZA VEGA</t>
  </si>
  <si>
    <t>IC-12802</t>
  </si>
  <si>
    <t>Fact#: 345542 Rec#: 15097 MACHACILLA QUINCHE MARIO UBALDO</t>
  </si>
  <si>
    <t>IC-12801</t>
  </si>
  <si>
    <t>Fact#: 343226 Rec#: 15096 DULCOSTA S.A.</t>
  </si>
  <si>
    <t>IC-12800</t>
  </si>
  <si>
    <t>Fact#: 344832 Rec#: 15095 SALAZAR TELLO NICOLAS EDUARDO</t>
  </si>
  <si>
    <t>IC-12799</t>
  </si>
  <si>
    <t>Fact#: 341056-344581 Rec#: 15094 RUBEN DARIO HIDALGO MUÑOZ</t>
  </si>
  <si>
    <t>IC-12798</t>
  </si>
  <si>
    <t>Fact#: 339065-342061-345585 Rec#: 15093 VERA DEL PEZO DOLORES VICTORIA</t>
  </si>
  <si>
    <t>IC-12797</t>
  </si>
  <si>
    <t>Fact#: 345369 Rec#: 15092 CHOEZ BRAVO JOSE ANTONIO</t>
  </si>
  <si>
    <t>IC-12796</t>
  </si>
  <si>
    <t>Fact#: 344255 Rec#: 31500 REYES MARTINEZ WILLIE RICARDO</t>
  </si>
  <si>
    <t>IC-12792</t>
  </si>
  <si>
    <t>Fact#: 346299-346300 Rec#: 31499 TOPFOOD CIA. LTDA.</t>
  </si>
  <si>
    <t>IC-12791</t>
  </si>
  <si>
    <t>Fact#: 340167-343696 Rec#: 31498 JAVIER SANTIAGO GUZHÑAY ANDRADE</t>
  </si>
  <si>
    <t>IC-12780</t>
  </si>
  <si>
    <t>Fact#: 344070 Rec#: 15091 MOISES ROBERTO FRANCO ANDRADE</t>
  </si>
  <si>
    <t>IC-12757</t>
  </si>
  <si>
    <t>Fact#: 344317 Rec#: 15090 ARIAS FLORES ENRIQUE SEBASTIAN</t>
  </si>
  <si>
    <t>IC-12756</t>
  </si>
  <si>
    <t>Fact#: 344669 Rec#: 15089 VELASQUEZ POLIT NINA NATASHA</t>
  </si>
  <si>
    <t>IC-12755</t>
  </si>
  <si>
    <t>Fact#: 345161 Rec#: 15088 BORBOR MORENO LUIS ANTONIO</t>
  </si>
  <si>
    <t>IC-12754</t>
  </si>
  <si>
    <t>Fact#: 344553 Rec#: 15087 VASQUEZ DORA JUAN JOSE</t>
  </si>
  <si>
    <t>IC-12753</t>
  </si>
  <si>
    <t>Fact#: 337968-340958-344484 Rec#: 15086 PARRAGA CEDENO JOSE VIRGILIO</t>
  </si>
  <si>
    <t>IC-12752</t>
  </si>
  <si>
    <t>Fact#: 340106-343636 Rec#: 15085 JULIO CESAR MONCAYO CRESPIN</t>
  </si>
  <si>
    <t>IC-12751</t>
  </si>
  <si>
    <t>Fact#: 344612 Rec#: 15084 PILAY QUINDE ALEXI ANDRES</t>
  </si>
  <si>
    <t>IC-12750</t>
  </si>
  <si>
    <t>Fact#: 343838 Rec#: 15083 NAIM ANTONIO YUNES MARIDUEÑA</t>
  </si>
  <si>
    <t>IC-12749</t>
  </si>
  <si>
    <t>Fact#: 334668-337607-340598-344123 Rec#: 15082 ROBERTO GABRIEL QUINDE DIAZ</t>
  </si>
  <si>
    <t>IC-12748</t>
  </si>
  <si>
    <t>Fact#: 343835 Rec#: 15081 JESSICA LORENA TRIANA VELIS</t>
  </si>
  <si>
    <t>IC-12747</t>
  </si>
  <si>
    <t>Fact#: 345041 Rec#: 15080 QUINONEZ MINA DARLIS LUCIA</t>
  </si>
  <si>
    <t>IC-12746</t>
  </si>
  <si>
    <t>Fact#: 345578 Rec#: 15079 CABRERA SOLORZANO NELSON CATITO</t>
  </si>
  <si>
    <t>IC-12745</t>
  </si>
  <si>
    <t>Fact#: 3079 Rec#: 15078 MINDA POZO EDVIN ERNESTO</t>
  </si>
  <si>
    <t>IC-12744</t>
  </si>
  <si>
    <t>Fact#: 344360 Rec#: 15077 ZAMBRANO CASTRO JOSE JAIR</t>
  </si>
  <si>
    <t>IC-12743</t>
  </si>
  <si>
    <t>Fact#: 321055-323812-326581-329346-332189-335105-338048-341039-344564 Rec#: 15076 AGUILAR CARDENAS EDWIN MARCELO</t>
  </si>
  <si>
    <t>IC-12739</t>
  </si>
  <si>
    <t>Fact#: 341716-345240 Rec#: 15075 RODRIGUEZ REYES JINSOP ORLIN</t>
  </si>
  <si>
    <t>IC-12738</t>
  </si>
  <si>
    <t>Fact#: 340295-343825 Rec#: 15074 RUBEN ESTEBAN URRUTIA VINUEZA</t>
  </si>
  <si>
    <t>IC-12737</t>
  </si>
  <si>
    <t>Fact#: 341403-344927 Rec#: 15073 BORJA MESIAS SEGUNDO ALFREDO</t>
  </si>
  <si>
    <t>IC-12736</t>
  </si>
  <si>
    <t>Fact#: 334241-337173-340164-343693 Rec#: 31492 LUIS ANTONIO CARVAJAL TORAL</t>
  </si>
  <si>
    <t>IC-12742</t>
  </si>
  <si>
    <t>Fact#: 345129 Rec#: 15072 RODRIGUEZ LLAMUCA JOHANNA MIREYA</t>
  </si>
  <si>
    <t>IC-12735</t>
  </si>
  <si>
    <t>Fact#: 340891-344416 Rec#: 15071 CHACHA MOREIRA SINTIA PAOLA</t>
  </si>
  <si>
    <t>IC-12734</t>
  </si>
  <si>
    <t>Fact#: 344322 Rec#: 15070 MORALES CASTRO SAMUEL</t>
  </si>
  <si>
    <t>IC-12733</t>
  </si>
  <si>
    <t>Fact#: 345180 Rec#: 15069 LUCAS VALAREZO CRISTINA EVELIN</t>
  </si>
  <si>
    <t>IC-12732</t>
  </si>
  <si>
    <t>Fact#: 337804-340795-344319 Rec#: 15068 SUAREZ PALMA JOSE LUIS</t>
  </si>
  <si>
    <t>IC-12731</t>
  </si>
  <si>
    <t>Fact#: 337361-340352-343882 Rec#: 15067 EDWUIN JESUS CARRASQUERO RODRIGUEZ</t>
  </si>
  <si>
    <t>IC-12730</t>
  </si>
  <si>
    <t>Nov/2020</t>
  </si>
  <si>
    <t>SALDO SEGÚN ESTADO DE CUENTA AL 31 DE OCTUBRE DEL 2020</t>
  </si>
  <si>
    <t>SALDO SEGÚN LIBRO BANCOS AL 31 DE OCTUBRE DEL 2020</t>
  </si>
  <si>
    <t>REEMBOLSO CAJA CHICA DEL 16 AL 29 FEBRERO 2019</t>
  </si>
  <si>
    <t>BCO PACIFICO MES DE NOVIEMBRE</t>
  </si>
  <si>
    <t xml:space="preserve">VERA AREVALO JESSICA ELIZABETH          </t>
  </si>
  <si>
    <t xml:space="preserve">ANDRADE AMOROZO AUGUSTO GUIDO           </t>
  </si>
  <si>
    <t>3930053</t>
  </si>
  <si>
    <t>3901426</t>
  </si>
  <si>
    <t>3945455</t>
  </si>
  <si>
    <t xml:space="preserve">AREVALO PONCE JAVIER MAURICIO           </t>
  </si>
  <si>
    <t xml:space="preserve">DUQUE ESTEVEZ MIRKA                     </t>
  </si>
  <si>
    <t xml:space="preserve">ALVARADO COBOS ALDO MANUEL              </t>
  </si>
  <si>
    <t xml:space="preserve">CUSME BENITES MIGUEL ANGEL              </t>
  </si>
  <si>
    <t xml:space="preserve">VINUEZA GALLARDO CARLOS ENRIQU          </t>
  </si>
  <si>
    <t xml:space="preserve">JAUREGUI RICO FERNANDO                  </t>
  </si>
  <si>
    <t xml:space="preserve">MULLER CARDENAS MICHAEL                 </t>
  </si>
  <si>
    <t xml:space="preserve">FERNANDO JAVIER MARTINEZ GOMEZ          </t>
  </si>
  <si>
    <t xml:space="preserve">SUESCUM ROMERO  NATHALY VIRINE          </t>
  </si>
  <si>
    <t xml:space="preserve">ANGELICA KATTY CALDERON BARRIO          </t>
  </si>
  <si>
    <t xml:space="preserve">WILSON ISMAEL MIRANDA POZO              </t>
  </si>
  <si>
    <t xml:space="preserve">NARANJO CADENA DANIEL FIDEL             </t>
  </si>
  <si>
    <t xml:space="preserve">SOCIEDAD DE HECHO SAMBAC                </t>
  </si>
  <si>
    <t>3902744</t>
  </si>
  <si>
    <t>REC-3371-LD0C-295398</t>
  </si>
  <si>
    <t>20201130</t>
  </si>
  <si>
    <t>REC-2004-CNH2-592358</t>
  </si>
  <si>
    <t>08:46:39</t>
  </si>
  <si>
    <t>REC-5310-Z4YZ-488312</t>
  </si>
  <si>
    <t>08:56:18</t>
  </si>
  <si>
    <t>REC-3784-ATA2-181942</t>
  </si>
  <si>
    <t>REC-061-AEU1-193580</t>
  </si>
  <si>
    <t>10:08:34</t>
  </si>
  <si>
    <t>REC-3370-A6JI-259890</t>
  </si>
  <si>
    <t>10:51:32</t>
  </si>
  <si>
    <t>REC-3201-Y46O-427482</t>
  </si>
  <si>
    <t>10:52:24</t>
  </si>
  <si>
    <t>REC-3187-A2UB-160425</t>
  </si>
  <si>
    <t>11:42:07</t>
  </si>
  <si>
    <t>REC-551-B2PQ-310637</t>
  </si>
  <si>
    <t>11:42:46</t>
  </si>
  <si>
    <t>0929242584</t>
  </si>
  <si>
    <t>3930220</t>
  </si>
  <si>
    <t>REC-3422-A25Y-100518</t>
  </si>
  <si>
    <t>11:56:22</t>
  </si>
  <si>
    <t>REC-7366-Y05Q-14012</t>
  </si>
  <si>
    <t>12:12:25</t>
  </si>
  <si>
    <t>REC-223-V7XD-276837</t>
  </si>
  <si>
    <t>12:30:07</t>
  </si>
  <si>
    <t>REC-3182-YQHG-231278</t>
  </si>
  <si>
    <t>12:31:26</t>
  </si>
  <si>
    <t>REC-3201-Y46O-427520</t>
  </si>
  <si>
    <t>13:13:21</t>
  </si>
  <si>
    <t>REC-7423-RR71-325</t>
  </si>
  <si>
    <t>14:02:22</t>
  </si>
  <si>
    <t>REC-011-VD5Z-358315</t>
  </si>
  <si>
    <t>14:41:18</t>
  </si>
  <si>
    <t>0900857236</t>
  </si>
  <si>
    <t>3945504</t>
  </si>
  <si>
    <t>REC-3295-1T8D-176741</t>
  </si>
  <si>
    <t>REC-3187-A2UB-160486</t>
  </si>
  <si>
    <t>15:22:50</t>
  </si>
  <si>
    <t>REC-3792-A24Z-563689</t>
  </si>
  <si>
    <t>15:26:45</t>
  </si>
  <si>
    <t>REC-3095-T359-432547</t>
  </si>
  <si>
    <t>16:12:08</t>
  </si>
  <si>
    <t>REC-3187-YWS5-611122</t>
  </si>
  <si>
    <t>17:18:38</t>
  </si>
  <si>
    <t>REC-536-2GEZ-350124</t>
  </si>
  <si>
    <t>17:20:33</t>
  </si>
  <si>
    <t>REC-3172-LIO7-118261</t>
  </si>
  <si>
    <t>17:39:56</t>
  </si>
  <si>
    <t>REC-3182-YQHE-242359</t>
  </si>
  <si>
    <t>18:12:50</t>
  </si>
  <si>
    <t>REC-5310-Z4YZ-478848</t>
  </si>
  <si>
    <t>09:37:37</t>
  </si>
  <si>
    <t>20201129</t>
  </si>
  <si>
    <t>REC-3187-A2UB-160336</t>
  </si>
  <si>
    <t>REC-3422-A3IU-636847</t>
  </si>
  <si>
    <t>13:51:06</t>
  </si>
  <si>
    <t>REC-3370-A6JI-259838</t>
  </si>
  <si>
    <t>16:46:46</t>
  </si>
  <si>
    <t>0919506006</t>
  </si>
  <si>
    <t>REC-3370-A6JI-259843</t>
  </si>
  <si>
    <t>17:18:20</t>
  </si>
  <si>
    <t>REC-3295-1TWC-222778</t>
  </si>
  <si>
    <t>18:15:53</t>
  </si>
  <si>
    <t>REC-2004-CNH2-592250</t>
  </si>
  <si>
    <t>09:39:56</t>
  </si>
  <si>
    <t>20201128</t>
  </si>
  <si>
    <t>REC-3609-AAB7-467664</t>
  </si>
  <si>
    <t>10:39:07</t>
  </si>
  <si>
    <t>REC-3214-H8Z8-338014</t>
  </si>
  <si>
    <t>REC-5635-A2YS-27213</t>
  </si>
  <si>
    <t>11:03:19</t>
  </si>
  <si>
    <t>REC-551-VOIB-552146</t>
  </si>
  <si>
    <t>11:04:01</t>
  </si>
  <si>
    <t>REC-245-BEJI-673900</t>
  </si>
  <si>
    <t>11:54:17</t>
  </si>
  <si>
    <t>REC-7383-RR36-470344</t>
  </si>
  <si>
    <t>12:12:35</t>
  </si>
  <si>
    <t>REC-049-A2U2-55015</t>
  </si>
  <si>
    <t>REC-5585-A2XB-69113</t>
  </si>
  <si>
    <t>REC-355-J4YM-676872</t>
  </si>
  <si>
    <t>REC-518-RI6W-433380</t>
  </si>
  <si>
    <t>16:14:26</t>
  </si>
  <si>
    <t>REC-096-DCIZ-464292</t>
  </si>
  <si>
    <t>16:48:05</t>
  </si>
  <si>
    <t>REC-4202-A16N-8405</t>
  </si>
  <si>
    <t>20201127</t>
  </si>
  <si>
    <t>REC-5762-FE91-449230</t>
  </si>
  <si>
    <t>11:30:37</t>
  </si>
  <si>
    <t>REC-5635-A2YS-27132</t>
  </si>
  <si>
    <t>11:51:21</t>
  </si>
  <si>
    <t>REC-090-9SKJ-449125</t>
  </si>
  <si>
    <t>11:56:28</t>
  </si>
  <si>
    <t>REC-3792-A39T-121290</t>
  </si>
  <si>
    <t>12:01:06</t>
  </si>
  <si>
    <t>REC-008-PB64-386260</t>
  </si>
  <si>
    <t>12:01:49</t>
  </si>
  <si>
    <t>REC-4535-A1SZ-31194</t>
  </si>
  <si>
    <t>12:08:29</t>
  </si>
  <si>
    <t>REC-3520-A1CH-265129</t>
  </si>
  <si>
    <t>12:18:22</t>
  </si>
  <si>
    <t>REC-5221-A543-451861</t>
  </si>
  <si>
    <t>12:44:26</t>
  </si>
  <si>
    <t>REC-3577-A1IU-156356</t>
  </si>
  <si>
    <t>13:45:05</t>
  </si>
  <si>
    <t>REC-2004-CNH2-592200</t>
  </si>
  <si>
    <t>14:51:49</t>
  </si>
  <si>
    <t>REC-3554-PTY2-455909</t>
  </si>
  <si>
    <t>15:04:40</t>
  </si>
  <si>
    <t>REC-609-A3AI-91217</t>
  </si>
  <si>
    <t>REC-011-JVA0-517893</t>
  </si>
  <si>
    <t>15:19:28</t>
  </si>
  <si>
    <t>REC-3371-LD0C-294982</t>
  </si>
  <si>
    <t>15:56:20</t>
  </si>
  <si>
    <t>0918732744001</t>
  </si>
  <si>
    <t>3907682</t>
  </si>
  <si>
    <t>REC-223-B7CD-579973</t>
  </si>
  <si>
    <t>16:18:01</t>
  </si>
  <si>
    <t>REC-3109-TTH2-690404</t>
  </si>
  <si>
    <t>18:20:21</t>
  </si>
  <si>
    <t>REC-5610-A2YJ-13191</t>
  </si>
  <si>
    <t>20:27:11</t>
  </si>
  <si>
    <t>REC-3295-1T8D-176415</t>
  </si>
  <si>
    <t>11:28:51</t>
  </si>
  <si>
    <t>20201126</t>
  </si>
  <si>
    <t>REC-4319-A1H6-21870</t>
  </si>
  <si>
    <t>11:35:11</t>
  </si>
  <si>
    <t>REC-3371-LD0C-294817</t>
  </si>
  <si>
    <t>REC-3994-A5HO-48646</t>
  </si>
  <si>
    <t>REC-3370-A6JI-259550</t>
  </si>
  <si>
    <t>13:35:38</t>
  </si>
  <si>
    <t>REC-5266-A2ED-3012</t>
  </si>
  <si>
    <t>14:00:26</t>
  </si>
  <si>
    <t>REC-223-V7XD-276564</t>
  </si>
  <si>
    <t>15:03:30</t>
  </si>
  <si>
    <t>REC-008-PB65-385083</t>
  </si>
  <si>
    <t>15:21:35</t>
  </si>
  <si>
    <t>REC-096-HG9K-315180</t>
  </si>
  <si>
    <t>15:28:53</t>
  </si>
  <si>
    <t>REC-072-A6LX-210412</t>
  </si>
  <si>
    <t>15:44:26</t>
  </si>
  <si>
    <t>REC-3808-A3Z9-533562</t>
  </si>
  <si>
    <t>16:13:16</t>
  </si>
  <si>
    <t>REC-3371-EFX5-181836</t>
  </si>
  <si>
    <t>16:48:24</t>
  </si>
  <si>
    <t>REC-551-B2PQ-310432</t>
  </si>
  <si>
    <t>16:50:00</t>
  </si>
  <si>
    <t>REC-7451-QPQ1-5601</t>
  </si>
  <si>
    <t>17:37:19</t>
  </si>
  <si>
    <t>REC-7314-A6GU-19926</t>
  </si>
  <si>
    <t>17:49:02</t>
  </si>
  <si>
    <t>REC-223-B7CD-579881</t>
  </si>
  <si>
    <t>19:06:56</t>
  </si>
  <si>
    <t>REC-090-IRFP-592395</t>
  </si>
  <si>
    <t>19:32:37</t>
  </si>
  <si>
    <t>REC-090-IRFP-592396</t>
  </si>
  <si>
    <t>19:32:59</t>
  </si>
  <si>
    <t>REC-3295-1T8D-176355</t>
  </si>
  <si>
    <t>10:36:59</t>
  </si>
  <si>
    <t>20201125</t>
  </si>
  <si>
    <t>REC-3022-A364-131118</t>
  </si>
  <si>
    <t>10:41:37</t>
  </si>
  <si>
    <t>REC-3520-A1CH-264819</t>
  </si>
  <si>
    <t>11:17:17</t>
  </si>
  <si>
    <t>REC-3187-YWS5-610702</t>
  </si>
  <si>
    <t>11:46:07</t>
  </si>
  <si>
    <t>REC-3371-EGEG-256737</t>
  </si>
  <si>
    <t>12:00:04</t>
  </si>
  <si>
    <t>REC-3371-LD0C-294669</t>
  </si>
  <si>
    <t>12:18:48</t>
  </si>
  <si>
    <t>REC-008-PB65-384961</t>
  </si>
  <si>
    <t>12:40:22</t>
  </si>
  <si>
    <t>REC-7456-PR52-1349</t>
  </si>
  <si>
    <t>13:55:38</t>
  </si>
  <si>
    <t>REC-3170-YGVG-327402</t>
  </si>
  <si>
    <t>14:38:46</t>
  </si>
  <si>
    <t>REC-3769-A26U-8885</t>
  </si>
  <si>
    <t>15:11:30</t>
  </si>
  <si>
    <t>REC-008-PB65-384984</t>
  </si>
  <si>
    <t>15:26:35</t>
  </si>
  <si>
    <t>REC-3370-A6JI-259466</t>
  </si>
  <si>
    <t>15:32:22</t>
  </si>
  <si>
    <t>REC-4114-VBW5-413085</t>
  </si>
  <si>
    <t>16:22:55</t>
  </si>
  <si>
    <t>REC-944-LRJW-292372</t>
  </si>
  <si>
    <t>REC-4779-FSG2-416918</t>
  </si>
  <si>
    <t>18:28:39</t>
  </si>
  <si>
    <t>REC-342-EBMO-282876</t>
  </si>
  <si>
    <t>18:30:53</t>
  </si>
  <si>
    <t>REC-096-LIO1-550118</t>
  </si>
  <si>
    <t>19:03:12</t>
  </si>
  <si>
    <t>REC-3095-T359-431573</t>
  </si>
  <si>
    <t>09:34:02</t>
  </si>
  <si>
    <t>20201120</t>
  </si>
  <si>
    <t>0918058579</t>
  </si>
  <si>
    <t>3900643</t>
  </si>
  <si>
    <t>REC-4313-IAI9-290292</t>
  </si>
  <si>
    <t>REC-3200-SAMK-232554</t>
  </si>
  <si>
    <t>10:41:26</t>
  </si>
  <si>
    <t>REC-223-B7CD-578858</t>
  </si>
  <si>
    <t>12:20:30</t>
  </si>
  <si>
    <t>REC-5221-A543-295764</t>
  </si>
  <si>
    <t>12:35:57</t>
  </si>
  <si>
    <t>0922018239</t>
  </si>
  <si>
    <t>3903173</t>
  </si>
  <si>
    <t>REC-3260-CTO1-296804</t>
  </si>
  <si>
    <t>13:06:23</t>
  </si>
  <si>
    <t>REC-7839-LV76-211</t>
  </si>
  <si>
    <t>13:13:30</t>
  </si>
  <si>
    <t>REC-011-JVA0-517217</t>
  </si>
  <si>
    <t>13:35:18</t>
  </si>
  <si>
    <t>REC-011-JVA0-517218</t>
  </si>
  <si>
    <t>REC-3187-A2UE-48144</t>
  </si>
  <si>
    <t>13:44:28</t>
  </si>
  <si>
    <t>REC-944-KDUZ-256386</t>
  </si>
  <si>
    <t>REC-3422-A25Y-99914</t>
  </si>
  <si>
    <t>15:28:33</t>
  </si>
  <si>
    <t>at-3185</t>
  </si>
  <si>
    <t>REC-4164-A1LY-138357</t>
  </si>
  <si>
    <t>15:38:13</t>
  </si>
  <si>
    <t>REC-4164-A19X-159738</t>
  </si>
  <si>
    <t>REC-3747-BBT1-306261</t>
  </si>
  <si>
    <t>17:21:24</t>
  </si>
  <si>
    <t>REC-3187-A2UE-48199</t>
  </si>
  <si>
    <t>REC-3095-T359-431681</t>
  </si>
  <si>
    <t>17:38:15</t>
  </si>
  <si>
    <t>REC-4721-A1WI-11607</t>
  </si>
  <si>
    <t>17:57:06</t>
  </si>
  <si>
    <t>REC-4010-LOP1-308263</t>
  </si>
  <si>
    <t>18:45:48</t>
  </si>
  <si>
    <t>REC-3187-A2UB-159378</t>
  </si>
  <si>
    <t>10:00:42</t>
  </si>
  <si>
    <t>20201119</t>
  </si>
  <si>
    <t>0931089494</t>
  </si>
  <si>
    <t>3900448</t>
  </si>
  <si>
    <t>REC-3510-A4F9-246008</t>
  </si>
  <si>
    <t>10:04:13</t>
  </si>
  <si>
    <t>REC-165-LOA2-158654</t>
  </si>
  <si>
    <t>10:10:55</t>
  </si>
  <si>
    <t>REC-3978-LUO2-267025</t>
  </si>
  <si>
    <t>11:12:25</t>
  </si>
  <si>
    <t>REC-536-2GEZ-349211</t>
  </si>
  <si>
    <t>12:25:21</t>
  </si>
  <si>
    <t>REC-3792-A39T-120603</t>
  </si>
  <si>
    <t>13:13:17</t>
  </si>
  <si>
    <t>0930114467</t>
  </si>
  <si>
    <t>3908695</t>
  </si>
  <si>
    <t>REC-7767-SS88-273537</t>
  </si>
  <si>
    <t>14:09:47</t>
  </si>
  <si>
    <t>REC-3170-YGVG-326945</t>
  </si>
  <si>
    <t>14:29:39</t>
  </si>
  <si>
    <t>0924150733</t>
  </si>
  <si>
    <t>3907874</t>
  </si>
  <si>
    <t>REC-095-AJSE-674552</t>
  </si>
  <si>
    <t>REC-3187-YWS5-610214</t>
  </si>
  <si>
    <t>15:57:49</t>
  </si>
  <si>
    <t>REC-096-HG9K-314707</t>
  </si>
  <si>
    <t>15:58:33</t>
  </si>
  <si>
    <t>REC-3109-TTH2-689667</t>
  </si>
  <si>
    <t>16:05:01</t>
  </si>
  <si>
    <t>REC-008-PB64-385867</t>
  </si>
  <si>
    <t>16:21:34</t>
  </si>
  <si>
    <t>REC-3027-M9QK-136001</t>
  </si>
  <si>
    <t>17:16:01</t>
  </si>
  <si>
    <t>REC-944-ZF9M-203733</t>
  </si>
  <si>
    <t>17:47:26</t>
  </si>
  <si>
    <t>REC-609-A1M3-325325</t>
  </si>
  <si>
    <t>REC-609-A1M3-325329</t>
  </si>
  <si>
    <t>17:52:01</t>
  </si>
  <si>
    <t>REC-072-AJ3R-252554</t>
  </si>
  <si>
    <t>10:03:47</t>
  </si>
  <si>
    <t>20201118</t>
  </si>
  <si>
    <t>REC-3109-TTH2-689475</t>
  </si>
  <si>
    <t>10:04:22</t>
  </si>
  <si>
    <t>REC-4235-A1BQ-29382</t>
  </si>
  <si>
    <t>10:36:29</t>
  </si>
  <si>
    <t>REC-3808-A3Z9-533022</t>
  </si>
  <si>
    <t>10:36:32</t>
  </si>
  <si>
    <t>REC-245-BEJI-672494</t>
  </si>
  <si>
    <t>10:51:27</t>
  </si>
  <si>
    <t>REC-045-VMU0-348060</t>
  </si>
  <si>
    <t>11:04:13</t>
  </si>
  <si>
    <t>REC-4240-A1LP-406153</t>
  </si>
  <si>
    <t>11:19:05</t>
  </si>
  <si>
    <t>REC-3095-T359-431393</t>
  </si>
  <si>
    <t>11:27:58</t>
  </si>
  <si>
    <t>REC-090-IRFP-591520</t>
  </si>
  <si>
    <t>REC-4164-A19P-160607</t>
  </si>
  <si>
    <t>REC-3022-A364-130666</t>
  </si>
  <si>
    <t>REC-609-A3AI-90452</t>
  </si>
  <si>
    <t>12:22:35</t>
  </si>
  <si>
    <t>REC-223-V7XD-275528</t>
  </si>
  <si>
    <t>13:36:24</t>
  </si>
  <si>
    <t>REC-4963-A3A0-246632</t>
  </si>
  <si>
    <t>14:17:21</t>
  </si>
  <si>
    <t>REC-3301-CTQ4-247526</t>
  </si>
  <si>
    <t>REC-5310-Z4YZ-248514</t>
  </si>
  <si>
    <t>14:56:13</t>
  </si>
  <si>
    <t>REC-096-HG9K-314674</t>
  </si>
  <si>
    <t>REC-5243-A2DR-13760</t>
  </si>
  <si>
    <t>16:06:32</t>
  </si>
  <si>
    <t>3902133</t>
  </si>
  <si>
    <t>REC-3172-LIO6-129362</t>
  </si>
  <si>
    <t>16:08:26</t>
  </si>
  <si>
    <t>REC-3808-A3Z9-533074</t>
  </si>
  <si>
    <t>16:29:02</t>
  </si>
  <si>
    <t>0918941055</t>
  </si>
  <si>
    <t>3902149</t>
  </si>
  <si>
    <t>REC-046-A3YA-118353</t>
  </si>
  <si>
    <t>16:41:40</t>
  </si>
  <si>
    <t>REC-3370-A6JI-258684</t>
  </si>
  <si>
    <t>17:10:04</t>
  </si>
  <si>
    <t>REC-4352-A194-48343</t>
  </si>
  <si>
    <t>17:41:27</t>
  </si>
  <si>
    <t>REC-3172-YIHD-250771</t>
  </si>
  <si>
    <t>18:20:50</t>
  </si>
  <si>
    <t>REC-3187-A2UE-48040</t>
  </si>
  <si>
    <t>19:41:52</t>
  </si>
  <si>
    <t>REC-7433-PR32-197934</t>
  </si>
  <si>
    <t>07:24:49</t>
  </si>
  <si>
    <t>20201117</t>
  </si>
  <si>
    <t>REC-551-VOIB-551259</t>
  </si>
  <si>
    <t>08:02:36</t>
  </si>
  <si>
    <t>REC-5287-A605-199361</t>
  </si>
  <si>
    <t>08:55:33</t>
  </si>
  <si>
    <t>REC-3172-LIO3-76214</t>
  </si>
  <si>
    <t>10:06:03</t>
  </si>
  <si>
    <t>REC-5206-A2D9-13411</t>
  </si>
  <si>
    <t>10:27:44</t>
  </si>
  <si>
    <t>REC-536-TDSM-152419</t>
  </si>
  <si>
    <t>11:06:45</t>
  </si>
  <si>
    <t>REC-5987-GFL4-206465</t>
  </si>
  <si>
    <t>11:16:30</t>
  </si>
  <si>
    <t>REC-5680-XTE2-2215</t>
  </si>
  <si>
    <t>11:57:47</t>
  </si>
  <si>
    <t>REC-3095-T359-431267</t>
  </si>
  <si>
    <t>REC-4164-A19X-159385</t>
  </si>
  <si>
    <t>12:36:12</t>
  </si>
  <si>
    <t>REC-355-N45U-567817</t>
  </si>
  <si>
    <t>12:50:00</t>
  </si>
  <si>
    <t>REC-3412-PTE5-210796</t>
  </si>
  <si>
    <t>12:52:51</t>
  </si>
  <si>
    <t>REC-5310-Z4YZ-210833</t>
  </si>
  <si>
    <t>12:53:13</t>
  </si>
  <si>
    <t>at-3182</t>
  </si>
  <si>
    <t>0909753998</t>
  </si>
  <si>
    <t>3920056</t>
  </si>
  <si>
    <t>REC-4963-A3A0-211306</t>
  </si>
  <si>
    <t>13:04:01</t>
  </si>
  <si>
    <t>0911226652</t>
  </si>
  <si>
    <t>3908863</t>
  </si>
  <si>
    <t>REC-5310-Z4YZ-211522</t>
  </si>
  <si>
    <t>REC-348-1R2Q-446578</t>
  </si>
  <si>
    <t>13:57:27</t>
  </si>
  <si>
    <t>REC-4717-FRZ4-213902</t>
  </si>
  <si>
    <t>14:11:34</t>
  </si>
  <si>
    <t>REC-011-JVA0-516856</t>
  </si>
  <si>
    <t>14:16:10</t>
  </si>
  <si>
    <t>REC-011-JVA0-516859</t>
  </si>
  <si>
    <t>14:22:16</t>
  </si>
  <si>
    <t>REC-3187-A2UE-47871</t>
  </si>
  <si>
    <t>14:46:41</t>
  </si>
  <si>
    <t>REC-223-V7XD-275351</t>
  </si>
  <si>
    <t>14:55:15</t>
  </si>
  <si>
    <t>REC-7641-ATR1-1248</t>
  </si>
  <si>
    <t>15:09:35</t>
  </si>
  <si>
    <t>REC-4278-IOI5-217685</t>
  </si>
  <si>
    <t>15:45:05</t>
  </si>
  <si>
    <t>REC-061-A1AW-57376</t>
  </si>
  <si>
    <t>16:07:53</t>
  </si>
  <si>
    <t>REC-536-2GEZ-349030</t>
  </si>
  <si>
    <t>16:10:36</t>
  </si>
  <si>
    <t>REC-3022-A364-130650</t>
  </si>
  <si>
    <t>18:16:39</t>
  </si>
  <si>
    <t>REC-536-2GEZ-349066</t>
  </si>
  <si>
    <t>18:22:18</t>
  </si>
  <si>
    <t>REC-5310-Z4YZ-225577</t>
  </si>
  <si>
    <t>20:09:36</t>
  </si>
  <si>
    <t>REC-090-IRFP-591354</t>
  </si>
  <si>
    <t>19:14:12</t>
  </si>
  <si>
    <t>20201116</t>
  </si>
  <si>
    <t>REC-090-IRFP-591355</t>
  </si>
  <si>
    <t>19:14:43</t>
  </si>
  <si>
    <t>REC-342-EBMO-281748</t>
  </si>
  <si>
    <t>10:35:39</t>
  </si>
  <si>
    <t>REC-3520-A1CH-263601</t>
  </si>
  <si>
    <t>11:03:14</t>
  </si>
  <si>
    <t>REC-3182-YQHD-271451</t>
  </si>
  <si>
    <t>11:15:38</t>
  </si>
  <si>
    <t>REC-090-9SKJ-447756</t>
  </si>
  <si>
    <t>11:56:48</t>
  </si>
  <si>
    <t>REC-3161-KURB-436095</t>
  </si>
  <si>
    <t>REC-536-2GEZ-348844</t>
  </si>
  <si>
    <t>12:11:54</t>
  </si>
  <si>
    <t>REC-609-A3AI-90266</t>
  </si>
  <si>
    <t>12:28:09</t>
  </si>
  <si>
    <t>0911221414</t>
  </si>
  <si>
    <t>3907006</t>
  </si>
  <si>
    <t>REC-518-RI71-184783</t>
  </si>
  <si>
    <t>13:20:34</t>
  </si>
  <si>
    <t>REC-7731-SS58-351</t>
  </si>
  <si>
    <t>13:49:36</t>
  </si>
  <si>
    <t>REC-072-AJ3R-252350</t>
  </si>
  <si>
    <t>14:51:32</t>
  </si>
  <si>
    <t>REC-3422-A3IU-635627</t>
  </si>
  <si>
    <t>14:55:49</t>
  </si>
  <si>
    <t>REC-944-PR10-428271</t>
  </si>
  <si>
    <t>15:09:15</t>
  </si>
  <si>
    <t>REC-3187-A2UE-47787</t>
  </si>
  <si>
    <t>15:39:41</t>
  </si>
  <si>
    <t>REC-3095-T359-431177</t>
  </si>
  <si>
    <t>16:07:43</t>
  </si>
  <si>
    <t>REC-7451-QPQ1-5063</t>
  </si>
  <si>
    <t>18:03:16</t>
  </si>
  <si>
    <t>REC-027-AJSJ-563150</t>
  </si>
  <si>
    <t>18:09:19</t>
  </si>
  <si>
    <t>REC-223-B7CD-577972</t>
  </si>
  <si>
    <t>09:53:10</t>
  </si>
  <si>
    <t>20201115</t>
  </si>
  <si>
    <t>0993112712001</t>
  </si>
  <si>
    <t>3909218</t>
  </si>
  <si>
    <t>REC-4164-A1LY-137926</t>
  </si>
  <si>
    <t>13:14:42</t>
  </si>
  <si>
    <t>0912835972</t>
  </si>
  <si>
    <t>3909132</t>
  </si>
  <si>
    <t>REC-3371-LD0C-293395</t>
  </si>
  <si>
    <t>17:42:46</t>
  </si>
  <si>
    <t>REC-3161-KURB-435865</t>
  </si>
  <si>
    <t>09:18:25</t>
  </si>
  <si>
    <t>20201114</t>
  </si>
  <si>
    <t>REC-944-LRJW-291721</t>
  </si>
  <si>
    <t>09:52:10</t>
  </si>
  <si>
    <t>REC-3201-Y46O-425680</t>
  </si>
  <si>
    <t>10:59:24</t>
  </si>
  <si>
    <t>REC-3808-A3Z9-532681</t>
  </si>
  <si>
    <t>REC-551-VOI8-609599</t>
  </si>
  <si>
    <t>13:23:47</t>
  </si>
  <si>
    <t>REC-3175-A3LN-135142</t>
  </si>
  <si>
    <t>14:02:18</t>
  </si>
  <si>
    <t>REC-609-A1M3-324799</t>
  </si>
  <si>
    <t>14:06:36</t>
  </si>
  <si>
    <t>at-3178</t>
  </si>
  <si>
    <t>REC-3360-IPEN-230473</t>
  </si>
  <si>
    <t>14:57:14</t>
  </si>
  <si>
    <t>REC-5635-A2YS-25751</t>
  </si>
  <si>
    <t>REC-223-V7XD-275020</t>
  </si>
  <si>
    <t>18:50:28</t>
  </si>
  <si>
    <t>REC-223-V7XD-275021</t>
  </si>
  <si>
    <t>18:50:49</t>
  </si>
  <si>
    <t>REC-3172-LIO6-128994</t>
  </si>
  <si>
    <t>19:52:41</t>
  </si>
  <si>
    <t>REC-3301-CTQ4-114069</t>
  </si>
  <si>
    <t>09:51:24</t>
  </si>
  <si>
    <t>20201113</t>
  </si>
  <si>
    <t>0916619042</t>
  </si>
  <si>
    <t>3960360</t>
  </si>
  <si>
    <t>REC-944-PR10-428063</t>
  </si>
  <si>
    <t>0900168378</t>
  </si>
  <si>
    <t>3908216</t>
  </si>
  <si>
    <t>REC-3172-YIGY-281110</t>
  </si>
  <si>
    <t>11:52:02</t>
  </si>
  <si>
    <t>REC-355-J4YM-674894</t>
  </si>
  <si>
    <t>11:57:03</t>
  </si>
  <si>
    <t>REC-048-AFEP-247389</t>
  </si>
  <si>
    <t>12:55:39</t>
  </si>
  <si>
    <t>REC-043-HXVM-324431</t>
  </si>
  <si>
    <t>13:22:30</t>
  </si>
  <si>
    <t>REC-4190-A11N-1471747</t>
  </si>
  <si>
    <t>13:58:25</t>
  </si>
  <si>
    <t>0993031542001</t>
  </si>
  <si>
    <t>3902190</t>
  </si>
  <si>
    <t>REC-008-PB65-383690</t>
  </si>
  <si>
    <t>14:24:08</t>
  </si>
  <si>
    <t>REC-090-9SKJ-447399</t>
  </si>
  <si>
    <t>14:36:25</t>
  </si>
  <si>
    <t>REC-609-A1M3-324698</t>
  </si>
  <si>
    <t>14:53:14</t>
  </si>
  <si>
    <t>REC-3295-1T8E-230498</t>
  </si>
  <si>
    <t>14:55:16</t>
  </si>
  <si>
    <t>REC-4313-IAI9-126107</t>
  </si>
  <si>
    <t>14:57:08</t>
  </si>
  <si>
    <t>REC-5635-A2YS-25654</t>
  </si>
  <si>
    <t>17:52:23</t>
  </si>
  <si>
    <t>REC-5152-A440-134814</t>
  </si>
  <si>
    <t>19:54:09</t>
  </si>
  <si>
    <t>REC-4257-A221-128966</t>
  </si>
  <si>
    <t>09:09:24</t>
  </si>
  <si>
    <t>20201112</t>
  </si>
  <si>
    <t>REC-4164-A19X-158875</t>
  </si>
  <si>
    <t>10:21:38</t>
  </si>
  <si>
    <t>REC-3187-YWS5-609608</t>
  </si>
  <si>
    <t>REC-7438-RR76-1759</t>
  </si>
  <si>
    <t>11:57:36</t>
  </si>
  <si>
    <t>REC-241-BEJD-575477</t>
  </si>
  <si>
    <t>12:22:02</t>
  </si>
  <si>
    <t>0201307980</t>
  </si>
  <si>
    <t>3903541</t>
  </si>
  <si>
    <t>REC-611-HYM3-101815</t>
  </si>
  <si>
    <t>REC-4257-A221-129047</t>
  </si>
  <si>
    <t>14:33:04</t>
  </si>
  <si>
    <t>REC-3172-LIO5-570498</t>
  </si>
  <si>
    <t>14:38:13</t>
  </si>
  <si>
    <t>REC-223-B7CD-577561</t>
  </si>
  <si>
    <t>15:21:42</t>
  </si>
  <si>
    <t>REC-3187-A2UB-158802</t>
  </si>
  <si>
    <t>16:48:20</t>
  </si>
  <si>
    <t>REC-5310-Z4YZ-107605</t>
  </si>
  <si>
    <t>18:26:06</t>
  </si>
  <si>
    <t>REC-3095-T359-430513</t>
  </si>
  <si>
    <t>09:50:58</t>
  </si>
  <si>
    <t>20201111</t>
  </si>
  <si>
    <t>REC-810-5CAY-433092</t>
  </si>
  <si>
    <t>09:56:43</t>
  </si>
  <si>
    <t>REC-3200-SAMK-231895</t>
  </si>
  <si>
    <t>11:26:29</t>
  </si>
  <si>
    <t>0915310155</t>
  </si>
  <si>
    <t>3903634</t>
  </si>
  <si>
    <t>REC-3514-TUT2-69548</t>
  </si>
  <si>
    <t>12:55:30</t>
  </si>
  <si>
    <t>REC-536-TDSM-152014</t>
  </si>
  <si>
    <t>14:21:51</t>
  </si>
  <si>
    <t>REC-3392-A39W-413847</t>
  </si>
  <si>
    <t>15:15:27</t>
  </si>
  <si>
    <t>REC-3187-A2UB-158673</t>
  </si>
  <si>
    <t>15:26:54</t>
  </si>
  <si>
    <t>REC-613-BK8R-426946</t>
  </si>
  <si>
    <t>16:42:50</t>
  </si>
  <si>
    <t>REC-4824-FSL1-80797</t>
  </si>
  <si>
    <t>18:14:25</t>
  </si>
  <si>
    <t>REC-3370-A6JI-257754</t>
  </si>
  <si>
    <t>18:30:17</t>
  </si>
  <si>
    <t>REC-3371-EFX5-180271</t>
  </si>
  <si>
    <t>18:46:20</t>
  </si>
  <si>
    <t>REC-4395-DAB3-82454</t>
  </si>
  <si>
    <t>19:22:42</t>
  </si>
  <si>
    <t>REC-5310-Z4YZ-31111</t>
  </si>
  <si>
    <t>09:08:15</t>
  </si>
  <si>
    <t>20201110</t>
  </si>
  <si>
    <t>REC-3029-M9QW-187428</t>
  </si>
  <si>
    <t>10:33:25</t>
  </si>
  <si>
    <t>REC-7545-PS31-2652</t>
  </si>
  <si>
    <t>11:37:03</t>
  </si>
  <si>
    <t>REC-536-2GEZ-348157</t>
  </si>
  <si>
    <t>11:51:27</t>
  </si>
  <si>
    <t>REC-7353-RR05-815</t>
  </si>
  <si>
    <t>12:57:51</t>
  </si>
  <si>
    <t>REC-4301-IAI1-42695</t>
  </si>
  <si>
    <t>13:07:54</t>
  </si>
  <si>
    <t>REC-3577-A26V-530808</t>
  </si>
  <si>
    <t>13:54:42</t>
  </si>
  <si>
    <t>REC-611-HYM3-101655</t>
  </si>
  <si>
    <t>14:32:30</t>
  </si>
  <si>
    <t>REC-3187-A2UB-158560</t>
  </si>
  <si>
    <t>0928677194</t>
  </si>
  <si>
    <t>3930289</t>
  </si>
  <si>
    <t>REC-5310-Z4YZ-50587</t>
  </si>
  <si>
    <t>16:34:44</t>
  </si>
  <si>
    <t>REC-4654-ART3-56014</t>
  </si>
  <si>
    <t>REC-4620-A1TY-1277</t>
  </si>
  <si>
    <t>20201109</t>
  </si>
  <si>
    <t>REC-5539-A2WC-424304</t>
  </si>
  <si>
    <t>10:50:17</t>
  </si>
  <si>
    <t>REC-7314-A6GU-18350</t>
  </si>
  <si>
    <t>11:26:08</t>
  </si>
  <si>
    <t>REC-348-1R2Q-445770</t>
  </si>
  <si>
    <t>12:00:08</t>
  </si>
  <si>
    <t>REC-4319-1AH9-7186</t>
  </si>
  <si>
    <t>12:03:22</t>
  </si>
  <si>
    <t>REC-3577-A1IU-154639</t>
  </si>
  <si>
    <t>12:14:54</t>
  </si>
  <si>
    <t>REC-3371-LD0C-292530</t>
  </si>
  <si>
    <t>13:05:18</t>
  </si>
  <si>
    <t>REC-355-J4YM-674451</t>
  </si>
  <si>
    <t>13:15:24</t>
  </si>
  <si>
    <t>REC-3295-1T8E-230136</t>
  </si>
  <si>
    <t>14:48:22</t>
  </si>
  <si>
    <t>REC-4303-IAI3-16990</t>
  </si>
  <si>
    <t>15:11:06</t>
  </si>
  <si>
    <t>REC-3187-YWS5-609337</t>
  </si>
  <si>
    <t>16:04:27</t>
  </si>
  <si>
    <t>REC-241-BEJD-575220</t>
  </si>
  <si>
    <t>16:08:39</t>
  </si>
  <si>
    <t>REC-3520-A1CH-262843</t>
  </si>
  <si>
    <t>16:21:15</t>
  </si>
  <si>
    <t>REC-3792-A24Z-561355</t>
  </si>
  <si>
    <t>17:16:30</t>
  </si>
  <si>
    <t>REC-4966-A3Z7-24758</t>
  </si>
  <si>
    <t>18:05:08</t>
  </si>
  <si>
    <t>REC-245-BEJI-671231</t>
  </si>
  <si>
    <t>18:09:49</t>
  </si>
  <si>
    <t>REC-904-KZH3-415572</t>
  </si>
  <si>
    <t>18:13:29</t>
  </si>
  <si>
    <t>REC-355-N45U-566814</t>
  </si>
  <si>
    <t>10:50:08</t>
  </si>
  <si>
    <t>20201108</t>
  </si>
  <si>
    <t>REC-223-B7CD-576890</t>
  </si>
  <si>
    <t>11:30:02</t>
  </si>
  <si>
    <t>REC-3371-LD0C-292400</t>
  </si>
  <si>
    <t>16:34:13</t>
  </si>
  <si>
    <t>REC-072-TTF1-320144</t>
  </si>
  <si>
    <t>16:37:31</t>
  </si>
  <si>
    <t>REC-3371-LD0C-292430</t>
  </si>
  <si>
    <t>17:33:33</t>
  </si>
  <si>
    <t>REC-3611-AAD1-972420</t>
  </si>
  <si>
    <t>10:20:44</t>
  </si>
  <si>
    <t>20201107</t>
  </si>
  <si>
    <t>REC-4164-A19X-158512</t>
  </si>
  <si>
    <t>11:01:53</t>
  </si>
  <si>
    <t>REC-944-ZF9M-202769</t>
  </si>
  <si>
    <t>11:32:48</t>
  </si>
  <si>
    <t>0919591594</t>
  </si>
  <si>
    <t>3907298</t>
  </si>
  <si>
    <t>REC-2004-CNH2-590200</t>
  </si>
  <si>
    <t>12:46:05</t>
  </si>
  <si>
    <t>REC-096-LIO1-548370</t>
  </si>
  <si>
    <t>REC-223-B7CD-576804</t>
  </si>
  <si>
    <t>14:10:30</t>
  </si>
  <si>
    <t>REC-543-U5H7-568287</t>
  </si>
  <si>
    <t>15:50:32</t>
  </si>
  <si>
    <t>0940336274</t>
  </si>
  <si>
    <t>3908353</t>
  </si>
  <si>
    <t>REC-609-A3AI-89530</t>
  </si>
  <si>
    <t>16:17:37</t>
  </si>
  <si>
    <t>REC-2004-CNH2-590040</t>
  </si>
  <si>
    <t>09:00:18</t>
  </si>
  <si>
    <t>20201106</t>
  </si>
  <si>
    <t>REC-518-RI71-184169</t>
  </si>
  <si>
    <t>09:34:58</t>
  </si>
  <si>
    <t>REC-810-5CAY-432645</t>
  </si>
  <si>
    <t>09:37:38</t>
  </si>
  <si>
    <t>REC-5987-GFL4-942837</t>
  </si>
  <si>
    <t>10:05:48</t>
  </si>
  <si>
    <t>REC-5117-A283-5103</t>
  </si>
  <si>
    <t>10:17:44</t>
  </si>
  <si>
    <t>REC-3172-LIO5-570101</t>
  </si>
  <si>
    <t>10:49:20</t>
  </si>
  <si>
    <t>REC-613-BK8R-426665</t>
  </si>
  <si>
    <t>11:03:01</t>
  </si>
  <si>
    <t>REC-4963-A3A0-946329</t>
  </si>
  <si>
    <t>11:03:17</t>
  </si>
  <si>
    <t>REC-5594-A1BC-15743</t>
  </si>
  <si>
    <t>11:07:07</t>
  </si>
  <si>
    <t>REC-6471-KF11-2895</t>
  </si>
  <si>
    <t>3906037</t>
  </si>
  <si>
    <t>REC-048-QNCI-631012</t>
  </si>
  <si>
    <t>15:07:52</t>
  </si>
  <si>
    <t>REC-045-VMU0-346907</t>
  </si>
  <si>
    <t>REC-3295-1T8D-174995</t>
  </si>
  <si>
    <t>17:47:11</t>
  </si>
  <si>
    <t>REC-536-2GEZ-347937</t>
  </si>
  <si>
    <t>REC-536-2GEZ-347957</t>
  </si>
  <si>
    <t>19:47:07</t>
  </si>
  <si>
    <t>0920192648</t>
  </si>
  <si>
    <t>3907539</t>
  </si>
  <si>
    <t>REC-551-VOI9-570367</t>
  </si>
  <si>
    <t>09:27:27</t>
  </si>
  <si>
    <t>20201105</t>
  </si>
  <si>
    <t>REC-3360-IPEN-229736</t>
  </si>
  <si>
    <t>10:47:01</t>
  </si>
  <si>
    <t>REC-4190-A13K-386905</t>
  </si>
  <si>
    <t>REC-3577-A26V-530195</t>
  </si>
  <si>
    <t>11:35:59</t>
  </si>
  <si>
    <t>REC-7057-A66Z-11916</t>
  </si>
  <si>
    <t>11:39:47</t>
  </si>
  <si>
    <t>REC-3172-LIO4-243364</t>
  </si>
  <si>
    <t>12:19:12</t>
  </si>
  <si>
    <t>REC-223-V7XD-273798</t>
  </si>
  <si>
    <t>REC-3422-A3IU-634487</t>
  </si>
  <si>
    <t>13:01:59</t>
  </si>
  <si>
    <t>REC-3412-PTE5-918062</t>
  </si>
  <si>
    <t>13:03:47</t>
  </si>
  <si>
    <t>REC-3422-A3IU-634491</t>
  </si>
  <si>
    <t>13:13:15</t>
  </si>
  <si>
    <t>REC-3172-LIO3-75420</t>
  </si>
  <si>
    <t>14:12:39</t>
  </si>
  <si>
    <t>REC-245-BEJI-670666</t>
  </si>
  <si>
    <t>15:47:51</t>
  </si>
  <si>
    <t>REC-3371-EFX5-179584</t>
  </si>
  <si>
    <t>16:05:25</t>
  </si>
  <si>
    <t>REC-3200-SAMD-276306</t>
  </si>
  <si>
    <t>17:27:23</t>
  </si>
  <si>
    <t>REC-3182-YQHE-240582</t>
  </si>
  <si>
    <t>17:31:00</t>
  </si>
  <si>
    <t>REC-3187-A2UB-158143</t>
  </si>
  <si>
    <t>17:53:36</t>
  </si>
  <si>
    <t>REC-5310-Z4YZ-934083</t>
  </si>
  <si>
    <t>18:41:55</t>
  </si>
  <si>
    <t>REC-3676-AAK8-934973</t>
  </si>
  <si>
    <t>19:16:40</t>
  </si>
  <si>
    <t>REC-3187-A2UE-46680</t>
  </si>
  <si>
    <t>19:31:55</t>
  </si>
  <si>
    <t>REC-678-3V18-573115</t>
  </si>
  <si>
    <t>09:23:03</t>
  </si>
  <si>
    <t>20201104</t>
  </si>
  <si>
    <t>REC-3697-AAO3-870090</t>
  </si>
  <si>
    <t>10:58:59</t>
  </si>
  <si>
    <t>REC-3170-YGVG-325406</t>
  </si>
  <si>
    <t>11:09:30</t>
  </si>
  <si>
    <t>REC-3295-1T8A-210545</t>
  </si>
  <si>
    <t>11:15:33</t>
  </si>
  <si>
    <t>REC-4301-IAI1-871844</t>
  </si>
  <si>
    <t>11:21:40</t>
  </si>
  <si>
    <t>REC-944-LRJW-291136</t>
  </si>
  <si>
    <t>12:01:57</t>
  </si>
  <si>
    <t>REC-342-EBMO-280270</t>
  </si>
  <si>
    <t>12:16:56</t>
  </si>
  <si>
    <t>REC-3187-A2UB-157927</t>
  </si>
  <si>
    <t>REC-5328-A640-877837</t>
  </si>
  <si>
    <t>13:22:12</t>
  </si>
  <si>
    <t>REC-3187-YWS5-608773</t>
  </si>
  <si>
    <t>14:07:23</t>
  </si>
  <si>
    <t>REC-3187-A2UE-46491</t>
  </si>
  <si>
    <t>15:23:54</t>
  </si>
  <si>
    <t>REC-3710-AAP7-884983</t>
  </si>
  <si>
    <t>15:34:53</t>
  </si>
  <si>
    <t>REC-4963-A3A0-886938</t>
  </si>
  <si>
    <t>REC-3371-EGEG-254654</t>
  </si>
  <si>
    <t>16:14:04</t>
  </si>
  <si>
    <t>REC-049-A2U2-53272</t>
  </si>
  <si>
    <t>16:16:05</t>
  </si>
  <si>
    <t>REC-048-QNCI-630785</t>
  </si>
  <si>
    <t>16:30:04</t>
  </si>
  <si>
    <t>REC-5635-A2YS-24787</t>
  </si>
  <si>
    <t>16:46:09</t>
  </si>
  <si>
    <t>REC-027-AJSJ-562129</t>
  </si>
  <si>
    <t>17:13:53</t>
  </si>
  <si>
    <t>REC-5585-RQ83-20200</t>
  </si>
  <si>
    <t>18:19:56</t>
  </si>
  <si>
    <t>REC-3747-BBT1-895692</t>
  </si>
  <si>
    <t>19:15:14</t>
  </si>
  <si>
    <t>REC-4963-A3A0-847845</t>
  </si>
  <si>
    <t>20201103</t>
  </si>
  <si>
    <t>REC-3187-YWS5-608672</t>
  </si>
  <si>
    <t>10:50:28</t>
  </si>
  <si>
    <t>REC-5585-A2XB-66870</t>
  </si>
  <si>
    <t>12:22:03</t>
  </si>
  <si>
    <t>REC-609-A3AI-89002</t>
  </si>
  <si>
    <t>12:46:19</t>
  </si>
  <si>
    <t>REC-944-PR10-427392</t>
  </si>
  <si>
    <t>12:53:44</t>
  </si>
  <si>
    <t>REC-609-A3AI-89006</t>
  </si>
  <si>
    <t>12:55:46</t>
  </si>
  <si>
    <t>REC-4963-A3A0-833787</t>
  </si>
  <si>
    <t>10:12:41</t>
  </si>
  <si>
    <t>20201102</t>
  </si>
  <si>
    <t>REC-5762-FE91-834168</t>
  </si>
  <si>
    <t>10:26:46</t>
  </si>
  <si>
    <t>REC-3792-A39T-118667</t>
  </si>
  <si>
    <t>11:09:59</t>
  </si>
  <si>
    <t>REC-5502-A2W2-2375</t>
  </si>
  <si>
    <t>11:13:19</t>
  </si>
  <si>
    <t>REC-3175-A3LN-133670</t>
  </si>
  <si>
    <t>REC-3784-ATA2-180393</t>
  </si>
  <si>
    <t>12:38:23</t>
  </si>
  <si>
    <t>REC-090-9SKJ-445652</t>
  </si>
  <si>
    <t>13:02:03</t>
  </si>
  <si>
    <t>REC-663-CU33-1473100</t>
  </si>
  <si>
    <t>13:29:44</t>
  </si>
  <si>
    <t>REC-3023-IZCF-577363</t>
  </si>
  <si>
    <t>1712482304</t>
  </si>
  <si>
    <t>3930275</t>
  </si>
  <si>
    <t>REC-3370-A6JI-256648</t>
  </si>
  <si>
    <t>REC-3371-EGEG-254452</t>
  </si>
  <si>
    <t>15:16:24</t>
  </si>
  <si>
    <t>REC-7314-A6GU-17766</t>
  </si>
  <si>
    <t>18:24:22</t>
  </si>
  <si>
    <t>REC-096-LIO1-547838</t>
  </si>
  <si>
    <t>18:41:00</t>
  </si>
  <si>
    <t>REC-096-LIO1-547662</t>
  </si>
  <si>
    <t>11:03:12</t>
  </si>
  <si>
    <t>20201101</t>
  </si>
  <si>
    <t>REC-7492-A6NE-4739</t>
  </si>
  <si>
    <t>14:12:21</t>
  </si>
  <si>
    <t>REC-3371-EGEG-254342</t>
  </si>
  <si>
    <t>15:01:13</t>
  </si>
  <si>
    <t>REC-4960-A1QG-94940</t>
  </si>
  <si>
    <t>16:27:36</t>
  </si>
  <si>
    <t>REC-4963-A3A0-829344</t>
  </si>
  <si>
    <t>16:32:48</t>
  </si>
  <si>
    <t>REC-7492-A6NE-4748</t>
  </si>
  <si>
    <t>18:14:20</t>
  </si>
  <si>
    <t>WESTERN UNION MES DE NOVIEMBRE</t>
  </si>
  <si>
    <t>SALDO SEGÚN ESTADO DE CUENTA AL 30 DE NOVIEMBRE DEL 2020</t>
  </si>
  <si>
    <t>SALDO SEGÚN LIBRO BANCOS AL 30 DE NOVIEMBRE DEL 2020</t>
  </si>
  <si>
    <t>N/D PACIFICO ROLES DE PAGO 2DA QUINCENA MES DE NOV 2020</t>
  </si>
  <si>
    <t>N/D PACIFICO CANCELACIÓN DE FACTURA#425 A BAQUERIZO DAVILA PABLO</t>
  </si>
  <si>
    <t>N/D PACIFICO CANCELACIÓN DE FACTURA#107 ESTUPIÑAN ANDRADE FRANCISCO JAVIER</t>
  </si>
  <si>
    <t>N/D PACIFICO CANCELACIÓN DE FACTURA#132 BAQUE BAQUE BYRON PAUL Y MOVILIZACIÓN POR INSTALACIÓN TRONCAL SIP CLIENTE FERPACIFIC S.A.</t>
  </si>
  <si>
    <t>GASTO BANCARIO PACIFICO #2307219-07298-2296892-96823-95490-95576-89942-89835-88775-88682-87782-87705-86549-86624-84928-85059-82867-82985-81576-81699-80543-80639-78965-78860-77632-77544-75746-75631-73964-74062-70624-70771</t>
  </si>
  <si>
    <t>DR-3144</t>
  </si>
  <si>
    <t>PAGO TARJ. CORP. CUOTA MES DE NOV-2020</t>
  </si>
  <si>
    <t>Fact#: 744 Rec#: 31903 F.V - AREA ANDINA S.A.</t>
  </si>
  <si>
    <t>IC-14913</t>
  </si>
  <si>
    <t>Fact#: 336668-339661-343206-346234 Rec#: 31834 VIEJO ALEJANDRO NORMA ILIANA</t>
  </si>
  <si>
    <t>IC-14588</t>
  </si>
  <si>
    <t>TSANCHEZ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</si>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</sst>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dd&quot;-&quot;mmm&quot;-&quot;yy"/>
    <numFmt numFmtId="165" formatCode="\-#,##0.00;#,##0.00_)"/>
    <numFmt numFmtId="166" formatCode="#,##0.00_);\-#,##0.00"/>
    <numFmt numFmtId="167" formatCode="d\-mmm\-yy"/>
    <numFmt numFmtId="168" formatCode="hh&quot;:&quot;mm&quot;:&quot;ss\ AM/PM"/>
    <numFmt numFmtId="169" formatCode="dd&quot;-&quot;mmm&quot;-&quot;yyyy"/>
  </numFmts>
  <fonts count="7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Verdana"/>
      <family val="2"/>
    </font>
    <font>
      <sz val="8"/>
      <name val="Verdana"/>
      <family val="2"/>
    </font>
    <font>
      <sz val="8"/>
      <name val="Arial"/>
      <family val="2"/>
    </font>
    <font>
      <b/>
      <u/>
      <sz val="8"/>
      <name val="Verdana"/>
      <family val="2"/>
    </font>
    <font>
      <sz val="10"/>
      <color indexed="8"/>
      <name val="MS Sans Serif"/>
    </font>
    <font>
      <b/>
      <sz val="8"/>
      <name val="Arial"/>
      <family val="2"/>
    </font>
    <font>
      <sz val="10"/>
      <color indexed="8"/>
      <name val="MS Sans Serif"/>
      <family val="2"/>
    </font>
    <font>
      <sz val="8"/>
      <color indexed="8"/>
      <name val="Verdana"/>
      <family val="2"/>
    </font>
    <font>
      <b/>
      <sz val="8"/>
      <name val="Courier New"/>
      <family val="3"/>
    </font>
    <font>
      <sz val="8"/>
      <name val="MS Sans Serif"/>
      <family val="2"/>
    </font>
    <font>
      <sz val="8"/>
      <name val="Courier New"/>
      <family val="3"/>
    </font>
    <font>
      <sz val="8"/>
      <name val="Times New Roman"/>
      <family val="1"/>
    </font>
    <font>
      <b/>
      <sz val="8"/>
      <name val="Times New Roman"/>
      <family val="1"/>
    </font>
    <font>
      <sz val="8"/>
      <name val="Calibri"/>
      <family val="2"/>
      <scheme val="minor"/>
    </font>
    <font>
      <sz val="8"/>
      <color rgb="FFFF0000"/>
      <name val="Verdana"/>
      <family val="2"/>
    </font>
    <font>
      <sz val="8"/>
      <color rgb="FF0070C0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indexed="8"/>
      <name val="Tahoma"/>
      <family val="2"/>
    </font>
    <font>
      <sz val="7.6"/>
      <color indexed="8"/>
      <name val="Verdana"/>
      <family val="2"/>
    </font>
    <font>
      <b/>
      <sz val="7.6"/>
      <color indexed="8"/>
      <name val="Verdana"/>
      <family val="2"/>
    </font>
    <font>
      <b/>
      <sz val="9"/>
      <color indexed="8"/>
      <name val="Verdana"/>
      <family val="2"/>
    </font>
    <font>
      <sz val="9"/>
      <color indexed="8"/>
      <name val="Verdana"/>
      <family val="2"/>
    </font>
    <font>
      <b/>
      <sz val="16"/>
      <color indexed="8"/>
      <name val="Verdana"/>
      <family val="2"/>
    </font>
    <font>
      <b/>
      <sz val="12"/>
      <color theme="1"/>
      <name val="Calibri"/>
      <family val="2"/>
      <scheme val="minor"/>
    </font>
    <font>
      <sz val="9"/>
      <name val="Times New Roman"/>
      <family val="1"/>
    </font>
    <font>
      <b/>
      <sz val="12"/>
      <color rgb="FFFFFFFF"/>
      <name val="Tahoma"/>
      <family val="2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indexed="8"/>
      <name val="MS Sans Serif"/>
    </font>
    <font>
      <b/>
      <sz val="12"/>
      <color indexed="8"/>
      <name val="Verdana"/>
      <family val="2"/>
    </font>
    <font>
      <sz val="12"/>
      <color indexed="8"/>
      <name val="Verdana"/>
      <family val="2"/>
    </font>
    <font>
      <sz val="10"/>
      <name val="Arial"/>
      <family val="2"/>
    </font>
    <font>
      <b/>
      <sz val="12"/>
      <name val="Times New Roman"/>
      <family val="1"/>
    </font>
    <font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Verdana"/>
      <family val="2"/>
    </font>
    <font>
      <b/>
      <sz val="10"/>
      <color rgb="FFFF0000"/>
      <name val="MS Sans Serif"/>
    </font>
    <font>
      <b/>
      <sz val="12"/>
      <color rgb="FFFF0000"/>
      <name val="MS Sans Serif"/>
    </font>
    <font>
      <sz val="12"/>
      <color rgb="FF0070C0"/>
      <name val="Verdana"/>
      <family val="2"/>
    </font>
    <font>
      <sz val="12"/>
      <name val="Verdana"/>
      <family val="2"/>
    </font>
    <font>
      <sz val="7.6"/>
      <color indexed="8"/>
      <name val="Verdana"/>
      <family val="2"/>
    </font>
    <font>
      <sz val="7.6"/>
      <color theme="9" tint="-0.249977111117893"/>
      <name val="Verdana"/>
      <family val="2"/>
    </font>
    <font>
      <b/>
      <sz val="12"/>
      <color theme="9" tint="-0.249977111117893"/>
      <name val="MS Sans Serif"/>
    </font>
    <font>
      <sz val="12"/>
      <color theme="9" tint="-0.249977111117893"/>
      <name val="Verdana"/>
      <family val="2"/>
    </font>
    <font>
      <sz val="12"/>
      <color theme="9" tint="-0.249977111117893"/>
      <name val="MS Sans Serif"/>
    </font>
    <font>
      <sz val="10"/>
      <color theme="9" tint="-0.249977111117893"/>
      <name val="MS Sans Serif"/>
    </font>
    <font>
      <sz val="8"/>
      <color indexed="8"/>
      <name val="Tahoma"/>
      <family val="2"/>
    </font>
    <font>
      <b/>
      <sz val="7.6"/>
      <color indexed="8"/>
      <name val="Verdana"/>
      <family val="2"/>
    </font>
    <font>
      <b/>
      <sz val="9"/>
      <color indexed="8"/>
      <name val="Verdana"/>
      <family val="2"/>
    </font>
    <font>
      <sz val="9"/>
      <color indexed="8"/>
      <name val="Verdana"/>
      <family val="2"/>
    </font>
    <font>
      <b/>
      <sz val="16"/>
      <color indexed="8"/>
      <name val="Verdana"/>
      <family val="2"/>
    </font>
    <font>
      <b/>
      <sz val="7.6"/>
      <color rgb="FFFF0000"/>
      <name val="Verdana"/>
      <family val="2"/>
    </font>
    <font>
      <b/>
      <sz val="12"/>
      <color rgb="FFFF0000"/>
      <name val="Verdana"/>
      <family val="2"/>
    </font>
    <font>
      <b/>
      <sz val="12"/>
      <color rgb="FF0070C0"/>
      <name val="MS Sans Serif"/>
    </font>
    <font>
      <sz val="7.6"/>
      <color rgb="FF0070C0"/>
      <name val="Verdana"/>
      <family val="2"/>
    </font>
    <font>
      <sz val="12"/>
      <color rgb="FF0070C0"/>
      <name val="MS Sans Serif"/>
    </font>
    <font>
      <sz val="10"/>
      <color rgb="FF0070C0"/>
      <name val="MS Sans Serif"/>
    </font>
    <font>
      <sz val="10"/>
      <color rgb="FF0070C0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b/>
      <sz val="8"/>
      <color indexed="8"/>
      <name val="Verdana"/>
      <family val="2"/>
    </font>
    <font>
      <b/>
      <sz val="10"/>
      <color indexed="8"/>
      <name val="MS Sans Serif"/>
    </font>
    <font>
      <sz val="12"/>
      <color rgb="FFFF0000"/>
      <name val="MS Sans Serif"/>
    </font>
    <font>
      <sz val="10"/>
      <color rgb="FFFF0000"/>
      <name val="MS Sans Serif"/>
    </font>
    <font>
      <sz val="7.6"/>
      <color rgb="FFFF0000"/>
      <name val="Verdana"/>
      <family val="2"/>
    </font>
    <font>
      <b/>
      <sz val="12"/>
      <color rgb="FFFF0000"/>
      <name val="Times New Roman"/>
      <family val="1"/>
    </font>
    <font>
      <sz val="7.6"/>
      <name val="Verdana"/>
      <family val="2"/>
    </font>
    <font>
      <sz val="10"/>
      <name val="MS Sans Serif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44444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2"/>
      </left>
      <right/>
      <top style="thin">
        <color indexed="62"/>
      </top>
      <bottom style="thin">
        <color indexed="62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/>
      <diagonal/>
    </border>
    <border>
      <left style="thin">
        <color indexed="62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rgb="FF4E4F51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medium">
        <color indexed="64"/>
      </bottom>
      <diagonal/>
    </border>
    <border>
      <left style="thin">
        <color indexed="62"/>
      </left>
      <right style="thin">
        <color indexed="62"/>
      </right>
      <top/>
      <bottom style="thin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34" fillId="0" borderId="0"/>
  </cellStyleXfs>
  <cellXfs count="398">
    <xf numFmtId="0" fontId="0" fillId="0" borderId="0" xfId="0"/>
    <xf numFmtId="0" fontId="2" fillId="0" borderId="0" xfId="1" applyFont="1" applyAlignment="1">
      <alignment horizontal="left"/>
    </xf>
    <xf numFmtId="2" fontId="3" fillId="0" borderId="0" xfId="1" applyNumberFormat="1" applyFont="1" applyAlignment="1">
      <alignment wrapText="1"/>
    </xf>
    <xf numFmtId="0" fontId="3" fillId="0" borderId="0" xfId="1" applyFont="1" applyAlignment="1">
      <alignment horizontal="center"/>
    </xf>
    <xf numFmtId="0" fontId="3" fillId="0" borderId="0" xfId="1" applyFont="1"/>
    <xf numFmtId="4" fontId="3" fillId="0" borderId="0" xfId="1" applyNumberFormat="1" applyFont="1"/>
    <xf numFmtId="0" fontId="4" fillId="0" borderId="0" xfId="1" applyFont="1"/>
    <xf numFmtId="0" fontId="4" fillId="0" borderId="0" xfId="1" applyFont="1" applyAlignment="1">
      <alignment horizontal="center"/>
    </xf>
    <xf numFmtId="0" fontId="3" fillId="0" borderId="0" xfId="1" applyFont="1" applyAlignment="1">
      <alignment horizontal="left"/>
    </xf>
    <xf numFmtId="2" fontId="2" fillId="0" borderId="0" xfId="1" quotePrefix="1" applyNumberFormat="1" applyFont="1" applyAlignment="1">
      <alignment horizontal="left" wrapText="1"/>
    </xf>
    <xf numFmtId="2" fontId="2" fillId="0" borderId="0" xfId="1" quotePrefix="1" applyNumberFormat="1" applyFont="1"/>
    <xf numFmtId="2" fontId="2" fillId="0" borderId="0" xfId="1" quotePrefix="1" applyNumberFormat="1" applyFont="1" applyAlignment="1">
      <alignment horizontal="center"/>
    </xf>
    <xf numFmtId="4" fontId="2" fillId="0" borderId="0" xfId="1" applyNumberFormat="1" applyFont="1" applyAlignment="1">
      <alignment horizontal="center"/>
    </xf>
    <xf numFmtId="4" fontId="2" fillId="0" borderId="0" xfId="1" applyNumberFormat="1" applyFont="1"/>
    <xf numFmtId="14" fontId="3" fillId="0" borderId="0" xfId="1" applyNumberFormat="1" applyFont="1" applyAlignment="1">
      <alignment horizontal="center"/>
    </xf>
    <xf numFmtId="2" fontId="5" fillId="0" borderId="0" xfId="1" quotePrefix="1" applyNumberFormat="1" applyFont="1" applyAlignment="1">
      <alignment horizontal="left" wrapText="1"/>
    </xf>
    <xf numFmtId="49" fontId="3" fillId="0" borderId="0" xfId="1" applyNumberFormat="1" applyFont="1" applyAlignment="1">
      <alignment horizontal="center"/>
    </xf>
    <xf numFmtId="2" fontId="3" fillId="0" borderId="0" xfId="1" applyNumberFormat="1" applyFont="1" applyAlignment="1">
      <alignment horizontal="center"/>
    </xf>
    <xf numFmtId="2" fontId="5" fillId="0" borderId="0" xfId="1" applyNumberFormat="1" applyFont="1" applyAlignment="1">
      <alignment horizontal="left" wrapText="1"/>
    </xf>
    <xf numFmtId="14" fontId="2" fillId="0" borderId="0" xfId="1" applyNumberFormat="1" applyFont="1" applyAlignment="1">
      <alignment horizontal="center"/>
    </xf>
    <xf numFmtId="2" fontId="2" fillId="0" borderId="0" xfId="1" quotePrefix="1" applyNumberFormat="1" applyFont="1" applyAlignment="1">
      <alignment horizontal="center" wrapText="1"/>
    </xf>
    <xf numFmtId="0" fontId="2" fillId="0" borderId="0" xfId="1" applyFont="1" applyAlignment="1">
      <alignment horizontal="center"/>
    </xf>
    <xf numFmtId="49" fontId="2" fillId="0" borderId="0" xfId="1" applyNumberFormat="1" applyFont="1" applyAlignment="1">
      <alignment horizontal="center"/>
    </xf>
    <xf numFmtId="164" fontId="3" fillId="0" borderId="0" xfId="2" applyNumberFormat="1" applyFont="1" applyAlignment="1">
      <alignment horizontal="center" vertical="center"/>
    </xf>
    <xf numFmtId="0" fontId="3" fillId="0" borderId="0" xfId="2" applyFont="1" applyAlignment="1">
      <alignment horizontal="left" vertical="center" wrapText="1"/>
    </xf>
    <xf numFmtId="0" fontId="3" fillId="0" borderId="0" xfId="2" applyFont="1" applyAlignment="1">
      <alignment horizontal="center" vertical="center"/>
    </xf>
    <xf numFmtId="49" fontId="7" fillId="0" borderId="0" xfId="1" applyNumberFormat="1" applyFont="1" applyAlignment="1">
      <alignment horizontal="center"/>
    </xf>
    <xf numFmtId="2" fontId="4" fillId="0" borderId="0" xfId="3" applyNumberFormat="1" applyFont="1" applyAlignment="1">
      <alignment horizontal="right" vertical="center"/>
    </xf>
    <xf numFmtId="165" fontId="3" fillId="0" borderId="0" xfId="3" applyNumberFormat="1" applyFont="1" applyAlignment="1">
      <alignment horizontal="right" vertical="center"/>
    </xf>
    <xf numFmtId="164" fontId="9" fillId="0" borderId="0" xfId="2" applyNumberFormat="1" applyFont="1" applyAlignment="1">
      <alignment horizontal="center" vertical="center"/>
    </xf>
    <xf numFmtId="0" fontId="9" fillId="0" borderId="0" xfId="2" applyFont="1" applyAlignment="1">
      <alignment horizontal="left" vertical="center" wrapText="1"/>
    </xf>
    <xf numFmtId="0" fontId="9" fillId="0" borderId="0" xfId="2" applyFont="1" applyAlignment="1">
      <alignment horizontal="center" vertical="center"/>
    </xf>
    <xf numFmtId="166" fontId="10" fillId="0" borderId="0" xfId="2" applyNumberFormat="1" applyFont="1" applyAlignment="1">
      <alignment horizontal="right" vertical="center"/>
    </xf>
    <xf numFmtId="166" fontId="4" fillId="0" borderId="0" xfId="3" applyNumberFormat="1" applyFont="1" applyAlignment="1">
      <alignment horizontal="right" vertical="center"/>
    </xf>
    <xf numFmtId="0" fontId="4" fillId="0" borderId="0" xfId="3" applyFont="1" applyAlignment="1">
      <alignment horizontal="center" vertical="center"/>
    </xf>
    <xf numFmtId="0" fontId="4" fillId="0" borderId="0" xfId="3" applyFont="1" applyAlignment="1">
      <alignment horizontal="center"/>
    </xf>
    <xf numFmtId="2" fontId="4" fillId="0" borderId="1" xfId="4" applyNumberFormat="1" applyFont="1" applyBorder="1" applyAlignment="1">
      <alignment horizontal="center" vertical="center"/>
    </xf>
    <xf numFmtId="164" fontId="3" fillId="0" borderId="0" xfId="5" applyNumberFormat="1" applyFont="1" applyAlignment="1">
      <alignment horizontal="center" vertical="center"/>
    </xf>
    <xf numFmtId="0" fontId="3" fillId="0" borderId="0" xfId="5" applyFont="1" applyAlignment="1">
      <alignment horizontal="left" vertical="center" wrapText="1"/>
    </xf>
    <xf numFmtId="0" fontId="3" fillId="0" borderId="0" xfId="5" applyFont="1" applyAlignment="1">
      <alignment horizontal="center" vertical="center"/>
    </xf>
    <xf numFmtId="0" fontId="11" fillId="0" borderId="0" xfId="6" applyFont="1" applyAlignment="1">
      <alignment horizontal="center" vertical="center"/>
    </xf>
    <xf numFmtId="2" fontId="3" fillId="0" borderId="0" xfId="6" applyNumberFormat="1" applyFont="1" applyAlignment="1">
      <alignment horizontal="right" vertical="center"/>
    </xf>
    <xf numFmtId="2" fontId="2" fillId="0" borderId="0" xfId="1" applyNumberFormat="1" applyFont="1" applyAlignment="1">
      <alignment wrapText="1"/>
    </xf>
    <xf numFmtId="4" fontId="3" fillId="0" borderId="0" xfId="1" applyNumberFormat="1" applyFont="1" applyAlignment="1">
      <alignment horizontal="center"/>
    </xf>
    <xf numFmtId="2" fontId="5" fillId="0" borderId="0" xfId="1" applyNumberFormat="1" applyFont="1" applyAlignment="1">
      <alignment wrapText="1"/>
    </xf>
    <xf numFmtId="164" fontId="12" fillId="0" borderId="0" xfId="2" applyNumberFormat="1" applyFont="1" applyAlignment="1">
      <alignment horizontal="center" vertical="center"/>
    </xf>
    <xf numFmtId="2" fontId="12" fillId="0" borderId="0" xfId="2" applyNumberFormat="1" applyFont="1" applyAlignment="1">
      <alignment horizontal="left" vertical="center" wrapText="1"/>
    </xf>
    <xf numFmtId="164" fontId="3" fillId="2" borderId="0" xfId="2" applyNumberFormat="1" applyFont="1" applyFill="1" applyAlignment="1">
      <alignment horizontal="center" vertical="center"/>
    </xf>
    <xf numFmtId="0" fontId="3" fillId="2" borderId="0" xfId="2" applyFont="1" applyFill="1" applyAlignment="1">
      <alignment horizontal="left" vertical="center" wrapText="1"/>
    </xf>
    <xf numFmtId="0" fontId="3" fillId="2" borderId="0" xfId="2" applyFont="1" applyFill="1" applyAlignment="1">
      <alignment horizontal="center" vertical="center"/>
    </xf>
    <xf numFmtId="166" fontId="10" fillId="2" borderId="0" xfId="2" applyNumberFormat="1" applyFont="1" applyFill="1" applyAlignment="1">
      <alignment horizontal="right" vertical="center"/>
    </xf>
    <xf numFmtId="49" fontId="4" fillId="0" borderId="0" xfId="1" applyNumberFormat="1" applyFont="1" applyAlignment="1">
      <alignment horizontal="center"/>
    </xf>
    <xf numFmtId="4" fontId="3" fillId="2" borderId="0" xfId="1" applyNumberFormat="1" applyFont="1" applyFill="1"/>
    <xf numFmtId="0" fontId="4" fillId="2" borderId="0" xfId="1" applyFont="1" applyFill="1"/>
    <xf numFmtId="164" fontId="4" fillId="0" borderId="0" xfId="3" applyNumberFormat="1" applyFont="1" applyAlignment="1">
      <alignment horizontal="left" vertical="center"/>
    </xf>
    <xf numFmtId="2" fontId="4" fillId="0" borderId="0" xfId="1" applyNumberFormat="1" applyFont="1" applyAlignment="1">
      <alignment horizontal="left" wrapText="1"/>
    </xf>
    <xf numFmtId="4" fontId="4" fillId="0" borderId="1" xfId="1" applyNumberFormat="1" applyFont="1" applyBorder="1" applyAlignment="1">
      <alignment horizontal="right"/>
    </xf>
    <xf numFmtId="4" fontId="4" fillId="0" borderId="0" xfId="1" applyNumberFormat="1" applyFont="1"/>
    <xf numFmtId="167" fontId="4" fillId="0" borderId="0" xfId="1" applyNumberFormat="1" applyFont="1" applyAlignment="1">
      <alignment horizontal="center" vertical="center"/>
    </xf>
    <xf numFmtId="2" fontId="4" fillId="0" borderId="0" xfId="1" applyNumberFormat="1" applyFont="1" applyAlignment="1">
      <alignment wrapText="1"/>
    </xf>
    <xf numFmtId="4" fontId="7" fillId="0" borderId="0" xfId="1" applyNumberFormat="1" applyFont="1"/>
    <xf numFmtId="14" fontId="13" fillId="0" borderId="0" xfId="1" applyNumberFormat="1" applyFont="1" applyAlignment="1">
      <alignment horizontal="center"/>
    </xf>
    <xf numFmtId="0" fontId="5" fillId="0" borderId="0" xfId="1" applyFont="1" applyAlignment="1">
      <alignment wrapText="1"/>
    </xf>
    <xf numFmtId="0" fontId="14" fillId="0" borderId="0" xfId="1" applyFont="1" applyAlignment="1">
      <alignment horizontal="center"/>
    </xf>
    <xf numFmtId="0" fontId="13" fillId="0" borderId="0" xfId="1" applyFont="1"/>
    <xf numFmtId="4" fontId="13" fillId="0" borderId="0" xfId="7" applyNumberFormat="1" applyFont="1" applyFill="1" applyBorder="1"/>
    <xf numFmtId="0" fontId="12" fillId="0" borderId="0" xfId="2" applyFont="1" applyAlignment="1">
      <alignment horizontal="left" vertical="center" wrapText="1"/>
    </xf>
    <xf numFmtId="0" fontId="12" fillId="0" borderId="0" xfId="2" applyFont="1" applyAlignment="1">
      <alignment horizontal="center" vertical="center"/>
    </xf>
    <xf numFmtId="0" fontId="4" fillId="0" borderId="0" xfId="6" applyFont="1" applyAlignment="1">
      <alignment horizontal="center" vertical="center"/>
    </xf>
    <xf numFmtId="0" fontId="15" fillId="0" borderId="0" xfId="0" applyFont="1"/>
    <xf numFmtId="164" fontId="12" fillId="2" borderId="0" xfId="2" applyNumberFormat="1" applyFont="1" applyFill="1" applyAlignment="1">
      <alignment horizontal="center" vertical="center"/>
    </xf>
    <xf numFmtId="0" fontId="12" fillId="2" borderId="0" xfId="2" applyFont="1" applyFill="1" applyAlignment="1">
      <alignment horizontal="left" vertical="center" wrapText="1"/>
    </xf>
    <xf numFmtId="0" fontId="12" fillId="2" borderId="0" xfId="2" applyFont="1" applyFill="1" applyAlignment="1">
      <alignment horizontal="center" vertical="center"/>
    </xf>
    <xf numFmtId="0" fontId="4" fillId="2" borderId="0" xfId="6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/>
    </xf>
    <xf numFmtId="164" fontId="3" fillId="0" borderId="0" xfId="5" applyNumberFormat="1" applyFont="1" applyAlignment="1">
      <alignment horizontal="left" vertical="center"/>
    </xf>
    <xf numFmtId="4" fontId="3" fillId="0" borderId="0" xfId="1" applyNumberFormat="1" applyFont="1" applyAlignment="1">
      <alignment horizontal="right"/>
    </xf>
    <xf numFmtId="164" fontId="2" fillId="0" borderId="0" xfId="2" applyNumberFormat="1" applyFont="1" applyAlignment="1">
      <alignment horizontal="center" vertical="center"/>
    </xf>
    <xf numFmtId="0" fontId="2" fillId="0" borderId="0" xfId="2" applyFont="1" applyAlignment="1">
      <alignment horizontal="left" vertical="center" wrapText="1"/>
    </xf>
    <xf numFmtId="0" fontId="2" fillId="0" borderId="0" xfId="2" applyFont="1" applyAlignment="1">
      <alignment horizontal="center" vertical="center"/>
    </xf>
    <xf numFmtId="166" fontId="2" fillId="0" borderId="0" xfId="2" applyNumberFormat="1" applyFont="1" applyAlignment="1">
      <alignment horizontal="right" vertical="center"/>
    </xf>
    <xf numFmtId="166" fontId="12" fillId="0" borderId="0" xfId="2" applyNumberFormat="1" applyFont="1" applyAlignment="1">
      <alignment horizontal="right" vertical="center"/>
    </xf>
    <xf numFmtId="164" fontId="16" fillId="0" borderId="0" xfId="2" applyNumberFormat="1" applyFont="1" applyAlignment="1">
      <alignment horizontal="center" vertical="center"/>
    </xf>
    <xf numFmtId="0" fontId="16" fillId="0" borderId="0" xfId="2" applyFont="1" applyAlignment="1">
      <alignment horizontal="left" vertical="center" wrapText="1"/>
    </xf>
    <xf numFmtId="0" fontId="16" fillId="0" borderId="0" xfId="2" applyFont="1" applyAlignment="1">
      <alignment horizontal="center" vertical="center"/>
    </xf>
    <xf numFmtId="166" fontId="16" fillId="0" borderId="0" xfId="2" applyNumberFormat="1" applyFont="1" applyAlignment="1">
      <alignment horizontal="right" vertical="center"/>
    </xf>
    <xf numFmtId="166" fontId="9" fillId="0" borderId="0" xfId="2" applyNumberFormat="1" applyFont="1" applyAlignment="1">
      <alignment horizontal="right" vertical="center"/>
    </xf>
    <xf numFmtId="164" fontId="17" fillId="0" borderId="0" xfId="2" applyNumberFormat="1" applyFont="1" applyAlignment="1">
      <alignment horizontal="center" vertical="center"/>
    </xf>
    <xf numFmtId="0" fontId="17" fillId="0" borderId="0" xfId="2" applyFont="1" applyAlignment="1">
      <alignment horizontal="left" vertical="center" wrapText="1"/>
    </xf>
    <xf numFmtId="0" fontId="17" fillId="0" borderId="0" xfId="2" applyFont="1" applyAlignment="1">
      <alignment horizontal="center" vertical="center"/>
    </xf>
    <xf numFmtId="166" fontId="17" fillId="0" borderId="0" xfId="2" applyNumberFormat="1" applyFont="1" applyAlignment="1">
      <alignment horizontal="right" vertical="center"/>
    </xf>
    <xf numFmtId="2" fontId="3" fillId="0" borderId="0" xfId="5" applyNumberFormat="1" applyFont="1" applyAlignment="1">
      <alignment horizontal="left" vertical="center" wrapText="1"/>
    </xf>
    <xf numFmtId="166" fontId="3" fillId="0" borderId="0" xfId="5" applyNumberFormat="1" applyFont="1" applyAlignment="1">
      <alignment horizontal="right" vertical="center"/>
    </xf>
    <xf numFmtId="0" fontId="3" fillId="0" borderId="0" xfId="1" applyFont="1" applyAlignment="1">
      <alignment horizontal="center" vertical="center"/>
    </xf>
    <xf numFmtId="167" fontId="2" fillId="0" borderId="0" xfId="1" applyNumberFormat="1" applyFont="1" applyAlignment="1">
      <alignment horizontal="center" vertical="center"/>
    </xf>
    <xf numFmtId="2" fontId="4" fillId="0" borderId="0" xfId="1" applyNumberFormat="1" applyFont="1" applyAlignment="1">
      <alignment horizontal="center" vertical="center" wrapText="1"/>
    </xf>
    <xf numFmtId="4" fontId="3" fillId="0" borderId="0" xfId="1" applyNumberFormat="1" applyFont="1" applyAlignment="1">
      <alignment vertical="center"/>
    </xf>
    <xf numFmtId="0" fontId="2" fillId="0" borderId="0" xfId="1" applyFont="1" applyAlignment="1">
      <alignment horizontal="center" vertical="center"/>
    </xf>
    <xf numFmtId="4" fontId="2" fillId="0" borderId="2" xfId="1" applyNumberFormat="1" applyFont="1" applyBorder="1" applyAlignment="1">
      <alignment vertical="center"/>
    </xf>
    <xf numFmtId="0" fontId="4" fillId="0" borderId="0" xfId="1" applyFont="1" applyAlignment="1">
      <alignment vertical="center"/>
    </xf>
    <xf numFmtId="2" fontId="3" fillId="0" borderId="1" xfId="1" applyNumberFormat="1" applyFont="1" applyBorder="1" applyAlignment="1">
      <alignment horizontal="center" wrapText="1"/>
    </xf>
    <xf numFmtId="2" fontId="3" fillId="0" borderId="1" xfId="1" applyNumberFormat="1" applyFont="1" applyBorder="1" applyAlignment="1">
      <alignment horizontal="centerContinuous" wrapText="1"/>
    </xf>
    <xf numFmtId="4" fontId="3" fillId="0" borderId="1" xfId="1" applyNumberFormat="1" applyFont="1" applyBorder="1"/>
    <xf numFmtId="0" fontId="6" fillId="0" borderId="0" xfId="2"/>
    <xf numFmtId="0" fontId="22" fillId="0" borderId="0" xfId="2" applyFont="1" applyAlignment="1">
      <alignment horizontal="right" vertical="center"/>
    </xf>
    <xf numFmtId="166" fontId="21" fillId="0" borderId="0" xfId="2" applyNumberFormat="1" applyFont="1" applyAlignment="1">
      <alignment horizontal="right" vertical="center"/>
    </xf>
    <xf numFmtId="0" fontId="21" fillId="0" borderId="0" xfId="2" applyFont="1" applyAlignment="1">
      <alignment vertical="center"/>
    </xf>
    <xf numFmtId="0" fontId="22" fillId="0" borderId="0" xfId="2" applyFont="1" applyAlignment="1">
      <alignment horizontal="left" vertical="center"/>
    </xf>
    <xf numFmtId="0" fontId="22" fillId="0" borderId="0" xfId="2" applyFont="1" applyAlignment="1">
      <alignment vertical="center"/>
    </xf>
    <xf numFmtId="0" fontId="22" fillId="0" borderId="0" xfId="2" applyFont="1" applyAlignment="1">
      <alignment horizontal="center" vertical="center"/>
    </xf>
    <xf numFmtId="0" fontId="25" fillId="0" borderId="0" xfId="2" applyFont="1" applyAlignment="1">
      <alignment horizontal="center" vertical="center"/>
    </xf>
    <xf numFmtId="0" fontId="6" fillId="0" borderId="0" xfId="2" applyAlignment="1">
      <alignment wrapText="1"/>
    </xf>
    <xf numFmtId="0" fontId="23" fillId="0" borderId="0" xfId="2" applyFont="1" applyAlignment="1">
      <alignment horizontal="right" vertical="center" wrapText="1"/>
    </xf>
    <xf numFmtId="0" fontId="21" fillId="0" borderId="0" xfId="2" applyFont="1" applyAlignment="1">
      <alignment horizontal="left" vertical="center" wrapText="1"/>
    </xf>
    <xf numFmtId="0" fontId="20" fillId="0" borderId="0" xfId="2" applyFont="1" applyAlignment="1">
      <alignment vertical="center" wrapText="1"/>
    </xf>
    <xf numFmtId="0" fontId="19" fillId="0" borderId="4" xfId="0" applyFont="1" applyBorder="1" applyAlignment="1">
      <alignment horizontal="center"/>
    </xf>
    <xf numFmtId="0" fontId="0" fillId="0" borderId="4" xfId="0" applyBorder="1"/>
    <xf numFmtId="22" fontId="0" fillId="0" borderId="4" xfId="0" applyNumberFormat="1" applyBorder="1"/>
    <xf numFmtId="0" fontId="0" fillId="0" borderId="4" xfId="0" applyBorder="1" applyAlignment="1">
      <alignment horizontal="center"/>
    </xf>
    <xf numFmtId="0" fontId="0" fillId="0" borderId="5" xfId="0" applyBorder="1"/>
    <xf numFmtId="22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26" fillId="0" borderId="4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49" fontId="27" fillId="0" borderId="9" xfId="9" applyNumberFormat="1" applyFont="1" applyBorder="1" applyAlignment="1">
      <alignment horizontal="left" vertical="top" wrapText="1"/>
    </xf>
    <xf numFmtId="0" fontId="28" fillId="3" borderId="10" xfId="0" applyFont="1" applyFill="1" applyBorder="1" applyAlignment="1">
      <alignment horizontal="center" vertical="center"/>
    </xf>
    <xf numFmtId="0" fontId="28" fillId="3" borderId="11" xfId="0" applyFont="1" applyFill="1" applyBorder="1" applyAlignment="1">
      <alignment horizontal="center" vertical="center"/>
    </xf>
    <xf numFmtId="0" fontId="28" fillId="3" borderId="12" xfId="0" applyFont="1" applyFill="1" applyBorder="1" applyAlignment="1">
      <alignment horizontal="center" vertical="center"/>
    </xf>
    <xf numFmtId="0" fontId="28" fillId="3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0" xfId="0" applyFont="1"/>
    <xf numFmtId="49" fontId="30" fillId="0" borderId="7" xfId="0" applyNumberFormat="1" applyFont="1" applyBorder="1" applyAlignment="1">
      <alignment horizontal="left" vertical="top" wrapText="1"/>
    </xf>
    <xf numFmtId="49" fontId="30" fillId="0" borderId="9" xfId="9" applyNumberFormat="1" applyFont="1" applyBorder="1" applyAlignment="1">
      <alignment horizontal="left" vertical="top" wrapText="1"/>
    </xf>
    <xf numFmtId="49" fontId="30" fillId="0" borderId="7" xfId="0" applyNumberFormat="1" applyFont="1" applyBorder="1" applyAlignment="1">
      <alignment horizontal="center" vertical="top" wrapText="1"/>
    </xf>
    <xf numFmtId="49" fontId="30" fillId="0" borderId="8" xfId="0" applyNumberFormat="1" applyFont="1" applyBorder="1" applyAlignment="1">
      <alignment horizontal="center" vertical="top" wrapText="1"/>
    </xf>
    <xf numFmtId="49" fontId="30" fillId="0" borderId="4" xfId="0" applyNumberFormat="1" applyFont="1" applyBorder="1" applyAlignment="1">
      <alignment horizontal="center" vertical="top" wrapText="1"/>
    </xf>
    <xf numFmtId="0" fontId="29" fillId="0" borderId="0" xfId="0" applyFont="1" applyAlignment="1">
      <alignment horizontal="center"/>
    </xf>
    <xf numFmtId="4" fontId="28" fillId="3" borderId="12" xfId="0" applyNumberFormat="1" applyFont="1" applyFill="1" applyBorder="1" applyAlignment="1">
      <alignment horizontal="right" vertical="center"/>
    </xf>
    <xf numFmtId="4" fontId="30" fillId="0" borderId="7" xfId="0" applyNumberFormat="1" applyFont="1" applyBorder="1" applyAlignment="1">
      <alignment horizontal="right" vertical="top" wrapText="1"/>
    </xf>
    <xf numFmtId="4" fontId="30" fillId="0" borderId="8" xfId="0" applyNumberFormat="1" applyFont="1" applyBorder="1" applyAlignment="1">
      <alignment horizontal="right" vertical="top" wrapText="1"/>
    </xf>
    <xf numFmtId="4" fontId="30" fillId="0" borderId="4" xfId="0" applyNumberFormat="1" applyFont="1" applyBorder="1" applyAlignment="1">
      <alignment horizontal="right" vertical="top" wrapText="1"/>
    </xf>
    <xf numFmtId="4" fontId="29" fillId="0" borderId="0" xfId="0" applyNumberFormat="1" applyFont="1" applyAlignment="1">
      <alignment horizontal="right"/>
    </xf>
    <xf numFmtId="0" fontId="29" fillId="0" borderId="15" xfId="0" applyFont="1" applyBorder="1" applyAlignment="1">
      <alignment horizontal="center"/>
    </xf>
    <xf numFmtId="49" fontId="30" fillId="0" borderId="6" xfId="0" applyNumberFormat="1" applyFont="1" applyBorder="1" applyAlignment="1">
      <alignment horizontal="center" vertical="top" wrapText="1"/>
    </xf>
    <xf numFmtId="0" fontId="6" fillId="0" borderId="0" xfId="2" applyAlignment="1">
      <alignment horizontal="center"/>
    </xf>
    <xf numFmtId="0" fontId="23" fillId="0" borderId="0" xfId="2" applyFont="1" applyAlignment="1">
      <alignment horizontal="center" vertical="center"/>
    </xf>
    <xf numFmtId="0" fontId="24" fillId="0" borderId="0" xfId="2" applyFont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22" fillId="0" borderId="0" xfId="2" applyFont="1" applyAlignment="1">
      <alignment horizontal="center" vertical="center" wrapText="1"/>
    </xf>
    <xf numFmtId="164" fontId="21" fillId="0" borderId="0" xfId="2" applyNumberFormat="1" applyFont="1" applyAlignment="1">
      <alignment horizontal="center" vertical="center"/>
    </xf>
    <xf numFmtId="166" fontId="21" fillId="0" borderId="0" xfId="2" applyNumberFormat="1" applyFont="1" applyAlignment="1">
      <alignment horizontal="center" vertical="center"/>
    </xf>
    <xf numFmtId="0" fontId="31" fillId="0" borderId="0" xfId="2" applyFont="1"/>
    <xf numFmtId="0" fontId="32" fillId="0" borderId="0" xfId="2" applyFont="1" applyAlignment="1">
      <alignment horizontal="right" vertical="center"/>
    </xf>
    <xf numFmtId="3" fontId="33" fillId="0" borderId="0" xfId="2" applyNumberFormat="1" applyFont="1" applyAlignment="1">
      <alignment horizontal="left" vertical="center"/>
    </xf>
    <xf numFmtId="169" fontId="33" fillId="0" borderId="0" xfId="2" applyNumberFormat="1" applyFont="1" applyAlignment="1">
      <alignment vertical="center"/>
    </xf>
    <xf numFmtId="168" fontId="33" fillId="0" borderId="0" xfId="2" applyNumberFormat="1" applyFont="1" applyAlignment="1">
      <alignment vertical="center"/>
    </xf>
    <xf numFmtId="0" fontId="33" fillId="0" borderId="0" xfId="2" applyFont="1" applyAlignment="1">
      <alignment vertical="center"/>
    </xf>
    <xf numFmtId="0" fontId="33" fillId="0" borderId="0" xfId="2" applyFont="1" applyAlignment="1">
      <alignment horizontal="right" vertical="center"/>
    </xf>
    <xf numFmtId="0" fontId="32" fillId="0" borderId="0" xfId="2" applyFont="1" applyAlignment="1">
      <alignment vertical="center"/>
    </xf>
    <xf numFmtId="166" fontId="33" fillId="0" borderId="0" xfId="2" applyNumberFormat="1" applyFont="1" applyAlignment="1">
      <alignment horizontal="right" vertical="center"/>
    </xf>
    <xf numFmtId="165" fontId="33" fillId="0" borderId="0" xfId="2" applyNumberFormat="1" applyFont="1" applyAlignment="1">
      <alignment horizontal="right" vertical="center"/>
    </xf>
    <xf numFmtId="166" fontId="33" fillId="0" borderId="0" xfId="2" applyNumberFormat="1" applyFont="1" applyAlignment="1">
      <alignment horizontal="left" vertical="center"/>
    </xf>
    <xf numFmtId="22" fontId="19" fillId="0" borderId="4" xfId="0" applyNumberFormat="1" applyFont="1" applyBorder="1"/>
    <xf numFmtId="0" fontId="19" fillId="0" borderId="0" xfId="0" applyFont="1"/>
    <xf numFmtId="4" fontId="19" fillId="0" borderId="4" xfId="0" applyNumberFormat="1" applyFont="1" applyBorder="1" applyAlignment="1">
      <alignment horizontal="center"/>
    </xf>
    <xf numFmtId="4" fontId="0" fillId="0" borderId="4" xfId="0" applyNumberFormat="1" applyBorder="1"/>
    <xf numFmtId="4" fontId="19" fillId="0" borderId="4" xfId="0" applyNumberFormat="1" applyFont="1" applyBorder="1"/>
    <xf numFmtId="4" fontId="0" fillId="0" borderId="5" xfId="0" applyNumberFormat="1" applyBorder="1"/>
    <xf numFmtId="4" fontId="0" fillId="0" borderId="0" xfId="0" applyNumberFormat="1"/>
    <xf numFmtId="0" fontId="19" fillId="0" borderId="5" xfId="0" applyFont="1" applyBorder="1" applyAlignment="1">
      <alignment horizontal="center"/>
    </xf>
    <xf numFmtId="0" fontId="0" fillId="0" borderId="17" xfId="0" applyBorder="1"/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49" fontId="30" fillId="0" borderId="7" xfId="0" applyNumberFormat="1" applyFont="1" applyBorder="1" applyAlignment="1">
      <alignment horizontal="center" vertical="center" wrapText="1"/>
    </xf>
    <xf numFmtId="49" fontId="30" fillId="0" borderId="9" xfId="9" applyNumberFormat="1" applyFont="1" applyBorder="1" applyAlignment="1">
      <alignment horizontal="center" vertical="center" wrapText="1"/>
    </xf>
    <xf numFmtId="49" fontId="30" fillId="0" borderId="6" xfId="0" applyNumberFormat="1" applyFont="1" applyBorder="1" applyAlignment="1">
      <alignment horizontal="center" vertical="center" wrapText="1"/>
    </xf>
    <xf numFmtId="0" fontId="29" fillId="0" borderId="4" xfId="0" applyFont="1" applyBorder="1" applyAlignment="1">
      <alignment horizontal="center" vertical="center"/>
    </xf>
    <xf numFmtId="4" fontId="30" fillId="0" borderId="7" xfId="0" applyNumberFormat="1" applyFont="1" applyBorder="1" applyAlignment="1">
      <alignment horizontal="right" vertical="center" wrapText="1"/>
    </xf>
    <xf numFmtId="4" fontId="29" fillId="0" borderId="0" xfId="0" applyNumberFormat="1" applyFont="1" applyAlignment="1">
      <alignment horizontal="right" vertical="center"/>
    </xf>
    <xf numFmtId="22" fontId="0" fillId="0" borderId="4" xfId="0" applyNumberFormat="1" applyBorder="1" applyAlignment="1">
      <alignment horizontal="center"/>
    </xf>
    <xf numFmtId="22" fontId="0" fillId="0" borderId="5" xfId="0" applyNumberFormat="1" applyBorder="1" applyAlignment="1">
      <alignment horizontal="center"/>
    </xf>
    <xf numFmtId="0" fontId="19" fillId="0" borderId="4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left"/>
    </xf>
    <xf numFmtId="43" fontId="19" fillId="0" borderId="4" xfId="8" applyNumberFormat="1" applyFont="1" applyBorder="1" applyAlignment="1">
      <alignment horizontal="right"/>
    </xf>
    <xf numFmtId="43" fontId="0" fillId="0" borderId="4" xfId="8" applyNumberFormat="1" applyFont="1" applyBorder="1" applyAlignment="1">
      <alignment horizontal="right"/>
    </xf>
    <xf numFmtId="43" fontId="0" fillId="0" borderId="5" xfId="8" applyNumberFormat="1" applyFont="1" applyBorder="1" applyAlignment="1">
      <alignment horizontal="right"/>
    </xf>
    <xf numFmtId="43" fontId="0" fillId="0" borderId="0" xfId="8" applyNumberFormat="1" applyFont="1" applyAlignment="1">
      <alignment horizontal="right"/>
    </xf>
    <xf numFmtId="49" fontId="35" fillId="0" borderId="7" xfId="0" applyNumberFormat="1" applyFont="1" applyBorder="1" applyAlignment="1">
      <alignment horizontal="center" vertical="top" wrapText="1"/>
    </xf>
    <xf numFmtId="4" fontId="35" fillId="0" borderId="7" xfId="0" applyNumberFormat="1" applyFont="1" applyBorder="1" applyAlignment="1">
      <alignment horizontal="right" vertical="top" wrapText="1"/>
    </xf>
    <xf numFmtId="0" fontId="26" fillId="0" borderId="0" xfId="0" applyFont="1"/>
    <xf numFmtId="4" fontId="35" fillId="0" borderId="19" xfId="0" applyNumberFormat="1" applyFont="1" applyBorder="1" applyAlignment="1">
      <alignment horizontal="right" vertical="top" wrapText="1"/>
    </xf>
    <xf numFmtId="4" fontId="35" fillId="0" borderId="18" xfId="0" applyNumberFormat="1" applyFont="1" applyBorder="1" applyAlignment="1">
      <alignment horizontal="right" vertical="top" wrapText="1"/>
    </xf>
    <xf numFmtId="49" fontId="35" fillId="0" borderId="7" xfId="0" applyNumberFormat="1" applyFont="1" applyBorder="1" applyAlignment="1">
      <alignment horizontal="center" vertical="center" wrapText="1"/>
    </xf>
    <xf numFmtId="4" fontId="35" fillId="0" borderId="7" xfId="0" applyNumberFormat="1" applyFont="1" applyBorder="1" applyAlignment="1">
      <alignment horizontal="right" vertical="center" wrapText="1"/>
    </xf>
    <xf numFmtId="0" fontId="26" fillId="0" borderId="0" xfId="0" applyFont="1" applyAlignment="1">
      <alignment horizontal="center" vertical="center"/>
    </xf>
    <xf numFmtId="0" fontId="29" fillId="0" borderId="14" xfId="0" applyFont="1" applyBorder="1" applyAlignment="1">
      <alignment horizontal="center"/>
    </xf>
    <xf numFmtId="49" fontId="30" fillId="0" borderId="9" xfId="9" applyNumberFormat="1" applyFont="1" applyBorder="1" applyAlignment="1">
      <alignment horizontal="center" vertical="top" wrapText="1"/>
    </xf>
    <xf numFmtId="0" fontId="29" fillId="0" borderId="4" xfId="0" applyFont="1" applyBorder="1" applyAlignment="1">
      <alignment horizontal="center"/>
    </xf>
    <xf numFmtId="0" fontId="29" fillId="0" borderId="0" xfId="0" applyFont="1" applyAlignment="1">
      <alignment horizontal="right"/>
    </xf>
    <xf numFmtId="22" fontId="29" fillId="0" borderId="4" xfId="0" applyNumberFormat="1" applyFont="1" applyBorder="1" applyAlignment="1">
      <alignment horizontal="center"/>
    </xf>
    <xf numFmtId="0" fontId="26" fillId="0" borderId="4" xfId="0" applyFont="1" applyBorder="1" applyAlignment="1">
      <alignment horizontal="left"/>
    </xf>
    <xf numFmtId="0" fontId="29" fillId="0" borderId="4" xfId="0" applyFont="1" applyBorder="1" applyAlignment="1">
      <alignment horizontal="left"/>
    </xf>
    <xf numFmtId="4" fontId="26" fillId="0" borderId="4" xfId="0" applyNumberFormat="1" applyFont="1" applyBorder="1" applyAlignment="1">
      <alignment horizontal="right"/>
    </xf>
    <xf numFmtId="4" fontId="29" fillId="0" borderId="4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0" fillId="0" borderId="0" xfId="0" applyBorder="1" applyAlignment="1">
      <alignment horizontal="center"/>
    </xf>
    <xf numFmtId="0" fontId="0" fillId="0" borderId="0" xfId="0" applyBorder="1"/>
    <xf numFmtId="4" fontId="0" fillId="0" borderId="0" xfId="0" applyNumberFormat="1" applyBorder="1"/>
    <xf numFmtId="22" fontId="0" fillId="0" borderId="0" xfId="0" applyNumberFormat="1" applyBorder="1"/>
    <xf numFmtId="0" fontId="29" fillId="0" borderId="0" xfId="0" applyFont="1" applyAlignment="1">
      <alignment horizontal="left"/>
    </xf>
    <xf numFmtId="0" fontId="29" fillId="0" borderId="17" xfId="0" applyFont="1" applyBorder="1" applyAlignment="1">
      <alignment horizontal="center"/>
    </xf>
    <xf numFmtId="0" fontId="29" fillId="0" borderId="3" xfId="0" applyFont="1" applyBorder="1" applyAlignment="1">
      <alignment horizontal="center"/>
    </xf>
    <xf numFmtId="0" fontId="29" fillId="0" borderId="3" xfId="0" applyFont="1" applyBorder="1" applyAlignment="1">
      <alignment horizontal="left"/>
    </xf>
    <xf numFmtId="0" fontId="26" fillId="0" borderId="4" xfId="0" applyFont="1" applyBorder="1" applyAlignment="1">
      <alignment horizontal="right"/>
    </xf>
    <xf numFmtId="0" fontId="29" fillId="0" borderId="4" xfId="0" applyFont="1" applyBorder="1" applyAlignment="1">
      <alignment horizontal="right"/>
    </xf>
    <xf numFmtId="4" fontId="29" fillId="0" borderId="3" xfId="0" applyNumberFormat="1" applyFont="1" applyBorder="1" applyAlignment="1">
      <alignment horizontal="right"/>
    </xf>
    <xf numFmtId="4" fontId="26" fillId="0" borderId="4" xfId="0" applyNumberFormat="1" applyFont="1" applyBorder="1"/>
    <xf numFmtId="4" fontId="29" fillId="0" borderId="4" xfId="0" applyNumberFormat="1" applyFont="1" applyBorder="1"/>
    <xf numFmtId="49" fontId="30" fillId="0" borderId="7" xfId="10" applyNumberFormat="1" applyFont="1" applyBorder="1" applyAlignment="1">
      <alignment horizontal="center" vertical="top" wrapText="1"/>
    </xf>
    <xf numFmtId="4" fontId="30" fillId="0" borderId="7" xfId="10" applyNumberFormat="1" applyFont="1" applyBorder="1" applyAlignment="1">
      <alignment horizontal="right" vertical="top" wrapText="1"/>
    </xf>
    <xf numFmtId="4" fontId="36" fillId="0" borderId="4" xfId="0" applyNumberFormat="1" applyFont="1" applyBorder="1" applyAlignment="1">
      <alignment horizontal="right"/>
    </xf>
    <xf numFmtId="4" fontId="37" fillId="0" borderId="4" xfId="0" applyNumberFormat="1" applyFont="1" applyBorder="1" applyAlignment="1">
      <alignment horizontal="right"/>
    </xf>
    <xf numFmtId="4" fontId="38" fillId="0" borderId="4" xfId="0" applyNumberFormat="1" applyFont="1" applyBorder="1" applyAlignment="1">
      <alignment horizontal="right"/>
    </xf>
    <xf numFmtId="4" fontId="37" fillId="0" borderId="4" xfId="0" applyNumberFormat="1" applyFont="1" applyBorder="1"/>
    <xf numFmtId="4" fontId="38" fillId="0" borderId="4" xfId="0" applyNumberFormat="1" applyFont="1" applyBorder="1"/>
    <xf numFmtId="4" fontId="38" fillId="0" borderId="0" xfId="0" applyNumberFormat="1" applyFont="1" applyAlignment="1">
      <alignment horizontal="right"/>
    </xf>
    <xf numFmtId="0" fontId="36" fillId="0" borderId="4" xfId="0" applyFont="1" applyBorder="1" applyAlignment="1">
      <alignment horizontal="center"/>
    </xf>
    <xf numFmtId="0" fontId="36" fillId="0" borderId="4" xfId="0" applyFont="1" applyBorder="1" applyAlignment="1">
      <alignment horizontal="left"/>
    </xf>
    <xf numFmtId="22" fontId="36" fillId="0" borderId="4" xfId="0" applyNumberFormat="1" applyFont="1" applyBorder="1" applyAlignment="1">
      <alignment horizontal="center"/>
    </xf>
    <xf numFmtId="0" fontId="39" fillId="0" borderId="4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40" fillId="0" borderId="4" xfId="0" applyFont="1" applyBorder="1" applyAlignment="1">
      <alignment horizontal="center"/>
    </xf>
    <xf numFmtId="4" fontId="39" fillId="0" borderId="4" xfId="0" applyNumberFormat="1" applyFont="1" applyBorder="1"/>
    <xf numFmtId="22" fontId="40" fillId="0" borderId="4" xfId="0" applyNumberFormat="1" applyFont="1" applyBorder="1"/>
    <xf numFmtId="0" fontId="40" fillId="0" borderId="0" xfId="0" applyFont="1"/>
    <xf numFmtId="0" fontId="38" fillId="0" borderId="4" xfId="0" applyFont="1" applyBorder="1" applyAlignment="1">
      <alignment horizontal="center"/>
    </xf>
    <xf numFmtId="0" fontId="38" fillId="0" borderId="4" xfId="0" applyFont="1" applyBorder="1" applyAlignment="1">
      <alignment horizontal="left"/>
    </xf>
    <xf numFmtId="22" fontId="38" fillId="0" borderId="4" xfId="0" applyNumberFormat="1" applyFont="1" applyBorder="1" applyAlignment="1">
      <alignment horizontal="center"/>
    </xf>
    <xf numFmtId="0" fontId="37" fillId="0" borderId="4" xfId="0" applyFont="1" applyBorder="1" applyAlignment="1">
      <alignment horizontal="center"/>
    </xf>
    <xf numFmtId="0" fontId="38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22" fontId="41" fillId="0" borderId="4" xfId="0" applyNumberFormat="1" applyFont="1" applyBorder="1"/>
    <xf numFmtId="0" fontId="41" fillId="0" borderId="0" xfId="0" applyFont="1"/>
    <xf numFmtId="0" fontId="42" fillId="0" borderId="4" xfId="0" applyFont="1" applyBorder="1" applyAlignment="1">
      <alignment horizontal="center"/>
    </xf>
    <xf numFmtId="0" fontId="42" fillId="0" borderId="4" xfId="0" applyFont="1" applyBorder="1"/>
    <xf numFmtId="22" fontId="42" fillId="0" borderId="4" xfId="0" applyNumberFormat="1" applyFont="1" applyBorder="1"/>
    <xf numFmtId="0" fontId="42" fillId="0" borderId="0" xfId="0" applyFont="1"/>
    <xf numFmtId="0" fontId="19" fillId="0" borderId="4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166" fontId="43" fillId="0" borderId="0" xfId="2" applyNumberFormat="1" applyFont="1" applyAlignment="1">
      <alignment horizontal="right" vertical="center"/>
    </xf>
    <xf numFmtId="0" fontId="45" fillId="0" borderId="0" xfId="2" applyFont="1" applyAlignment="1">
      <alignment horizontal="center"/>
    </xf>
    <xf numFmtId="0" fontId="45" fillId="0" borderId="0" xfId="2" applyFont="1" applyAlignment="1">
      <alignment horizontal="center" vertical="center"/>
    </xf>
    <xf numFmtId="166" fontId="46" fillId="0" borderId="0" xfId="2" applyNumberFormat="1" applyFont="1" applyAlignment="1">
      <alignment horizontal="right" vertical="center"/>
    </xf>
    <xf numFmtId="166" fontId="47" fillId="0" borderId="0" xfId="2" applyNumberFormat="1" applyFont="1" applyAlignment="1">
      <alignment horizontal="right" vertical="center"/>
    </xf>
    <xf numFmtId="0" fontId="48" fillId="0" borderId="0" xfId="2" applyFont="1" applyAlignment="1">
      <alignment vertical="center"/>
    </xf>
    <xf numFmtId="0" fontId="48" fillId="0" borderId="0" xfId="2" applyFont="1" applyAlignment="1">
      <alignment horizontal="center" vertical="center"/>
    </xf>
    <xf numFmtId="0" fontId="49" fillId="0" borderId="0" xfId="2" applyFont="1" applyAlignment="1">
      <alignment horizontal="center" vertical="center"/>
    </xf>
    <xf numFmtId="164" fontId="49" fillId="0" borderId="0" xfId="2" applyNumberFormat="1" applyFont="1" applyAlignment="1">
      <alignment horizontal="center" vertical="center"/>
    </xf>
    <xf numFmtId="0" fontId="49" fillId="0" borderId="0" xfId="2" applyFont="1" applyAlignment="1">
      <alignment horizontal="left" vertical="center" wrapText="1"/>
    </xf>
    <xf numFmtId="0" fontId="50" fillId="0" borderId="0" xfId="2" applyFont="1" applyAlignment="1">
      <alignment horizontal="center" vertical="center"/>
    </xf>
    <xf numFmtId="166" fontId="51" fillId="0" borderId="0" xfId="2" applyNumberFormat="1" applyFont="1" applyAlignment="1">
      <alignment horizontal="right" vertical="center"/>
    </xf>
    <xf numFmtId="0" fontId="52" fillId="0" borderId="0" xfId="2" applyFont="1"/>
    <xf numFmtId="0" fontId="53" fillId="0" borderId="0" xfId="2" applyFont="1"/>
    <xf numFmtId="0" fontId="48" fillId="0" borderId="0" xfId="2" applyFont="1" applyAlignment="1">
      <alignment horizontal="left" vertical="center" wrapText="1"/>
    </xf>
    <xf numFmtId="166" fontId="33" fillId="2" borderId="0" xfId="2" applyNumberFormat="1" applyFont="1" applyFill="1" applyAlignment="1">
      <alignment horizontal="right" vertical="center"/>
    </xf>
    <xf numFmtId="0" fontId="3" fillId="2" borderId="0" xfId="1" applyFont="1" applyFill="1" applyAlignment="1">
      <alignment horizontal="center"/>
    </xf>
    <xf numFmtId="166" fontId="4" fillId="2" borderId="0" xfId="3" applyNumberFormat="1" applyFont="1" applyFill="1" applyAlignment="1">
      <alignment horizontal="right" vertical="center"/>
    </xf>
    <xf numFmtId="0" fontId="9" fillId="0" borderId="0" xfId="2" applyFont="1" applyAlignment="1">
      <alignment horizontal="right" vertical="center"/>
    </xf>
    <xf numFmtId="166" fontId="48" fillId="0" borderId="0" xfId="2" applyNumberFormat="1" applyFont="1" applyAlignment="1">
      <alignment horizontal="left" vertical="center"/>
    </xf>
    <xf numFmtId="0" fontId="55" fillId="0" borderId="0" xfId="2" applyFont="1" applyAlignment="1">
      <alignment horizontal="right" vertical="center"/>
    </xf>
    <xf numFmtId="166" fontId="48" fillId="0" borderId="0" xfId="2" applyNumberFormat="1" applyFont="1" applyAlignment="1">
      <alignment horizontal="right" vertical="center"/>
    </xf>
    <xf numFmtId="0" fontId="55" fillId="0" borderId="0" xfId="2" applyFont="1" applyAlignment="1">
      <alignment horizontal="left" vertical="center"/>
    </xf>
    <xf numFmtId="0" fontId="55" fillId="0" borderId="0" xfId="2" applyFont="1" applyAlignment="1">
      <alignment vertical="center"/>
    </xf>
    <xf numFmtId="0" fontId="55" fillId="0" borderId="0" xfId="2" applyFont="1" applyAlignment="1">
      <alignment horizontal="center" vertical="center"/>
    </xf>
    <xf numFmtId="169" fontId="48" fillId="0" borderId="0" xfId="2" applyNumberFormat="1" applyFont="1" applyAlignment="1">
      <alignment vertical="center"/>
    </xf>
    <xf numFmtId="3" fontId="48" fillId="0" borderId="0" xfId="2" applyNumberFormat="1" applyFont="1" applyAlignment="1">
      <alignment horizontal="left" vertical="center"/>
    </xf>
    <xf numFmtId="0" fontId="58" fillId="0" borderId="0" xfId="2" applyFont="1" applyAlignment="1">
      <alignment horizontal="center" vertical="center"/>
    </xf>
    <xf numFmtId="0" fontId="56" fillId="0" borderId="0" xfId="2" applyFont="1" applyAlignment="1">
      <alignment horizontal="right" vertical="center" wrapText="1"/>
    </xf>
    <xf numFmtId="0" fontId="55" fillId="0" borderId="0" xfId="2" applyFont="1" applyAlignment="1">
      <alignment horizontal="right" vertical="center" wrapText="1"/>
    </xf>
    <xf numFmtId="0" fontId="54" fillId="0" borderId="0" xfId="2" applyFont="1" applyAlignment="1">
      <alignment vertical="center" wrapText="1"/>
    </xf>
    <xf numFmtId="0" fontId="56" fillId="0" borderId="0" xfId="2" applyFont="1" applyAlignment="1">
      <alignment horizontal="center" vertical="center"/>
    </xf>
    <xf numFmtId="0" fontId="57" fillId="0" borderId="0" xfId="2" applyFont="1" applyAlignment="1">
      <alignment horizontal="center" vertical="center"/>
    </xf>
    <xf numFmtId="164" fontId="48" fillId="0" borderId="0" xfId="2" applyNumberFormat="1" applyFont="1" applyAlignment="1">
      <alignment horizontal="center" vertical="center"/>
    </xf>
    <xf numFmtId="166" fontId="48" fillId="0" borderId="0" xfId="2" applyNumberFormat="1" applyFont="1" applyAlignment="1">
      <alignment horizontal="center" vertical="center"/>
    </xf>
    <xf numFmtId="0" fontId="44" fillId="0" borderId="0" xfId="2" applyFont="1" applyAlignment="1">
      <alignment horizontal="center" vertical="center"/>
    </xf>
    <xf numFmtId="166" fontId="59" fillId="0" borderId="0" xfId="2" applyNumberFormat="1" applyFont="1" applyAlignment="1">
      <alignment horizontal="center" vertical="center"/>
    </xf>
    <xf numFmtId="168" fontId="33" fillId="0" borderId="0" xfId="2" applyNumberFormat="1" applyFont="1" applyAlignment="1">
      <alignment vertical="center"/>
    </xf>
    <xf numFmtId="0" fontId="6" fillId="0" borderId="0" xfId="2" applyAlignment="1">
      <alignment horizontal="left"/>
    </xf>
    <xf numFmtId="0" fontId="61" fillId="0" borderId="0" xfId="2" applyFont="1" applyAlignment="1">
      <alignment horizontal="center" vertical="center"/>
    </xf>
    <xf numFmtId="0" fontId="62" fillId="0" borderId="0" xfId="2" applyFont="1" applyAlignment="1">
      <alignment horizontal="center" vertical="center"/>
    </xf>
    <xf numFmtId="164" fontId="62" fillId="0" borderId="0" xfId="2" applyNumberFormat="1" applyFont="1" applyAlignment="1">
      <alignment horizontal="center" vertical="center"/>
    </xf>
    <xf numFmtId="0" fontId="62" fillId="0" borderId="0" xfId="2" applyFont="1" applyAlignment="1">
      <alignment horizontal="left" vertical="center" wrapText="1"/>
    </xf>
    <xf numFmtId="0" fontId="63" fillId="0" borderId="0" xfId="2" applyFont="1"/>
    <xf numFmtId="0" fontId="64" fillId="0" borderId="0" xfId="2" applyFont="1"/>
    <xf numFmtId="0" fontId="60" fillId="0" borderId="0" xfId="2" applyFont="1" applyAlignment="1">
      <alignment horizontal="center" vertical="center"/>
    </xf>
    <xf numFmtId="166" fontId="65" fillId="0" borderId="0" xfId="2" applyNumberFormat="1" applyFont="1" applyAlignment="1">
      <alignment horizontal="right" vertical="center"/>
    </xf>
    <xf numFmtId="4" fontId="66" fillId="0" borderId="2" xfId="1" applyNumberFormat="1" applyFont="1" applyBorder="1" applyAlignment="1">
      <alignment vertical="center"/>
    </xf>
    <xf numFmtId="0" fontId="1" fillId="0" borderId="0" xfId="1" applyFont="1" applyAlignment="1">
      <alignment vertical="center"/>
    </xf>
    <xf numFmtId="4" fontId="67" fillId="0" borderId="0" xfId="1" applyNumberFormat="1" applyFont="1"/>
    <xf numFmtId="0" fontId="1" fillId="0" borderId="0" xfId="1" applyFont="1"/>
    <xf numFmtId="4" fontId="66" fillId="0" borderId="0" xfId="1" applyNumberFormat="1" applyFont="1"/>
    <xf numFmtId="0" fontId="23" fillId="0" borderId="0" xfId="2" applyFont="1" applyAlignment="1">
      <alignment vertical="center"/>
    </xf>
    <xf numFmtId="0" fontId="24" fillId="0" borderId="0" xfId="2" applyFont="1" applyAlignment="1">
      <alignment horizontal="right" vertical="center"/>
    </xf>
    <xf numFmtId="168" fontId="21" fillId="0" borderId="0" xfId="2" applyNumberFormat="1" applyFont="1" applyAlignment="1">
      <alignment vertical="center"/>
    </xf>
    <xf numFmtId="0" fontId="23" fillId="0" borderId="0" xfId="2" applyFont="1" applyAlignment="1">
      <alignment horizontal="right" vertical="center"/>
    </xf>
    <xf numFmtId="169" fontId="21" fillId="0" borderId="0" xfId="2" applyNumberFormat="1" applyFont="1" applyAlignment="1">
      <alignment vertical="center"/>
    </xf>
    <xf numFmtId="3" fontId="21" fillId="0" borderId="0" xfId="2" applyNumberFormat="1" applyFont="1" applyAlignment="1">
      <alignment horizontal="left" vertical="center"/>
    </xf>
    <xf numFmtId="0" fontId="22" fillId="0" borderId="0" xfId="2" applyFont="1" applyAlignment="1">
      <alignment horizontal="right" vertical="center" wrapText="1"/>
    </xf>
    <xf numFmtId="168" fontId="33" fillId="0" borderId="0" xfId="2" applyNumberFormat="1" applyFont="1" applyAlignment="1">
      <alignment vertical="center"/>
    </xf>
    <xf numFmtId="0" fontId="68" fillId="0" borderId="0" xfId="2" applyFont="1" applyAlignment="1">
      <alignment horizontal="center" vertical="center"/>
    </xf>
    <xf numFmtId="14" fontId="68" fillId="0" borderId="0" xfId="2" applyNumberFormat="1" applyFont="1" applyAlignment="1">
      <alignment horizontal="center" vertical="center"/>
    </xf>
    <xf numFmtId="0" fontId="69" fillId="0" borderId="0" xfId="2" applyFont="1"/>
    <xf numFmtId="166" fontId="60" fillId="0" borderId="0" xfId="2" applyNumberFormat="1" applyFont="1" applyAlignment="1">
      <alignment horizontal="center" vertical="center"/>
    </xf>
    <xf numFmtId="165" fontId="46" fillId="0" borderId="0" xfId="2" applyNumberFormat="1" applyFont="1" applyAlignment="1">
      <alignment horizontal="right" vertical="center"/>
    </xf>
    <xf numFmtId="0" fontId="25" fillId="0" borderId="0" xfId="2" applyFont="1" applyAlignment="1">
      <alignment horizontal="center" vertical="center" wrapText="1"/>
    </xf>
    <xf numFmtId="0" fontId="24" fillId="0" borderId="0" xfId="2" applyFont="1" applyAlignment="1">
      <alignment horizontal="right" vertical="center" wrapText="1"/>
    </xf>
    <xf numFmtId="0" fontId="23" fillId="0" borderId="0" xfId="2" applyFont="1" applyAlignment="1">
      <alignment horizontal="left" vertical="center"/>
    </xf>
    <xf numFmtId="0" fontId="6" fillId="0" borderId="0" xfId="2" applyAlignment="1">
      <alignment horizontal="center" vertical="center"/>
    </xf>
    <xf numFmtId="0" fontId="21" fillId="2" borderId="0" xfId="2" applyFont="1" applyFill="1" applyAlignment="1">
      <alignment horizontal="center" vertical="center"/>
    </xf>
    <xf numFmtId="164" fontId="21" fillId="2" borderId="0" xfId="2" applyNumberFormat="1" applyFont="1" applyFill="1" applyAlignment="1">
      <alignment horizontal="center" vertical="center"/>
    </xf>
    <xf numFmtId="0" fontId="21" fillId="2" borderId="0" xfId="2" applyFont="1" applyFill="1" applyAlignment="1">
      <alignment horizontal="left" vertical="center" wrapText="1"/>
    </xf>
    <xf numFmtId="0" fontId="45" fillId="2" borderId="0" xfId="2" applyFont="1" applyFill="1" applyAlignment="1">
      <alignment horizontal="center" vertical="center"/>
    </xf>
    <xf numFmtId="0" fontId="31" fillId="2" borderId="0" xfId="2" applyFont="1" applyFill="1"/>
    <xf numFmtId="0" fontId="6" fillId="2" borderId="0" xfId="2" applyFill="1"/>
    <xf numFmtId="166" fontId="43" fillId="2" borderId="0" xfId="2" applyNumberFormat="1" applyFont="1" applyFill="1" applyAlignment="1">
      <alignment horizontal="right" vertical="center"/>
    </xf>
    <xf numFmtId="166" fontId="46" fillId="2" borderId="0" xfId="2" applyNumberFormat="1" applyFont="1" applyFill="1" applyAlignment="1">
      <alignment horizontal="right" vertical="center"/>
    </xf>
    <xf numFmtId="0" fontId="44" fillId="2" borderId="0" xfId="2" applyFont="1" applyFill="1" applyAlignment="1">
      <alignment wrapText="1"/>
    </xf>
    <xf numFmtId="0" fontId="72" fillId="2" borderId="0" xfId="2" applyFont="1" applyFill="1" applyAlignment="1">
      <alignment horizontal="center" vertical="center"/>
    </xf>
    <xf numFmtId="164" fontId="72" fillId="2" borderId="0" xfId="2" applyNumberFormat="1" applyFont="1" applyFill="1" applyAlignment="1">
      <alignment horizontal="center" vertical="center"/>
    </xf>
    <xf numFmtId="0" fontId="72" fillId="2" borderId="0" xfId="2" applyFont="1" applyFill="1" applyAlignment="1">
      <alignment horizontal="left" vertical="center" wrapText="1"/>
    </xf>
    <xf numFmtId="0" fontId="70" fillId="2" borderId="0" xfId="2" applyFont="1" applyFill="1"/>
    <xf numFmtId="0" fontId="71" fillId="2" borderId="0" xfId="2" applyFont="1" applyFill="1"/>
    <xf numFmtId="0" fontId="44" fillId="2" borderId="0" xfId="2" applyFont="1" applyFill="1"/>
    <xf numFmtId="0" fontId="6" fillId="0" borderId="0" xfId="2" applyAlignment="1">
      <alignment wrapText="1" shrinkToFit="1"/>
    </xf>
    <xf numFmtId="0" fontId="23" fillId="0" borderId="0" xfId="2" applyFont="1" applyAlignment="1">
      <alignment horizontal="right" vertical="center" wrapText="1" shrinkToFit="1"/>
    </xf>
    <xf numFmtId="0" fontId="21" fillId="0" borderId="0" xfId="2" applyFont="1" applyAlignment="1">
      <alignment horizontal="left" vertical="center" wrapText="1" shrinkToFit="1"/>
    </xf>
    <xf numFmtId="0" fontId="22" fillId="0" borderId="0" xfId="2" applyFont="1" applyAlignment="1">
      <alignment horizontal="right" vertical="center" wrapText="1" shrinkToFit="1"/>
    </xf>
    <xf numFmtId="0" fontId="20" fillId="0" borderId="0" xfId="2" applyFont="1" applyAlignment="1">
      <alignment vertical="center" wrapText="1" shrinkToFit="1"/>
    </xf>
    <xf numFmtId="0" fontId="33" fillId="0" borderId="0" xfId="2" applyFont="1"/>
    <xf numFmtId="0" fontId="64" fillId="2" borderId="0" xfId="2" applyFont="1" applyFill="1"/>
    <xf numFmtId="0" fontId="62" fillId="2" borderId="0" xfId="2" applyFont="1" applyFill="1" applyAlignment="1">
      <alignment horizontal="center" vertical="center"/>
    </xf>
    <xf numFmtId="164" fontId="62" fillId="2" borderId="0" xfId="2" applyNumberFormat="1" applyFont="1" applyFill="1" applyAlignment="1">
      <alignment horizontal="center" vertical="center"/>
    </xf>
    <xf numFmtId="0" fontId="62" fillId="2" borderId="0" xfId="2" applyFont="1" applyFill="1" applyAlignment="1">
      <alignment horizontal="left" vertical="center" wrapText="1"/>
    </xf>
    <xf numFmtId="0" fontId="61" fillId="2" borderId="0" xfId="2" applyFont="1" applyFill="1" applyAlignment="1">
      <alignment horizontal="center" vertical="center"/>
    </xf>
    <xf numFmtId="0" fontId="63" fillId="2" borderId="0" xfId="2" applyFont="1" applyFill="1"/>
    <xf numFmtId="165" fontId="46" fillId="2" borderId="0" xfId="2" applyNumberFormat="1" applyFont="1" applyFill="1" applyAlignment="1">
      <alignment horizontal="right" vertical="center"/>
    </xf>
    <xf numFmtId="166" fontId="69" fillId="0" borderId="0" xfId="2" applyNumberFormat="1" applyFont="1"/>
    <xf numFmtId="165" fontId="33" fillId="2" borderId="0" xfId="2" applyNumberFormat="1" applyFont="1" applyFill="1" applyAlignment="1">
      <alignment horizontal="right" vertical="center"/>
    </xf>
    <xf numFmtId="0" fontId="0" fillId="0" borderId="20" xfId="0" applyBorder="1"/>
    <xf numFmtId="22" fontId="0" fillId="0" borderId="20" xfId="0" applyNumberFormat="1" applyBorder="1"/>
    <xf numFmtId="0" fontId="19" fillId="0" borderId="20" xfId="0" applyFont="1" applyBorder="1" applyAlignment="1">
      <alignment horizontal="center"/>
    </xf>
    <xf numFmtId="0" fontId="0" fillId="0" borderId="1" xfId="0" applyBorder="1"/>
    <xf numFmtId="0" fontId="30" fillId="0" borderId="7" xfId="0" applyFont="1" applyBorder="1" applyAlignment="1">
      <alignment horizontal="center" vertical="top" wrapText="1"/>
    </xf>
    <xf numFmtId="166" fontId="10" fillId="0" borderId="1" xfId="2" applyNumberFormat="1" applyFont="1" applyBorder="1" applyAlignment="1">
      <alignment horizontal="right" vertical="center"/>
    </xf>
    <xf numFmtId="4" fontId="73" fillId="0" borderId="7" xfId="0" applyNumberFormat="1" applyFont="1" applyBorder="1" applyAlignment="1">
      <alignment horizontal="right" vertical="center" wrapText="1"/>
    </xf>
    <xf numFmtId="4" fontId="42" fillId="0" borderId="4" xfId="0" applyNumberFormat="1" applyFont="1" applyBorder="1"/>
    <xf numFmtId="4" fontId="42" fillId="0" borderId="20" xfId="0" applyNumberFormat="1" applyFont="1" applyBorder="1"/>
    <xf numFmtId="4" fontId="73" fillId="0" borderId="19" xfId="0" applyNumberFormat="1" applyFont="1" applyBorder="1" applyAlignment="1">
      <alignment horizontal="right" vertical="top" wrapText="1"/>
    </xf>
    <xf numFmtId="0" fontId="6" fillId="0" borderId="0" xfId="2" applyAlignment="1">
      <alignment horizontal="right"/>
    </xf>
    <xf numFmtId="168" fontId="21" fillId="0" borderId="0" xfId="2" applyNumberFormat="1" applyFont="1" applyAlignment="1">
      <alignment vertical="center"/>
    </xf>
    <xf numFmtId="0" fontId="21" fillId="0" borderId="0" xfId="2" applyFont="1" applyAlignment="1">
      <alignment horizontal="left" vertical="center"/>
    </xf>
    <xf numFmtId="164" fontId="21" fillId="0" borderId="0" xfId="2" applyNumberFormat="1" applyFont="1" applyAlignment="1">
      <alignment horizontal="left" vertical="center"/>
    </xf>
    <xf numFmtId="166" fontId="72" fillId="0" borderId="0" xfId="2" applyNumberFormat="1" applyFont="1" applyAlignment="1">
      <alignment horizontal="right" vertical="center"/>
    </xf>
    <xf numFmtId="0" fontId="74" fillId="0" borderId="0" xfId="2" applyFont="1" applyAlignment="1">
      <alignment vertical="center"/>
    </xf>
    <xf numFmtId="164" fontId="74" fillId="0" borderId="0" xfId="2" applyNumberFormat="1" applyFont="1" applyAlignment="1">
      <alignment horizontal="left" vertical="center"/>
    </xf>
    <xf numFmtId="0" fontId="74" fillId="0" borderId="0" xfId="2" applyFont="1" applyAlignment="1">
      <alignment horizontal="left" vertical="center"/>
    </xf>
    <xf numFmtId="0" fontId="75" fillId="0" borderId="0" xfId="2" applyFont="1"/>
    <xf numFmtId="0" fontId="75" fillId="0" borderId="0" xfId="2" applyFont="1" applyAlignment="1">
      <alignment horizontal="right"/>
    </xf>
    <xf numFmtId="0" fontId="71" fillId="0" borderId="0" xfId="2" applyFont="1"/>
    <xf numFmtId="165" fontId="72" fillId="0" borderId="0" xfId="2" applyNumberFormat="1" applyFont="1" applyAlignment="1">
      <alignment horizontal="right" vertical="center"/>
    </xf>
    <xf numFmtId="166" fontId="21" fillId="0" borderId="0" xfId="2" applyNumberFormat="1" applyFont="1" applyAlignment="1">
      <alignment horizontal="left" vertical="center"/>
    </xf>
    <xf numFmtId="0" fontId="20" fillId="0" borderId="0" xfId="2" applyFont="1" applyAlignment="1">
      <alignment vertical="center"/>
    </xf>
    <xf numFmtId="2" fontId="2" fillId="0" borderId="3" xfId="1" applyNumberFormat="1" applyFont="1" applyBorder="1" applyAlignment="1">
      <alignment horizontal="center" wrapText="1"/>
    </xf>
    <xf numFmtId="0" fontId="19" fillId="0" borderId="4" xfId="0" applyFont="1" applyBorder="1" applyAlignment="1">
      <alignment horizontal="center"/>
    </xf>
    <xf numFmtId="0" fontId="26" fillId="0" borderId="16" xfId="0" applyFont="1" applyBorder="1" applyAlignment="1">
      <alignment horizontal="center"/>
    </xf>
    <xf numFmtId="0" fontId="26" fillId="0" borderId="15" xfId="0" applyFont="1" applyBorder="1" applyAlignment="1">
      <alignment horizontal="center"/>
    </xf>
    <xf numFmtId="0" fontId="26" fillId="0" borderId="16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/>
    </xf>
    <xf numFmtId="164" fontId="21" fillId="0" borderId="0" xfId="2" applyNumberFormat="1" applyFont="1" applyFill="1" applyAlignment="1">
      <alignment horizontal="center" vertical="center"/>
    </xf>
    <xf numFmtId="0" fontId="21" fillId="0" borderId="0" xfId="2" applyFont="1" applyFill="1" applyAlignment="1">
      <alignment horizontal="left" vertical="center" wrapText="1"/>
    </xf>
    <xf numFmtId="0" fontId="3" fillId="0" borderId="0" xfId="2" applyFont="1" applyFill="1" applyAlignment="1">
      <alignment horizontal="center" vertical="center"/>
    </xf>
    <xf numFmtId="49" fontId="4" fillId="0" borderId="0" xfId="1" applyNumberFormat="1" applyFont="1" applyFill="1" applyAlignment="1">
      <alignment horizontal="center"/>
    </xf>
    <xf numFmtId="166" fontId="10" fillId="0" borderId="1" xfId="2" applyNumberFormat="1" applyFont="1" applyFill="1" applyBorder="1" applyAlignment="1">
      <alignment horizontal="right" vertical="center"/>
    </xf>
    <xf numFmtId="164" fontId="76" fillId="0" borderId="0" xfId="2" applyNumberFormat="1" applyFont="1" applyAlignment="1">
      <alignment horizontal="center" vertical="center"/>
    </xf>
    <xf numFmtId="0" fontId="76" fillId="0" borderId="0" xfId="2" applyFont="1" applyAlignment="1">
      <alignment horizontal="left" vertical="center" wrapText="1"/>
    </xf>
    <xf numFmtId="0" fontId="76" fillId="0" borderId="0" xfId="2" applyFont="1" applyAlignment="1">
      <alignment horizontal="center" vertical="center"/>
    </xf>
    <xf numFmtId="0" fontId="77" fillId="0" borderId="0" xfId="6" applyFont="1" applyAlignment="1">
      <alignment horizontal="center" vertical="center"/>
    </xf>
    <xf numFmtId="0" fontId="77" fillId="0" borderId="0" xfId="2" applyFont="1" applyAlignment="1">
      <alignment horizontal="center" vertical="center"/>
    </xf>
    <xf numFmtId="166" fontId="76" fillId="0" borderId="0" xfId="2" applyNumberFormat="1" applyFont="1" applyAlignment="1">
      <alignment horizontal="right" vertical="center"/>
    </xf>
    <xf numFmtId="0" fontId="76" fillId="0" borderId="0" xfId="2" applyFont="1" applyAlignment="1">
      <alignment horizontal="left" vertical="center"/>
    </xf>
    <xf numFmtId="166" fontId="78" fillId="0" borderId="0" xfId="2" applyNumberFormat="1" applyFont="1" applyAlignment="1">
      <alignment horizontal="right" vertical="center"/>
    </xf>
  </cellXfs>
  <cellStyles count="11">
    <cellStyle name="Millares" xfId="8" builtinId="3"/>
    <cellStyle name="Millares 2" xfId="7" xr:uid="{491EE3FD-DDB4-473C-9622-2C1EF23989A3}"/>
    <cellStyle name="Normal" xfId="0" builtinId="0"/>
    <cellStyle name="Normal 2" xfId="9" xr:uid="{5F381AAA-F637-4011-886A-132B6100AFBC}"/>
    <cellStyle name="Normal 3" xfId="10" xr:uid="{63A2F704-E06F-4487-B8BC-F1CF80165C24}"/>
    <cellStyle name="Normal 3 2" xfId="5" xr:uid="{27410E1E-50F6-4374-BCB7-F2DACCD5EE5F}"/>
    <cellStyle name="Normal 4" xfId="1" xr:uid="{CBCA9A5A-FF0E-4067-9052-A718FC18568D}"/>
    <cellStyle name="Normal 5" xfId="6" xr:uid="{FDCE5733-F81D-4717-BF4D-CA488B36DEFA}"/>
    <cellStyle name="Normal 6" xfId="4" xr:uid="{5119951B-5EB3-4BB6-A02A-28357F1E889B}"/>
    <cellStyle name="Normal 7 2" xfId="3" xr:uid="{C640ADA7-2520-4B8E-B96A-BE050001E890}"/>
    <cellStyle name="Normal 8" xfId="2" xr:uid="{CE33F1DE-B613-48B1-96C2-6B589D0CEC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1234</xdr:row>
      <xdr:rowOff>0</xdr:rowOff>
    </xdr:from>
    <xdr:ext cx="1386840" cy="320040"/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AFF45851-1635-49F4-85F5-8CC4348A0AD0}"/>
            </a:ext>
          </a:extLst>
        </xdr:cNvPr>
        <xdr:cNvSpPr>
          <a:spLocks noChangeAspect="1" noChangeArrowheads="1"/>
        </xdr:cNvSpPr>
      </xdr:nvSpPr>
      <xdr:spPr bwMode="auto">
        <a:xfrm>
          <a:off x="76200" y="197304660"/>
          <a:ext cx="1386840" cy="3200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963</xdr:row>
      <xdr:rowOff>0</xdr:rowOff>
    </xdr:from>
    <xdr:ext cx="1386840" cy="320040"/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5DD5E32B-AFFA-4545-A29D-07F46C125EB9}"/>
            </a:ext>
          </a:extLst>
        </xdr:cNvPr>
        <xdr:cNvSpPr>
          <a:spLocks noChangeAspect="1" noChangeArrowheads="1"/>
        </xdr:cNvSpPr>
      </xdr:nvSpPr>
      <xdr:spPr bwMode="auto">
        <a:xfrm>
          <a:off x="76200" y="154259280"/>
          <a:ext cx="1386840" cy="3200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872</xdr:row>
      <xdr:rowOff>0</xdr:rowOff>
    </xdr:from>
    <xdr:ext cx="1386840" cy="320040"/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93E000DC-C066-43C1-80E9-A7AC83FECD7A}"/>
            </a:ext>
          </a:extLst>
        </xdr:cNvPr>
        <xdr:cNvSpPr>
          <a:spLocks noChangeAspect="1" noChangeArrowheads="1"/>
        </xdr:cNvSpPr>
      </xdr:nvSpPr>
      <xdr:spPr bwMode="auto">
        <a:xfrm>
          <a:off x="76200" y="139217400"/>
          <a:ext cx="1386840" cy="3200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366</xdr:row>
      <xdr:rowOff>0</xdr:rowOff>
    </xdr:from>
    <xdr:ext cx="1386840" cy="320040"/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EEE2EB19-1D36-4295-A700-961A5A43A563}"/>
            </a:ext>
          </a:extLst>
        </xdr:cNvPr>
        <xdr:cNvSpPr>
          <a:spLocks noChangeAspect="1" noChangeArrowheads="1"/>
        </xdr:cNvSpPr>
      </xdr:nvSpPr>
      <xdr:spPr bwMode="auto">
        <a:xfrm>
          <a:off x="76200" y="58567320"/>
          <a:ext cx="1386840" cy="3200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667</xdr:row>
      <xdr:rowOff>0</xdr:rowOff>
    </xdr:from>
    <xdr:ext cx="1386840" cy="320040"/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A5F17BB2-A255-4F03-9D93-741E5564146F}"/>
            </a:ext>
          </a:extLst>
        </xdr:cNvPr>
        <xdr:cNvSpPr>
          <a:spLocks noChangeAspect="1" noChangeArrowheads="1"/>
        </xdr:cNvSpPr>
      </xdr:nvSpPr>
      <xdr:spPr bwMode="auto">
        <a:xfrm>
          <a:off x="76200" y="106733340"/>
          <a:ext cx="1386840" cy="3200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688</xdr:row>
      <xdr:rowOff>0</xdr:rowOff>
    </xdr:from>
    <xdr:ext cx="1386840" cy="320040"/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7494885E-9A96-41CB-B158-191478123EC5}"/>
            </a:ext>
          </a:extLst>
        </xdr:cNvPr>
        <xdr:cNvSpPr>
          <a:spLocks noChangeAspect="1" noChangeArrowheads="1"/>
        </xdr:cNvSpPr>
      </xdr:nvSpPr>
      <xdr:spPr bwMode="auto">
        <a:xfrm>
          <a:off x="76200" y="110093760"/>
          <a:ext cx="1386840" cy="3200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690</xdr:row>
      <xdr:rowOff>0</xdr:rowOff>
    </xdr:from>
    <xdr:ext cx="1386840" cy="320040"/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1B7CB406-FAEF-4C90-9675-B3549D6683AD}"/>
            </a:ext>
          </a:extLst>
        </xdr:cNvPr>
        <xdr:cNvSpPr>
          <a:spLocks noChangeAspect="1" noChangeArrowheads="1"/>
        </xdr:cNvSpPr>
      </xdr:nvSpPr>
      <xdr:spPr bwMode="auto">
        <a:xfrm>
          <a:off x="76200" y="110413800"/>
          <a:ext cx="1386840" cy="3200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638</xdr:row>
      <xdr:rowOff>0</xdr:rowOff>
    </xdr:from>
    <xdr:ext cx="1386840" cy="320040"/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A40E92E9-D444-4F66-9324-72E13C8AAB9E}"/>
            </a:ext>
          </a:extLst>
        </xdr:cNvPr>
        <xdr:cNvSpPr>
          <a:spLocks noChangeAspect="1" noChangeArrowheads="1"/>
        </xdr:cNvSpPr>
      </xdr:nvSpPr>
      <xdr:spPr bwMode="auto">
        <a:xfrm>
          <a:off x="76200" y="102092760"/>
          <a:ext cx="1386840" cy="3200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609</xdr:row>
      <xdr:rowOff>0</xdr:rowOff>
    </xdr:from>
    <xdr:ext cx="1386840" cy="320040"/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80185A1F-B565-4FFB-B405-32380E997E2E}"/>
            </a:ext>
          </a:extLst>
        </xdr:cNvPr>
        <xdr:cNvSpPr>
          <a:spLocks noChangeAspect="1" noChangeArrowheads="1"/>
        </xdr:cNvSpPr>
      </xdr:nvSpPr>
      <xdr:spPr bwMode="auto">
        <a:xfrm>
          <a:off x="76200" y="97452180"/>
          <a:ext cx="1386840" cy="3200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646</xdr:row>
      <xdr:rowOff>0</xdr:rowOff>
    </xdr:from>
    <xdr:ext cx="1386840" cy="320040"/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1E2300CC-FD7F-4EDD-B013-BCD4339E8EAF}"/>
            </a:ext>
          </a:extLst>
        </xdr:cNvPr>
        <xdr:cNvSpPr>
          <a:spLocks noChangeAspect="1" noChangeArrowheads="1"/>
        </xdr:cNvSpPr>
      </xdr:nvSpPr>
      <xdr:spPr bwMode="auto">
        <a:xfrm>
          <a:off x="76200" y="103372920"/>
          <a:ext cx="1386840" cy="3200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e%20Selecto/Desktop/LINKOTEL%202020/CONCILIACIONES%20BANCARIAS%202017/BANCO%20PACIFICO%2020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-19"/>
      <sheetName val="BP DP ENE-19"/>
      <sheetName val="BP WU ENE"/>
      <sheetName val="BP CON ENE-19"/>
      <sheetName val="BP FEB-19"/>
      <sheetName val="BP DP FB-19"/>
      <sheetName val="BP WU FEB"/>
      <sheetName val="BP CON FEB-19"/>
      <sheetName val="BP MAR-19"/>
      <sheetName val="BP DP MAR-19"/>
      <sheetName val="BP WU MAR-19"/>
      <sheetName val="BP CON MAR-19"/>
      <sheetName val="BP ABR-19"/>
      <sheetName val="BP DP AB-19"/>
      <sheetName val="BP WU ABR-19"/>
      <sheetName val="BP CON ABR-19"/>
      <sheetName val="BP MAY-19"/>
      <sheetName val="BP DP MAY-19"/>
      <sheetName val="BP WU MAY-19"/>
      <sheetName val="BP CON MAY-19"/>
      <sheetName val="BP JUN-19"/>
      <sheetName val="BP DP JUN-19"/>
      <sheetName val="BP WU JUN-19"/>
      <sheetName val="BP CON JUN-19"/>
      <sheetName val="BP JUL-19"/>
      <sheetName val="BP DP JUL-19"/>
      <sheetName val="BP WU JUL-19"/>
      <sheetName val="BP CON JUL-19"/>
      <sheetName val="BP AGO-19"/>
      <sheetName val="BP DP AGO-19"/>
      <sheetName val="BP WU AGO-19"/>
      <sheetName val="BP CON AGO-19"/>
      <sheetName val="BP SEP-19"/>
      <sheetName val="BP DP SEP-19"/>
      <sheetName val="BP WU SEP-19"/>
      <sheetName val="BP CON SEP-19"/>
      <sheetName val="BP-OCT-19"/>
      <sheetName val="BP DP OCT-19"/>
      <sheetName val="BP WU-OCT-19"/>
      <sheetName val="BP CON OCT-19"/>
      <sheetName val="BP NOV-19"/>
      <sheetName val="BP DP-NOV-19"/>
      <sheetName val="BP WU NOV-19"/>
      <sheetName val="BP CON NOV-19"/>
      <sheetName val="BP DIC-19"/>
      <sheetName val="BP DP DIC-19"/>
      <sheetName val="BP WU-DIC-19"/>
      <sheetName val="BP CON DIC-1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1035">
          <cell r="I1035">
            <v>34189.339999999953</v>
          </cell>
        </row>
      </sheetData>
      <sheetData sheetId="45"/>
      <sheetData sheetId="46"/>
      <sheetData sheetId="4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AD65E-D51E-4396-B428-ECB5C03B59EE}">
  <sheetPr>
    <pageSetUpPr fitToPage="1"/>
  </sheetPr>
  <dimension ref="A1:L204"/>
  <sheetViews>
    <sheetView topLeftCell="A163" zoomScaleNormal="100" workbookViewId="0">
      <selection activeCell="F70" sqref="F70:F191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9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9" x14ac:dyDescent="0.2">
      <c r="A2" s="1"/>
      <c r="B2" s="2"/>
      <c r="C2" s="3"/>
      <c r="D2" s="3"/>
      <c r="E2" s="3"/>
      <c r="F2" s="4"/>
      <c r="G2" s="3"/>
      <c r="H2" s="5"/>
    </row>
    <row r="3" spans="1:9" x14ac:dyDescent="0.2">
      <c r="A3" s="1"/>
      <c r="B3" s="2"/>
      <c r="C3" s="3"/>
      <c r="D3" s="3"/>
      <c r="E3" s="3"/>
      <c r="F3" s="4"/>
      <c r="G3" s="3"/>
      <c r="H3" s="5"/>
    </row>
    <row r="4" spans="1:9" x14ac:dyDescent="0.2">
      <c r="A4" s="1" t="s">
        <v>1</v>
      </c>
      <c r="B4" s="1"/>
      <c r="D4" s="6"/>
      <c r="E4" s="6"/>
      <c r="G4" s="6"/>
    </row>
    <row r="5" spans="1:9" x14ac:dyDescent="0.2">
      <c r="A5" s="8"/>
      <c r="B5" s="2"/>
      <c r="C5" s="3"/>
      <c r="D5" s="3"/>
      <c r="E5" s="3"/>
      <c r="F5" s="4"/>
      <c r="G5" s="3"/>
      <c r="H5" s="5"/>
    </row>
    <row r="6" spans="1:9" x14ac:dyDescent="0.2">
      <c r="A6" s="8"/>
      <c r="B6" s="2"/>
      <c r="C6" s="3"/>
      <c r="D6" s="3"/>
      <c r="E6" s="3"/>
      <c r="F6" s="4"/>
      <c r="G6" s="3"/>
      <c r="H6" s="5"/>
    </row>
    <row r="7" spans="1:9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9" x14ac:dyDescent="0.2">
      <c r="A8" s="8"/>
      <c r="B8" s="2"/>
      <c r="C8" s="3"/>
      <c r="D8" s="3"/>
      <c r="E8" s="3"/>
      <c r="F8" s="4"/>
      <c r="G8" s="3"/>
      <c r="H8" s="5"/>
    </row>
    <row r="9" spans="1:9" ht="13.5" customHeight="1" x14ac:dyDescent="0.2">
      <c r="A9" s="10" t="s">
        <v>3</v>
      </c>
      <c r="B9" s="10"/>
      <c r="C9" s="11"/>
      <c r="D9" s="3"/>
      <c r="E9" s="3"/>
      <c r="F9" s="4"/>
      <c r="G9" s="12" t="s">
        <v>4</v>
      </c>
      <c r="H9" s="13">
        <v>30067.07</v>
      </c>
    </row>
    <row r="10" spans="1:9" x14ac:dyDescent="0.2">
      <c r="A10" s="3"/>
      <c r="B10" s="9"/>
      <c r="C10" s="3"/>
      <c r="D10" s="3"/>
      <c r="E10" s="3"/>
      <c r="F10" s="4"/>
      <c r="G10" s="3"/>
      <c r="H10" s="5"/>
    </row>
    <row r="11" spans="1:9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9" ht="12.75" customHeight="1" x14ac:dyDescent="0.2">
      <c r="A12" s="14"/>
      <c r="B12" s="18" t="s">
        <v>6</v>
      </c>
      <c r="C12" s="3"/>
      <c r="D12" s="16"/>
      <c r="E12" s="16"/>
      <c r="F12" s="17"/>
      <c r="G12" s="3"/>
      <c r="H12" s="5"/>
    </row>
    <row r="13" spans="1:9" x14ac:dyDescent="0.2">
      <c r="A13" s="14"/>
      <c r="B13" s="9"/>
      <c r="C13" s="3"/>
      <c r="D13" s="16"/>
      <c r="E13" s="16"/>
      <c r="F13" s="17"/>
      <c r="G13" s="3"/>
      <c r="H13" s="5"/>
    </row>
    <row r="14" spans="1:9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9" x14ac:dyDescent="0.2">
      <c r="A15" s="23"/>
      <c r="B15" s="24"/>
      <c r="C15" s="25"/>
      <c r="E15" s="26"/>
      <c r="F15" s="27"/>
      <c r="G15" s="3"/>
      <c r="H15" s="5"/>
      <c r="I15" s="28"/>
    </row>
    <row r="16" spans="1:9" ht="31.5" x14ac:dyDescent="0.2">
      <c r="A16" s="29">
        <v>43817</v>
      </c>
      <c r="B16" s="30" t="s">
        <v>12</v>
      </c>
      <c r="C16" s="31" t="s">
        <v>13</v>
      </c>
      <c r="D16" s="31">
        <v>3260</v>
      </c>
      <c r="E16" s="25"/>
      <c r="F16" s="32">
        <v>97.8</v>
      </c>
      <c r="G16" s="3"/>
      <c r="I16" s="33"/>
    </row>
    <row r="17" spans="1:11" x14ac:dyDescent="0.2">
      <c r="A17" s="23"/>
      <c r="B17" s="24"/>
      <c r="C17" s="34"/>
      <c r="D17" s="35"/>
      <c r="E17" s="26"/>
      <c r="F17" s="36"/>
      <c r="G17" s="3"/>
      <c r="H17" s="5"/>
    </row>
    <row r="18" spans="1:11" x14ac:dyDescent="0.2">
      <c r="A18" s="37"/>
      <c r="B18" s="38"/>
      <c r="C18" s="39"/>
      <c r="D18" s="40"/>
      <c r="E18" s="22"/>
      <c r="F18" s="41"/>
      <c r="G18" s="3"/>
      <c r="H18" s="13">
        <f>SUM(F16:F17)</f>
        <v>97.8</v>
      </c>
    </row>
    <row r="19" spans="1:11" x14ac:dyDescent="0.2">
      <c r="A19" s="19"/>
      <c r="B19" s="42"/>
      <c r="C19" s="3"/>
      <c r="D19" s="22"/>
      <c r="E19" s="22"/>
      <c r="F19" s="43"/>
      <c r="G19" s="12"/>
      <c r="H19" s="5"/>
    </row>
    <row r="20" spans="1:11" x14ac:dyDescent="0.2">
      <c r="A20" s="3"/>
      <c r="B20" s="44" t="s">
        <v>5</v>
      </c>
      <c r="C20" s="3"/>
      <c r="D20" s="16"/>
      <c r="E20" s="16"/>
      <c r="F20" s="22" t="s">
        <v>11</v>
      </c>
      <c r="G20" s="3"/>
      <c r="H20" s="5"/>
    </row>
    <row r="21" spans="1:11" ht="13.5" customHeight="1" x14ac:dyDescent="0.2">
      <c r="A21" s="21" t="s">
        <v>7</v>
      </c>
      <c r="B21" s="18" t="s">
        <v>14</v>
      </c>
      <c r="C21" s="3"/>
      <c r="D21" s="16"/>
      <c r="E21" s="16"/>
      <c r="F21" s="43"/>
      <c r="G21" s="3"/>
      <c r="H21" s="5"/>
    </row>
    <row r="22" spans="1:11" ht="13.5" customHeight="1" x14ac:dyDescent="0.2">
      <c r="A22" s="45"/>
      <c r="B22" s="46"/>
      <c r="C22" s="3"/>
      <c r="D22" s="16"/>
      <c r="E22" s="16"/>
      <c r="F22" s="32"/>
      <c r="G22" s="3"/>
      <c r="H22" s="5"/>
    </row>
    <row r="23" spans="1:11" ht="21" x14ac:dyDescent="0.2">
      <c r="A23" s="47">
        <v>43473</v>
      </c>
      <c r="B23" s="48" t="s">
        <v>15</v>
      </c>
      <c r="C23" s="49" t="s">
        <v>16</v>
      </c>
      <c r="D23" s="16"/>
      <c r="E23" s="16"/>
      <c r="F23" s="50">
        <v>15.51</v>
      </c>
      <c r="G23" s="3"/>
      <c r="H23" s="5"/>
    </row>
    <row r="24" spans="1:11" x14ac:dyDescent="0.2">
      <c r="A24" s="47">
        <v>43542</v>
      </c>
      <c r="B24" s="48" t="s">
        <v>17</v>
      </c>
      <c r="C24" s="49" t="s">
        <v>18</v>
      </c>
      <c r="D24" s="25"/>
      <c r="E24" s="51"/>
      <c r="F24" s="50">
        <v>259.54000000000002</v>
      </c>
      <c r="G24" s="3"/>
      <c r="H24" s="52" t="s">
        <v>19</v>
      </c>
      <c r="I24" s="53"/>
      <c r="J24" s="53"/>
    </row>
    <row r="25" spans="1:11" x14ac:dyDescent="0.2">
      <c r="A25" s="47">
        <v>43627</v>
      </c>
      <c r="B25" s="48" t="s">
        <v>20</v>
      </c>
      <c r="C25" s="49" t="s">
        <v>21</v>
      </c>
      <c r="D25" s="25"/>
      <c r="E25" s="51"/>
      <c r="F25" s="50">
        <v>20.82</v>
      </c>
      <c r="G25" s="3"/>
      <c r="H25" s="5"/>
    </row>
    <row r="26" spans="1:11" x14ac:dyDescent="0.2">
      <c r="A26" s="23">
        <v>43676</v>
      </c>
      <c r="B26" s="24" t="s">
        <v>22</v>
      </c>
      <c r="C26" s="25"/>
      <c r="D26" s="25"/>
      <c r="E26" s="51"/>
      <c r="F26" s="32">
        <v>16</v>
      </c>
      <c r="G26" s="3"/>
      <c r="H26" s="5"/>
      <c r="K26" s="32"/>
    </row>
    <row r="27" spans="1:11" x14ac:dyDescent="0.2">
      <c r="A27" s="23">
        <v>43677</v>
      </c>
      <c r="B27" s="24" t="s">
        <v>22</v>
      </c>
      <c r="C27" s="25"/>
      <c r="D27" s="25"/>
      <c r="E27" s="51"/>
      <c r="F27" s="32">
        <v>2.25</v>
      </c>
      <c r="G27" s="3"/>
      <c r="H27" s="5"/>
      <c r="K27" s="32"/>
    </row>
    <row r="28" spans="1:11" x14ac:dyDescent="0.2">
      <c r="A28" s="23">
        <v>43705</v>
      </c>
      <c r="B28" s="24" t="s">
        <v>23</v>
      </c>
      <c r="C28" s="25"/>
      <c r="D28" s="25"/>
      <c r="E28" s="51"/>
      <c r="F28" s="32">
        <v>1.68</v>
      </c>
      <c r="G28" s="3"/>
      <c r="H28" s="5"/>
      <c r="K28" s="32"/>
    </row>
    <row r="29" spans="1:11" x14ac:dyDescent="0.2">
      <c r="A29" s="23">
        <v>43705</v>
      </c>
      <c r="B29" s="24" t="s">
        <v>24</v>
      </c>
      <c r="C29" s="25"/>
      <c r="D29" s="25"/>
      <c r="E29" s="51"/>
      <c r="F29" s="32">
        <v>2.8</v>
      </c>
      <c r="G29" s="3"/>
      <c r="H29" s="5"/>
      <c r="K29" s="32"/>
    </row>
    <row r="30" spans="1:11" x14ac:dyDescent="0.2">
      <c r="A30" s="23">
        <v>43761</v>
      </c>
      <c r="B30" s="24" t="s">
        <v>25</v>
      </c>
      <c r="C30" s="25"/>
      <c r="D30" s="25"/>
      <c r="E30" s="51"/>
      <c r="F30" s="32">
        <v>0.24</v>
      </c>
      <c r="G30" s="3"/>
      <c r="H30" s="5"/>
      <c r="K30" s="32"/>
    </row>
    <row r="31" spans="1:11" x14ac:dyDescent="0.2">
      <c r="A31" s="23">
        <v>43766</v>
      </c>
      <c r="B31" s="24" t="s">
        <v>26</v>
      </c>
      <c r="C31" s="25"/>
      <c r="D31" s="25"/>
      <c r="E31" s="51"/>
      <c r="F31" s="32">
        <v>67.2</v>
      </c>
      <c r="G31" s="3"/>
      <c r="H31" s="5"/>
      <c r="K31" s="32"/>
    </row>
    <row r="32" spans="1:11" x14ac:dyDescent="0.2">
      <c r="A32" s="23">
        <v>43774</v>
      </c>
      <c r="B32" s="24" t="s">
        <v>27</v>
      </c>
      <c r="C32" s="25"/>
      <c r="D32" s="25"/>
      <c r="E32" s="51"/>
      <c r="F32" s="32">
        <v>20</v>
      </c>
      <c r="G32" s="3"/>
      <c r="H32" s="5"/>
      <c r="K32" s="32"/>
    </row>
    <row r="33" spans="1:11" x14ac:dyDescent="0.2">
      <c r="A33" s="23">
        <v>43790</v>
      </c>
      <c r="B33" s="24" t="s">
        <v>28</v>
      </c>
      <c r="C33" s="25"/>
      <c r="D33" s="25"/>
      <c r="E33" s="51"/>
      <c r="F33" s="32">
        <v>196.36</v>
      </c>
      <c r="G33" s="3"/>
      <c r="H33" s="5"/>
      <c r="K33" s="32"/>
    </row>
    <row r="34" spans="1:11" ht="13.5" customHeight="1" x14ac:dyDescent="0.2">
      <c r="A34" s="54"/>
      <c r="B34" s="55"/>
      <c r="D34" s="51"/>
      <c r="E34" s="51"/>
      <c r="F34" s="56"/>
      <c r="H34" s="57"/>
    </row>
    <row r="35" spans="1:11" x14ac:dyDescent="0.2">
      <c r="A35" s="58"/>
      <c r="D35" s="51"/>
      <c r="E35" s="51"/>
      <c r="F35" s="57"/>
      <c r="H35" s="60">
        <f>SUM(F22:F34)</f>
        <v>602.40000000000009</v>
      </c>
    </row>
    <row r="36" spans="1:11" s="64" customFormat="1" x14ac:dyDescent="0.2">
      <c r="A36" s="61"/>
      <c r="B36" s="62" t="s">
        <v>29</v>
      </c>
      <c r="C36" s="63"/>
      <c r="D36" s="63"/>
      <c r="E36" s="63"/>
      <c r="G36" s="65"/>
    </row>
    <row r="37" spans="1:11" s="64" customFormat="1" x14ac:dyDescent="0.2">
      <c r="A37" s="21" t="s">
        <v>7</v>
      </c>
      <c r="B37" s="62" t="s">
        <v>30</v>
      </c>
      <c r="C37" s="63"/>
      <c r="D37" s="63"/>
      <c r="E37" s="63"/>
      <c r="F37" s="22" t="s">
        <v>11</v>
      </c>
      <c r="G37" s="65"/>
    </row>
    <row r="38" spans="1:11" s="64" customFormat="1" x14ac:dyDescent="0.2">
      <c r="A38" s="21"/>
      <c r="B38" s="62"/>
      <c r="C38" s="63"/>
      <c r="D38" s="63"/>
      <c r="E38" s="63"/>
      <c r="F38" s="12"/>
      <c r="G38" s="65"/>
    </row>
    <row r="39" spans="1:11" s="69" customFormat="1" x14ac:dyDescent="0.2">
      <c r="A39" s="45">
        <v>43496</v>
      </c>
      <c r="B39" s="66" t="s">
        <v>31</v>
      </c>
      <c r="C39" s="67"/>
      <c r="D39" s="68"/>
      <c r="E39" s="51"/>
      <c r="F39" s="32">
        <v>197.07</v>
      </c>
      <c r="G39" s="3"/>
      <c r="I39" s="33"/>
    </row>
    <row r="40" spans="1:11" s="69" customFormat="1" x14ac:dyDescent="0.2">
      <c r="A40" s="45">
        <v>43524</v>
      </c>
      <c r="B40" s="66" t="s">
        <v>32</v>
      </c>
      <c r="C40" s="67"/>
      <c r="D40" s="68"/>
      <c r="E40" s="51"/>
      <c r="F40" s="32">
        <v>329.21</v>
      </c>
      <c r="G40" s="3"/>
      <c r="I40" s="33"/>
    </row>
    <row r="41" spans="1:11" s="69" customFormat="1" x14ac:dyDescent="0.2">
      <c r="A41" s="45">
        <v>43555</v>
      </c>
      <c r="B41" s="66" t="s">
        <v>33</v>
      </c>
      <c r="C41" s="67"/>
      <c r="D41" s="68"/>
      <c r="E41" s="51"/>
      <c r="F41" s="32">
        <v>332.34</v>
      </c>
      <c r="G41" s="3"/>
      <c r="I41" s="33"/>
    </row>
    <row r="42" spans="1:11" s="69" customFormat="1" x14ac:dyDescent="0.2">
      <c r="A42" s="70">
        <v>43585</v>
      </c>
      <c r="B42" s="71" t="s">
        <v>34</v>
      </c>
      <c r="C42" s="72"/>
      <c r="D42" s="73"/>
      <c r="E42" s="74"/>
      <c r="F42" s="50">
        <v>259.54000000000002</v>
      </c>
      <c r="G42" s="3"/>
      <c r="I42" s="33"/>
    </row>
    <row r="43" spans="1:11" s="69" customFormat="1" x14ac:dyDescent="0.2">
      <c r="A43" s="45">
        <v>43585</v>
      </c>
      <c r="B43" s="66" t="s">
        <v>35</v>
      </c>
      <c r="C43" s="67"/>
      <c r="D43" s="68"/>
      <c r="E43" s="51"/>
      <c r="F43" s="32">
        <v>377</v>
      </c>
      <c r="G43" s="3"/>
      <c r="I43" s="33"/>
    </row>
    <row r="44" spans="1:11" s="69" customFormat="1" x14ac:dyDescent="0.2">
      <c r="A44" s="45">
        <v>43616</v>
      </c>
      <c r="B44" s="66" t="s">
        <v>36</v>
      </c>
      <c r="C44" s="67"/>
      <c r="D44" s="68"/>
      <c r="E44" s="51"/>
      <c r="F44" s="32">
        <v>299.04000000000002</v>
      </c>
      <c r="G44" s="3"/>
      <c r="I44" s="33"/>
    </row>
    <row r="45" spans="1:11" s="69" customFormat="1" x14ac:dyDescent="0.2">
      <c r="A45" s="45">
        <v>43646</v>
      </c>
      <c r="B45" s="66" t="s">
        <v>37</v>
      </c>
      <c r="C45" s="67"/>
      <c r="D45" s="68"/>
      <c r="E45" s="51"/>
      <c r="F45" s="32">
        <v>303.42</v>
      </c>
      <c r="G45" s="3"/>
      <c r="I45" s="33"/>
    </row>
    <row r="46" spans="1:11" s="69" customFormat="1" x14ac:dyDescent="0.2">
      <c r="A46" s="45">
        <v>43677</v>
      </c>
      <c r="B46" s="66" t="s">
        <v>38</v>
      </c>
      <c r="C46" s="67"/>
      <c r="D46" s="68"/>
      <c r="E46" s="51"/>
      <c r="F46" s="32">
        <v>340.56</v>
      </c>
      <c r="G46" s="3"/>
      <c r="I46" s="33"/>
    </row>
    <row r="47" spans="1:11" s="69" customFormat="1" x14ac:dyDescent="0.2">
      <c r="A47" s="45">
        <v>43708</v>
      </c>
      <c r="B47" s="66" t="s">
        <v>39</v>
      </c>
      <c r="C47" s="67"/>
      <c r="D47" s="68"/>
      <c r="E47" s="51"/>
      <c r="F47" s="32">
        <v>310.88</v>
      </c>
      <c r="G47" s="3"/>
      <c r="I47" s="33"/>
    </row>
    <row r="48" spans="1:11" s="69" customFormat="1" x14ac:dyDescent="0.2">
      <c r="A48" s="45">
        <v>43738</v>
      </c>
      <c r="B48" s="66" t="s">
        <v>40</v>
      </c>
      <c r="C48" s="67"/>
      <c r="D48" s="68"/>
      <c r="E48" s="51"/>
      <c r="F48" s="32">
        <v>392.85</v>
      </c>
      <c r="G48" s="3"/>
      <c r="I48" s="33"/>
    </row>
    <row r="49" spans="1:9" s="69" customFormat="1" x14ac:dyDescent="0.2">
      <c r="A49" s="45">
        <v>44135</v>
      </c>
      <c r="B49" s="66" t="s">
        <v>41</v>
      </c>
      <c r="C49" s="67"/>
      <c r="D49" s="68"/>
      <c r="E49" s="51"/>
      <c r="F49" s="32">
        <v>142.66999999999999</v>
      </c>
      <c r="G49" s="3"/>
      <c r="I49" s="33"/>
    </row>
    <row r="50" spans="1:9" s="69" customFormat="1" x14ac:dyDescent="0.2">
      <c r="A50" s="45">
        <v>44165</v>
      </c>
      <c r="B50" s="66" t="s">
        <v>42</v>
      </c>
      <c r="C50" s="67"/>
      <c r="D50" s="68"/>
      <c r="E50" s="51"/>
      <c r="F50" s="32">
        <v>143.63</v>
      </c>
      <c r="G50" s="3"/>
      <c r="I50" s="33"/>
    </row>
    <row r="51" spans="1:9" s="69" customFormat="1" x14ac:dyDescent="0.2">
      <c r="A51" s="45">
        <v>44196</v>
      </c>
      <c r="B51" s="66" t="s">
        <v>43</v>
      </c>
      <c r="C51" s="67"/>
      <c r="D51" s="68"/>
      <c r="E51" s="51"/>
      <c r="F51" s="32">
        <v>291.60000000000002</v>
      </c>
      <c r="G51" s="3"/>
      <c r="I51" s="33"/>
    </row>
    <row r="52" spans="1:9" x14ac:dyDescent="0.2">
      <c r="A52" s="45"/>
      <c r="B52" s="66"/>
      <c r="D52" s="51"/>
      <c r="E52" s="51"/>
      <c r="F52" s="56"/>
      <c r="G52" s="3"/>
      <c r="H52" s="5"/>
    </row>
    <row r="53" spans="1:9" x14ac:dyDescent="0.2">
      <c r="A53" s="75"/>
      <c r="B53" s="2"/>
      <c r="C53" s="3"/>
      <c r="D53" s="16"/>
      <c r="E53" s="16"/>
      <c r="F53" s="76"/>
      <c r="G53" s="3"/>
      <c r="H53" s="60">
        <f>SUM(F39:F52)</f>
        <v>3719.81</v>
      </c>
    </row>
    <row r="54" spans="1:9" x14ac:dyDescent="0.2">
      <c r="C54" s="3"/>
      <c r="D54" s="16"/>
      <c r="E54" s="16"/>
      <c r="F54" s="76"/>
      <c r="G54" s="3"/>
      <c r="H54" s="5"/>
    </row>
    <row r="55" spans="1:9" x14ac:dyDescent="0.2">
      <c r="B55" s="62" t="s">
        <v>29</v>
      </c>
      <c r="C55" s="3"/>
      <c r="D55" s="16"/>
      <c r="E55" s="16"/>
      <c r="F55" s="22" t="s">
        <v>11</v>
      </c>
      <c r="G55" s="3"/>
      <c r="H55" s="5"/>
    </row>
    <row r="56" spans="1:9" x14ac:dyDescent="0.2">
      <c r="A56" s="21" t="s">
        <v>7</v>
      </c>
      <c r="B56" s="18" t="s">
        <v>44</v>
      </c>
      <c r="C56" s="3"/>
      <c r="D56" s="16"/>
      <c r="E56" s="16"/>
      <c r="F56" s="12"/>
      <c r="G56" s="3"/>
      <c r="H56" s="5"/>
    </row>
    <row r="57" spans="1:9" x14ac:dyDescent="0.2">
      <c r="A57" s="77"/>
      <c r="B57" s="78"/>
      <c r="C57" s="79"/>
      <c r="D57" s="68"/>
      <c r="E57" s="51"/>
      <c r="F57" s="80"/>
      <c r="G57" s="3"/>
      <c r="I57" s="33"/>
    </row>
    <row r="58" spans="1:9" ht="21" x14ac:dyDescent="0.2">
      <c r="A58" s="23">
        <v>43522</v>
      </c>
      <c r="B58" s="24" t="s">
        <v>45</v>
      </c>
      <c r="C58" s="25" t="s">
        <v>46</v>
      </c>
      <c r="D58" s="68"/>
      <c r="E58" s="25"/>
      <c r="F58" s="81">
        <v>3.08</v>
      </c>
      <c r="G58" s="3"/>
      <c r="I58" s="33"/>
    </row>
    <row r="59" spans="1:9" ht="21" x14ac:dyDescent="0.2">
      <c r="A59" s="23">
        <v>43549</v>
      </c>
      <c r="B59" s="24" t="s">
        <v>47</v>
      </c>
      <c r="C59" s="25" t="s">
        <v>48</v>
      </c>
      <c r="D59" s="68"/>
      <c r="E59" s="25"/>
      <c r="F59" s="81">
        <v>3.53</v>
      </c>
      <c r="G59" s="3"/>
      <c r="I59" s="33"/>
    </row>
    <row r="60" spans="1:9" ht="21" x14ac:dyDescent="0.2">
      <c r="A60" s="82">
        <v>43826</v>
      </c>
      <c r="B60" s="83" t="s">
        <v>49</v>
      </c>
      <c r="C60" s="84" t="s">
        <v>50</v>
      </c>
      <c r="D60" s="68"/>
      <c r="E60" s="25"/>
      <c r="F60" s="85">
        <v>99.7</v>
      </c>
      <c r="G60" s="3"/>
      <c r="I60" s="33"/>
    </row>
    <row r="61" spans="1:9" ht="21" x14ac:dyDescent="0.2">
      <c r="A61" s="82">
        <v>43826</v>
      </c>
      <c r="B61" s="83" t="s">
        <v>51</v>
      </c>
      <c r="C61" s="84" t="s">
        <v>52</v>
      </c>
      <c r="D61" s="68"/>
      <c r="E61" s="25"/>
      <c r="F61" s="85">
        <v>1.0900000000000001</v>
      </c>
      <c r="G61" s="3"/>
      <c r="I61" s="33"/>
    </row>
    <row r="62" spans="1:9" ht="21" x14ac:dyDescent="0.2">
      <c r="A62" s="82">
        <v>43826</v>
      </c>
      <c r="B62" s="83" t="s">
        <v>53</v>
      </c>
      <c r="C62" s="84" t="s">
        <v>54</v>
      </c>
      <c r="D62" s="68"/>
      <c r="E62" s="25"/>
      <c r="F62" s="85">
        <v>7.3</v>
      </c>
      <c r="G62" s="3"/>
      <c r="I62" s="33"/>
    </row>
    <row r="63" spans="1:9" ht="21" x14ac:dyDescent="0.2">
      <c r="A63" s="82">
        <v>43826</v>
      </c>
      <c r="B63" s="83" t="s">
        <v>55</v>
      </c>
      <c r="C63" s="84" t="s">
        <v>56</v>
      </c>
      <c r="D63" s="68"/>
      <c r="E63" s="25"/>
      <c r="F63" s="85">
        <v>5.43</v>
      </c>
      <c r="G63" s="3"/>
      <c r="I63" s="33"/>
    </row>
    <row r="64" spans="1:9" ht="21" x14ac:dyDescent="0.2">
      <c r="A64" s="82">
        <v>43826</v>
      </c>
      <c r="B64" s="83" t="s">
        <v>57</v>
      </c>
      <c r="C64" s="84" t="s">
        <v>58</v>
      </c>
      <c r="D64" s="68"/>
      <c r="E64" s="25"/>
      <c r="F64" s="85">
        <v>25.14</v>
      </c>
      <c r="G64" s="3"/>
      <c r="I64" s="33"/>
    </row>
    <row r="65" spans="1:9" ht="21" x14ac:dyDescent="0.2">
      <c r="A65" s="82">
        <v>43826</v>
      </c>
      <c r="B65" s="83" t="s">
        <v>59</v>
      </c>
      <c r="C65" s="84" t="s">
        <v>60</v>
      </c>
      <c r="D65" s="68"/>
      <c r="E65" s="25"/>
      <c r="F65" s="85">
        <v>1.81</v>
      </c>
      <c r="G65" s="3"/>
      <c r="I65" s="33"/>
    </row>
    <row r="66" spans="1:9" ht="21" x14ac:dyDescent="0.2">
      <c r="A66" s="82">
        <v>43826</v>
      </c>
      <c r="B66" s="83" t="s">
        <v>61</v>
      </c>
      <c r="C66" s="84" t="s">
        <v>62</v>
      </c>
      <c r="D66" s="68"/>
      <c r="E66" s="25"/>
      <c r="F66" s="85">
        <v>25.14</v>
      </c>
      <c r="G66" s="3"/>
      <c r="I66" s="33"/>
    </row>
    <row r="67" spans="1:9" ht="21" x14ac:dyDescent="0.2">
      <c r="A67" s="82">
        <v>43826</v>
      </c>
      <c r="B67" s="83" t="s">
        <v>63</v>
      </c>
      <c r="C67" s="84" t="s">
        <v>64</v>
      </c>
      <c r="D67" s="68"/>
      <c r="E67" s="25"/>
      <c r="F67" s="85">
        <v>9.44</v>
      </c>
      <c r="G67" s="3"/>
      <c r="I67" s="33"/>
    </row>
    <row r="68" spans="1:9" x14ac:dyDescent="0.2">
      <c r="A68" s="82">
        <v>43826</v>
      </c>
      <c r="B68" s="83" t="s">
        <v>65</v>
      </c>
      <c r="C68" s="84" t="s">
        <v>66</v>
      </c>
      <c r="D68" s="68"/>
      <c r="E68" s="25"/>
      <c r="F68" s="85">
        <v>2</v>
      </c>
      <c r="G68" s="3"/>
      <c r="I68" s="33"/>
    </row>
    <row r="69" spans="1:9" ht="31.5" x14ac:dyDescent="0.2">
      <c r="A69" s="29">
        <v>43826</v>
      </c>
      <c r="B69" s="30" t="s">
        <v>67</v>
      </c>
      <c r="C69" s="31" t="s">
        <v>68</v>
      </c>
      <c r="D69" s="68"/>
      <c r="E69" s="25"/>
      <c r="F69" s="86">
        <v>17.7</v>
      </c>
      <c r="G69" s="3"/>
      <c r="I69" s="33"/>
    </row>
    <row r="70" spans="1:9" ht="21" x14ac:dyDescent="0.2">
      <c r="A70" s="87">
        <v>43826</v>
      </c>
      <c r="B70" s="88" t="s">
        <v>69</v>
      </c>
      <c r="C70" s="89" t="s">
        <v>70</v>
      </c>
      <c r="D70" s="68"/>
      <c r="E70" s="25"/>
      <c r="F70" s="90">
        <v>5.52</v>
      </c>
      <c r="G70" s="3"/>
      <c r="I70" s="33"/>
    </row>
    <row r="71" spans="1:9" ht="21" x14ac:dyDescent="0.2">
      <c r="A71" s="87">
        <v>43826</v>
      </c>
      <c r="B71" s="88" t="s">
        <v>71</v>
      </c>
      <c r="C71" s="89" t="s">
        <v>72</v>
      </c>
      <c r="D71" s="68"/>
      <c r="E71" s="25"/>
      <c r="F71" s="90">
        <v>28.47</v>
      </c>
      <c r="G71" s="3"/>
      <c r="I71" s="33"/>
    </row>
    <row r="72" spans="1:9" ht="21" x14ac:dyDescent="0.2">
      <c r="A72" s="87">
        <v>43826</v>
      </c>
      <c r="B72" s="88" t="s">
        <v>73</v>
      </c>
      <c r="C72" s="89" t="s">
        <v>74</v>
      </c>
      <c r="D72" s="68"/>
      <c r="E72" s="25"/>
      <c r="F72" s="90">
        <v>6.12</v>
      </c>
      <c r="G72" s="3"/>
      <c r="I72" s="33"/>
    </row>
    <row r="73" spans="1:9" x14ac:dyDescent="0.2">
      <c r="A73" s="87">
        <v>43826</v>
      </c>
      <c r="B73" s="88" t="s">
        <v>75</v>
      </c>
      <c r="C73" s="89" t="s">
        <v>76</v>
      </c>
      <c r="D73" s="68"/>
      <c r="E73" s="25"/>
      <c r="F73" s="90">
        <v>8.42</v>
      </c>
      <c r="G73" s="3"/>
      <c r="I73" s="33"/>
    </row>
    <row r="74" spans="1:9" ht="21" x14ac:dyDescent="0.2">
      <c r="A74" s="87">
        <v>43826</v>
      </c>
      <c r="B74" s="88" t="s">
        <v>77</v>
      </c>
      <c r="C74" s="89" t="s">
        <v>78</v>
      </c>
      <c r="D74" s="68"/>
      <c r="E74" s="25"/>
      <c r="F74" s="90">
        <v>7.55</v>
      </c>
      <c r="G74" s="3"/>
      <c r="I74" s="33"/>
    </row>
    <row r="75" spans="1:9" x14ac:dyDescent="0.2">
      <c r="A75" s="87">
        <v>43826</v>
      </c>
      <c r="B75" s="88" t="s">
        <v>79</v>
      </c>
      <c r="C75" s="89" t="s">
        <v>80</v>
      </c>
      <c r="D75" s="68"/>
      <c r="E75" s="25"/>
      <c r="F75" s="90">
        <v>10.52</v>
      </c>
      <c r="G75" s="3"/>
      <c r="I75" s="33"/>
    </row>
    <row r="76" spans="1:9" x14ac:dyDescent="0.2">
      <c r="A76" s="87">
        <v>43826</v>
      </c>
      <c r="B76" s="88" t="s">
        <v>81</v>
      </c>
      <c r="C76" s="89" t="s">
        <v>82</v>
      </c>
      <c r="D76" s="68"/>
      <c r="E76" s="25"/>
      <c r="F76" s="90">
        <v>7.6</v>
      </c>
      <c r="G76" s="3"/>
      <c r="I76" s="33"/>
    </row>
    <row r="77" spans="1:9" ht="21" x14ac:dyDescent="0.2">
      <c r="A77" s="87">
        <v>43826</v>
      </c>
      <c r="B77" s="88" t="s">
        <v>83</v>
      </c>
      <c r="C77" s="89" t="s">
        <v>84</v>
      </c>
      <c r="D77" s="68"/>
      <c r="E77" s="25"/>
      <c r="F77" s="90">
        <v>7.52</v>
      </c>
      <c r="G77" s="3"/>
      <c r="I77" s="33"/>
    </row>
    <row r="78" spans="1:9" ht="21" x14ac:dyDescent="0.2">
      <c r="A78" s="87">
        <v>43826</v>
      </c>
      <c r="B78" s="88" t="s">
        <v>85</v>
      </c>
      <c r="C78" s="89" t="s">
        <v>86</v>
      </c>
      <c r="D78" s="68"/>
      <c r="E78" s="25"/>
      <c r="F78" s="90">
        <v>3.36</v>
      </c>
      <c r="G78" s="3"/>
      <c r="I78" s="33"/>
    </row>
    <row r="79" spans="1:9" ht="21" x14ac:dyDescent="0.2">
      <c r="A79" s="87">
        <v>43826</v>
      </c>
      <c r="B79" s="88" t="s">
        <v>87</v>
      </c>
      <c r="C79" s="89" t="s">
        <v>88</v>
      </c>
      <c r="D79" s="68"/>
      <c r="E79" s="25"/>
      <c r="F79" s="90">
        <v>1.68</v>
      </c>
      <c r="G79" s="3"/>
      <c r="I79" s="33"/>
    </row>
    <row r="80" spans="1:9" ht="21" x14ac:dyDescent="0.2">
      <c r="A80" s="87">
        <v>43826</v>
      </c>
      <c r="B80" s="88" t="s">
        <v>89</v>
      </c>
      <c r="C80" s="89" t="s">
        <v>90</v>
      </c>
      <c r="D80" s="68"/>
      <c r="E80" s="25"/>
      <c r="F80" s="90">
        <v>8.07</v>
      </c>
      <c r="G80" s="3"/>
      <c r="I80" s="33"/>
    </row>
    <row r="81" spans="1:9" ht="21" x14ac:dyDescent="0.2">
      <c r="A81" s="87">
        <v>43826</v>
      </c>
      <c r="B81" s="88" t="s">
        <v>91</v>
      </c>
      <c r="C81" s="89" t="s">
        <v>92</v>
      </c>
      <c r="D81" s="68"/>
      <c r="E81" s="25"/>
      <c r="F81" s="90">
        <v>7.51</v>
      </c>
      <c r="G81" s="3"/>
      <c r="I81" s="33"/>
    </row>
    <row r="82" spans="1:9" ht="21" x14ac:dyDescent="0.2">
      <c r="A82" s="87">
        <v>43826</v>
      </c>
      <c r="B82" s="88" t="s">
        <v>93</v>
      </c>
      <c r="C82" s="89" t="s">
        <v>94</v>
      </c>
      <c r="D82" s="68"/>
      <c r="E82" s="25"/>
      <c r="F82" s="90">
        <v>11.11</v>
      </c>
      <c r="G82" s="3"/>
      <c r="I82" s="33"/>
    </row>
    <row r="83" spans="1:9" ht="21" x14ac:dyDescent="0.2">
      <c r="A83" s="87">
        <v>43826</v>
      </c>
      <c r="B83" s="88" t="s">
        <v>95</v>
      </c>
      <c r="C83" s="89" t="s">
        <v>96</v>
      </c>
      <c r="D83" s="68"/>
      <c r="E83" s="25"/>
      <c r="F83" s="90">
        <v>2.2200000000000002</v>
      </c>
      <c r="G83" s="3"/>
      <c r="I83" s="33"/>
    </row>
    <row r="84" spans="1:9" ht="21" x14ac:dyDescent="0.2">
      <c r="A84" s="87">
        <v>43826</v>
      </c>
      <c r="B84" s="88" t="s">
        <v>97</v>
      </c>
      <c r="C84" s="89" t="s">
        <v>98</v>
      </c>
      <c r="D84" s="68"/>
      <c r="E84" s="25"/>
      <c r="F84" s="90">
        <v>8.9700000000000006</v>
      </c>
      <c r="G84" s="3"/>
      <c r="I84" s="33"/>
    </row>
    <row r="85" spans="1:9" ht="21" x14ac:dyDescent="0.2">
      <c r="A85" s="87">
        <v>43826</v>
      </c>
      <c r="B85" s="88" t="s">
        <v>99</v>
      </c>
      <c r="C85" s="89" t="s">
        <v>100</v>
      </c>
      <c r="D85" s="68"/>
      <c r="E85" s="25"/>
      <c r="F85" s="90">
        <v>9.85</v>
      </c>
      <c r="G85" s="3"/>
      <c r="I85" s="33"/>
    </row>
    <row r="86" spans="1:9" x14ac:dyDescent="0.2">
      <c r="A86" s="87">
        <v>43826</v>
      </c>
      <c r="B86" s="88" t="s">
        <v>101</v>
      </c>
      <c r="C86" s="89" t="s">
        <v>102</v>
      </c>
      <c r="D86" s="68"/>
      <c r="E86" s="25"/>
      <c r="F86" s="90">
        <v>7.77</v>
      </c>
      <c r="G86" s="3"/>
      <c r="I86" s="33"/>
    </row>
    <row r="87" spans="1:9" x14ac:dyDescent="0.2">
      <c r="A87" s="87">
        <v>43826</v>
      </c>
      <c r="B87" s="88" t="s">
        <v>103</v>
      </c>
      <c r="C87" s="89" t="s">
        <v>104</v>
      </c>
      <c r="D87" s="68"/>
      <c r="E87" s="25"/>
      <c r="F87" s="90">
        <v>5.69</v>
      </c>
      <c r="G87" s="3"/>
      <c r="I87" s="33"/>
    </row>
    <row r="88" spans="1:9" ht="21" x14ac:dyDescent="0.2">
      <c r="A88" s="87">
        <v>43826</v>
      </c>
      <c r="B88" s="88" t="s">
        <v>105</v>
      </c>
      <c r="C88" s="89" t="s">
        <v>106</v>
      </c>
      <c r="D88" s="68"/>
      <c r="E88" s="25"/>
      <c r="F88" s="90">
        <v>38.9</v>
      </c>
      <c r="G88" s="3"/>
      <c r="I88" s="33"/>
    </row>
    <row r="89" spans="1:9" x14ac:dyDescent="0.2">
      <c r="A89" s="87">
        <v>43826</v>
      </c>
      <c r="B89" s="88" t="s">
        <v>107</v>
      </c>
      <c r="C89" s="89" t="s">
        <v>108</v>
      </c>
      <c r="D89" s="68"/>
      <c r="E89" s="25"/>
      <c r="F89" s="90">
        <v>3.68</v>
      </c>
      <c r="G89" s="3"/>
      <c r="I89" s="33"/>
    </row>
    <row r="90" spans="1:9" ht="21" x14ac:dyDescent="0.2">
      <c r="A90" s="87">
        <v>43826</v>
      </c>
      <c r="B90" s="88" t="s">
        <v>109</v>
      </c>
      <c r="C90" s="89" t="s">
        <v>110</v>
      </c>
      <c r="D90" s="68"/>
      <c r="E90" s="25"/>
      <c r="F90" s="90">
        <v>5.37</v>
      </c>
      <c r="G90" s="3"/>
      <c r="I90" s="33"/>
    </row>
    <row r="91" spans="1:9" ht="21" x14ac:dyDescent="0.2">
      <c r="A91" s="87">
        <v>43826</v>
      </c>
      <c r="B91" s="88" t="s">
        <v>111</v>
      </c>
      <c r="C91" s="89" t="s">
        <v>112</v>
      </c>
      <c r="D91" s="68"/>
      <c r="E91" s="25"/>
      <c r="F91" s="90">
        <v>4.4000000000000004</v>
      </c>
      <c r="G91" s="3"/>
      <c r="I91" s="33"/>
    </row>
    <row r="92" spans="1:9" ht="21" x14ac:dyDescent="0.2">
      <c r="A92" s="87">
        <v>43826</v>
      </c>
      <c r="B92" s="88" t="s">
        <v>113</v>
      </c>
      <c r="C92" s="89" t="s">
        <v>114</v>
      </c>
      <c r="D92" s="68"/>
      <c r="E92" s="25"/>
      <c r="F92" s="90">
        <v>11.1</v>
      </c>
      <c r="G92" s="3"/>
      <c r="I92" s="33"/>
    </row>
    <row r="93" spans="1:9" ht="21" x14ac:dyDescent="0.2">
      <c r="A93" s="87">
        <v>43826</v>
      </c>
      <c r="B93" s="88" t="s">
        <v>115</v>
      </c>
      <c r="C93" s="89" t="s">
        <v>116</v>
      </c>
      <c r="D93" s="68"/>
      <c r="E93" s="25"/>
      <c r="F93" s="90">
        <v>13.73</v>
      </c>
      <c r="G93" s="3"/>
      <c r="I93" s="33"/>
    </row>
    <row r="94" spans="1:9" ht="21" x14ac:dyDescent="0.2">
      <c r="A94" s="87">
        <v>43826</v>
      </c>
      <c r="B94" s="88" t="s">
        <v>117</v>
      </c>
      <c r="C94" s="89" t="s">
        <v>118</v>
      </c>
      <c r="D94" s="68"/>
      <c r="E94" s="25"/>
      <c r="F94" s="90">
        <v>4.3499999999999996</v>
      </c>
      <c r="G94" s="3"/>
      <c r="I94" s="33"/>
    </row>
    <row r="95" spans="1:9" ht="21" x14ac:dyDescent="0.2">
      <c r="A95" s="87">
        <v>43826</v>
      </c>
      <c r="B95" s="88" t="s">
        <v>119</v>
      </c>
      <c r="C95" s="89" t="s">
        <v>120</v>
      </c>
      <c r="D95" s="68"/>
      <c r="E95" s="25"/>
      <c r="F95" s="90">
        <v>3.45</v>
      </c>
      <c r="G95" s="3"/>
      <c r="I95" s="33"/>
    </row>
    <row r="96" spans="1:9" ht="21" x14ac:dyDescent="0.2">
      <c r="A96" s="87">
        <v>43826</v>
      </c>
      <c r="B96" s="88" t="s">
        <v>121</v>
      </c>
      <c r="C96" s="89" t="s">
        <v>122</v>
      </c>
      <c r="D96" s="68"/>
      <c r="E96" s="25"/>
      <c r="F96" s="90">
        <v>6.8</v>
      </c>
      <c r="G96" s="3"/>
      <c r="I96" s="33"/>
    </row>
    <row r="97" spans="1:9" ht="21" x14ac:dyDescent="0.2">
      <c r="A97" s="87">
        <v>43826</v>
      </c>
      <c r="B97" s="88" t="s">
        <v>123</v>
      </c>
      <c r="C97" s="89" t="s">
        <v>124</v>
      </c>
      <c r="D97" s="68"/>
      <c r="E97" s="25"/>
      <c r="F97" s="90">
        <v>1.62</v>
      </c>
      <c r="G97" s="3"/>
      <c r="I97" s="33"/>
    </row>
    <row r="98" spans="1:9" ht="21" x14ac:dyDescent="0.2">
      <c r="A98" s="87">
        <v>43826</v>
      </c>
      <c r="B98" s="88" t="s">
        <v>125</v>
      </c>
      <c r="C98" s="89" t="s">
        <v>126</v>
      </c>
      <c r="D98" s="68"/>
      <c r="E98" s="25"/>
      <c r="F98" s="90">
        <v>5.6</v>
      </c>
      <c r="G98" s="3"/>
      <c r="I98" s="33"/>
    </row>
    <row r="99" spans="1:9" ht="21" x14ac:dyDescent="0.2">
      <c r="A99" s="87">
        <v>43826</v>
      </c>
      <c r="B99" s="88" t="s">
        <v>127</v>
      </c>
      <c r="C99" s="89" t="s">
        <v>128</v>
      </c>
      <c r="D99" s="68"/>
      <c r="E99" s="25"/>
      <c r="F99" s="90">
        <v>5.13</v>
      </c>
      <c r="G99" s="3"/>
      <c r="I99" s="33"/>
    </row>
    <row r="100" spans="1:9" ht="21" x14ac:dyDescent="0.2">
      <c r="A100" s="87">
        <v>43826</v>
      </c>
      <c r="B100" s="88" t="s">
        <v>129</v>
      </c>
      <c r="C100" s="89" t="s">
        <v>130</v>
      </c>
      <c r="D100" s="68"/>
      <c r="E100" s="25"/>
      <c r="F100" s="90">
        <v>5.55</v>
      </c>
      <c r="G100" s="3"/>
      <c r="I100" s="33"/>
    </row>
    <row r="101" spans="1:9" x14ac:dyDescent="0.2">
      <c r="A101" s="87">
        <v>43826</v>
      </c>
      <c r="B101" s="88" t="s">
        <v>131</v>
      </c>
      <c r="C101" s="89" t="s">
        <v>132</v>
      </c>
      <c r="D101" s="68"/>
      <c r="E101" s="25"/>
      <c r="F101" s="90">
        <v>3.37</v>
      </c>
      <c r="G101" s="3"/>
      <c r="I101" s="33"/>
    </row>
    <row r="102" spans="1:9" x14ac:dyDescent="0.2">
      <c r="A102" s="87">
        <v>43826</v>
      </c>
      <c r="B102" s="88" t="s">
        <v>133</v>
      </c>
      <c r="C102" s="89" t="s">
        <v>134</v>
      </c>
      <c r="D102" s="68"/>
      <c r="E102" s="25"/>
      <c r="F102" s="90">
        <v>1.71</v>
      </c>
      <c r="G102" s="3"/>
      <c r="I102" s="33"/>
    </row>
    <row r="103" spans="1:9" x14ac:dyDescent="0.2">
      <c r="A103" s="87">
        <v>43826</v>
      </c>
      <c r="B103" s="88" t="s">
        <v>135</v>
      </c>
      <c r="C103" s="89" t="s">
        <v>136</v>
      </c>
      <c r="D103" s="68"/>
      <c r="E103" s="25"/>
      <c r="F103" s="90">
        <v>8.6</v>
      </c>
      <c r="G103" s="3"/>
      <c r="I103" s="33"/>
    </row>
    <row r="104" spans="1:9" x14ac:dyDescent="0.2">
      <c r="A104" s="87">
        <v>43826</v>
      </c>
      <c r="B104" s="88" t="s">
        <v>137</v>
      </c>
      <c r="C104" s="89" t="s">
        <v>138</v>
      </c>
      <c r="D104" s="68"/>
      <c r="E104" s="25"/>
      <c r="F104" s="90">
        <v>18</v>
      </c>
      <c r="G104" s="3"/>
      <c r="I104" s="33"/>
    </row>
    <row r="105" spans="1:9" ht="21" x14ac:dyDescent="0.2">
      <c r="A105" s="87">
        <v>43826</v>
      </c>
      <c r="B105" s="88" t="s">
        <v>139</v>
      </c>
      <c r="C105" s="89" t="s">
        <v>140</v>
      </c>
      <c r="D105" s="68"/>
      <c r="E105" s="25"/>
      <c r="F105" s="90">
        <v>5.72</v>
      </c>
      <c r="G105" s="3"/>
      <c r="I105" s="33"/>
    </row>
    <row r="106" spans="1:9" ht="21" x14ac:dyDescent="0.2">
      <c r="A106" s="87">
        <v>43826</v>
      </c>
      <c r="B106" s="88" t="s">
        <v>141</v>
      </c>
      <c r="C106" s="89" t="s">
        <v>142</v>
      </c>
      <c r="D106" s="68"/>
      <c r="E106" s="25"/>
      <c r="F106" s="90">
        <v>7.25</v>
      </c>
      <c r="G106" s="3"/>
      <c r="I106" s="33"/>
    </row>
    <row r="107" spans="1:9" ht="21" x14ac:dyDescent="0.2">
      <c r="A107" s="87">
        <v>43826</v>
      </c>
      <c r="B107" s="88" t="s">
        <v>143</v>
      </c>
      <c r="C107" s="89" t="s">
        <v>144</v>
      </c>
      <c r="D107" s="68"/>
      <c r="E107" s="25"/>
      <c r="F107" s="90">
        <v>7.72</v>
      </c>
      <c r="G107" s="3"/>
      <c r="I107" s="33"/>
    </row>
    <row r="108" spans="1:9" ht="21" x14ac:dyDescent="0.2">
      <c r="A108" s="87">
        <v>43826</v>
      </c>
      <c r="B108" s="88" t="s">
        <v>145</v>
      </c>
      <c r="C108" s="89" t="s">
        <v>146</v>
      </c>
      <c r="D108" s="68"/>
      <c r="E108" s="25"/>
      <c r="F108" s="90">
        <v>6.72</v>
      </c>
      <c r="G108" s="3"/>
      <c r="I108" s="33"/>
    </row>
    <row r="109" spans="1:9" ht="21" x14ac:dyDescent="0.2">
      <c r="A109" s="87">
        <v>43826</v>
      </c>
      <c r="B109" s="88" t="s">
        <v>147</v>
      </c>
      <c r="C109" s="89" t="s">
        <v>148</v>
      </c>
      <c r="D109" s="68"/>
      <c r="E109" s="25"/>
      <c r="F109" s="90">
        <v>5.41</v>
      </c>
      <c r="G109" s="3"/>
      <c r="I109" s="33"/>
    </row>
    <row r="110" spans="1:9" x14ac:dyDescent="0.2">
      <c r="A110" s="87">
        <v>43826</v>
      </c>
      <c r="B110" s="88" t="s">
        <v>149</v>
      </c>
      <c r="C110" s="89" t="s">
        <v>150</v>
      </c>
      <c r="D110" s="68"/>
      <c r="E110" s="25"/>
      <c r="F110" s="90">
        <v>4.4800000000000004</v>
      </c>
      <c r="G110" s="3"/>
      <c r="I110" s="33"/>
    </row>
    <row r="111" spans="1:9" ht="21" x14ac:dyDescent="0.2">
      <c r="A111" s="87">
        <v>43826</v>
      </c>
      <c r="B111" s="88" t="s">
        <v>151</v>
      </c>
      <c r="C111" s="89" t="s">
        <v>152</v>
      </c>
      <c r="D111" s="68"/>
      <c r="E111" s="25"/>
      <c r="F111" s="90">
        <v>1.68</v>
      </c>
      <c r="G111" s="3"/>
      <c r="I111" s="33"/>
    </row>
    <row r="112" spans="1:9" ht="21" x14ac:dyDescent="0.2">
      <c r="A112" s="87">
        <v>43826</v>
      </c>
      <c r="B112" s="88" t="s">
        <v>153</v>
      </c>
      <c r="C112" s="89" t="s">
        <v>154</v>
      </c>
      <c r="D112" s="68"/>
      <c r="E112" s="25"/>
      <c r="F112" s="90">
        <v>4.62</v>
      </c>
      <c r="G112" s="3"/>
      <c r="I112" s="33"/>
    </row>
    <row r="113" spans="1:9" ht="21" x14ac:dyDescent="0.2">
      <c r="A113" s="87">
        <v>43827</v>
      </c>
      <c r="B113" s="88" t="s">
        <v>155</v>
      </c>
      <c r="C113" s="89" t="s">
        <v>156</v>
      </c>
      <c r="D113" s="68"/>
      <c r="E113" s="25"/>
      <c r="F113" s="90">
        <v>3.36</v>
      </c>
      <c r="G113" s="3"/>
      <c r="I113" s="33"/>
    </row>
    <row r="114" spans="1:9" x14ac:dyDescent="0.2">
      <c r="A114" s="87">
        <v>43827</v>
      </c>
      <c r="B114" s="88" t="s">
        <v>157</v>
      </c>
      <c r="C114" s="89" t="s">
        <v>158</v>
      </c>
      <c r="D114" s="68"/>
      <c r="E114" s="25"/>
      <c r="F114" s="90">
        <v>3.27</v>
      </c>
      <c r="G114" s="3"/>
      <c r="I114" s="33"/>
    </row>
    <row r="115" spans="1:9" ht="21" x14ac:dyDescent="0.2">
      <c r="A115" s="87">
        <v>43827</v>
      </c>
      <c r="B115" s="88" t="s">
        <v>159</v>
      </c>
      <c r="C115" s="89" t="s">
        <v>160</v>
      </c>
      <c r="D115" s="68"/>
      <c r="E115" s="25"/>
      <c r="F115" s="90">
        <v>4.9400000000000004</v>
      </c>
      <c r="G115" s="3"/>
      <c r="I115" s="33"/>
    </row>
    <row r="116" spans="1:9" ht="21" x14ac:dyDescent="0.2">
      <c r="A116" s="87">
        <v>43827</v>
      </c>
      <c r="B116" s="88" t="s">
        <v>161</v>
      </c>
      <c r="C116" s="89" t="s">
        <v>162</v>
      </c>
      <c r="D116" s="68"/>
      <c r="E116" s="25"/>
      <c r="F116" s="90">
        <v>27.2</v>
      </c>
      <c r="G116" s="3"/>
      <c r="I116" s="33"/>
    </row>
    <row r="117" spans="1:9" ht="21" x14ac:dyDescent="0.2">
      <c r="A117" s="87">
        <v>43827</v>
      </c>
      <c r="B117" s="88" t="s">
        <v>163</v>
      </c>
      <c r="C117" s="89" t="s">
        <v>164</v>
      </c>
      <c r="D117" s="68"/>
      <c r="E117" s="25"/>
      <c r="F117" s="90">
        <v>9.92</v>
      </c>
      <c r="G117" s="3"/>
      <c r="I117" s="33"/>
    </row>
    <row r="118" spans="1:9" ht="21" x14ac:dyDescent="0.2">
      <c r="A118" s="87">
        <v>43827</v>
      </c>
      <c r="B118" s="88" t="s">
        <v>165</v>
      </c>
      <c r="C118" s="89" t="s">
        <v>166</v>
      </c>
      <c r="D118" s="68"/>
      <c r="E118" s="25"/>
      <c r="F118" s="90">
        <v>10.69</v>
      </c>
      <c r="G118" s="3"/>
      <c r="I118" s="33"/>
    </row>
    <row r="119" spans="1:9" ht="21" x14ac:dyDescent="0.2">
      <c r="A119" s="87">
        <v>43827</v>
      </c>
      <c r="B119" s="88" t="s">
        <v>167</v>
      </c>
      <c r="C119" s="89" t="s">
        <v>168</v>
      </c>
      <c r="D119" s="68"/>
      <c r="E119" s="25"/>
      <c r="F119" s="90">
        <v>8.42</v>
      </c>
      <c r="G119" s="3"/>
      <c r="I119" s="33"/>
    </row>
    <row r="120" spans="1:9" ht="21" x14ac:dyDescent="0.2">
      <c r="A120" s="87">
        <v>43827</v>
      </c>
      <c r="B120" s="88" t="s">
        <v>169</v>
      </c>
      <c r="C120" s="89" t="s">
        <v>170</v>
      </c>
      <c r="D120" s="68"/>
      <c r="E120" s="25"/>
      <c r="F120" s="90">
        <v>4.12</v>
      </c>
      <c r="G120" s="3"/>
      <c r="I120" s="33"/>
    </row>
    <row r="121" spans="1:9" ht="21" x14ac:dyDescent="0.2">
      <c r="A121" s="87">
        <v>43827</v>
      </c>
      <c r="B121" s="88" t="s">
        <v>171</v>
      </c>
      <c r="C121" s="89" t="s">
        <v>172</v>
      </c>
      <c r="D121" s="68"/>
      <c r="E121" s="25"/>
      <c r="F121" s="90">
        <v>3.99</v>
      </c>
      <c r="G121" s="3"/>
      <c r="I121" s="33"/>
    </row>
    <row r="122" spans="1:9" ht="21" x14ac:dyDescent="0.2">
      <c r="A122" s="87">
        <v>43827</v>
      </c>
      <c r="B122" s="88" t="s">
        <v>173</v>
      </c>
      <c r="C122" s="89" t="s">
        <v>174</v>
      </c>
      <c r="D122" s="68"/>
      <c r="E122" s="25"/>
      <c r="F122" s="90">
        <v>8.5299999999999994</v>
      </c>
      <c r="G122" s="3"/>
      <c r="I122" s="33"/>
    </row>
    <row r="123" spans="1:9" ht="21" x14ac:dyDescent="0.2">
      <c r="A123" s="87">
        <v>43827</v>
      </c>
      <c r="B123" s="88" t="s">
        <v>175</v>
      </c>
      <c r="C123" s="89" t="s">
        <v>176</v>
      </c>
      <c r="D123" s="68"/>
      <c r="E123" s="25"/>
      <c r="F123" s="90">
        <v>5.78</v>
      </c>
      <c r="G123" s="3"/>
      <c r="I123" s="33"/>
    </row>
    <row r="124" spans="1:9" ht="21" x14ac:dyDescent="0.2">
      <c r="A124" s="87">
        <v>43827</v>
      </c>
      <c r="B124" s="88" t="s">
        <v>177</v>
      </c>
      <c r="C124" s="89" t="s">
        <v>178</v>
      </c>
      <c r="D124" s="68"/>
      <c r="E124" s="25"/>
      <c r="F124" s="90">
        <v>5.53</v>
      </c>
      <c r="G124" s="3"/>
      <c r="I124" s="33"/>
    </row>
    <row r="125" spans="1:9" x14ac:dyDescent="0.2">
      <c r="A125" s="87">
        <v>43827</v>
      </c>
      <c r="B125" s="88" t="s">
        <v>179</v>
      </c>
      <c r="C125" s="89" t="s">
        <v>180</v>
      </c>
      <c r="D125" s="68"/>
      <c r="E125" s="25"/>
      <c r="F125" s="90">
        <v>2.86</v>
      </c>
      <c r="G125" s="3"/>
      <c r="I125" s="33"/>
    </row>
    <row r="126" spans="1:9" x14ac:dyDescent="0.2">
      <c r="A126" s="87">
        <v>43827</v>
      </c>
      <c r="B126" s="88" t="s">
        <v>181</v>
      </c>
      <c r="C126" s="89" t="s">
        <v>182</v>
      </c>
      <c r="D126" s="68"/>
      <c r="E126" s="25"/>
      <c r="F126" s="90">
        <v>3.45</v>
      </c>
      <c r="G126" s="3"/>
      <c r="I126" s="33"/>
    </row>
    <row r="127" spans="1:9" ht="21" x14ac:dyDescent="0.2">
      <c r="A127" s="87">
        <v>43827</v>
      </c>
      <c r="B127" s="88" t="s">
        <v>183</v>
      </c>
      <c r="C127" s="89" t="s">
        <v>184</v>
      </c>
      <c r="D127" s="68"/>
      <c r="E127" s="25"/>
      <c r="F127" s="90">
        <v>5.01</v>
      </c>
      <c r="G127" s="3"/>
      <c r="I127" s="33"/>
    </row>
    <row r="128" spans="1:9" x14ac:dyDescent="0.2">
      <c r="A128" s="87">
        <v>43827</v>
      </c>
      <c r="B128" s="88" t="s">
        <v>185</v>
      </c>
      <c r="C128" s="89" t="s">
        <v>186</v>
      </c>
      <c r="D128" s="68"/>
      <c r="E128" s="25"/>
      <c r="F128" s="90">
        <v>3.4</v>
      </c>
      <c r="G128" s="3"/>
      <c r="I128" s="33"/>
    </row>
    <row r="129" spans="1:9" x14ac:dyDescent="0.2">
      <c r="A129" s="87">
        <v>43827</v>
      </c>
      <c r="B129" s="88" t="s">
        <v>187</v>
      </c>
      <c r="C129" s="89" t="s">
        <v>188</v>
      </c>
      <c r="D129" s="68"/>
      <c r="E129" s="25"/>
      <c r="F129" s="90">
        <v>2.4300000000000002</v>
      </c>
      <c r="G129" s="3"/>
      <c r="I129" s="33"/>
    </row>
    <row r="130" spans="1:9" ht="21" x14ac:dyDescent="0.2">
      <c r="A130" s="87">
        <v>43827</v>
      </c>
      <c r="B130" s="88" t="s">
        <v>189</v>
      </c>
      <c r="C130" s="89" t="s">
        <v>190</v>
      </c>
      <c r="D130" s="68"/>
      <c r="E130" s="25"/>
      <c r="F130" s="90">
        <v>6.38</v>
      </c>
      <c r="G130" s="3"/>
      <c r="I130" s="33"/>
    </row>
    <row r="131" spans="1:9" ht="21" x14ac:dyDescent="0.2">
      <c r="A131" s="87">
        <v>43827</v>
      </c>
      <c r="B131" s="88" t="s">
        <v>191</v>
      </c>
      <c r="C131" s="89" t="s">
        <v>192</v>
      </c>
      <c r="D131" s="68"/>
      <c r="E131" s="25"/>
      <c r="F131" s="90">
        <v>4.34</v>
      </c>
      <c r="G131" s="3"/>
      <c r="I131" s="33"/>
    </row>
    <row r="132" spans="1:9" ht="21" x14ac:dyDescent="0.2">
      <c r="A132" s="87">
        <v>43827</v>
      </c>
      <c r="B132" s="88" t="s">
        <v>193</v>
      </c>
      <c r="C132" s="89" t="s">
        <v>194</v>
      </c>
      <c r="D132" s="68"/>
      <c r="E132" s="25"/>
      <c r="F132" s="90">
        <v>15.35</v>
      </c>
      <c r="G132" s="3"/>
      <c r="I132" s="33"/>
    </row>
    <row r="133" spans="1:9" ht="21" x14ac:dyDescent="0.2">
      <c r="A133" s="87">
        <v>43828</v>
      </c>
      <c r="B133" s="88" t="s">
        <v>195</v>
      </c>
      <c r="C133" s="89" t="s">
        <v>196</v>
      </c>
      <c r="D133" s="68"/>
      <c r="E133" s="25"/>
      <c r="F133" s="90">
        <v>0.27</v>
      </c>
      <c r="G133" s="3"/>
      <c r="I133" s="33"/>
    </row>
    <row r="134" spans="1:9" ht="21" x14ac:dyDescent="0.2">
      <c r="A134" s="87">
        <v>43828</v>
      </c>
      <c r="B134" s="88" t="s">
        <v>197</v>
      </c>
      <c r="C134" s="89" t="s">
        <v>198</v>
      </c>
      <c r="D134" s="68"/>
      <c r="E134" s="25"/>
      <c r="F134" s="90">
        <v>2.09</v>
      </c>
      <c r="G134" s="3"/>
      <c r="I134" s="33"/>
    </row>
    <row r="135" spans="1:9" ht="21" x14ac:dyDescent="0.2">
      <c r="A135" s="87">
        <v>43828</v>
      </c>
      <c r="B135" s="88" t="s">
        <v>199</v>
      </c>
      <c r="C135" s="89" t="s">
        <v>200</v>
      </c>
      <c r="D135" s="68"/>
      <c r="E135" s="25"/>
      <c r="F135" s="90">
        <v>1.33</v>
      </c>
      <c r="G135" s="3"/>
      <c r="I135" s="33"/>
    </row>
    <row r="136" spans="1:9" ht="21" x14ac:dyDescent="0.2">
      <c r="A136" s="87">
        <v>43828</v>
      </c>
      <c r="B136" s="88" t="s">
        <v>201</v>
      </c>
      <c r="C136" s="89" t="s">
        <v>202</v>
      </c>
      <c r="D136" s="68"/>
      <c r="E136" s="25"/>
      <c r="F136" s="90">
        <v>6.62</v>
      </c>
      <c r="G136" s="3"/>
      <c r="I136" s="33"/>
    </row>
    <row r="137" spans="1:9" ht="21" x14ac:dyDescent="0.2">
      <c r="A137" s="87">
        <v>43828</v>
      </c>
      <c r="B137" s="88" t="s">
        <v>203</v>
      </c>
      <c r="C137" s="89" t="s">
        <v>204</v>
      </c>
      <c r="D137" s="68"/>
      <c r="E137" s="25"/>
      <c r="F137" s="90">
        <v>14.43</v>
      </c>
      <c r="G137" s="3"/>
      <c r="I137" s="33"/>
    </row>
    <row r="138" spans="1:9" x14ac:dyDescent="0.2">
      <c r="A138" s="87">
        <v>43828</v>
      </c>
      <c r="B138" s="88" t="s">
        <v>205</v>
      </c>
      <c r="C138" s="89" t="s">
        <v>206</v>
      </c>
      <c r="D138" s="68"/>
      <c r="E138" s="25"/>
      <c r="F138" s="90">
        <v>5.0199999999999996</v>
      </c>
      <c r="G138" s="3"/>
      <c r="I138" s="33"/>
    </row>
    <row r="139" spans="1:9" ht="21" x14ac:dyDescent="0.2">
      <c r="A139" s="87">
        <v>43828</v>
      </c>
      <c r="B139" s="88" t="s">
        <v>207</v>
      </c>
      <c r="C139" s="89" t="s">
        <v>208</v>
      </c>
      <c r="D139" s="68"/>
      <c r="E139" s="25"/>
      <c r="F139" s="90">
        <v>9.34</v>
      </c>
      <c r="G139" s="3"/>
      <c r="I139" s="33"/>
    </row>
    <row r="140" spans="1:9" x14ac:dyDescent="0.2">
      <c r="A140" s="87">
        <v>43828</v>
      </c>
      <c r="B140" s="88" t="s">
        <v>209</v>
      </c>
      <c r="C140" s="89" t="s">
        <v>210</v>
      </c>
      <c r="D140" s="68"/>
      <c r="E140" s="25"/>
      <c r="F140" s="90">
        <v>1.08</v>
      </c>
      <c r="G140" s="3"/>
      <c r="I140" s="33"/>
    </row>
    <row r="141" spans="1:9" ht="21" x14ac:dyDescent="0.2">
      <c r="A141" s="87">
        <v>43828</v>
      </c>
      <c r="B141" s="88" t="s">
        <v>211</v>
      </c>
      <c r="C141" s="89" t="s">
        <v>212</v>
      </c>
      <c r="D141" s="68"/>
      <c r="E141" s="25"/>
      <c r="F141" s="90">
        <v>3.85</v>
      </c>
      <c r="G141" s="3"/>
      <c r="I141" s="33"/>
    </row>
    <row r="142" spans="1:9" x14ac:dyDescent="0.2">
      <c r="A142" s="87">
        <v>43828</v>
      </c>
      <c r="B142" s="88" t="s">
        <v>213</v>
      </c>
      <c r="C142" s="89" t="s">
        <v>214</v>
      </c>
      <c r="D142" s="68"/>
      <c r="E142" s="25"/>
      <c r="F142" s="90">
        <v>10.28</v>
      </c>
      <c r="G142" s="3"/>
      <c r="I142" s="33"/>
    </row>
    <row r="143" spans="1:9" x14ac:dyDescent="0.2">
      <c r="A143" s="87">
        <v>43828</v>
      </c>
      <c r="B143" s="88" t="s">
        <v>215</v>
      </c>
      <c r="C143" s="89" t="s">
        <v>216</v>
      </c>
      <c r="D143" s="68"/>
      <c r="E143" s="25"/>
      <c r="F143" s="90">
        <v>4.67</v>
      </c>
      <c r="G143" s="3"/>
      <c r="I143" s="33"/>
    </row>
    <row r="144" spans="1:9" ht="21" x14ac:dyDescent="0.2">
      <c r="A144" s="87">
        <v>43828</v>
      </c>
      <c r="B144" s="88" t="s">
        <v>217</v>
      </c>
      <c r="C144" s="89" t="s">
        <v>218</v>
      </c>
      <c r="D144" s="68"/>
      <c r="E144" s="25"/>
      <c r="F144" s="90">
        <v>6.2</v>
      </c>
      <c r="G144" s="3"/>
      <c r="I144" s="33"/>
    </row>
    <row r="145" spans="1:9" x14ac:dyDescent="0.2">
      <c r="A145" s="87">
        <v>43828</v>
      </c>
      <c r="B145" s="88" t="s">
        <v>219</v>
      </c>
      <c r="C145" s="89" t="s">
        <v>220</v>
      </c>
      <c r="D145" s="68"/>
      <c r="E145" s="25"/>
      <c r="F145" s="90">
        <v>7.48</v>
      </c>
      <c r="G145" s="3"/>
      <c r="I145" s="33"/>
    </row>
    <row r="146" spans="1:9" ht="21" x14ac:dyDescent="0.2">
      <c r="A146" s="87">
        <v>43828</v>
      </c>
      <c r="B146" s="88" t="s">
        <v>221</v>
      </c>
      <c r="C146" s="89" t="s">
        <v>222</v>
      </c>
      <c r="D146" s="68"/>
      <c r="E146" s="25"/>
      <c r="F146" s="90">
        <v>9.9</v>
      </c>
      <c r="G146" s="3"/>
      <c r="I146" s="33"/>
    </row>
    <row r="147" spans="1:9" ht="21" x14ac:dyDescent="0.2">
      <c r="A147" s="87">
        <v>43828</v>
      </c>
      <c r="B147" s="88" t="s">
        <v>223</v>
      </c>
      <c r="C147" s="89" t="s">
        <v>224</v>
      </c>
      <c r="D147" s="68"/>
      <c r="E147" s="25"/>
      <c r="F147" s="90">
        <v>7.67</v>
      </c>
      <c r="G147" s="3"/>
      <c r="I147" s="33"/>
    </row>
    <row r="148" spans="1:9" ht="21" x14ac:dyDescent="0.2">
      <c r="A148" s="87">
        <v>43828</v>
      </c>
      <c r="B148" s="88" t="s">
        <v>225</v>
      </c>
      <c r="C148" s="89" t="s">
        <v>226</v>
      </c>
      <c r="D148" s="68"/>
      <c r="E148" s="25"/>
      <c r="F148" s="90">
        <v>4.92</v>
      </c>
      <c r="G148" s="3"/>
      <c r="I148" s="33"/>
    </row>
    <row r="149" spans="1:9" x14ac:dyDescent="0.2">
      <c r="A149" s="87">
        <v>43829</v>
      </c>
      <c r="B149" s="88" t="s">
        <v>227</v>
      </c>
      <c r="C149" s="89" t="s">
        <v>228</v>
      </c>
      <c r="D149" s="68"/>
      <c r="E149" s="25"/>
      <c r="F149" s="90">
        <v>4.3600000000000003</v>
      </c>
      <c r="G149" s="3"/>
      <c r="I149" s="33"/>
    </row>
    <row r="150" spans="1:9" x14ac:dyDescent="0.2">
      <c r="A150" s="87">
        <v>43829</v>
      </c>
      <c r="B150" s="88" t="s">
        <v>229</v>
      </c>
      <c r="C150" s="89" t="s">
        <v>230</v>
      </c>
      <c r="D150" s="68"/>
      <c r="E150" s="25"/>
      <c r="F150" s="90">
        <v>3.16</v>
      </c>
      <c r="G150" s="3"/>
      <c r="I150" s="33"/>
    </row>
    <row r="151" spans="1:9" ht="21" x14ac:dyDescent="0.2">
      <c r="A151" s="87">
        <v>43829</v>
      </c>
      <c r="B151" s="88" t="s">
        <v>231</v>
      </c>
      <c r="C151" s="89" t="s">
        <v>232</v>
      </c>
      <c r="D151" s="68"/>
      <c r="E151" s="25"/>
      <c r="F151" s="90">
        <v>7.07</v>
      </c>
      <c r="G151" s="3"/>
      <c r="I151" s="33"/>
    </row>
    <row r="152" spans="1:9" ht="21" x14ac:dyDescent="0.2">
      <c r="A152" s="87">
        <v>43829</v>
      </c>
      <c r="B152" s="88" t="s">
        <v>233</v>
      </c>
      <c r="C152" s="89" t="s">
        <v>234</v>
      </c>
      <c r="D152" s="68"/>
      <c r="E152" s="25"/>
      <c r="F152" s="90">
        <v>19.07</v>
      </c>
      <c r="G152" s="3"/>
      <c r="I152" s="33"/>
    </row>
    <row r="153" spans="1:9" ht="21" x14ac:dyDescent="0.2">
      <c r="A153" s="87">
        <v>43829</v>
      </c>
      <c r="B153" s="88" t="s">
        <v>235</v>
      </c>
      <c r="C153" s="89" t="s">
        <v>236</v>
      </c>
      <c r="D153" s="68"/>
      <c r="E153" s="25"/>
      <c r="F153" s="90">
        <v>2.67</v>
      </c>
      <c r="G153" s="3"/>
      <c r="I153" s="33"/>
    </row>
    <row r="154" spans="1:9" x14ac:dyDescent="0.2">
      <c r="A154" s="87">
        <v>43829</v>
      </c>
      <c r="B154" s="88" t="s">
        <v>237</v>
      </c>
      <c r="C154" s="89" t="s">
        <v>238</v>
      </c>
      <c r="D154" s="68"/>
      <c r="E154" s="25"/>
      <c r="F154" s="90">
        <v>5.68</v>
      </c>
      <c r="G154" s="3"/>
      <c r="I154" s="33"/>
    </row>
    <row r="155" spans="1:9" ht="21" x14ac:dyDescent="0.2">
      <c r="A155" s="87">
        <v>43829</v>
      </c>
      <c r="B155" s="88" t="s">
        <v>239</v>
      </c>
      <c r="C155" s="89" t="s">
        <v>240</v>
      </c>
      <c r="D155" s="68"/>
      <c r="E155" s="25"/>
      <c r="F155" s="90">
        <v>8.3000000000000007</v>
      </c>
      <c r="G155" s="3"/>
      <c r="I155" s="33"/>
    </row>
    <row r="156" spans="1:9" ht="21" x14ac:dyDescent="0.2">
      <c r="A156" s="87">
        <v>43829</v>
      </c>
      <c r="B156" s="88" t="s">
        <v>241</v>
      </c>
      <c r="C156" s="89" t="s">
        <v>242</v>
      </c>
      <c r="D156" s="68"/>
      <c r="E156" s="25"/>
      <c r="F156" s="90">
        <v>7.36</v>
      </c>
      <c r="G156" s="3"/>
      <c r="I156" s="33"/>
    </row>
    <row r="157" spans="1:9" ht="21" x14ac:dyDescent="0.2">
      <c r="A157" s="87">
        <v>43829</v>
      </c>
      <c r="B157" s="88" t="s">
        <v>243</v>
      </c>
      <c r="C157" s="89" t="s">
        <v>244</v>
      </c>
      <c r="D157" s="68"/>
      <c r="E157" s="25"/>
      <c r="F157" s="90">
        <v>6.51</v>
      </c>
      <c r="G157" s="3"/>
      <c r="I157" s="33"/>
    </row>
    <row r="158" spans="1:9" ht="21" x14ac:dyDescent="0.2">
      <c r="A158" s="87">
        <v>43829</v>
      </c>
      <c r="B158" s="88" t="s">
        <v>245</v>
      </c>
      <c r="C158" s="89" t="s">
        <v>246</v>
      </c>
      <c r="D158" s="68"/>
      <c r="E158" s="25"/>
      <c r="F158" s="90">
        <v>4.0599999999999996</v>
      </c>
      <c r="G158" s="3"/>
      <c r="I158" s="33"/>
    </row>
    <row r="159" spans="1:9" ht="21" x14ac:dyDescent="0.2">
      <c r="A159" s="87">
        <v>43829</v>
      </c>
      <c r="B159" s="88" t="s">
        <v>247</v>
      </c>
      <c r="C159" s="89" t="s">
        <v>248</v>
      </c>
      <c r="D159" s="68"/>
      <c r="E159" s="25"/>
      <c r="F159" s="90">
        <v>5.04</v>
      </c>
      <c r="G159" s="3"/>
      <c r="I159" s="33"/>
    </row>
    <row r="160" spans="1:9" ht="21" x14ac:dyDescent="0.2">
      <c r="A160" s="87">
        <v>43829</v>
      </c>
      <c r="B160" s="88" t="s">
        <v>249</v>
      </c>
      <c r="C160" s="89" t="s">
        <v>250</v>
      </c>
      <c r="D160" s="68"/>
      <c r="E160" s="25"/>
      <c r="F160" s="90">
        <v>2.46</v>
      </c>
      <c r="G160" s="3"/>
      <c r="I160" s="33"/>
    </row>
    <row r="161" spans="1:9" ht="21" x14ac:dyDescent="0.2">
      <c r="A161" s="87">
        <v>43829</v>
      </c>
      <c r="B161" s="88" t="s">
        <v>251</v>
      </c>
      <c r="C161" s="89" t="s">
        <v>252</v>
      </c>
      <c r="D161" s="68"/>
      <c r="E161" s="25"/>
      <c r="F161" s="90">
        <v>0.1</v>
      </c>
      <c r="G161" s="3"/>
      <c r="I161" s="33"/>
    </row>
    <row r="162" spans="1:9" ht="21" x14ac:dyDescent="0.2">
      <c r="A162" s="87">
        <v>43829</v>
      </c>
      <c r="B162" s="88" t="s">
        <v>253</v>
      </c>
      <c r="C162" s="89" t="s">
        <v>254</v>
      </c>
      <c r="D162" s="68"/>
      <c r="E162" s="25"/>
      <c r="F162" s="90">
        <v>16.68</v>
      </c>
      <c r="G162" s="3"/>
      <c r="I162" s="33"/>
    </row>
    <row r="163" spans="1:9" ht="21" x14ac:dyDescent="0.2">
      <c r="A163" s="87">
        <v>43829</v>
      </c>
      <c r="B163" s="88" t="s">
        <v>255</v>
      </c>
      <c r="C163" s="89" t="s">
        <v>256</v>
      </c>
      <c r="D163" s="68"/>
      <c r="E163" s="25"/>
      <c r="F163" s="90">
        <v>6.06</v>
      </c>
      <c r="G163" s="3"/>
      <c r="I163" s="33"/>
    </row>
    <row r="164" spans="1:9" ht="21" x14ac:dyDescent="0.2">
      <c r="A164" s="87">
        <v>43829</v>
      </c>
      <c r="B164" s="88" t="s">
        <v>257</v>
      </c>
      <c r="C164" s="89" t="s">
        <v>258</v>
      </c>
      <c r="D164" s="68"/>
      <c r="E164" s="25"/>
      <c r="F164" s="90">
        <v>7.91</v>
      </c>
      <c r="G164" s="3"/>
      <c r="I164" s="33"/>
    </row>
    <row r="165" spans="1:9" ht="21" x14ac:dyDescent="0.2">
      <c r="A165" s="87">
        <v>43829</v>
      </c>
      <c r="B165" s="88" t="s">
        <v>259</v>
      </c>
      <c r="C165" s="89" t="s">
        <v>260</v>
      </c>
      <c r="D165" s="68"/>
      <c r="E165" s="25"/>
      <c r="F165" s="90">
        <v>6.53</v>
      </c>
      <c r="G165" s="3"/>
      <c r="I165" s="33"/>
    </row>
    <row r="166" spans="1:9" ht="21" x14ac:dyDescent="0.2">
      <c r="A166" s="87">
        <v>43829</v>
      </c>
      <c r="B166" s="88" t="s">
        <v>261</v>
      </c>
      <c r="C166" s="89" t="s">
        <v>262</v>
      </c>
      <c r="D166" s="68"/>
      <c r="E166" s="25"/>
      <c r="F166" s="90">
        <v>4.22</v>
      </c>
      <c r="G166" s="3"/>
      <c r="I166" s="33"/>
    </row>
    <row r="167" spans="1:9" ht="21" x14ac:dyDescent="0.2">
      <c r="A167" s="87">
        <v>43829</v>
      </c>
      <c r="B167" s="88" t="s">
        <v>263</v>
      </c>
      <c r="C167" s="89" t="s">
        <v>264</v>
      </c>
      <c r="D167" s="68"/>
      <c r="E167" s="25"/>
      <c r="F167" s="90">
        <v>2.36</v>
      </c>
      <c r="G167" s="3"/>
      <c r="I167" s="33"/>
    </row>
    <row r="168" spans="1:9" x14ac:dyDescent="0.2">
      <c r="A168" s="87">
        <v>43829</v>
      </c>
      <c r="B168" s="88" t="s">
        <v>265</v>
      </c>
      <c r="C168" s="89" t="s">
        <v>266</v>
      </c>
      <c r="D168" s="68"/>
      <c r="E168" s="25"/>
      <c r="F168" s="90">
        <v>18.05</v>
      </c>
      <c r="G168" s="3"/>
      <c r="I168" s="33"/>
    </row>
    <row r="169" spans="1:9" x14ac:dyDescent="0.2">
      <c r="A169" s="87">
        <v>43829</v>
      </c>
      <c r="B169" s="88" t="s">
        <v>267</v>
      </c>
      <c r="C169" s="89" t="s">
        <v>268</v>
      </c>
      <c r="D169" s="68"/>
      <c r="E169" s="25"/>
      <c r="F169" s="90">
        <v>1.75</v>
      </c>
      <c r="G169" s="3"/>
      <c r="I169" s="33"/>
    </row>
    <row r="170" spans="1:9" ht="21" x14ac:dyDescent="0.2">
      <c r="A170" s="87">
        <v>43829</v>
      </c>
      <c r="B170" s="88" t="s">
        <v>269</v>
      </c>
      <c r="C170" s="89" t="s">
        <v>270</v>
      </c>
      <c r="D170" s="68"/>
      <c r="E170" s="25"/>
      <c r="F170" s="90">
        <v>7.87</v>
      </c>
      <c r="G170" s="3"/>
      <c r="I170" s="33"/>
    </row>
    <row r="171" spans="1:9" ht="21" x14ac:dyDescent="0.2">
      <c r="A171" s="87">
        <v>43830</v>
      </c>
      <c r="B171" s="88" t="s">
        <v>271</v>
      </c>
      <c r="C171" s="89" t="s">
        <v>272</v>
      </c>
      <c r="D171" s="68"/>
      <c r="E171" s="25"/>
      <c r="F171" s="90">
        <v>3.77</v>
      </c>
      <c r="G171" s="3"/>
      <c r="I171" s="33"/>
    </row>
    <row r="172" spans="1:9" ht="21" x14ac:dyDescent="0.2">
      <c r="A172" s="87">
        <v>43830</v>
      </c>
      <c r="B172" s="88" t="s">
        <v>273</v>
      </c>
      <c r="C172" s="89" t="s">
        <v>274</v>
      </c>
      <c r="D172" s="68"/>
      <c r="E172" s="25"/>
      <c r="F172" s="90">
        <v>0.5</v>
      </c>
      <c r="G172" s="3"/>
      <c r="I172" s="33"/>
    </row>
    <row r="173" spans="1:9" ht="21" x14ac:dyDescent="0.2">
      <c r="A173" s="87">
        <v>43830</v>
      </c>
      <c r="B173" s="88" t="s">
        <v>275</v>
      </c>
      <c r="C173" s="89" t="s">
        <v>276</v>
      </c>
      <c r="D173" s="68"/>
      <c r="E173" s="25"/>
      <c r="F173" s="90">
        <v>2.4500000000000002</v>
      </c>
      <c r="G173" s="3"/>
      <c r="I173" s="33"/>
    </row>
    <row r="174" spans="1:9" x14ac:dyDescent="0.2">
      <c r="A174" s="87">
        <v>43830</v>
      </c>
      <c r="B174" s="88" t="s">
        <v>277</v>
      </c>
      <c r="C174" s="89" t="s">
        <v>278</v>
      </c>
      <c r="D174" s="68"/>
      <c r="E174" s="25"/>
      <c r="F174" s="90">
        <v>11.8</v>
      </c>
      <c r="G174" s="3"/>
      <c r="I174" s="33"/>
    </row>
    <row r="175" spans="1:9" ht="21" x14ac:dyDescent="0.2">
      <c r="A175" s="87">
        <v>43830</v>
      </c>
      <c r="B175" s="88" t="s">
        <v>279</v>
      </c>
      <c r="C175" s="89" t="s">
        <v>280</v>
      </c>
      <c r="D175" s="68"/>
      <c r="E175" s="25"/>
      <c r="F175" s="90">
        <v>6.48</v>
      </c>
      <c r="G175" s="3"/>
      <c r="I175" s="33"/>
    </row>
    <row r="176" spans="1:9" x14ac:dyDescent="0.2">
      <c r="A176" s="87">
        <v>43830</v>
      </c>
      <c r="B176" s="88" t="s">
        <v>281</v>
      </c>
      <c r="C176" s="89" t="s">
        <v>282</v>
      </c>
      <c r="D176" s="68"/>
      <c r="E176" s="25"/>
      <c r="F176" s="90">
        <v>3.28</v>
      </c>
      <c r="G176" s="3"/>
      <c r="I176" s="33"/>
    </row>
    <row r="177" spans="1:9" x14ac:dyDescent="0.2">
      <c r="A177" s="87">
        <v>43830</v>
      </c>
      <c r="B177" s="88" t="s">
        <v>283</v>
      </c>
      <c r="C177" s="89" t="s">
        <v>284</v>
      </c>
      <c r="D177" s="68"/>
      <c r="E177" s="25"/>
      <c r="F177" s="90">
        <v>47.06</v>
      </c>
      <c r="G177" s="3"/>
      <c r="I177" s="33"/>
    </row>
    <row r="178" spans="1:9" ht="21" x14ac:dyDescent="0.2">
      <c r="A178" s="87">
        <v>43830</v>
      </c>
      <c r="B178" s="88" t="s">
        <v>285</v>
      </c>
      <c r="C178" s="89" t="s">
        <v>286</v>
      </c>
      <c r="D178" s="68"/>
      <c r="E178" s="25"/>
      <c r="F178" s="90">
        <v>3.67</v>
      </c>
      <c r="G178" s="3"/>
      <c r="I178" s="33"/>
    </row>
    <row r="179" spans="1:9" ht="21" x14ac:dyDescent="0.2">
      <c r="A179" s="87">
        <v>43830</v>
      </c>
      <c r="B179" s="88" t="s">
        <v>287</v>
      </c>
      <c r="C179" s="89" t="s">
        <v>288</v>
      </c>
      <c r="D179" s="68"/>
      <c r="E179" s="25"/>
      <c r="F179" s="90">
        <v>3.36</v>
      </c>
      <c r="G179" s="3"/>
      <c r="I179" s="33"/>
    </row>
    <row r="180" spans="1:9" ht="21" x14ac:dyDescent="0.2">
      <c r="A180" s="87">
        <v>43830</v>
      </c>
      <c r="B180" s="88" t="s">
        <v>289</v>
      </c>
      <c r="C180" s="89" t="s">
        <v>290</v>
      </c>
      <c r="D180" s="68"/>
      <c r="E180" s="25"/>
      <c r="F180" s="90">
        <v>4.75</v>
      </c>
      <c r="G180" s="3"/>
      <c r="I180" s="33"/>
    </row>
    <row r="181" spans="1:9" ht="21" x14ac:dyDescent="0.2">
      <c r="A181" s="87">
        <v>43830</v>
      </c>
      <c r="B181" s="88" t="s">
        <v>291</v>
      </c>
      <c r="C181" s="89" t="s">
        <v>292</v>
      </c>
      <c r="D181" s="68"/>
      <c r="E181" s="25"/>
      <c r="F181" s="90">
        <v>7.47</v>
      </c>
      <c r="G181" s="3"/>
      <c r="I181" s="33"/>
    </row>
    <row r="182" spans="1:9" x14ac:dyDescent="0.2">
      <c r="A182" s="87">
        <v>43830</v>
      </c>
      <c r="B182" s="88" t="s">
        <v>293</v>
      </c>
      <c r="C182" s="89" t="s">
        <v>294</v>
      </c>
      <c r="D182" s="68"/>
      <c r="E182" s="25"/>
      <c r="F182" s="90">
        <v>2.8</v>
      </c>
      <c r="G182" s="3"/>
      <c r="I182" s="33"/>
    </row>
    <row r="183" spans="1:9" x14ac:dyDescent="0.2">
      <c r="A183" s="87">
        <v>43830</v>
      </c>
      <c r="B183" s="88" t="s">
        <v>295</v>
      </c>
      <c r="C183" s="89" t="s">
        <v>296</v>
      </c>
      <c r="D183" s="68"/>
      <c r="E183" s="25"/>
      <c r="F183" s="90">
        <v>34.28</v>
      </c>
      <c r="G183" s="3"/>
      <c r="I183" s="33"/>
    </row>
    <row r="184" spans="1:9" ht="21" x14ac:dyDescent="0.2">
      <c r="A184" s="87">
        <v>43830</v>
      </c>
      <c r="B184" s="88" t="s">
        <v>297</v>
      </c>
      <c r="C184" s="89" t="s">
        <v>298</v>
      </c>
      <c r="D184" s="68"/>
      <c r="E184" s="25"/>
      <c r="F184" s="90">
        <v>1.72</v>
      </c>
      <c r="G184" s="3"/>
      <c r="I184" s="33"/>
    </row>
    <row r="185" spans="1:9" x14ac:dyDescent="0.2">
      <c r="A185" s="87">
        <v>43830</v>
      </c>
      <c r="B185" s="88" t="s">
        <v>299</v>
      </c>
      <c r="C185" s="89" t="s">
        <v>300</v>
      </c>
      <c r="D185" s="68"/>
      <c r="E185" s="25"/>
      <c r="F185" s="90">
        <v>8.3800000000000008</v>
      </c>
      <c r="G185" s="3"/>
      <c r="I185" s="33"/>
    </row>
    <row r="186" spans="1:9" ht="21" x14ac:dyDescent="0.2">
      <c r="A186" s="87">
        <v>43830</v>
      </c>
      <c r="B186" s="88" t="s">
        <v>301</v>
      </c>
      <c r="C186" s="89" t="s">
        <v>302</v>
      </c>
      <c r="D186" s="68"/>
      <c r="E186" s="25"/>
      <c r="F186" s="90">
        <v>9.67</v>
      </c>
      <c r="G186" s="3"/>
      <c r="I186" s="33"/>
    </row>
    <row r="187" spans="1:9" ht="21" x14ac:dyDescent="0.2">
      <c r="A187" s="87">
        <v>43830</v>
      </c>
      <c r="B187" s="88" t="s">
        <v>303</v>
      </c>
      <c r="C187" s="89" t="s">
        <v>304</v>
      </c>
      <c r="D187" s="68"/>
      <c r="E187" s="25"/>
      <c r="F187" s="90">
        <v>7.13</v>
      </c>
      <c r="G187" s="3"/>
      <c r="I187" s="33"/>
    </row>
    <row r="188" spans="1:9" x14ac:dyDescent="0.2">
      <c r="A188" s="87">
        <v>43830</v>
      </c>
      <c r="B188" s="88" t="s">
        <v>305</v>
      </c>
      <c r="C188" s="89" t="s">
        <v>306</v>
      </c>
      <c r="D188" s="68"/>
      <c r="E188" s="25"/>
      <c r="F188" s="90">
        <v>8.3800000000000008</v>
      </c>
      <c r="G188" s="3"/>
      <c r="I188" s="33"/>
    </row>
    <row r="189" spans="1:9" ht="21" x14ac:dyDescent="0.2">
      <c r="A189" s="87">
        <v>43830</v>
      </c>
      <c r="B189" s="88" t="s">
        <v>307</v>
      </c>
      <c r="C189" s="89" t="s">
        <v>308</v>
      </c>
      <c r="D189" s="68"/>
      <c r="E189" s="25"/>
      <c r="F189" s="90">
        <v>4.6900000000000004</v>
      </c>
      <c r="G189" s="3"/>
      <c r="I189" s="33"/>
    </row>
    <row r="190" spans="1:9" ht="21" x14ac:dyDescent="0.2">
      <c r="A190" s="87">
        <v>43830</v>
      </c>
      <c r="B190" s="88" t="s">
        <v>309</v>
      </c>
      <c r="C190" s="89" t="s">
        <v>310</v>
      </c>
      <c r="D190" s="68"/>
      <c r="E190" s="25"/>
      <c r="F190" s="90">
        <v>8.3800000000000008</v>
      </c>
      <c r="G190" s="3"/>
      <c r="I190" s="33"/>
    </row>
    <row r="191" spans="1:9" ht="21" x14ac:dyDescent="0.2">
      <c r="A191" s="87">
        <v>43830</v>
      </c>
      <c r="B191" s="88" t="s">
        <v>311</v>
      </c>
      <c r="C191" s="89" t="s">
        <v>312</v>
      </c>
      <c r="D191" s="68"/>
      <c r="E191" s="25"/>
      <c r="F191" s="90">
        <v>6.98</v>
      </c>
      <c r="G191" s="3"/>
      <c r="I191" s="33"/>
    </row>
    <row r="192" spans="1:9" x14ac:dyDescent="0.2">
      <c r="A192" s="37"/>
      <c r="B192" s="91"/>
      <c r="C192" s="39"/>
      <c r="D192" s="16"/>
      <c r="E192" s="16"/>
      <c r="F192" s="92"/>
      <c r="G192" s="3"/>
      <c r="H192" s="13">
        <f>SUM(F57:F192)</f>
        <v>1102.6600000000003</v>
      </c>
    </row>
    <row r="193" spans="1:12" x14ac:dyDescent="0.2">
      <c r="A193" s="3"/>
      <c r="B193" s="2"/>
      <c r="C193" s="3"/>
      <c r="D193" s="3"/>
      <c r="E193" s="3"/>
      <c r="F193" s="5"/>
      <c r="G193" s="3"/>
      <c r="H193" s="5"/>
    </row>
    <row r="194" spans="1:12" s="99" customFormat="1" ht="20.25" customHeight="1" thickBot="1" x14ac:dyDescent="0.3">
      <c r="A194" s="93"/>
      <c r="B194" s="94" t="s">
        <v>313</v>
      </c>
      <c r="C194" s="95"/>
      <c r="D194" s="93"/>
      <c r="E194" s="93"/>
      <c r="F194" s="96"/>
      <c r="G194" s="97" t="s">
        <v>4</v>
      </c>
      <c r="H194" s="98">
        <f>+H9-H18-H35+H53+H192</f>
        <v>34189.340000000004</v>
      </c>
    </row>
    <row r="195" spans="1:12" ht="12" thickTop="1" x14ac:dyDescent="0.2">
      <c r="A195" s="3"/>
      <c r="B195" s="2"/>
      <c r="C195" s="3"/>
      <c r="D195" s="3"/>
      <c r="E195" s="3"/>
      <c r="F195" s="5"/>
      <c r="G195" s="3"/>
      <c r="H195" s="5"/>
      <c r="J195" s="13">
        <f>+'[1]BP DIC-19'!I1035</f>
        <v>34189.339999999953</v>
      </c>
    </row>
    <row r="196" spans="1:12" x14ac:dyDescent="0.2">
      <c r="A196" s="3"/>
      <c r="B196" s="2"/>
      <c r="C196" s="3"/>
      <c r="D196" s="3"/>
      <c r="E196" s="3"/>
      <c r="F196" s="5"/>
      <c r="G196" s="3"/>
      <c r="J196" s="5"/>
    </row>
    <row r="197" spans="1:12" x14ac:dyDescent="0.2">
      <c r="A197" s="3"/>
      <c r="B197" s="2"/>
      <c r="C197" s="3"/>
      <c r="D197" s="3"/>
      <c r="E197" s="3"/>
      <c r="G197" s="3"/>
      <c r="J197" s="5"/>
    </row>
    <row r="198" spans="1:12" ht="23.25" customHeight="1" thickBot="1" x14ac:dyDescent="0.25">
      <c r="A198" s="3"/>
      <c r="C198" s="100"/>
      <c r="D198" s="101"/>
      <c r="E198" s="3"/>
      <c r="F198" s="102"/>
      <c r="G198" s="3"/>
      <c r="H198" s="5"/>
      <c r="J198" s="98">
        <f>+H194-J195</f>
        <v>0</v>
      </c>
      <c r="L198" s="57"/>
    </row>
    <row r="199" spans="1:12" ht="26.25" customHeight="1" thickTop="1" x14ac:dyDescent="0.2">
      <c r="A199" s="3"/>
      <c r="C199" s="378" t="s">
        <v>314</v>
      </c>
      <c r="D199" s="378"/>
      <c r="E199" s="3"/>
      <c r="F199" s="378" t="s">
        <v>315</v>
      </c>
      <c r="G199" s="378"/>
      <c r="H199" s="5"/>
    </row>
    <row r="200" spans="1:12" ht="23.25" customHeight="1" thickBot="1" x14ac:dyDescent="0.25">
      <c r="J200" s="98">
        <f>+H194-J198</f>
        <v>34189.340000000004</v>
      </c>
    </row>
    <row r="201" spans="1:12" ht="12" thickTop="1" x14ac:dyDescent="0.2">
      <c r="L201" s="57"/>
    </row>
    <row r="203" spans="1:12" x14ac:dyDescent="0.2">
      <c r="L203" s="57"/>
    </row>
    <row r="204" spans="1:12" x14ac:dyDescent="0.2">
      <c r="A204" s="6"/>
      <c r="B204" s="6"/>
      <c r="C204" s="6"/>
      <c r="D204" s="6"/>
      <c r="E204" s="6"/>
      <c r="G204" s="6"/>
      <c r="J204" s="57"/>
    </row>
  </sheetData>
  <mergeCells count="2">
    <mergeCell ref="C199:D199"/>
    <mergeCell ref="F199:G199"/>
  </mergeCells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9BD06-3A75-47E9-882C-D60340654D95}">
  <sheetPr filterMode="1"/>
  <dimension ref="A2:I1236"/>
  <sheetViews>
    <sheetView topLeftCell="A16" workbookViewId="0">
      <pane xSplit="4" ySplit="2" topLeftCell="E1213" activePane="bottomRight" state="frozen"/>
      <selection activeCell="A16" sqref="A16"/>
      <selection pane="topRight" activeCell="E16" sqref="E16"/>
      <selection pane="bottomLeft" activeCell="A18" sqref="A18"/>
      <selection pane="bottomRight" activeCell="G1193" sqref="G1193:G1224"/>
    </sheetView>
  </sheetViews>
  <sheetFormatPr baseColWidth="10" defaultColWidth="11.5703125" defaultRowHeight="15.75" x14ac:dyDescent="0.25"/>
  <cols>
    <col min="1" max="1" width="11.5703125" style="103"/>
    <col min="2" max="4" width="11.5703125" style="145"/>
    <col min="5" max="5" width="46.28515625" style="111" customWidth="1"/>
    <col min="6" max="6" width="6" style="257" customWidth="1"/>
    <col min="7" max="7" width="12.42578125" style="152" bestFit="1" customWidth="1"/>
    <col min="8" max="8" width="18.5703125" style="152" bestFit="1" customWidth="1"/>
    <col min="9" max="9" width="16" style="152" bestFit="1" customWidth="1"/>
    <col min="10" max="16384" width="11.5703125" style="103"/>
  </cols>
  <sheetData>
    <row r="2" spans="1:9" ht="19.5" x14ac:dyDescent="0.25">
      <c r="E2" s="110" t="s">
        <v>2771</v>
      </c>
      <c r="H2" s="153" t="s">
        <v>2770</v>
      </c>
      <c r="I2" s="154">
        <v>1</v>
      </c>
    </row>
    <row r="3" spans="1:9" x14ac:dyDescent="0.25">
      <c r="H3" s="153" t="s">
        <v>2769</v>
      </c>
      <c r="I3" s="155">
        <v>44162</v>
      </c>
    </row>
    <row r="5" spans="1:9" x14ac:dyDescent="0.25">
      <c r="A5" s="112" t="s">
        <v>2768</v>
      </c>
      <c r="B5" s="146" t="s">
        <v>2766</v>
      </c>
      <c r="C5" s="146" t="s">
        <v>2767</v>
      </c>
      <c r="D5" s="146" t="s">
        <v>2766</v>
      </c>
      <c r="E5" s="103"/>
      <c r="H5" s="156">
        <v>0.45756944444444442</v>
      </c>
    </row>
    <row r="6" spans="1:9" x14ac:dyDescent="0.25">
      <c r="A6" s="111"/>
    </row>
    <row r="7" spans="1:9" x14ac:dyDescent="0.25">
      <c r="H7" s="153" t="s">
        <v>2765</v>
      </c>
      <c r="I7" s="157" t="s">
        <v>2764</v>
      </c>
    </row>
    <row r="8" spans="1:9" x14ac:dyDescent="0.25">
      <c r="B8" s="147"/>
      <c r="C8" s="147" t="s">
        <v>2763</v>
      </c>
      <c r="D8" s="146" t="s">
        <v>2762</v>
      </c>
      <c r="G8" s="158" t="s">
        <v>2760</v>
      </c>
      <c r="H8" s="159" t="s">
        <v>2759</v>
      </c>
    </row>
    <row r="9" spans="1:9" x14ac:dyDescent="0.25">
      <c r="G9" s="158" t="s">
        <v>2761</v>
      </c>
      <c r="H9" s="159" t="s">
        <v>2759</v>
      </c>
    </row>
    <row r="11" spans="1:9" x14ac:dyDescent="0.2">
      <c r="A11" s="108" t="s">
        <v>2758</v>
      </c>
      <c r="B11" s="109"/>
      <c r="C11" s="109" t="s">
        <v>2757</v>
      </c>
      <c r="D11" s="109" t="s">
        <v>2756</v>
      </c>
      <c r="E11" s="109" t="s">
        <v>2755</v>
      </c>
      <c r="G11" s="153" t="s">
        <v>322</v>
      </c>
      <c r="H11" s="153" t="s">
        <v>321</v>
      </c>
      <c r="I11" s="153" t="s">
        <v>2754</v>
      </c>
    </row>
    <row r="14" spans="1:9" x14ac:dyDescent="0.25">
      <c r="A14" s="108" t="s">
        <v>2753</v>
      </c>
      <c r="B14" s="109" t="s">
        <v>2752</v>
      </c>
    </row>
    <row r="15" spans="1:9" x14ac:dyDescent="0.25">
      <c r="B15" s="109"/>
    </row>
    <row r="16" spans="1:9" x14ac:dyDescent="0.25">
      <c r="A16" s="107" t="s">
        <v>2751</v>
      </c>
      <c r="B16" s="109" t="s">
        <v>2750</v>
      </c>
      <c r="H16" s="153" t="s">
        <v>323</v>
      </c>
      <c r="I16" s="160">
        <v>31078.87</v>
      </c>
    </row>
    <row r="18" spans="2:9" ht="19.5" hidden="1" x14ac:dyDescent="0.25">
      <c r="B18" s="106"/>
      <c r="C18" s="148" t="s">
        <v>2749</v>
      </c>
      <c r="D18" s="150">
        <v>43831</v>
      </c>
      <c r="E18" s="113" t="s">
        <v>2748</v>
      </c>
      <c r="F18" s="256" t="s">
        <v>14408</v>
      </c>
      <c r="G18" s="258">
        <v>5.04</v>
      </c>
      <c r="I18" s="160">
        <f>+I16+G18-H18</f>
        <v>31083.91</v>
      </c>
    </row>
    <row r="19" spans="2:9" hidden="1" x14ac:dyDescent="0.25">
      <c r="B19" s="106"/>
      <c r="C19" s="148" t="s">
        <v>2747</v>
      </c>
      <c r="D19" s="150">
        <v>43831</v>
      </c>
      <c r="E19" s="113" t="s">
        <v>2746</v>
      </c>
      <c r="F19" s="256" t="s">
        <v>14408</v>
      </c>
      <c r="G19" s="258">
        <v>3.53</v>
      </c>
      <c r="I19" s="160">
        <f>+I18+G19-H19</f>
        <v>31087.439999999999</v>
      </c>
    </row>
    <row r="20" spans="2:9" hidden="1" x14ac:dyDescent="0.25">
      <c r="B20" s="106"/>
      <c r="C20" s="148" t="s">
        <v>2745</v>
      </c>
      <c r="D20" s="150">
        <v>43831</v>
      </c>
      <c r="E20" s="113" t="s">
        <v>2744</v>
      </c>
      <c r="F20" s="256" t="s">
        <v>14408</v>
      </c>
      <c r="G20" s="258">
        <v>1.68</v>
      </c>
      <c r="I20" s="160">
        <f t="shared" ref="I20:I83" si="0">+I19+G20-H20</f>
        <v>31089.119999999999</v>
      </c>
    </row>
    <row r="21" spans="2:9" hidden="1" x14ac:dyDescent="0.25">
      <c r="B21" s="148"/>
      <c r="C21" s="148" t="s">
        <v>2743</v>
      </c>
      <c r="D21" s="150">
        <v>43832</v>
      </c>
      <c r="E21" s="113" t="s">
        <v>2742</v>
      </c>
      <c r="F21" s="257" t="s">
        <v>14437</v>
      </c>
      <c r="G21" s="160">
        <v>20</v>
      </c>
      <c r="I21" s="160">
        <f t="shared" si="0"/>
        <v>31109.119999999999</v>
      </c>
    </row>
    <row r="22" spans="2:9" ht="19.5" hidden="1" x14ac:dyDescent="0.25">
      <c r="B22" s="148"/>
      <c r="C22" s="148" t="s">
        <v>2741</v>
      </c>
      <c r="D22" s="150">
        <v>43832</v>
      </c>
      <c r="E22" s="113" t="s">
        <v>2740</v>
      </c>
      <c r="F22" s="257" t="s">
        <v>14439</v>
      </c>
      <c r="G22" s="160">
        <v>16.760000000000002</v>
      </c>
      <c r="I22" s="160">
        <f t="shared" si="0"/>
        <v>31125.879999999997</v>
      </c>
    </row>
    <row r="23" spans="2:9" ht="19.5" hidden="1" x14ac:dyDescent="0.25">
      <c r="B23" s="148"/>
      <c r="C23" s="148" t="s">
        <v>2739</v>
      </c>
      <c r="D23" s="150">
        <v>43832</v>
      </c>
      <c r="E23" s="113" t="s">
        <v>2738</v>
      </c>
      <c r="F23" s="257" t="s">
        <v>14436</v>
      </c>
      <c r="G23" s="160">
        <v>75.319999999999993</v>
      </c>
      <c r="I23" s="160">
        <f t="shared" si="0"/>
        <v>31201.199999999997</v>
      </c>
    </row>
    <row r="24" spans="2:9" ht="19.5" hidden="1" x14ac:dyDescent="0.25">
      <c r="B24" s="148"/>
      <c r="C24" s="148" t="s">
        <v>2737</v>
      </c>
      <c r="D24" s="150">
        <v>43832</v>
      </c>
      <c r="E24" s="113" t="s">
        <v>2736</v>
      </c>
      <c r="F24" s="257" t="s">
        <v>14439</v>
      </c>
      <c r="G24" s="160">
        <v>24.6</v>
      </c>
      <c r="I24" s="160">
        <f t="shared" si="0"/>
        <v>31225.799999999996</v>
      </c>
    </row>
    <row r="25" spans="2:9" ht="19.5" hidden="1" x14ac:dyDescent="0.25">
      <c r="B25" s="148"/>
      <c r="C25" s="148" t="s">
        <v>2735</v>
      </c>
      <c r="D25" s="150">
        <v>43832</v>
      </c>
      <c r="E25" s="113" t="s">
        <v>2734</v>
      </c>
      <c r="F25" s="257" t="s">
        <v>14439</v>
      </c>
      <c r="G25" s="160">
        <v>14.57</v>
      </c>
      <c r="I25" s="160">
        <f t="shared" si="0"/>
        <v>31240.369999999995</v>
      </c>
    </row>
    <row r="26" spans="2:9" ht="19.5" hidden="1" x14ac:dyDescent="0.25">
      <c r="B26" s="148"/>
      <c r="C26" s="148" t="s">
        <v>2733</v>
      </c>
      <c r="D26" s="150">
        <v>43832</v>
      </c>
      <c r="E26" s="113" t="s">
        <v>2732</v>
      </c>
      <c r="F26" s="257" t="s">
        <v>14439</v>
      </c>
      <c r="G26" s="160">
        <v>12.07</v>
      </c>
      <c r="I26" s="160">
        <f t="shared" si="0"/>
        <v>31252.439999999995</v>
      </c>
    </row>
    <row r="27" spans="2:9" hidden="1" x14ac:dyDescent="0.25">
      <c r="B27" s="148"/>
      <c r="C27" s="148" t="s">
        <v>2731</v>
      </c>
      <c r="D27" s="150">
        <v>43832</v>
      </c>
      <c r="E27" s="113" t="s">
        <v>2730</v>
      </c>
      <c r="F27" s="257" t="s">
        <v>14439</v>
      </c>
      <c r="G27" s="160">
        <v>4.3600000000000003</v>
      </c>
      <c r="I27" s="160">
        <f t="shared" si="0"/>
        <v>31256.799999999996</v>
      </c>
    </row>
    <row r="28" spans="2:9" hidden="1" x14ac:dyDescent="0.25">
      <c r="B28" s="148"/>
      <c r="C28" s="148" t="s">
        <v>2729</v>
      </c>
      <c r="D28" s="150">
        <v>43832</v>
      </c>
      <c r="E28" s="113" t="s">
        <v>2728</v>
      </c>
      <c r="F28" s="257" t="s">
        <v>14439</v>
      </c>
      <c r="G28" s="160">
        <v>1.78</v>
      </c>
      <c r="I28" s="160">
        <f t="shared" si="0"/>
        <v>31258.579999999994</v>
      </c>
    </row>
    <row r="29" spans="2:9" ht="19.5" hidden="1" x14ac:dyDescent="0.25">
      <c r="B29" s="106"/>
      <c r="C29" s="148" t="s">
        <v>2727</v>
      </c>
      <c r="D29" s="150">
        <v>43832</v>
      </c>
      <c r="E29" s="113" t="s">
        <v>2726</v>
      </c>
      <c r="F29" s="256" t="s">
        <v>14408</v>
      </c>
      <c r="G29" s="258">
        <v>13.79</v>
      </c>
      <c r="I29" s="160">
        <f t="shared" si="0"/>
        <v>31272.369999999995</v>
      </c>
    </row>
    <row r="30" spans="2:9" ht="19.5" hidden="1" x14ac:dyDescent="0.25">
      <c r="B30" s="106"/>
      <c r="C30" s="148" t="s">
        <v>2725</v>
      </c>
      <c r="D30" s="150">
        <v>43832</v>
      </c>
      <c r="E30" s="113" t="s">
        <v>2724</v>
      </c>
      <c r="F30" s="256" t="s">
        <v>14408</v>
      </c>
      <c r="G30" s="258">
        <v>13.74</v>
      </c>
      <c r="I30" s="160">
        <f t="shared" si="0"/>
        <v>31286.109999999997</v>
      </c>
    </row>
    <row r="31" spans="2:9" hidden="1" x14ac:dyDescent="0.25">
      <c r="B31" s="106"/>
      <c r="C31" s="148" t="s">
        <v>2723</v>
      </c>
      <c r="D31" s="150">
        <v>43832</v>
      </c>
      <c r="E31" s="113" t="s">
        <v>2722</v>
      </c>
      <c r="F31" s="256" t="s">
        <v>14408</v>
      </c>
      <c r="G31" s="258">
        <v>4.1399999999999997</v>
      </c>
      <c r="I31" s="160">
        <f t="shared" si="0"/>
        <v>31290.249999999996</v>
      </c>
    </row>
    <row r="32" spans="2:9" hidden="1" x14ac:dyDescent="0.25">
      <c r="B32" s="106"/>
      <c r="C32" s="148" t="s">
        <v>2721</v>
      </c>
      <c r="D32" s="150">
        <v>43832</v>
      </c>
      <c r="E32" s="113" t="s">
        <v>2720</v>
      </c>
      <c r="F32" s="256" t="s">
        <v>14408</v>
      </c>
      <c r="G32" s="258">
        <v>1.94</v>
      </c>
      <c r="I32" s="160">
        <f t="shared" si="0"/>
        <v>31292.189999999995</v>
      </c>
    </row>
    <row r="33" spans="2:9" ht="19.5" hidden="1" x14ac:dyDescent="0.25">
      <c r="B33" s="106"/>
      <c r="C33" s="148" t="s">
        <v>2719</v>
      </c>
      <c r="D33" s="150">
        <v>43832</v>
      </c>
      <c r="E33" s="113" t="s">
        <v>2718</v>
      </c>
      <c r="F33" s="256" t="s">
        <v>14408</v>
      </c>
      <c r="G33" s="258">
        <v>4.2300000000000004</v>
      </c>
      <c r="I33" s="160">
        <f t="shared" si="0"/>
        <v>31296.419999999995</v>
      </c>
    </row>
    <row r="34" spans="2:9" ht="19.5" hidden="1" x14ac:dyDescent="0.25">
      <c r="B34" s="106"/>
      <c r="C34" s="148" t="s">
        <v>2717</v>
      </c>
      <c r="D34" s="150">
        <v>43832</v>
      </c>
      <c r="E34" s="113" t="s">
        <v>2716</v>
      </c>
      <c r="F34" s="256" t="s">
        <v>14408</v>
      </c>
      <c r="G34" s="258">
        <v>11.33</v>
      </c>
      <c r="I34" s="160">
        <f t="shared" si="0"/>
        <v>31307.749999999996</v>
      </c>
    </row>
    <row r="35" spans="2:9" ht="19.5" hidden="1" x14ac:dyDescent="0.25">
      <c r="B35" s="106"/>
      <c r="C35" s="148" t="s">
        <v>2715</v>
      </c>
      <c r="D35" s="150">
        <v>43832</v>
      </c>
      <c r="E35" s="113" t="s">
        <v>2714</v>
      </c>
      <c r="F35" s="256" t="s">
        <v>14408</v>
      </c>
      <c r="G35" s="258">
        <v>3.51</v>
      </c>
      <c r="I35" s="160">
        <f t="shared" si="0"/>
        <v>31311.259999999995</v>
      </c>
    </row>
    <row r="36" spans="2:9" hidden="1" x14ac:dyDescent="0.25">
      <c r="B36" s="106"/>
      <c r="C36" s="148" t="s">
        <v>2713</v>
      </c>
      <c r="D36" s="150">
        <v>43832</v>
      </c>
      <c r="E36" s="113" t="s">
        <v>2712</v>
      </c>
      <c r="F36" s="256" t="s">
        <v>14408</v>
      </c>
      <c r="G36" s="258">
        <v>7.56</v>
      </c>
      <c r="I36" s="160">
        <f t="shared" si="0"/>
        <v>31318.819999999996</v>
      </c>
    </row>
    <row r="37" spans="2:9" ht="19.5" hidden="1" x14ac:dyDescent="0.25">
      <c r="B37" s="106"/>
      <c r="C37" s="148" t="s">
        <v>2711</v>
      </c>
      <c r="D37" s="150">
        <v>43832</v>
      </c>
      <c r="E37" s="113" t="s">
        <v>2710</v>
      </c>
      <c r="F37" s="256" t="s">
        <v>14408</v>
      </c>
      <c r="G37" s="258">
        <v>6.47</v>
      </c>
      <c r="I37" s="160">
        <f t="shared" si="0"/>
        <v>31325.289999999997</v>
      </c>
    </row>
    <row r="38" spans="2:9" ht="19.5" hidden="1" x14ac:dyDescent="0.25">
      <c r="B38" s="106"/>
      <c r="C38" s="148" t="s">
        <v>2709</v>
      </c>
      <c r="D38" s="150">
        <v>43832</v>
      </c>
      <c r="E38" s="113" t="s">
        <v>2708</v>
      </c>
      <c r="F38" s="256" t="s">
        <v>14408</v>
      </c>
      <c r="G38" s="258">
        <v>1.71</v>
      </c>
      <c r="I38" s="160">
        <f t="shared" si="0"/>
        <v>31326.999999999996</v>
      </c>
    </row>
    <row r="39" spans="2:9" ht="19.5" hidden="1" x14ac:dyDescent="0.25">
      <c r="B39" s="106"/>
      <c r="C39" s="148" t="s">
        <v>2707</v>
      </c>
      <c r="D39" s="150">
        <v>43832</v>
      </c>
      <c r="E39" s="113" t="s">
        <v>2706</v>
      </c>
      <c r="F39" s="256" t="s">
        <v>14408</v>
      </c>
      <c r="G39" s="258">
        <v>18.25</v>
      </c>
      <c r="I39" s="160">
        <f t="shared" si="0"/>
        <v>31345.249999999996</v>
      </c>
    </row>
    <row r="40" spans="2:9" ht="19.5" hidden="1" x14ac:dyDescent="0.25">
      <c r="B40" s="106"/>
      <c r="C40" s="148" t="s">
        <v>2705</v>
      </c>
      <c r="D40" s="150">
        <v>43832</v>
      </c>
      <c r="E40" s="113" t="s">
        <v>2704</v>
      </c>
      <c r="F40" s="256" t="s">
        <v>14408</v>
      </c>
      <c r="G40" s="258">
        <v>9</v>
      </c>
      <c r="I40" s="160">
        <f t="shared" si="0"/>
        <v>31354.249999999996</v>
      </c>
    </row>
    <row r="41" spans="2:9" ht="19.5" hidden="1" x14ac:dyDescent="0.25">
      <c r="B41" s="106"/>
      <c r="C41" s="148" t="s">
        <v>2703</v>
      </c>
      <c r="D41" s="150">
        <v>43832</v>
      </c>
      <c r="E41" s="113" t="s">
        <v>2702</v>
      </c>
      <c r="F41" s="256" t="s">
        <v>14408</v>
      </c>
      <c r="G41" s="258">
        <v>7.31</v>
      </c>
      <c r="I41" s="160">
        <f t="shared" si="0"/>
        <v>31361.559999999998</v>
      </c>
    </row>
    <row r="42" spans="2:9" hidden="1" x14ac:dyDescent="0.25">
      <c r="B42" s="106"/>
      <c r="C42" s="148" t="s">
        <v>2701</v>
      </c>
      <c r="D42" s="150">
        <v>43832</v>
      </c>
      <c r="E42" s="113" t="s">
        <v>2700</v>
      </c>
      <c r="F42" s="256" t="s">
        <v>14408</v>
      </c>
      <c r="G42" s="258">
        <v>2.73</v>
      </c>
      <c r="I42" s="160">
        <f t="shared" si="0"/>
        <v>31364.289999999997</v>
      </c>
    </row>
    <row r="43" spans="2:9" hidden="1" x14ac:dyDescent="0.25">
      <c r="B43" s="106"/>
      <c r="C43" s="148" t="s">
        <v>2699</v>
      </c>
      <c r="D43" s="150">
        <v>43832</v>
      </c>
      <c r="E43" s="113" t="s">
        <v>2698</v>
      </c>
      <c r="F43" s="256" t="s">
        <v>14408</v>
      </c>
      <c r="G43" s="258">
        <v>2.34</v>
      </c>
      <c r="I43" s="160">
        <f t="shared" si="0"/>
        <v>31366.629999999997</v>
      </c>
    </row>
    <row r="44" spans="2:9" ht="19.5" hidden="1" x14ac:dyDescent="0.25">
      <c r="B44" s="106"/>
      <c r="C44" s="148" t="s">
        <v>2697</v>
      </c>
      <c r="D44" s="150">
        <v>43832</v>
      </c>
      <c r="E44" s="113" t="s">
        <v>2696</v>
      </c>
      <c r="F44" s="256" t="s">
        <v>14408</v>
      </c>
      <c r="G44" s="258">
        <v>3.95</v>
      </c>
      <c r="I44" s="160">
        <f t="shared" si="0"/>
        <v>31370.579999999998</v>
      </c>
    </row>
    <row r="45" spans="2:9" hidden="1" x14ac:dyDescent="0.25">
      <c r="B45" s="106"/>
      <c r="C45" s="148" t="s">
        <v>2695</v>
      </c>
      <c r="D45" s="150">
        <v>43832</v>
      </c>
      <c r="E45" s="113" t="s">
        <v>2694</v>
      </c>
      <c r="F45" s="256" t="s">
        <v>14408</v>
      </c>
      <c r="G45" s="258">
        <v>1.68</v>
      </c>
      <c r="I45" s="160">
        <f t="shared" si="0"/>
        <v>31372.26</v>
      </c>
    </row>
    <row r="46" spans="2:9" ht="19.5" hidden="1" x14ac:dyDescent="0.25">
      <c r="B46" s="106"/>
      <c r="C46" s="148" t="s">
        <v>2693</v>
      </c>
      <c r="D46" s="150">
        <v>43832</v>
      </c>
      <c r="E46" s="113" t="s">
        <v>2692</v>
      </c>
      <c r="F46" s="256" t="s">
        <v>14408</v>
      </c>
      <c r="G46" s="258">
        <v>9.81</v>
      </c>
      <c r="I46" s="160">
        <f t="shared" si="0"/>
        <v>31382.07</v>
      </c>
    </row>
    <row r="47" spans="2:9" ht="19.5" hidden="1" x14ac:dyDescent="0.25">
      <c r="B47" s="106"/>
      <c r="C47" s="148" t="s">
        <v>2691</v>
      </c>
      <c r="D47" s="150">
        <v>43832</v>
      </c>
      <c r="E47" s="113" t="s">
        <v>2690</v>
      </c>
      <c r="F47" s="256" t="s">
        <v>14408</v>
      </c>
      <c r="G47" s="258">
        <v>5.04</v>
      </c>
      <c r="I47" s="160">
        <f t="shared" si="0"/>
        <v>31387.11</v>
      </c>
    </row>
    <row r="48" spans="2:9" ht="19.5" hidden="1" x14ac:dyDescent="0.25">
      <c r="B48" s="106"/>
      <c r="C48" s="148" t="s">
        <v>2689</v>
      </c>
      <c r="D48" s="150">
        <v>43832</v>
      </c>
      <c r="E48" s="113" t="s">
        <v>2688</v>
      </c>
      <c r="F48" s="256" t="s">
        <v>14408</v>
      </c>
      <c r="G48" s="258">
        <v>4.2</v>
      </c>
      <c r="I48" s="160">
        <f t="shared" si="0"/>
        <v>31391.31</v>
      </c>
    </row>
    <row r="49" spans="2:9" ht="19.5" hidden="1" x14ac:dyDescent="0.25">
      <c r="B49" s="106"/>
      <c r="C49" s="148" t="s">
        <v>2687</v>
      </c>
      <c r="D49" s="150">
        <v>43832</v>
      </c>
      <c r="E49" s="113" t="s">
        <v>2686</v>
      </c>
      <c r="F49" s="256" t="s">
        <v>14408</v>
      </c>
      <c r="G49" s="258">
        <v>6.15</v>
      </c>
      <c r="I49" s="160">
        <f t="shared" si="0"/>
        <v>31397.460000000003</v>
      </c>
    </row>
    <row r="50" spans="2:9" hidden="1" x14ac:dyDescent="0.25">
      <c r="B50" s="106"/>
      <c r="C50" s="148" t="s">
        <v>2685</v>
      </c>
      <c r="D50" s="150">
        <v>43832</v>
      </c>
      <c r="E50" s="113" t="s">
        <v>2684</v>
      </c>
      <c r="F50" s="256" t="s">
        <v>14408</v>
      </c>
      <c r="G50" s="258">
        <v>5.61</v>
      </c>
      <c r="I50" s="160">
        <f t="shared" si="0"/>
        <v>31403.070000000003</v>
      </c>
    </row>
    <row r="51" spans="2:9" ht="19.5" hidden="1" x14ac:dyDescent="0.25">
      <c r="B51" s="106"/>
      <c r="C51" s="148" t="s">
        <v>2683</v>
      </c>
      <c r="D51" s="150">
        <v>43832</v>
      </c>
      <c r="E51" s="113" t="s">
        <v>2682</v>
      </c>
      <c r="F51" s="256" t="s">
        <v>14408</v>
      </c>
      <c r="G51" s="258">
        <v>8.0299999999999994</v>
      </c>
      <c r="I51" s="160">
        <f t="shared" si="0"/>
        <v>31411.100000000002</v>
      </c>
    </row>
    <row r="52" spans="2:9" hidden="1" x14ac:dyDescent="0.25">
      <c r="B52" s="106"/>
      <c r="C52" s="148" t="s">
        <v>2681</v>
      </c>
      <c r="D52" s="150">
        <v>43832</v>
      </c>
      <c r="E52" s="113" t="s">
        <v>2680</v>
      </c>
      <c r="F52" s="256" t="s">
        <v>14408</v>
      </c>
      <c r="G52" s="258">
        <v>15.14</v>
      </c>
      <c r="I52" s="160">
        <f t="shared" si="0"/>
        <v>31426.240000000002</v>
      </c>
    </row>
    <row r="53" spans="2:9" ht="19.5" hidden="1" x14ac:dyDescent="0.25">
      <c r="B53" s="106"/>
      <c r="C53" s="148" t="s">
        <v>2679</v>
      </c>
      <c r="D53" s="150">
        <v>43832</v>
      </c>
      <c r="E53" s="113" t="s">
        <v>2678</v>
      </c>
      <c r="F53" s="256" t="s">
        <v>14408</v>
      </c>
      <c r="G53" s="258">
        <v>4.63</v>
      </c>
      <c r="I53" s="160">
        <f t="shared" si="0"/>
        <v>31430.870000000003</v>
      </c>
    </row>
    <row r="54" spans="2:9" hidden="1" x14ac:dyDescent="0.25">
      <c r="B54" s="106"/>
      <c r="C54" s="148" t="s">
        <v>2677</v>
      </c>
      <c r="D54" s="150">
        <v>43832</v>
      </c>
      <c r="E54" s="113" t="s">
        <v>2676</v>
      </c>
      <c r="F54" s="256" t="s">
        <v>14408</v>
      </c>
      <c r="G54" s="258">
        <v>3.53</v>
      </c>
      <c r="I54" s="160">
        <f t="shared" si="0"/>
        <v>31434.400000000001</v>
      </c>
    </row>
    <row r="55" spans="2:9" ht="19.5" hidden="1" x14ac:dyDescent="0.25">
      <c r="B55" s="106"/>
      <c r="C55" s="148" t="s">
        <v>2675</v>
      </c>
      <c r="D55" s="150">
        <v>43832</v>
      </c>
      <c r="E55" s="113" t="s">
        <v>2674</v>
      </c>
      <c r="F55" s="256" t="s">
        <v>14408</v>
      </c>
      <c r="G55" s="258">
        <v>3.32</v>
      </c>
      <c r="I55" s="160">
        <f t="shared" si="0"/>
        <v>31437.72</v>
      </c>
    </row>
    <row r="56" spans="2:9" hidden="1" x14ac:dyDescent="0.25">
      <c r="B56" s="106"/>
      <c r="C56" s="148" t="s">
        <v>2673</v>
      </c>
      <c r="D56" s="150">
        <v>43832</v>
      </c>
      <c r="E56" s="113" t="s">
        <v>2672</v>
      </c>
      <c r="F56" s="256" t="s">
        <v>14408</v>
      </c>
      <c r="G56" s="258">
        <v>2.4300000000000002</v>
      </c>
      <c r="I56" s="160">
        <f t="shared" si="0"/>
        <v>31440.15</v>
      </c>
    </row>
    <row r="57" spans="2:9" ht="19.5" hidden="1" x14ac:dyDescent="0.25">
      <c r="B57" s="106"/>
      <c r="C57" s="148" t="s">
        <v>2671</v>
      </c>
      <c r="D57" s="150">
        <v>43832</v>
      </c>
      <c r="E57" s="113" t="s">
        <v>2670</v>
      </c>
      <c r="F57" s="256" t="s">
        <v>14408</v>
      </c>
      <c r="G57" s="258">
        <v>3.76</v>
      </c>
      <c r="I57" s="160">
        <f t="shared" si="0"/>
        <v>31443.91</v>
      </c>
    </row>
    <row r="58" spans="2:9" ht="19.5" hidden="1" x14ac:dyDescent="0.25">
      <c r="B58" s="106"/>
      <c r="C58" s="148" t="s">
        <v>2669</v>
      </c>
      <c r="D58" s="150">
        <v>43832</v>
      </c>
      <c r="E58" s="113" t="s">
        <v>2668</v>
      </c>
      <c r="F58" s="256" t="s">
        <v>14408</v>
      </c>
      <c r="G58" s="258">
        <v>2.77</v>
      </c>
      <c r="I58" s="160">
        <f t="shared" si="0"/>
        <v>31446.68</v>
      </c>
    </row>
    <row r="59" spans="2:9" ht="19.5" hidden="1" x14ac:dyDescent="0.25">
      <c r="B59" s="106"/>
      <c r="C59" s="148" t="s">
        <v>2667</v>
      </c>
      <c r="D59" s="150">
        <v>43832</v>
      </c>
      <c r="E59" s="113" t="s">
        <v>2666</v>
      </c>
      <c r="F59" s="256" t="s">
        <v>14408</v>
      </c>
      <c r="G59" s="258">
        <v>21.72</v>
      </c>
      <c r="I59" s="160">
        <f t="shared" si="0"/>
        <v>31468.400000000001</v>
      </c>
    </row>
    <row r="60" spans="2:9" ht="19.5" hidden="1" x14ac:dyDescent="0.25">
      <c r="B60" s="106"/>
      <c r="C60" s="148" t="s">
        <v>2665</v>
      </c>
      <c r="D60" s="150">
        <v>43832</v>
      </c>
      <c r="E60" s="113" t="s">
        <v>2664</v>
      </c>
      <c r="F60" s="256" t="s">
        <v>14408</v>
      </c>
      <c r="G60" s="258">
        <v>10.61</v>
      </c>
      <c r="I60" s="160">
        <f t="shared" si="0"/>
        <v>31479.010000000002</v>
      </c>
    </row>
    <row r="61" spans="2:9" ht="19.5" hidden="1" x14ac:dyDescent="0.25">
      <c r="B61" s="106"/>
      <c r="C61" s="148" t="s">
        <v>2663</v>
      </c>
      <c r="D61" s="150">
        <v>43832</v>
      </c>
      <c r="E61" s="113" t="s">
        <v>2662</v>
      </c>
      <c r="F61" s="256" t="s">
        <v>14408</v>
      </c>
      <c r="G61" s="258">
        <v>5.28</v>
      </c>
      <c r="I61" s="160">
        <f t="shared" si="0"/>
        <v>31484.29</v>
      </c>
    </row>
    <row r="62" spans="2:9" ht="19.5" hidden="1" x14ac:dyDescent="0.25">
      <c r="B62" s="106"/>
      <c r="C62" s="148" t="s">
        <v>2661</v>
      </c>
      <c r="D62" s="150">
        <v>43832</v>
      </c>
      <c r="E62" s="113" t="s">
        <v>2660</v>
      </c>
      <c r="F62" s="256" t="s">
        <v>14408</v>
      </c>
      <c r="G62" s="258">
        <v>1.63</v>
      </c>
      <c r="I62" s="160">
        <f t="shared" si="0"/>
        <v>31485.920000000002</v>
      </c>
    </row>
    <row r="63" spans="2:9" hidden="1" x14ac:dyDescent="0.25">
      <c r="B63" s="106"/>
      <c r="C63" s="148" t="s">
        <v>2659</v>
      </c>
      <c r="D63" s="150">
        <v>43832</v>
      </c>
      <c r="E63" s="113" t="s">
        <v>2658</v>
      </c>
      <c r="F63" s="256" t="s">
        <v>14408</v>
      </c>
      <c r="G63" s="258">
        <v>1.6</v>
      </c>
      <c r="I63" s="160">
        <f t="shared" si="0"/>
        <v>31487.52</v>
      </c>
    </row>
    <row r="64" spans="2:9" ht="19.5" hidden="1" x14ac:dyDescent="0.25">
      <c r="B64" s="106"/>
      <c r="C64" s="148" t="s">
        <v>2657</v>
      </c>
      <c r="D64" s="150">
        <v>43832</v>
      </c>
      <c r="E64" s="113" t="s">
        <v>2656</v>
      </c>
      <c r="F64" s="256" t="s">
        <v>14408</v>
      </c>
      <c r="G64" s="258">
        <v>6.83</v>
      </c>
      <c r="I64" s="160">
        <f t="shared" si="0"/>
        <v>31494.350000000002</v>
      </c>
    </row>
    <row r="65" spans="2:9" hidden="1" x14ac:dyDescent="0.25">
      <c r="B65" s="106"/>
      <c r="C65" s="148" t="s">
        <v>2655</v>
      </c>
      <c r="D65" s="150">
        <v>43832</v>
      </c>
      <c r="E65" s="113" t="s">
        <v>2654</v>
      </c>
      <c r="F65" s="256" t="s">
        <v>14408</v>
      </c>
      <c r="G65" s="258">
        <v>4.03</v>
      </c>
      <c r="I65" s="160">
        <f t="shared" si="0"/>
        <v>31498.38</v>
      </c>
    </row>
    <row r="66" spans="2:9" hidden="1" x14ac:dyDescent="0.25">
      <c r="B66" s="106"/>
      <c r="C66" s="148" t="s">
        <v>2653</v>
      </c>
      <c r="D66" s="150">
        <v>43832</v>
      </c>
      <c r="E66" s="113" t="s">
        <v>2652</v>
      </c>
      <c r="F66" s="256">
        <v>1</v>
      </c>
      <c r="G66" s="255">
        <v>1.68</v>
      </c>
      <c r="I66" s="160">
        <f t="shared" si="0"/>
        <v>31500.06</v>
      </c>
    </row>
    <row r="67" spans="2:9" ht="19.5" hidden="1" x14ac:dyDescent="0.25">
      <c r="B67" s="106"/>
      <c r="C67" s="148" t="s">
        <v>2651</v>
      </c>
      <c r="D67" s="150">
        <v>43832</v>
      </c>
      <c r="E67" s="113" t="s">
        <v>2650</v>
      </c>
      <c r="F67" s="256">
        <v>1</v>
      </c>
      <c r="G67" s="255">
        <v>3.98</v>
      </c>
      <c r="I67" s="160">
        <f t="shared" si="0"/>
        <v>31504.04</v>
      </c>
    </row>
    <row r="68" spans="2:9" hidden="1" x14ac:dyDescent="0.25">
      <c r="B68" s="106"/>
      <c r="C68" s="148" t="s">
        <v>2649</v>
      </c>
      <c r="D68" s="150">
        <v>43832</v>
      </c>
      <c r="E68" s="113" t="s">
        <v>2648</v>
      </c>
      <c r="F68" s="256">
        <v>1</v>
      </c>
      <c r="G68" s="255">
        <v>1.68</v>
      </c>
      <c r="I68" s="160">
        <f t="shared" si="0"/>
        <v>31505.72</v>
      </c>
    </row>
    <row r="69" spans="2:9" ht="19.5" hidden="1" x14ac:dyDescent="0.25">
      <c r="B69" s="106"/>
      <c r="C69" s="148" t="s">
        <v>2647</v>
      </c>
      <c r="D69" s="150">
        <v>43832</v>
      </c>
      <c r="E69" s="113" t="s">
        <v>2646</v>
      </c>
      <c r="F69" s="256">
        <v>1</v>
      </c>
      <c r="G69" s="255">
        <v>4.8499999999999996</v>
      </c>
      <c r="I69" s="160">
        <f t="shared" si="0"/>
        <v>31510.57</v>
      </c>
    </row>
    <row r="70" spans="2:9" hidden="1" x14ac:dyDescent="0.25">
      <c r="B70" s="106"/>
      <c r="C70" s="148" t="s">
        <v>2645</v>
      </c>
      <c r="D70" s="150">
        <v>43832</v>
      </c>
      <c r="E70" s="113" t="s">
        <v>2644</v>
      </c>
      <c r="F70" s="256">
        <v>1</v>
      </c>
      <c r="G70" s="255">
        <v>7.82</v>
      </c>
      <c r="I70" s="160">
        <f t="shared" si="0"/>
        <v>31518.39</v>
      </c>
    </row>
    <row r="71" spans="2:9" ht="19.5" hidden="1" x14ac:dyDescent="0.25">
      <c r="B71" s="106"/>
      <c r="C71" s="148" t="s">
        <v>2643</v>
      </c>
      <c r="D71" s="150">
        <v>43832</v>
      </c>
      <c r="E71" s="113" t="s">
        <v>2642</v>
      </c>
      <c r="F71" s="256">
        <v>1</v>
      </c>
      <c r="G71" s="255">
        <v>4.17</v>
      </c>
      <c r="I71" s="160">
        <f t="shared" si="0"/>
        <v>31522.559999999998</v>
      </c>
    </row>
    <row r="72" spans="2:9" hidden="1" x14ac:dyDescent="0.25">
      <c r="B72" s="106"/>
      <c r="C72" s="148" t="s">
        <v>2641</v>
      </c>
      <c r="D72" s="150">
        <v>43832</v>
      </c>
      <c r="E72" s="113" t="s">
        <v>2640</v>
      </c>
      <c r="F72" s="256">
        <v>1</v>
      </c>
      <c r="G72" s="255">
        <v>32.28</v>
      </c>
      <c r="I72" s="160">
        <f t="shared" si="0"/>
        <v>31554.839999999997</v>
      </c>
    </row>
    <row r="73" spans="2:9" hidden="1" x14ac:dyDescent="0.25">
      <c r="B73" s="106"/>
      <c r="C73" s="148" t="s">
        <v>2639</v>
      </c>
      <c r="D73" s="150">
        <v>43832</v>
      </c>
      <c r="E73" s="113" t="s">
        <v>2638</v>
      </c>
      <c r="F73" s="256">
        <v>1</v>
      </c>
      <c r="G73" s="255">
        <v>0.41</v>
      </c>
      <c r="I73" s="160">
        <f t="shared" si="0"/>
        <v>31555.249999999996</v>
      </c>
    </row>
    <row r="74" spans="2:9" hidden="1" x14ac:dyDescent="0.25">
      <c r="B74" s="106"/>
      <c r="C74" s="148" t="s">
        <v>2637</v>
      </c>
      <c r="D74" s="150">
        <v>43832</v>
      </c>
      <c r="E74" s="113" t="s">
        <v>2636</v>
      </c>
      <c r="F74" s="256">
        <v>1</v>
      </c>
      <c r="G74" s="255">
        <v>1.84</v>
      </c>
      <c r="I74" s="160">
        <f t="shared" si="0"/>
        <v>31557.089999999997</v>
      </c>
    </row>
    <row r="75" spans="2:9" ht="19.5" hidden="1" x14ac:dyDescent="0.25">
      <c r="B75" s="106"/>
      <c r="C75" s="148" t="s">
        <v>2635</v>
      </c>
      <c r="D75" s="150">
        <v>43832</v>
      </c>
      <c r="E75" s="113" t="s">
        <v>2634</v>
      </c>
      <c r="F75" s="256">
        <v>1</v>
      </c>
      <c r="G75" s="255">
        <v>8.68</v>
      </c>
      <c r="I75" s="160">
        <f t="shared" si="0"/>
        <v>31565.769999999997</v>
      </c>
    </row>
    <row r="76" spans="2:9" ht="19.5" hidden="1" x14ac:dyDescent="0.25">
      <c r="B76" s="106"/>
      <c r="C76" s="148" t="s">
        <v>2633</v>
      </c>
      <c r="D76" s="150">
        <v>43832</v>
      </c>
      <c r="E76" s="113" t="s">
        <v>2632</v>
      </c>
      <c r="F76" s="256">
        <v>1</v>
      </c>
      <c r="G76" s="255">
        <v>7.82</v>
      </c>
      <c r="I76" s="160">
        <f t="shared" si="0"/>
        <v>31573.589999999997</v>
      </c>
    </row>
    <row r="77" spans="2:9" ht="19.5" hidden="1" x14ac:dyDescent="0.25">
      <c r="B77" s="106"/>
      <c r="C77" s="148" t="s">
        <v>2631</v>
      </c>
      <c r="D77" s="150">
        <v>43832</v>
      </c>
      <c r="E77" s="113" t="s">
        <v>2630</v>
      </c>
      <c r="F77" s="256">
        <v>1</v>
      </c>
      <c r="G77" s="255">
        <v>3.38</v>
      </c>
      <c r="I77" s="160">
        <f t="shared" si="0"/>
        <v>31576.969999999998</v>
      </c>
    </row>
    <row r="78" spans="2:9" hidden="1" x14ac:dyDescent="0.25">
      <c r="B78" s="106"/>
      <c r="C78" s="148" t="s">
        <v>2629</v>
      </c>
      <c r="D78" s="150">
        <v>43832</v>
      </c>
      <c r="E78" s="113" t="s">
        <v>2628</v>
      </c>
      <c r="F78" s="256">
        <v>1</v>
      </c>
      <c r="G78" s="255">
        <v>8.3800000000000008</v>
      </c>
      <c r="I78" s="160">
        <f t="shared" si="0"/>
        <v>31585.35</v>
      </c>
    </row>
    <row r="79" spans="2:9" ht="19.5" hidden="1" x14ac:dyDescent="0.25">
      <c r="B79" s="106"/>
      <c r="C79" s="148" t="s">
        <v>2627</v>
      </c>
      <c r="D79" s="150">
        <v>43832</v>
      </c>
      <c r="E79" s="113" t="s">
        <v>2626</v>
      </c>
      <c r="F79" s="256">
        <v>1</v>
      </c>
      <c r="G79" s="255">
        <v>1.44</v>
      </c>
      <c r="I79" s="160">
        <f t="shared" si="0"/>
        <v>31586.789999999997</v>
      </c>
    </row>
    <row r="80" spans="2:9" ht="19.5" hidden="1" x14ac:dyDescent="0.25">
      <c r="B80" s="106"/>
      <c r="C80" s="148" t="s">
        <v>2625</v>
      </c>
      <c r="D80" s="150">
        <v>43832</v>
      </c>
      <c r="E80" s="113" t="s">
        <v>2624</v>
      </c>
      <c r="F80" s="256">
        <v>1</v>
      </c>
      <c r="G80" s="255">
        <v>5.04</v>
      </c>
      <c r="I80" s="160">
        <f t="shared" si="0"/>
        <v>31591.829999999998</v>
      </c>
    </row>
    <row r="81" spans="2:9" hidden="1" x14ac:dyDescent="0.25">
      <c r="B81" s="106"/>
      <c r="C81" s="148" t="s">
        <v>2623</v>
      </c>
      <c r="D81" s="150">
        <v>43832</v>
      </c>
      <c r="E81" s="113" t="s">
        <v>2622</v>
      </c>
      <c r="F81" s="256">
        <v>1</v>
      </c>
      <c r="G81" s="255">
        <v>1.69</v>
      </c>
      <c r="I81" s="160">
        <f t="shared" si="0"/>
        <v>31593.519999999997</v>
      </c>
    </row>
    <row r="82" spans="2:9" ht="19.5" hidden="1" x14ac:dyDescent="0.25">
      <c r="B82" s="106"/>
      <c r="C82" s="148" t="s">
        <v>2621</v>
      </c>
      <c r="D82" s="150">
        <v>43832</v>
      </c>
      <c r="E82" s="113" t="s">
        <v>2620</v>
      </c>
      <c r="F82" s="256">
        <v>1</v>
      </c>
      <c r="G82" s="255">
        <v>4.8099999999999996</v>
      </c>
      <c r="I82" s="160">
        <f t="shared" si="0"/>
        <v>31598.329999999998</v>
      </c>
    </row>
    <row r="83" spans="2:9" ht="19.5" hidden="1" x14ac:dyDescent="0.25">
      <c r="B83" s="106"/>
      <c r="C83" s="148" t="s">
        <v>2619</v>
      </c>
      <c r="D83" s="150">
        <v>43832</v>
      </c>
      <c r="E83" s="113" t="s">
        <v>2618</v>
      </c>
      <c r="F83" s="256">
        <v>1</v>
      </c>
      <c r="G83" s="255">
        <v>1.96</v>
      </c>
      <c r="I83" s="160">
        <f t="shared" si="0"/>
        <v>31600.289999999997</v>
      </c>
    </row>
    <row r="84" spans="2:9" hidden="1" x14ac:dyDescent="0.25">
      <c r="B84" s="106"/>
      <c r="C84" s="148" t="s">
        <v>2617</v>
      </c>
      <c r="D84" s="150">
        <v>43832</v>
      </c>
      <c r="E84" s="113" t="s">
        <v>2616</v>
      </c>
      <c r="F84" s="256">
        <v>1</v>
      </c>
      <c r="G84" s="255">
        <v>2.54</v>
      </c>
      <c r="I84" s="160">
        <f t="shared" ref="I84:I147" si="1">+I83+G84-H84</f>
        <v>31602.829999999998</v>
      </c>
    </row>
    <row r="85" spans="2:9" hidden="1" x14ac:dyDescent="0.25">
      <c r="B85" s="106"/>
      <c r="C85" s="148" t="s">
        <v>2615</v>
      </c>
      <c r="D85" s="150">
        <v>43832</v>
      </c>
      <c r="E85" s="113" t="s">
        <v>2614</v>
      </c>
      <c r="F85" s="256">
        <v>1</v>
      </c>
      <c r="G85" s="255">
        <v>8.64</v>
      </c>
      <c r="I85" s="160">
        <f t="shared" si="1"/>
        <v>31611.469999999998</v>
      </c>
    </row>
    <row r="86" spans="2:9" ht="19.5" hidden="1" x14ac:dyDescent="0.25">
      <c r="B86" s="106"/>
      <c r="C86" s="148" t="s">
        <v>2613</v>
      </c>
      <c r="D86" s="150">
        <v>43832</v>
      </c>
      <c r="E86" s="113" t="s">
        <v>2612</v>
      </c>
      <c r="F86" s="256">
        <v>1</v>
      </c>
      <c r="G86" s="255">
        <v>1.68</v>
      </c>
      <c r="I86" s="160">
        <f t="shared" si="1"/>
        <v>31613.149999999998</v>
      </c>
    </row>
    <row r="87" spans="2:9" ht="19.5" hidden="1" x14ac:dyDescent="0.25">
      <c r="B87" s="106"/>
      <c r="C87" s="148" t="s">
        <v>2611</v>
      </c>
      <c r="D87" s="150">
        <v>43832</v>
      </c>
      <c r="E87" s="113" t="s">
        <v>2610</v>
      </c>
      <c r="F87" s="256">
        <v>1</v>
      </c>
      <c r="G87" s="255">
        <v>6.18</v>
      </c>
      <c r="I87" s="160">
        <f t="shared" si="1"/>
        <v>31619.329999999998</v>
      </c>
    </row>
    <row r="88" spans="2:9" hidden="1" x14ac:dyDescent="0.25">
      <c r="B88" s="148"/>
      <c r="C88" s="148" t="s">
        <v>2609</v>
      </c>
      <c r="D88" s="150">
        <v>43832</v>
      </c>
      <c r="E88" s="113" t="s">
        <v>2608</v>
      </c>
      <c r="F88" s="257" t="s">
        <v>14437</v>
      </c>
      <c r="G88" s="160">
        <v>4.8499999999999996</v>
      </c>
      <c r="I88" s="160">
        <f t="shared" si="1"/>
        <v>31624.179999999997</v>
      </c>
    </row>
    <row r="89" spans="2:9" ht="19.5" hidden="1" x14ac:dyDescent="0.25">
      <c r="B89" s="148"/>
      <c r="C89" s="148" t="s">
        <v>2607</v>
      </c>
      <c r="D89" s="150">
        <v>43832</v>
      </c>
      <c r="E89" s="113" t="s">
        <v>2606</v>
      </c>
      <c r="F89" s="257" t="s">
        <v>14437</v>
      </c>
      <c r="G89" s="160">
        <v>58.53</v>
      </c>
      <c r="I89" s="160">
        <f t="shared" si="1"/>
        <v>31682.709999999995</v>
      </c>
    </row>
    <row r="90" spans="2:9" ht="19.5" hidden="1" x14ac:dyDescent="0.25">
      <c r="B90" s="148"/>
      <c r="C90" s="148" t="s">
        <v>2605</v>
      </c>
      <c r="D90" s="150">
        <v>43832</v>
      </c>
      <c r="E90" s="113" t="s">
        <v>2604</v>
      </c>
      <c r="F90" s="257" t="s">
        <v>14437</v>
      </c>
      <c r="G90" s="160">
        <v>2</v>
      </c>
      <c r="I90" s="160">
        <f t="shared" si="1"/>
        <v>31684.709999999995</v>
      </c>
    </row>
    <row r="91" spans="2:9" ht="19.5" hidden="1" x14ac:dyDescent="0.25">
      <c r="B91" s="148"/>
      <c r="C91" s="148" t="s">
        <v>2603</v>
      </c>
      <c r="D91" s="150">
        <v>43833</v>
      </c>
      <c r="E91" s="113" t="s">
        <v>2602</v>
      </c>
      <c r="F91" s="257" t="s">
        <v>14440</v>
      </c>
      <c r="G91" s="160">
        <v>25.14</v>
      </c>
      <c r="I91" s="160">
        <f t="shared" si="1"/>
        <v>31709.849999999995</v>
      </c>
    </row>
    <row r="92" spans="2:9" ht="19.5" hidden="1" x14ac:dyDescent="0.25">
      <c r="B92" s="148"/>
      <c r="C92" s="148" t="s">
        <v>2601</v>
      </c>
      <c r="D92" s="150">
        <v>43833</v>
      </c>
      <c r="E92" s="113" t="s">
        <v>2600</v>
      </c>
      <c r="F92" s="257" t="s">
        <v>14440</v>
      </c>
      <c r="G92" s="160">
        <v>2.46</v>
      </c>
      <c r="I92" s="160">
        <f t="shared" si="1"/>
        <v>31712.309999999994</v>
      </c>
    </row>
    <row r="93" spans="2:9" ht="19.5" hidden="1" x14ac:dyDescent="0.25">
      <c r="B93" s="148"/>
      <c r="C93" s="148" t="s">
        <v>2599</v>
      </c>
      <c r="D93" s="150">
        <v>43833</v>
      </c>
      <c r="E93" s="113" t="s">
        <v>2598</v>
      </c>
      <c r="F93" s="257" t="s">
        <v>14440</v>
      </c>
      <c r="G93" s="160">
        <v>28.17</v>
      </c>
      <c r="I93" s="160">
        <f t="shared" si="1"/>
        <v>31740.479999999992</v>
      </c>
    </row>
    <row r="94" spans="2:9" ht="19.5" hidden="1" x14ac:dyDescent="0.25">
      <c r="B94" s="148"/>
      <c r="C94" s="148" t="s">
        <v>2597</v>
      </c>
      <c r="D94" s="150">
        <v>43833</v>
      </c>
      <c r="E94" s="113" t="s">
        <v>2596</v>
      </c>
      <c r="F94" s="257" t="s">
        <v>14436</v>
      </c>
      <c r="G94" s="160">
        <v>16.77</v>
      </c>
      <c r="I94" s="160">
        <f t="shared" si="1"/>
        <v>31757.249999999993</v>
      </c>
    </row>
    <row r="95" spans="2:9" ht="19.5" hidden="1" x14ac:dyDescent="0.25">
      <c r="B95" s="148"/>
      <c r="C95" s="148" t="s">
        <v>2595</v>
      </c>
      <c r="D95" s="150">
        <v>43833</v>
      </c>
      <c r="E95" s="113" t="s">
        <v>2594</v>
      </c>
      <c r="F95" s="257" t="s">
        <v>14440</v>
      </c>
      <c r="G95" s="160">
        <v>14.35</v>
      </c>
      <c r="I95" s="160">
        <f t="shared" si="1"/>
        <v>31771.599999999991</v>
      </c>
    </row>
    <row r="96" spans="2:9" ht="19.5" hidden="1" x14ac:dyDescent="0.25">
      <c r="B96" s="148"/>
      <c r="C96" s="148" t="s">
        <v>2593</v>
      </c>
      <c r="D96" s="150">
        <v>43833</v>
      </c>
      <c r="E96" s="113" t="s">
        <v>2592</v>
      </c>
      <c r="F96" s="257" t="s">
        <v>14440</v>
      </c>
      <c r="G96" s="160">
        <v>0.01</v>
      </c>
      <c r="I96" s="160">
        <f t="shared" si="1"/>
        <v>31771.60999999999</v>
      </c>
    </row>
    <row r="97" spans="2:9" hidden="1" x14ac:dyDescent="0.25">
      <c r="B97" s="148"/>
      <c r="C97" s="148" t="s">
        <v>2591</v>
      </c>
      <c r="D97" s="150">
        <v>43833</v>
      </c>
      <c r="E97" s="113" t="s">
        <v>2590</v>
      </c>
      <c r="F97" s="257" t="s">
        <v>14440</v>
      </c>
      <c r="G97" s="160">
        <v>4.8499999999999996</v>
      </c>
      <c r="I97" s="160">
        <f t="shared" si="1"/>
        <v>31776.459999999988</v>
      </c>
    </row>
    <row r="98" spans="2:9" hidden="1" x14ac:dyDescent="0.25">
      <c r="B98" s="148"/>
      <c r="C98" s="148" t="s">
        <v>2589</v>
      </c>
      <c r="D98" s="150">
        <v>43833</v>
      </c>
      <c r="E98" s="113" t="s">
        <v>2588</v>
      </c>
      <c r="F98" s="257" t="s">
        <v>14440</v>
      </c>
      <c r="G98" s="160">
        <v>3.43</v>
      </c>
      <c r="I98" s="160">
        <f t="shared" si="1"/>
        <v>31779.889999999989</v>
      </c>
    </row>
    <row r="99" spans="2:9" hidden="1" x14ac:dyDescent="0.25">
      <c r="B99" s="148"/>
      <c r="C99" s="148" t="s">
        <v>2587</v>
      </c>
      <c r="D99" s="150">
        <v>43833</v>
      </c>
      <c r="E99" s="113" t="s">
        <v>2586</v>
      </c>
      <c r="F99" s="257" t="s">
        <v>14436</v>
      </c>
      <c r="G99" s="160">
        <v>6.34</v>
      </c>
      <c r="I99" s="160">
        <f t="shared" si="1"/>
        <v>31786.229999999989</v>
      </c>
    </row>
    <row r="100" spans="2:9" ht="19.5" hidden="1" x14ac:dyDescent="0.25">
      <c r="B100" s="148"/>
      <c r="C100" s="148" t="s">
        <v>2585</v>
      </c>
      <c r="D100" s="150">
        <v>43833</v>
      </c>
      <c r="E100" s="113" t="s">
        <v>2584</v>
      </c>
      <c r="F100" s="257" t="s">
        <v>14436</v>
      </c>
      <c r="G100" s="160">
        <v>3.42</v>
      </c>
      <c r="I100" s="160">
        <f t="shared" si="1"/>
        <v>31789.649999999987</v>
      </c>
    </row>
    <row r="101" spans="2:9" hidden="1" x14ac:dyDescent="0.25">
      <c r="B101" s="106"/>
      <c r="C101" s="148" t="s">
        <v>2583</v>
      </c>
      <c r="D101" s="150">
        <v>43833</v>
      </c>
      <c r="E101" s="113" t="s">
        <v>2582</v>
      </c>
      <c r="F101" s="256" t="s">
        <v>14409</v>
      </c>
      <c r="G101" s="258">
        <v>1.68</v>
      </c>
      <c r="I101" s="160">
        <f t="shared" si="1"/>
        <v>31791.329999999987</v>
      </c>
    </row>
    <row r="102" spans="2:9" ht="19.5" hidden="1" x14ac:dyDescent="0.25">
      <c r="B102" s="106"/>
      <c r="C102" s="148" t="s">
        <v>2581</v>
      </c>
      <c r="D102" s="150">
        <v>43833</v>
      </c>
      <c r="E102" s="113" t="s">
        <v>2580</v>
      </c>
      <c r="F102" s="256" t="s">
        <v>14409</v>
      </c>
      <c r="G102" s="258">
        <v>7.66</v>
      </c>
      <c r="I102" s="160">
        <f t="shared" si="1"/>
        <v>31798.989999999987</v>
      </c>
    </row>
    <row r="103" spans="2:9" ht="19.5" hidden="1" x14ac:dyDescent="0.25">
      <c r="B103" s="106"/>
      <c r="C103" s="148" t="s">
        <v>2579</v>
      </c>
      <c r="D103" s="150">
        <v>43833</v>
      </c>
      <c r="E103" s="113" t="s">
        <v>2578</v>
      </c>
      <c r="F103" s="256" t="s">
        <v>14409</v>
      </c>
      <c r="G103" s="258">
        <v>4.09</v>
      </c>
      <c r="I103" s="160">
        <f t="shared" si="1"/>
        <v>31803.079999999987</v>
      </c>
    </row>
    <row r="104" spans="2:9" ht="19.5" hidden="1" x14ac:dyDescent="0.25">
      <c r="B104" s="106"/>
      <c r="C104" s="148" t="s">
        <v>2577</v>
      </c>
      <c r="D104" s="150">
        <v>43833</v>
      </c>
      <c r="E104" s="113" t="s">
        <v>2576</v>
      </c>
      <c r="F104" s="256" t="s">
        <v>14409</v>
      </c>
      <c r="G104" s="258">
        <v>3.54</v>
      </c>
      <c r="I104" s="160">
        <f t="shared" si="1"/>
        <v>31806.619999999988</v>
      </c>
    </row>
    <row r="105" spans="2:9" hidden="1" x14ac:dyDescent="0.25">
      <c r="B105" s="106"/>
      <c r="C105" s="148" t="s">
        <v>2575</v>
      </c>
      <c r="D105" s="150">
        <v>43833</v>
      </c>
      <c r="E105" s="113" t="s">
        <v>2574</v>
      </c>
      <c r="F105" s="256" t="s">
        <v>14409</v>
      </c>
      <c r="G105" s="258">
        <v>1.68</v>
      </c>
      <c r="I105" s="160">
        <f t="shared" si="1"/>
        <v>31808.299999999988</v>
      </c>
    </row>
    <row r="106" spans="2:9" ht="19.5" hidden="1" x14ac:dyDescent="0.25">
      <c r="B106" s="106"/>
      <c r="C106" s="148" t="s">
        <v>2573</v>
      </c>
      <c r="D106" s="150">
        <v>43833</v>
      </c>
      <c r="E106" s="113" t="s">
        <v>2572</v>
      </c>
      <c r="F106" s="256" t="s">
        <v>14409</v>
      </c>
      <c r="G106" s="258">
        <v>0.42</v>
      </c>
      <c r="I106" s="160">
        <f t="shared" si="1"/>
        <v>31808.719999999987</v>
      </c>
    </row>
    <row r="107" spans="2:9" hidden="1" x14ac:dyDescent="0.25">
      <c r="B107" s="106"/>
      <c r="C107" s="148" t="s">
        <v>2571</v>
      </c>
      <c r="D107" s="150">
        <v>43833</v>
      </c>
      <c r="E107" s="113" t="s">
        <v>2570</v>
      </c>
      <c r="F107" s="256" t="s">
        <v>14409</v>
      </c>
      <c r="G107" s="258">
        <v>6.43</v>
      </c>
      <c r="I107" s="160">
        <f t="shared" si="1"/>
        <v>31815.149999999987</v>
      </c>
    </row>
    <row r="108" spans="2:9" hidden="1" x14ac:dyDescent="0.25">
      <c r="B108" s="106"/>
      <c r="C108" s="148" t="s">
        <v>2569</v>
      </c>
      <c r="D108" s="150">
        <v>43833</v>
      </c>
      <c r="E108" s="113" t="s">
        <v>2568</v>
      </c>
      <c r="F108" s="256" t="s">
        <v>14409</v>
      </c>
      <c r="G108" s="258">
        <v>3.55</v>
      </c>
      <c r="I108" s="160">
        <f t="shared" si="1"/>
        <v>31818.699999999986</v>
      </c>
    </row>
    <row r="109" spans="2:9" hidden="1" x14ac:dyDescent="0.25">
      <c r="B109" s="106"/>
      <c r="C109" s="148" t="s">
        <v>2567</v>
      </c>
      <c r="D109" s="150">
        <v>43833</v>
      </c>
      <c r="E109" s="113" t="s">
        <v>2566</v>
      </c>
      <c r="F109" s="256" t="s">
        <v>14409</v>
      </c>
      <c r="G109" s="258">
        <v>10.76</v>
      </c>
      <c r="I109" s="160">
        <f t="shared" si="1"/>
        <v>31829.459999999985</v>
      </c>
    </row>
    <row r="110" spans="2:9" ht="19.5" hidden="1" x14ac:dyDescent="0.25">
      <c r="B110" s="106"/>
      <c r="C110" s="148" t="s">
        <v>2565</v>
      </c>
      <c r="D110" s="150">
        <v>43833</v>
      </c>
      <c r="E110" s="113" t="s">
        <v>2564</v>
      </c>
      <c r="F110" s="256" t="s">
        <v>14409</v>
      </c>
      <c r="G110" s="258">
        <v>3.44</v>
      </c>
      <c r="I110" s="160">
        <f t="shared" si="1"/>
        <v>31832.899999999983</v>
      </c>
    </row>
    <row r="111" spans="2:9" ht="19.5" hidden="1" x14ac:dyDescent="0.25">
      <c r="B111" s="106"/>
      <c r="C111" s="148" t="s">
        <v>2563</v>
      </c>
      <c r="D111" s="150">
        <v>43833</v>
      </c>
      <c r="E111" s="113" t="s">
        <v>2562</v>
      </c>
      <c r="F111" s="256" t="s">
        <v>14409</v>
      </c>
      <c r="G111" s="258">
        <v>4.76</v>
      </c>
      <c r="I111" s="160">
        <f t="shared" si="1"/>
        <v>31837.659999999982</v>
      </c>
    </row>
    <row r="112" spans="2:9" ht="19.5" hidden="1" x14ac:dyDescent="0.25">
      <c r="B112" s="106"/>
      <c r="C112" s="148" t="s">
        <v>2561</v>
      </c>
      <c r="D112" s="150">
        <v>43833</v>
      </c>
      <c r="E112" s="113" t="s">
        <v>2560</v>
      </c>
      <c r="F112" s="256" t="s">
        <v>14409</v>
      </c>
      <c r="G112" s="258">
        <v>1.81</v>
      </c>
      <c r="I112" s="160">
        <f t="shared" si="1"/>
        <v>31839.469999999983</v>
      </c>
    </row>
    <row r="113" spans="2:9" hidden="1" x14ac:dyDescent="0.25">
      <c r="B113" s="106"/>
      <c r="C113" s="148" t="s">
        <v>2559</v>
      </c>
      <c r="D113" s="150">
        <v>43833</v>
      </c>
      <c r="E113" s="113" t="s">
        <v>2558</v>
      </c>
      <c r="F113" s="256" t="s">
        <v>14409</v>
      </c>
      <c r="G113" s="258">
        <v>1.79</v>
      </c>
      <c r="I113" s="160">
        <f t="shared" si="1"/>
        <v>31841.259999999984</v>
      </c>
    </row>
    <row r="114" spans="2:9" ht="19.5" hidden="1" x14ac:dyDescent="0.25">
      <c r="B114" s="106"/>
      <c r="C114" s="148" t="s">
        <v>2557</v>
      </c>
      <c r="D114" s="150">
        <v>43833</v>
      </c>
      <c r="E114" s="113" t="s">
        <v>2556</v>
      </c>
      <c r="F114" s="256" t="s">
        <v>14409</v>
      </c>
      <c r="G114" s="258">
        <v>0.18</v>
      </c>
      <c r="I114" s="160">
        <f t="shared" si="1"/>
        <v>31841.439999999984</v>
      </c>
    </row>
    <row r="115" spans="2:9" ht="19.5" hidden="1" x14ac:dyDescent="0.25">
      <c r="B115" s="106"/>
      <c r="C115" s="148" t="s">
        <v>2555</v>
      </c>
      <c r="D115" s="150">
        <v>43833</v>
      </c>
      <c r="E115" s="113" t="s">
        <v>2554</v>
      </c>
      <c r="F115" s="256" t="s">
        <v>14409</v>
      </c>
      <c r="G115" s="258">
        <v>1.55</v>
      </c>
      <c r="I115" s="160">
        <f t="shared" si="1"/>
        <v>31842.989999999983</v>
      </c>
    </row>
    <row r="116" spans="2:9" ht="19.5" hidden="1" x14ac:dyDescent="0.25">
      <c r="B116" s="106"/>
      <c r="C116" s="148" t="s">
        <v>2553</v>
      </c>
      <c r="D116" s="150">
        <v>43833</v>
      </c>
      <c r="E116" s="113" t="s">
        <v>2552</v>
      </c>
      <c r="F116" s="256" t="s">
        <v>14409</v>
      </c>
      <c r="G116" s="258">
        <v>11.78</v>
      </c>
      <c r="I116" s="160">
        <f t="shared" si="1"/>
        <v>31854.769999999982</v>
      </c>
    </row>
    <row r="117" spans="2:9" hidden="1" x14ac:dyDescent="0.25">
      <c r="B117" s="106"/>
      <c r="C117" s="148" t="s">
        <v>2551</v>
      </c>
      <c r="D117" s="150">
        <v>43833</v>
      </c>
      <c r="E117" s="113" t="s">
        <v>2550</v>
      </c>
      <c r="F117" s="256" t="s">
        <v>14409</v>
      </c>
      <c r="G117" s="258">
        <v>1.76</v>
      </c>
      <c r="I117" s="160">
        <f t="shared" si="1"/>
        <v>31856.529999999981</v>
      </c>
    </row>
    <row r="118" spans="2:9" ht="19.5" hidden="1" x14ac:dyDescent="0.25">
      <c r="B118" s="106"/>
      <c r="C118" s="148" t="s">
        <v>2549</v>
      </c>
      <c r="D118" s="150">
        <v>43833</v>
      </c>
      <c r="E118" s="113" t="s">
        <v>2548</v>
      </c>
      <c r="F118" s="256" t="s">
        <v>14409</v>
      </c>
      <c r="G118" s="258">
        <v>5.0999999999999996</v>
      </c>
      <c r="I118" s="160">
        <f t="shared" si="1"/>
        <v>31861.629999999979</v>
      </c>
    </row>
    <row r="119" spans="2:9" hidden="1" x14ac:dyDescent="0.25">
      <c r="B119" s="106"/>
      <c r="C119" s="148" t="s">
        <v>2547</v>
      </c>
      <c r="D119" s="150">
        <v>43833</v>
      </c>
      <c r="E119" s="113" t="s">
        <v>2546</v>
      </c>
      <c r="F119" s="256" t="s">
        <v>14409</v>
      </c>
      <c r="G119" s="258">
        <v>2.4</v>
      </c>
      <c r="I119" s="160">
        <f t="shared" si="1"/>
        <v>31864.029999999981</v>
      </c>
    </row>
    <row r="120" spans="2:9" ht="19.5" hidden="1" x14ac:dyDescent="0.25">
      <c r="B120" s="106"/>
      <c r="C120" s="148" t="s">
        <v>2545</v>
      </c>
      <c r="D120" s="150">
        <v>43833</v>
      </c>
      <c r="E120" s="113" t="s">
        <v>2544</v>
      </c>
      <c r="F120" s="256" t="s">
        <v>14409</v>
      </c>
      <c r="G120" s="258">
        <v>6.08</v>
      </c>
      <c r="I120" s="160">
        <f t="shared" si="1"/>
        <v>31870.109999999982</v>
      </c>
    </row>
    <row r="121" spans="2:9" ht="19.5" hidden="1" x14ac:dyDescent="0.25">
      <c r="B121" s="106"/>
      <c r="C121" s="148" t="s">
        <v>2543</v>
      </c>
      <c r="D121" s="150">
        <v>43833</v>
      </c>
      <c r="E121" s="113" t="s">
        <v>2542</v>
      </c>
      <c r="F121" s="256" t="s">
        <v>14409</v>
      </c>
      <c r="G121" s="258">
        <v>5.26</v>
      </c>
      <c r="I121" s="160">
        <f t="shared" si="1"/>
        <v>31875.369999999981</v>
      </c>
    </row>
    <row r="122" spans="2:9" ht="19.5" hidden="1" x14ac:dyDescent="0.25">
      <c r="B122" s="106"/>
      <c r="C122" s="148" t="s">
        <v>2541</v>
      </c>
      <c r="D122" s="150">
        <v>43833</v>
      </c>
      <c r="E122" s="113" t="s">
        <v>2540</v>
      </c>
      <c r="F122" s="256" t="s">
        <v>14409</v>
      </c>
      <c r="G122" s="258">
        <v>5.51</v>
      </c>
      <c r="I122" s="160">
        <f t="shared" si="1"/>
        <v>31880.879999999979</v>
      </c>
    </row>
    <row r="123" spans="2:9" ht="19.5" hidden="1" x14ac:dyDescent="0.25">
      <c r="B123" s="106"/>
      <c r="C123" s="148" t="s">
        <v>2539</v>
      </c>
      <c r="D123" s="150">
        <v>43833</v>
      </c>
      <c r="E123" s="113" t="s">
        <v>2538</v>
      </c>
      <c r="F123" s="256" t="s">
        <v>14409</v>
      </c>
      <c r="G123" s="258">
        <v>13.69</v>
      </c>
      <c r="I123" s="160">
        <f t="shared" si="1"/>
        <v>31894.569999999978</v>
      </c>
    </row>
    <row r="124" spans="2:9" ht="19.5" hidden="1" x14ac:dyDescent="0.25">
      <c r="B124" s="106"/>
      <c r="C124" s="148" t="s">
        <v>2537</v>
      </c>
      <c r="D124" s="150">
        <v>43833</v>
      </c>
      <c r="E124" s="113" t="s">
        <v>2536</v>
      </c>
      <c r="F124" s="256" t="s">
        <v>14409</v>
      </c>
      <c r="G124" s="258">
        <v>3.42</v>
      </c>
      <c r="I124" s="160">
        <f t="shared" si="1"/>
        <v>31897.989999999976</v>
      </c>
    </row>
    <row r="125" spans="2:9" ht="19.5" hidden="1" x14ac:dyDescent="0.25">
      <c r="B125" s="106"/>
      <c r="C125" s="148" t="s">
        <v>2535</v>
      </c>
      <c r="D125" s="150">
        <v>43833</v>
      </c>
      <c r="E125" s="113" t="s">
        <v>2534</v>
      </c>
      <c r="F125" s="256" t="s">
        <v>14409</v>
      </c>
      <c r="G125" s="258">
        <v>5.23</v>
      </c>
      <c r="I125" s="160">
        <f t="shared" si="1"/>
        <v>31903.219999999976</v>
      </c>
    </row>
    <row r="126" spans="2:9" hidden="1" x14ac:dyDescent="0.25">
      <c r="B126" s="106"/>
      <c r="C126" s="148" t="s">
        <v>2533</v>
      </c>
      <c r="D126" s="150">
        <v>43833</v>
      </c>
      <c r="E126" s="113" t="s">
        <v>2532</v>
      </c>
      <c r="F126" s="256" t="s">
        <v>14409</v>
      </c>
      <c r="G126" s="258">
        <v>2.77</v>
      </c>
      <c r="I126" s="160">
        <f t="shared" si="1"/>
        <v>31905.989999999976</v>
      </c>
    </row>
    <row r="127" spans="2:9" ht="19.5" hidden="1" x14ac:dyDescent="0.25">
      <c r="B127" s="106"/>
      <c r="C127" s="148" t="s">
        <v>2531</v>
      </c>
      <c r="D127" s="150">
        <v>43833</v>
      </c>
      <c r="E127" s="113" t="s">
        <v>2530</v>
      </c>
      <c r="F127" s="256" t="s">
        <v>14409</v>
      </c>
      <c r="G127" s="258">
        <v>23.89</v>
      </c>
      <c r="I127" s="160">
        <f t="shared" si="1"/>
        <v>31929.879999999976</v>
      </c>
    </row>
    <row r="128" spans="2:9" ht="19.5" hidden="1" x14ac:dyDescent="0.25">
      <c r="B128" s="106"/>
      <c r="C128" s="148" t="s">
        <v>2529</v>
      </c>
      <c r="D128" s="150">
        <v>43833</v>
      </c>
      <c r="E128" s="113" t="s">
        <v>2528</v>
      </c>
      <c r="F128" s="256" t="s">
        <v>14409</v>
      </c>
      <c r="G128" s="258">
        <v>1.68</v>
      </c>
      <c r="I128" s="160">
        <f t="shared" si="1"/>
        <v>31931.559999999976</v>
      </c>
    </row>
    <row r="129" spans="2:9" hidden="1" x14ac:dyDescent="0.25">
      <c r="B129" s="106"/>
      <c r="C129" s="148" t="s">
        <v>2527</v>
      </c>
      <c r="D129" s="150">
        <v>43833</v>
      </c>
      <c r="E129" s="113" t="s">
        <v>2526</v>
      </c>
      <c r="F129" s="256" t="s">
        <v>14409</v>
      </c>
      <c r="G129" s="258">
        <v>4.05</v>
      </c>
      <c r="I129" s="160">
        <f t="shared" si="1"/>
        <v>31935.609999999975</v>
      </c>
    </row>
    <row r="130" spans="2:9" hidden="1" x14ac:dyDescent="0.25">
      <c r="B130" s="106"/>
      <c r="C130" s="148" t="s">
        <v>2525</v>
      </c>
      <c r="D130" s="150">
        <v>43833</v>
      </c>
      <c r="E130" s="113" t="s">
        <v>2524</v>
      </c>
      <c r="F130" s="256" t="s">
        <v>14409</v>
      </c>
      <c r="G130" s="258">
        <v>17.809999999999999</v>
      </c>
      <c r="I130" s="160">
        <f t="shared" si="1"/>
        <v>31953.419999999976</v>
      </c>
    </row>
    <row r="131" spans="2:9" ht="19.5" hidden="1" x14ac:dyDescent="0.25">
      <c r="B131" s="106"/>
      <c r="C131" s="148" t="s">
        <v>2523</v>
      </c>
      <c r="D131" s="150">
        <v>43833</v>
      </c>
      <c r="E131" s="113" t="s">
        <v>2522</v>
      </c>
      <c r="F131" s="256" t="s">
        <v>14409</v>
      </c>
      <c r="G131" s="258">
        <v>5.41</v>
      </c>
      <c r="I131" s="160">
        <f t="shared" si="1"/>
        <v>31958.829999999976</v>
      </c>
    </row>
    <row r="132" spans="2:9" ht="19.5" hidden="1" x14ac:dyDescent="0.25">
      <c r="B132" s="106"/>
      <c r="C132" s="148" t="s">
        <v>2521</v>
      </c>
      <c r="D132" s="150">
        <v>43833</v>
      </c>
      <c r="E132" s="113" t="s">
        <v>2520</v>
      </c>
      <c r="F132" s="256" t="s">
        <v>14409</v>
      </c>
      <c r="G132" s="258">
        <v>16.149999999999999</v>
      </c>
      <c r="I132" s="160">
        <f t="shared" si="1"/>
        <v>31974.979999999978</v>
      </c>
    </row>
    <row r="133" spans="2:9" hidden="1" x14ac:dyDescent="0.25">
      <c r="B133" s="106"/>
      <c r="C133" s="148" t="s">
        <v>2519</v>
      </c>
      <c r="D133" s="150">
        <v>43833</v>
      </c>
      <c r="E133" s="113" t="s">
        <v>2518</v>
      </c>
      <c r="F133" s="256" t="s">
        <v>14409</v>
      </c>
      <c r="G133" s="258">
        <v>5.58</v>
      </c>
      <c r="I133" s="160">
        <f t="shared" si="1"/>
        <v>31980.559999999979</v>
      </c>
    </row>
    <row r="134" spans="2:9" hidden="1" x14ac:dyDescent="0.25">
      <c r="B134" s="106"/>
      <c r="C134" s="148" t="s">
        <v>2517</v>
      </c>
      <c r="D134" s="150">
        <v>43833</v>
      </c>
      <c r="E134" s="113" t="s">
        <v>2516</v>
      </c>
      <c r="F134" s="256" t="s">
        <v>14409</v>
      </c>
      <c r="G134" s="258">
        <v>5.21</v>
      </c>
      <c r="I134" s="160">
        <f t="shared" si="1"/>
        <v>31985.769999999979</v>
      </c>
    </row>
    <row r="135" spans="2:9" hidden="1" x14ac:dyDescent="0.25">
      <c r="B135" s="106"/>
      <c r="C135" s="148" t="s">
        <v>2515</v>
      </c>
      <c r="D135" s="150">
        <v>43833</v>
      </c>
      <c r="E135" s="113" t="s">
        <v>2514</v>
      </c>
      <c r="F135" s="256" t="s">
        <v>14409</v>
      </c>
      <c r="G135" s="258">
        <v>1.76</v>
      </c>
      <c r="I135" s="160">
        <f t="shared" si="1"/>
        <v>31987.529999999977</v>
      </c>
    </row>
    <row r="136" spans="2:9" hidden="1" x14ac:dyDescent="0.25">
      <c r="B136" s="106"/>
      <c r="C136" s="148" t="s">
        <v>2513</v>
      </c>
      <c r="D136" s="150">
        <v>43833</v>
      </c>
      <c r="E136" s="113" t="s">
        <v>2512</v>
      </c>
      <c r="F136" s="256" t="s">
        <v>14409</v>
      </c>
      <c r="G136" s="258">
        <v>7.9</v>
      </c>
      <c r="I136" s="160">
        <f t="shared" si="1"/>
        <v>31995.429999999978</v>
      </c>
    </row>
    <row r="137" spans="2:9" hidden="1" x14ac:dyDescent="0.25">
      <c r="B137" s="106"/>
      <c r="C137" s="148" t="s">
        <v>2511</v>
      </c>
      <c r="D137" s="150">
        <v>43833</v>
      </c>
      <c r="E137" s="113" t="s">
        <v>2510</v>
      </c>
      <c r="F137" s="256" t="s">
        <v>14409</v>
      </c>
      <c r="G137" s="258">
        <v>3.44</v>
      </c>
      <c r="I137" s="160">
        <f t="shared" si="1"/>
        <v>31998.869999999977</v>
      </c>
    </row>
    <row r="138" spans="2:9" ht="19.5" hidden="1" x14ac:dyDescent="0.25">
      <c r="B138" s="106"/>
      <c r="C138" s="148" t="s">
        <v>2509</v>
      </c>
      <c r="D138" s="150">
        <v>43833</v>
      </c>
      <c r="E138" s="113" t="s">
        <v>2508</v>
      </c>
      <c r="F138" s="256" t="s">
        <v>14409</v>
      </c>
      <c r="G138" s="258">
        <v>3.48</v>
      </c>
      <c r="I138" s="160">
        <f t="shared" si="1"/>
        <v>32002.349999999977</v>
      </c>
    </row>
    <row r="139" spans="2:9" hidden="1" x14ac:dyDescent="0.25">
      <c r="B139" s="106"/>
      <c r="C139" s="148" t="s">
        <v>2507</v>
      </c>
      <c r="D139" s="150">
        <v>43833</v>
      </c>
      <c r="E139" s="113" t="s">
        <v>2506</v>
      </c>
      <c r="F139" s="256" t="s">
        <v>14409</v>
      </c>
      <c r="G139" s="258">
        <v>2.11</v>
      </c>
      <c r="I139" s="160">
        <f t="shared" si="1"/>
        <v>32004.459999999977</v>
      </c>
    </row>
    <row r="140" spans="2:9" ht="19.5" hidden="1" x14ac:dyDescent="0.25">
      <c r="B140" s="106"/>
      <c r="C140" s="148" t="s">
        <v>2505</v>
      </c>
      <c r="D140" s="150">
        <v>43833</v>
      </c>
      <c r="E140" s="113" t="s">
        <v>2504</v>
      </c>
      <c r="F140" s="256" t="s">
        <v>14409</v>
      </c>
      <c r="G140" s="258">
        <v>7.74</v>
      </c>
      <c r="I140" s="160">
        <f t="shared" si="1"/>
        <v>32012.199999999979</v>
      </c>
    </row>
    <row r="141" spans="2:9" ht="19.5" hidden="1" x14ac:dyDescent="0.25">
      <c r="B141" s="106"/>
      <c r="C141" s="148" t="s">
        <v>2503</v>
      </c>
      <c r="D141" s="150">
        <v>43833</v>
      </c>
      <c r="E141" s="113" t="s">
        <v>2502</v>
      </c>
      <c r="F141" s="256" t="s">
        <v>14409</v>
      </c>
      <c r="G141" s="258">
        <v>2.82</v>
      </c>
      <c r="I141" s="160">
        <f t="shared" si="1"/>
        <v>32015.019999999979</v>
      </c>
    </row>
    <row r="142" spans="2:9" hidden="1" x14ac:dyDescent="0.25">
      <c r="B142" s="106"/>
      <c r="C142" s="148" t="s">
        <v>2501</v>
      </c>
      <c r="D142" s="150">
        <v>43833</v>
      </c>
      <c r="E142" s="113" t="s">
        <v>2500</v>
      </c>
      <c r="F142" s="256">
        <v>2</v>
      </c>
      <c r="G142" s="255">
        <v>6.48</v>
      </c>
      <c r="I142" s="160">
        <f t="shared" si="1"/>
        <v>32021.499999999978</v>
      </c>
    </row>
    <row r="143" spans="2:9" ht="19.5" hidden="1" x14ac:dyDescent="0.25">
      <c r="B143" s="106"/>
      <c r="C143" s="148" t="s">
        <v>2499</v>
      </c>
      <c r="D143" s="150">
        <v>43833</v>
      </c>
      <c r="E143" s="113" t="s">
        <v>2498</v>
      </c>
      <c r="F143" s="256">
        <v>2</v>
      </c>
      <c r="G143" s="255">
        <v>12.3</v>
      </c>
      <c r="I143" s="160">
        <f t="shared" si="1"/>
        <v>32033.799999999977</v>
      </c>
    </row>
    <row r="144" spans="2:9" hidden="1" x14ac:dyDescent="0.25">
      <c r="B144" s="106"/>
      <c r="C144" s="148" t="s">
        <v>2497</v>
      </c>
      <c r="D144" s="150">
        <v>43833</v>
      </c>
      <c r="E144" s="113" t="s">
        <v>2496</v>
      </c>
      <c r="F144" s="256">
        <v>2</v>
      </c>
      <c r="G144" s="255">
        <v>20.41</v>
      </c>
      <c r="I144" s="160">
        <f t="shared" si="1"/>
        <v>32054.209999999977</v>
      </c>
    </row>
    <row r="145" spans="2:9" ht="19.5" hidden="1" x14ac:dyDescent="0.25">
      <c r="B145" s="106"/>
      <c r="C145" s="148" t="s">
        <v>2495</v>
      </c>
      <c r="D145" s="150">
        <v>43833</v>
      </c>
      <c r="E145" s="113" t="s">
        <v>2494</v>
      </c>
      <c r="F145" s="256">
        <v>2</v>
      </c>
      <c r="G145" s="255">
        <v>11.45</v>
      </c>
      <c r="I145" s="160">
        <f t="shared" si="1"/>
        <v>32065.659999999978</v>
      </c>
    </row>
    <row r="146" spans="2:9" ht="19.5" hidden="1" x14ac:dyDescent="0.25">
      <c r="B146" s="106"/>
      <c r="C146" s="148" t="s">
        <v>2493</v>
      </c>
      <c r="D146" s="150">
        <v>43833</v>
      </c>
      <c r="E146" s="113" t="s">
        <v>2492</v>
      </c>
      <c r="F146" s="256">
        <v>2</v>
      </c>
      <c r="G146" s="255">
        <v>5.04</v>
      </c>
      <c r="I146" s="160">
        <f t="shared" si="1"/>
        <v>32070.699999999979</v>
      </c>
    </row>
    <row r="147" spans="2:9" ht="19.5" hidden="1" x14ac:dyDescent="0.25">
      <c r="B147" s="106"/>
      <c r="C147" s="148" t="s">
        <v>2491</v>
      </c>
      <c r="D147" s="150">
        <v>43833</v>
      </c>
      <c r="E147" s="113" t="s">
        <v>2490</v>
      </c>
      <c r="F147" s="256">
        <v>2</v>
      </c>
      <c r="G147" s="255">
        <v>8.3800000000000008</v>
      </c>
      <c r="I147" s="160">
        <f t="shared" si="1"/>
        <v>32079.07999999998</v>
      </c>
    </row>
    <row r="148" spans="2:9" ht="19.5" hidden="1" x14ac:dyDescent="0.25">
      <c r="B148" s="106"/>
      <c r="C148" s="148" t="s">
        <v>2489</v>
      </c>
      <c r="D148" s="150">
        <v>43833</v>
      </c>
      <c r="E148" s="113" t="s">
        <v>2488</v>
      </c>
      <c r="F148" s="256">
        <v>2</v>
      </c>
      <c r="G148" s="255">
        <v>5.47</v>
      </c>
      <c r="I148" s="160">
        <f t="shared" ref="I148:I211" si="2">+I147+G148-H148</f>
        <v>32084.549999999981</v>
      </c>
    </row>
    <row r="149" spans="2:9" ht="19.5" hidden="1" x14ac:dyDescent="0.25">
      <c r="B149" s="106"/>
      <c r="C149" s="148" t="s">
        <v>2487</v>
      </c>
      <c r="D149" s="150">
        <v>43833</v>
      </c>
      <c r="E149" s="113" t="s">
        <v>2486</v>
      </c>
      <c r="F149" s="256">
        <v>2</v>
      </c>
      <c r="G149" s="255">
        <v>9.7899999999999991</v>
      </c>
      <c r="I149" s="160">
        <f t="shared" si="2"/>
        <v>32094.339999999982</v>
      </c>
    </row>
    <row r="150" spans="2:9" ht="19.5" hidden="1" x14ac:dyDescent="0.25">
      <c r="B150" s="106"/>
      <c r="C150" s="148" t="s">
        <v>2485</v>
      </c>
      <c r="D150" s="150">
        <v>43833</v>
      </c>
      <c r="E150" s="113" t="s">
        <v>2484</v>
      </c>
      <c r="F150" s="256">
        <v>2</v>
      </c>
      <c r="G150" s="255">
        <v>5.55</v>
      </c>
      <c r="I150" s="160">
        <f t="shared" si="2"/>
        <v>32099.889999999981</v>
      </c>
    </row>
    <row r="151" spans="2:9" ht="19.5" hidden="1" x14ac:dyDescent="0.25">
      <c r="B151" s="106"/>
      <c r="C151" s="148" t="s">
        <v>2483</v>
      </c>
      <c r="D151" s="150">
        <v>43834</v>
      </c>
      <c r="E151" s="113" t="s">
        <v>654</v>
      </c>
      <c r="F151" s="256" t="s">
        <v>14409</v>
      </c>
      <c r="G151" s="258">
        <v>4.03</v>
      </c>
      <c r="I151" s="160">
        <f t="shared" si="2"/>
        <v>32103.91999999998</v>
      </c>
    </row>
    <row r="152" spans="2:9" ht="19.5" hidden="1" x14ac:dyDescent="0.25">
      <c r="B152" s="106"/>
      <c r="C152" s="148" t="s">
        <v>2482</v>
      </c>
      <c r="D152" s="150">
        <v>43834</v>
      </c>
      <c r="E152" s="113" t="s">
        <v>2481</v>
      </c>
      <c r="F152" s="256" t="s">
        <v>14409</v>
      </c>
      <c r="G152" s="258">
        <v>12.68</v>
      </c>
      <c r="I152" s="160">
        <f t="shared" si="2"/>
        <v>32116.59999999998</v>
      </c>
    </row>
    <row r="153" spans="2:9" ht="19.5" hidden="1" x14ac:dyDescent="0.25">
      <c r="B153" s="106"/>
      <c r="C153" s="148" t="s">
        <v>2480</v>
      </c>
      <c r="D153" s="150">
        <v>43834</v>
      </c>
      <c r="E153" s="113" t="s">
        <v>2479</v>
      </c>
      <c r="F153" s="256" t="s">
        <v>14409</v>
      </c>
      <c r="G153" s="258">
        <v>4.8899999999999997</v>
      </c>
      <c r="I153" s="160">
        <f t="shared" si="2"/>
        <v>32121.48999999998</v>
      </c>
    </row>
    <row r="154" spans="2:9" ht="19.5" hidden="1" x14ac:dyDescent="0.25">
      <c r="B154" s="106"/>
      <c r="C154" s="148" t="s">
        <v>2478</v>
      </c>
      <c r="D154" s="150">
        <v>43834</v>
      </c>
      <c r="E154" s="113" t="s">
        <v>2477</v>
      </c>
      <c r="F154" s="256" t="s">
        <v>14409</v>
      </c>
      <c r="G154" s="258">
        <v>9.83</v>
      </c>
      <c r="I154" s="160">
        <f t="shared" si="2"/>
        <v>32131.319999999982</v>
      </c>
    </row>
    <row r="155" spans="2:9" hidden="1" x14ac:dyDescent="0.25">
      <c r="B155" s="106"/>
      <c r="C155" s="148" t="s">
        <v>2476</v>
      </c>
      <c r="D155" s="150">
        <v>43834</v>
      </c>
      <c r="E155" s="113" t="s">
        <v>2475</v>
      </c>
      <c r="F155" s="256" t="s">
        <v>14409</v>
      </c>
      <c r="G155" s="258">
        <v>0.71</v>
      </c>
      <c r="I155" s="160">
        <f t="shared" si="2"/>
        <v>32132.029999999981</v>
      </c>
    </row>
    <row r="156" spans="2:9" hidden="1" x14ac:dyDescent="0.25">
      <c r="B156" s="106"/>
      <c r="C156" s="148" t="s">
        <v>2474</v>
      </c>
      <c r="D156" s="150">
        <v>43834</v>
      </c>
      <c r="E156" s="113" t="s">
        <v>2473</v>
      </c>
      <c r="F156" s="256" t="s">
        <v>14409</v>
      </c>
      <c r="G156" s="258">
        <v>2.37</v>
      </c>
      <c r="I156" s="160">
        <f t="shared" si="2"/>
        <v>32134.39999999998</v>
      </c>
    </row>
    <row r="157" spans="2:9" ht="19.5" hidden="1" x14ac:dyDescent="0.25">
      <c r="B157" s="106"/>
      <c r="C157" s="148" t="s">
        <v>2472</v>
      </c>
      <c r="D157" s="150">
        <v>43834</v>
      </c>
      <c r="E157" s="113" t="s">
        <v>2471</v>
      </c>
      <c r="F157" s="256" t="s">
        <v>14409</v>
      </c>
      <c r="G157" s="258">
        <v>5.23</v>
      </c>
      <c r="I157" s="160">
        <f t="shared" si="2"/>
        <v>32139.629999999979</v>
      </c>
    </row>
    <row r="158" spans="2:9" ht="19.5" hidden="1" x14ac:dyDescent="0.25">
      <c r="B158" s="106"/>
      <c r="C158" s="148" t="s">
        <v>2470</v>
      </c>
      <c r="D158" s="150">
        <v>43834</v>
      </c>
      <c r="E158" s="113" t="s">
        <v>2469</v>
      </c>
      <c r="F158" s="256" t="s">
        <v>14409</v>
      </c>
      <c r="G158" s="258">
        <v>3.88</v>
      </c>
      <c r="I158" s="160">
        <f t="shared" si="2"/>
        <v>32143.50999999998</v>
      </c>
    </row>
    <row r="159" spans="2:9" hidden="1" x14ac:dyDescent="0.25">
      <c r="B159" s="106"/>
      <c r="C159" s="148" t="s">
        <v>2468</v>
      </c>
      <c r="D159" s="150">
        <v>43834</v>
      </c>
      <c r="E159" s="113" t="s">
        <v>2467</v>
      </c>
      <c r="F159" s="256" t="s">
        <v>14409</v>
      </c>
      <c r="G159" s="258">
        <v>4.05</v>
      </c>
      <c r="I159" s="160">
        <f t="shared" si="2"/>
        <v>32147.559999999979</v>
      </c>
    </row>
    <row r="160" spans="2:9" ht="19.5" hidden="1" x14ac:dyDescent="0.25">
      <c r="B160" s="106"/>
      <c r="C160" s="148" t="s">
        <v>2466</v>
      </c>
      <c r="D160" s="150">
        <v>43834</v>
      </c>
      <c r="E160" s="113" t="s">
        <v>2465</v>
      </c>
      <c r="F160" s="256" t="s">
        <v>14409</v>
      </c>
      <c r="G160" s="258">
        <v>5.1100000000000003</v>
      </c>
      <c r="I160" s="160">
        <f t="shared" si="2"/>
        <v>32152.66999999998</v>
      </c>
    </row>
    <row r="161" spans="2:9" ht="19.5" hidden="1" x14ac:dyDescent="0.25">
      <c r="B161" s="106"/>
      <c r="C161" s="148" t="s">
        <v>2464</v>
      </c>
      <c r="D161" s="150">
        <v>43834</v>
      </c>
      <c r="E161" s="113" t="s">
        <v>2463</v>
      </c>
      <c r="F161" s="256" t="s">
        <v>14409</v>
      </c>
      <c r="G161" s="258">
        <v>6.27</v>
      </c>
      <c r="I161" s="160">
        <f t="shared" si="2"/>
        <v>32158.939999999981</v>
      </c>
    </row>
    <row r="162" spans="2:9" ht="19.5" hidden="1" x14ac:dyDescent="0.25">
      <c r="B162" s="106"/>
      <c r="C162" s="148" t="s">
        <v>2462</v>
      </c>
      <c r="D162" s="150">
        <v>43834</v>
      </c>
      <c r="E162" s="113" t="s">
        <v>2461</v>
      </c>
      <c r="F162" s="256" t="s">
        <v>14409</v>
      </c>
      <c r="G162" s="258">
        <v>5.72</v>
      </c>
      <c r="I162" s="160">
        <f t="shared" si="2"/>
        <v>32164.659999999982</v>
      </c>
    </row>
    <row r="163" spans="2:9" ht="19.5" hidden="1" x14ac:dyDescent="0.25">
      <c r="B163" s="106"/>
      <c r="C163" s="148" t="s">
        <v>2460</v>
      </c>
      <c r="D163" s="150">
        <v>43834</v>
      </c>
      <c r="E163" s="113" t="s">
        <v>2459</v>
      </c>
      <c r="F163" s="256" t="s">
        <v>14409</v>
      </c>
      <c r="G163" s="258">
        <v>3.36</v>
      </c>
      <c r="I163" s="160">
        <f t="shared" si="2"/>
        <v>32168.019999999982</v>
      </c>
    </row>
    <row r="164" spans="2:9" hidden="1" x14ac:dyDescent="0.25">
      <c r="B164" s="106"/>
      <c r="C164" s="148" t="s">
        <v>2458</v>
      </c>
      <c r="D164" s="150">
        <v>43834</v>
      </c>
      <c r="E164" s="113" t="s">
        <v>2457</v>
      </c>
      <c r="F164" s="256" t="s">
        <v>14409</v>
      </c>
      <c r="G164" s="258">
        <v>2.08</v>
      </c>
      <c r="I164" s="160">
        <f t="shared" si="2"/>
        <v>32170.099999999984</v>
      </c>
    </row>
    <row r="165" spans="2:9" hidden="1" x14ac:dyDescent="0.25">
      <c r="B165" s="106"/>
      <c r="C165" s="148" t="s">
        <v>2456</v>
      </c>
      <c r="D165" s="150">
        <v>43834</v>
      </c>
      <c r="E165" s="113" t="s">
        <v>2455</v>
      </c>
      <c r="F165" s="256" t="s">
        <v>14409</v>
      </c>
      <c r="G165" s="258">
        <v>2.06</v>
      </c>
      <c r="I165" s="160">
        <f t="shared" si="2"/>
        <v>32172.159999999985</v>
      </c>
    </row>
    <row r="166" spans="2:9" ht="19.5" hidden="1" x14ac:dyDescent="0.25">
      <c r="B166" s="106"/>
      <c r="C166" s="148" t="s">
        <v>2454</v>
      </c>
      <c r="D166" s="150">
        <v>43835</v>
      </c>
      <c r="E166" s="113" t="s">
        <v>2453</v>
      </c>
      <c r="F166" s="256" t="s">
        <v>14409</v>
      </c>
      <c r="G166" s="258">
        <v>3.25</v>
      </c>
      <c r="I166" s="160">
        <f t="shared" si="2"/>
        <v>32175.409999999985</v>
      </c>
    </row>
    <row r="167" spans="2:9" ht="19.5" hidden="1" x14ac:dyDescent="0.25">
      <c r="B167" s="106"/>
      <c r="C167" s="148" t="s">
        <v>2452</v>
      </c>
      <c r="D167" s="150">
        <v>43835</v>
      </c>
      <c r="E167" s="113" t="s">
        <v>2451</v>
      </c>
      <c r="F167" s="256" t="s">
        <v>14409</v>
      </c>
      <c r="G167" s="258">
        <v>20.82</v>
      </c>
      <c r="I167" s="160">
        <f t="shared" si="2"/>
        <v>32196.229999999985</v>
      </c>
    </row>
    <row r="168" spans="2:9" hidden="1" x14ac:dyDescent="0.25">
      <c r="B168" s="106"/>
      <c r="C168" s="148" t="s">
        <v>2450</v>
      </c>
      <c r="D168" s="150">
        <v>43835</v>
      </c>
      <c r="E168" s="113" t="s">
        <v>2449</v>
      </c>
      <c r="F168" s="256" t="s">
        <v>14409</v>
      </c>
      <c r="G168" s="258">
        <v>3.55</v>
      </c>
      <c r="I168" s="160">
        <f t="shared" si="2"/>
        <v>32199.779999999984</v>
      </c>
    </row>
    <row r="169" spans="2:9" ht="19.5" hidden="1" x14ac:dyDescent="0.25">
      <c r="B169" s="106"/>
      <c r="C169" s="148" t="s">
        <v>2448</v>
      </c>
      <c r="D169" s="150">
        <v>43835</v>
      </c>
      <c r="E169" s="113" t="s">
        <v>2447</v>
      </c>
      <c r="F169" s="256" t="s">
        <v>14409</v>
      </c>
      <c r="G169" s="258">
        <v>9.56</v>
      </c>
      <c r="I169" s="160">
        <f t="shared" si="2"/>
        <v>32209.339999999986</v>
      </c>
    </row>
    <row r="170" spans="2:9" ht="19.5" hidden="1" x14ac:dyDescent="0.25">
      <c r="B170" s="106"/>
      <c r="C170" s="148" t="s">
        <v>2446</v>
      </c>
      <c r="D170" s="150">
        <v>43835</v>
      </c>
      <c r="E170" s="113" t="s">
        <v>2445</v>
      </c>
      <c r="F170" s="256" t="s">
        <v>14409</v>
      </c>
      <c r="G170" s="258">
        <v>5.28</v>
      </c>
      <c r="I170" s="160">
        <f t="shared" si="2"/>
        <v>32214.619999999984</v>
      </c>
    </row>
    <row r="171" spans="2:9" hidden="1" x14ac:dyDescent="0.25">
      <c r="B171" s="106"/>
      <c r="C171" s="148" t="s">
        <v>2444</v>
      </c>
      <c r="D171" s="150">
        <v>43835</v>
      </c>
      <c r="E171" s="113" t="s">
        <v>2443</v>
      </c>
      <c r="F171" s="256" t="s">
        <v>14409</v>
      </c>
      <c r="G171" s="258">
        <v>2.08</v>
      </c>
      <c r="I171" s="160">
        <f t="shared" si="2"/>
        <v>32216.699999999986</v>
      </c>
    </row>
    <row r="172" spans="2:9" ht="19.5" hidden="1" x14ac:dyDescent="0.25">
      <c r="B172" s="106"/>
      <c r="C172" s="148" t="s">
        <v>2442</v>
      </c>
      <c r="D172" s="150">
        <v>43835</v>
      </c>
      <c r="E172" s="113" t="s">
        <v>2441</v>
      </c>
      <c r="F172" s="256" t="s">
        <v>14409</v>
      </c>
      <c r="G172" s="258">
        <v>3.83</v>
      </c>
      <c r="I172" s="160">
        <f t="shared" si="2"/>
        <v>32220.529999999988</v>
      </c>
    </row>
    <row r="173" spans="2:9" ht="19.5" hidden="1" x14ac:dyDescent="0.25">
      <c r="B173" s="106"/>
      <c r="C173" s="148" t="s">
        <v>2440</v>
      </c>
      <c r="D173" s="150">
        <v>43835</v>
      </c>
      <c r="E173" s="113" t="s">
        <v>2439</v>
      </c>
      <c r="F173" s="256" t="s">
        <v>14409</v>
      </c>
      <c r="G173" s="258">
        <v>6.29</v>
      </c>
      <c r="I173" s="160">
        <f t="shared" si="2"/>
        <v>32226.819999999989</v>
      </c>
    </row>
    <row r="174" spans="2:9" ht="19.5" hidden="1" x14ac:dyDescent="0.25">
      <c r="B174" s="106"/>
      <c r="C174" s="148" t="s">
        <v>2438</v>
      </c>
      <c r="D174" s="150">
        <v>43835</v>
      </c>
      <c r="E174" s="113" t="s">
        <v>2437</v>
      </c>
      <c r="F174" s="256" t="s">
        <v>14409</v>
      </c>
      <c r="G174" s="258">
        <v>5.39</v>
      </c>
      <c r="I174" s="160">
        <f t="shared" si="2"/>
        <v>32232.209999999988</v>
      </c>
    </row>
    <row r="175" spans="2:9" ht="19.5" hidden="1" x14ac:dyDescent="0.25">
      <c r="B175" s="106"/>
      <c r="C175" s="148" t="s">
        <v>2436</v>
      </c>
      <c r="D175" s="150">
        <v>43835</v>
      </c>
      <c r="E175" s="113" t="s">
        <v>2435</v>
      </c>
      <c r="F175" s="256" t="s">
        <v>14409</v>
      </c>
      <c r="G175" s="258">
        <v>10.54</v>
      </c>
      <c r="I175" s="160">
        <f t="shared" si="2"/>
        <v>32242.749999999989</v>
      </c>
    </row>
    <row r="176" spans="2:9" hidden="1" x14ac:dyDescent="0.25">
      <c r="B176" s="106"/>
      <c r="C176" s="148" t="s">
        <v>2434</v>
      </c>
      <c r="D176" s="150">
        <v>43835</v>
      </c>
      <c r="E176" s="113" t="s">
        <v>2433</v>
      </c>
      <c r="F176" s="256" t="s">
        <v>14409</v>
      </c>
      <c r="G176" s="258">
        <v>7.88</v>
      </c>
      <c r="I176" s="160">
        <f t="shared" si="2"/>
        <v>32250.62999999999</v>
      </c>
    </row>
    <row r="177" spans="2:9" hidden="1" x14ac:dyDescent="0.25">
      <c r="B177" s="106"/>
      <c r="C177" s="148" t="s">
        <v>2432</v>
      </c>
      <c r="D177" s="150">
        <v>43835</v>
      </c>
      <c r="E177" s="113" t="s">
        <v>2431</v>
      </c>
      <c r="F177" s="256" t="s">
        <v>14409</v>
      </c>
      <c r="G177" s="258">
        <v>3.99</v>
      </c>
      <c r="I177" s="160">
        <f t="shared" si="2"/>
        <v>32254.619999999992</v>
      </c>
    </row>
    <row r="178" spans="2:9" hidden="1" x14ac:dyDescent="0.25">
      <c r="B178" s="106"/>
      <c r="C178" s="148" t="s">
        <v>2430</v>
      </c>
      <c r="D178" s="150">
        <v>43835</v>
      </c>
      <c r="E178" s="113" t="s">
        <v>2429</v>
      </c>
      <c r="F178" s="256" t="s">
        <v>14409</v>
      </c>
      <c r="G178" s="258">
        <v>2.84</v>
      </c>
      <c r="I178" s="160">
        <f t="shared" si="2"/>
        <v>32257.459999999992</v>
      </c>
    </row>
    <row r="179" spans="2:9" hidden="1" x14ac:dyDescent="0.25">
      <c r="B179" s="106"/>
      <c r="C179" s="148" t="s">
        <v>2428</v>
      </c>
      <c r="D179" s="150">
        <v>43835</v>
      </c>
      <c r="E179" s="113" t="s">
        <v>2427</v>
      </c>
      <c r="F179" s="256" t="s">
        <v>14409</v>
      </c>
      <c r="G179" s="258">
        <v>8.4</v>
      </c>
      <c r="I179" s="160">
        <f t="shared" si="2"/>
        <v>32265.859999999993</v>
      </c>
    </row>
    <row r="180" spans="2:9" ht="19.5" hidden="1" x14ac:dyDescent="0.25">
      <c r="B180" s="148"/>
      <c r="C180" s="148" t="s">
        <v>2426</v>
      </c>
      <c r="D180" s="150">
        <v>43836</v>
      </c>
      <c r="E180" s="113" t="s">
        <v>2425</v>
      </c>
      <c r="F180" s="257" t="s">
        <v>14441</v>
      </c>
      <c r="G180" s="160">
        <v>2.2799999999999998</v>
      </c>
      <c r="I180" s="160">
        <f t="shared" si="2"/>
        <v>32268.139999999992</v>
      </c>
    </row>
    <row r="181" spans="2:9" ht="19.5" hidden="1" x14ac:dyDescent="0.25">
      <c r="B181" s="148"/>
      <c r="C181" s="148" t="s">
        <v>2424</v>
      </c>
      <c r="D181" s="150">
        <v>43836</v>
      </c>
      <c r="E181" s="113" t="s">
        <v>2423</v>
      </c>
      <c r="F181" s="257" t="s">
        <v>14436</v>
      </c>
      <c r="G181" s="160">
        <v>38.299999999999997</v>
      </c>
      <c r="I181" s="160">
        <f t="shared" si="2"/>
        <v>32306.439999999991</v>
      </c>
    </row>
    <row r="182" spans="2:9" hidden="1" x14ac:dyDescent="0.25">
      <c r="B182" s="148"/>
      <c r="C182" s="148" t="s">
        <v>2422</v>
      </c>
      <c r="D182" s="150">
        <v>43836</v>
      </c>
      <c r="E182" s="113" t="s">
        <v>2421</v>
      </c>
      <c r="F182" s="257" t="s">
        <v>14441</v>
      </c>
      <c r="G182" s="160">
        <v>166.98</v>
      </c>
      <c r="I182" s="160">
        <f t="shared" si="2"/>
        <v>32473.419999999991</v>
      </c>
    </row>
    <row r="183" spans="2:9" ht="19.5" hidden="1" x14ac:dyDescent="0.25">
      <c r="B183" s="148"/>
      <c r="C183" s="148" t="s">
        <v>2420</v>
      </c>
      <c r="D183" s="150">
        <v>43836</v>
      </c>
      <c r="E183" s="113" t="s">
        <v>2419</v>
      </c>
      <c r="F183" s="257" t="s">
        <v>14436</v>
      </c>
      <c r="G183" s="160">
        <v>22.32</v>
      </c>
      <c r="I183" s="160">
        <f t="shared" si="2"/>
        <v>32495.739999999991</v>
      </c>
    </row>
    <row r="184" spans="2:9" hidden="1" x14ac:dyDescent="0.25">
      <c r="B184" s="148"/>
      <c r="C184" s="148" t="s">
        <v>2418</v>
      </c>
      <c r="D184" s="150">
        <v>43836</v>
      </c>
      <c r="E184" s="113" t="s">
        <v>2417</v>
      </c>
      <c r="F184" s="257" t="s">
        <v>14441</v>
      </c>
      <c r="G184" s="160">
        <v>64.069999999999993</v>
      </c>
      <c r="I184" s="160">
        <f t="shared" si="2"/>
        <v>32559.80999999999</v>
      </c>
    </row>
    <row r="185" spans="2:9" hidden="1" x14ac:dyDescent="0.25">
      <c r="B185" s="148"/>
      <c r="C185" s="148" t="s">
        <v>2416</v>
      </c>
      <c r="D185" s="150">
        <v>43836</v>
      </c>
      <c r="E185" s="113" t="s">
        <v>2415</v>
      </c>
      <c r="F185" s="257" t="s">
        <v>14441</v>
      </c>
      <c r="G185" s="160">
        <v>6.18</v>
      </c>
      <c r="I185" s="160">
        <f t="shared" si="2"/>
        <v>32565.989999999991</v>
      </c>
    </row>
    <row r="186" spans="2:9" ht="19.5" hidden="1" x14ac:dyDescent="0.25">
      <c r="B186" s="148"/>
      <c r="C186" s="148" t="s">
        <v>2414</v>
      </c>
      <c r="D186" s="150">
        <v>43836</v>
      </c>
      <c r="E186" s="113" t="s">
        <v>2413</v>
      </c>
      <c r="F186" s="257" t="s">
        <v>14441</v>
      </c>
      <c r="G186" s="160">
        <v>6.76</v>
      </c>
      <c r="I186" s="160">
        <f t="shared" si="2"/>
        <v>32572.749999999989</v>
      </c>
    </row>
    <row r="187" spans="2:9" ht="19.5" hidden="1" x14ac:dyDescent="0.25">
      <c r="B187" s="148"/>
      <c r="C187" s="148" t="s">
        <v>2412</v>
      </c>
      <c r="D187" s="150">
        <v>43836</v>
      </c>
      <c r="E187" s="113" t="s">
        <v>2411</v>
      </c>
      <c r="F187" s="257" t="s">
        <v>14436</v>
      </c>
      <c r="G187" s="160">
        <v>55.67</v>
      </c>
      <c r="I187" s="160">
        <f t="shared" si="2"/>
        <v>32628.419999999987</v>
      </c>
    </row>
    <row r="188" spans="2:9" ht="19.5" hidden="1" x14ac:dyDescent="0.25">
      <c r="B188" s="148"/>
      <c r="C188" s="148" t="s">
        <v>2410</v>
      </c>
      <c r="D188" s="150">
        <v>43836</v>
      </c>
      <c r="E188" s="113" t="s">
        <v>2409</v>
      </c>
      <c r="F188" s="257" t="s">
        <v>14441</v>
      </c>
      <c r="G188" s="160">
        <v>5.34</v>
      </c>
      <c r="I188" s="160">
        <f t="shared" si="2"/>
        <v>32633.759999999987</v>
      </c>
    </row>
    <row r="189" spans="2:9" ht="19.5" hidden="1" x14ac:dyDescent="0.25">
      <c r="B189" s="148"/>
      <c r="C189" s="148" t="s">
        <v>2408</v>
      </c>
      <c r="D189" s="150">
        <v>43836</v>
      </c>
      <c r="E189" s="113" t="s">
        <v>2407</v>
      </c>
      <c r="F189" s="257" t="s">
        <v>14437</v>
      </c>
      <c r="G189" s="160">
        <v>3.4</v>
      </c>
      <c r="I189" s="160">
        <f t="shared" si="2"/>
        <v>32637.159999999989</v>
      </c>
    </row>
    <row r="190" spans="2:9" ht="19.5" hidden="1" x14ac:dyDescent="0.25">
      <c r="B190" s="148"/>
      <c r="C190" s="148" t="s">
        <v>2406</v>
      </c>
      <c r="D190" s="150">
        <v>43836</v>
      </c>
      <c r="E190" s="113" t="s">
        <v>2405</v>
      </c>
      <c r="F190" s="257" t="s">
        <v>14436</v>
      </c>
      <c r="G190" s="160">
        <v>34.4</v>
      </c>
      <c r="I190" s="160">
        <f t="shared" si="2"/>
        <v>32671.55999999999</v>
      </c>
    </row>
    <row r="191" spans="2:9" ht="19.5" hidden="1" x14ac:dyDescent="0.25">
      <c r="B191" s="106"/>
      <c r="C191" s="148" t="s">
        <v>2404</v>
      </c>
      <c r="D191" s="150">
        <v>43836</v>
      </c>
      <c r="E191" s="113" t="s">
        <v>2403</v>
      </c>
      <c r="F191" s="256" t="s">
        <v>14409</v>
      </c>
      <c r="G191" s="258">
        <v>6.31</v>
      </c>
      <c r="I191" s="160">
        <f t="shared" si="2"/>
        <v>32677.869999999992</v>
      </c>
    </row>
    <row r="192" spans="2:9" ht="19.5" hidden="1" x14ac:dyDescent="0.25">
      <c r="B192" s="106"/>
      <c r="C192" s="148" t="s">
        <v>2402</v>
      </c>
      <c r="D192" s="150">
        <v>43836</v>
      </c>
      <c r="E192" s="113" t="s">
        <v>2401</v>
      </c>
      <c r="F192" s="256" t="s">
        <v>14409</v>
      </c>
      <c r="G192" s="258">
        <v>5.34</v>
      </c>
      <c r="I192" s="160">
        <f t="shared" si="2"/>
        <v>32683.209999999992</v>
      </c>
    </row>
    <row r="193" spans="2:9" ht="19.5" hidden="1" x14ac:dyDescent="0.25">
      <c r="B193" s="106"/>
      <c r="C193" s="148" t="s">
        <v>2400</v>
      </c>
      <c r="D193" s="150">
        <v>43836</v>
      </c>
      <c r="E193" s="113" t="s">
        <v>2399</v>
      </c>
      <c r="F193" s="256" t="s">
        <v>14409</v>
      </c>
      <c r="G193" s="258">
        <v>17.100000000000001</v>
      </c>
      <c r="I193" s="160">
        <f t="shared" si="2"/>
        <v>32700.30999999999</v>
      </c>
    </row>
    <row r="194" spans="2:9" hidden="1" x14ac:dyDescent="0.25">
      <c r="B194" s="106"/>
      <c r="C194" s="148" t="s">
        <v>2398</v>
      </c>
      <c r="D194" s="150">
        <v>43836</v>
      </c>
      <c r="E194" s="113" t="s">
        <v>2397</v>
      </c>
      <c r="F194" s="256" t="s">
        <v>14409</v>
      </c>
      <c r="G194" s="258">
        <v>83.07</v>
      </c>
      <c r="I194" s="160">
        <f t="shared" si="2"/>
        <v>32783.37999999999</v>
      </c>
    </row>
    <row r="195" spans="2:9" hidden="1" x14ac:dyDescent="0.25">
      <c r="B195" s="106"/>
      <c r="C195" s="148" t="s">
        <v>2396</v>
      </c>
      <c r="D195" s="150">
        <v>43836</v>
      </c>
      <c r="E195" s="113" t="s">
        <v>2395</v>
      </c>
      <c r="F195" s="256" t="s">
        <v>14409</v>
      </c>
      <c r="G195" s="258">
        <v>2.2400000000000002</v>
      </c>
      <c r="I195" s="160">
        <f t="shared" si="2"/>
        <v>32785.619999999988</v>
      </c>
    </row>
    <row r="196" spans="2:9" ht="19.5" hidden="1" x14ac:dyDescent="0.25">
      <c r="B196" s="106"/>
      <c r="C196" s="148" t="s">
        <v>2394</v>
      </c>
      <c r="D196" s="150">
        <v>43836</v>
      </c>
      <c r="E196" s="113" t="s">
        <v>2393</v>
      </c>
      <c r="F196" s="256" t="s">
        <v>14409</v>
      </c>
      <c r="G196" s="258">
        <v>82.53</v>
      </c>
      <c r="I196" s="160">
        <f t="shared" si="2"/>
        <v>32868.149999999987</v>
      </c>
    </row>
    <row r="197" spans="2:9" ht="19.5" hidden="1" x14ac:dyDescent="0.25">
      <c r="B197" s="106"/>
      <c r="C197" s="148" t="s">
        <v>2392</v>
      </c>
      <c r="D197" s="150">
        <v>43836</v>
      </c>
      <c r="E197" s="113" t="s">
        <v>2391</v>
      </c>
      <c r="F197" s="256" t="s">
        <v>14409</v>
      </c>
      <c r="G197" s="258">
        <v>11.03</v>
      </c>
      <c r="I197" s="160">
        <f t="shared" si="2"/>
        <v>32879.179999999986</v>
      </c>
    </row>
    <row r="198" spans="2:9" hidden="1" x14ac:dyDescent="0.25">
      <c r="B198" s="106"/>
      <c r="C198" s="148" t="s">
        <v>2390</v>
      </c>
      <c r="D198" s="150">
        <v>43836</v>
      </c>
      <c r="E198" s="113" t="s">
        <v>2389</v>
      </c>
      <c r="F198" s="256" t="s">
        <v>14409</v>
      </c>
      <c r="G198" s="258">
        <v>1.68</v>
      </c>
      <c r="I198" s="160">
        <f t="shared" si="2"/>
        <v>32880.859999999986</v>
      </c>
    </row>
    <row r="199" spans="2:9" hidden="1" x14ac:dyDescent="0.25">
      <c r="B199" s="106"/>
      <c r="C199" s="148" t="s">
        <v>2388</v>
      </c>
      <c r="D199" s="150">
        <v>43836</v>
      </c>
      <c r="E199" s="113" t="s">
        <v>2387</v>
      </c>
      <c r="F199" s="256" t="s">
        <v>14409</v>
      </c>
      <c r="G199" s="258">
        <v>0.96</v>
      </c>
      <c r="I199" s="160">
        <f t="shared" si="2"/>
        <v>32881.819999999985</v>
      </c>
    </row>
    <row r="200" spans="2:9" hidden="1" x14ac:dyDescent="0.25">
      <c r="B200" s="106"/>
      <c r="C200" s="148" t="s">
        <v>2386</v>
      </c>
      <c r="D200" s="150">
        <v>43836</v>
      </c>
      <c r="E200" s="113" t="s">
        <v>2385</v>
      </c>
      <c r="F200" s="256" t="s">
        <v>14409</v>
      </c>
      <c r="G200" s="258">
        <v>8.39</v>
      </c>
      <c r="I200" s="160">
        <f t="shared" si="2"/>
        <v>32890.209999999985</v>
      </c>
    </row>
    <row r="201" spans="2:9" hidden="1" x14ac:dyDescent="0.25">
      <c r="B201" s="106"/>
      <c r="C201" s="148" t="s">
        <v>2384</v>
      </c>
      <c r="D201" s="150">
        <v>43836</v>
      </c>
      <c r="E201" s="113" t="s">
        <v>2383</v>
      </c>
      <c r="F201" s="256" t="s">
        <v>14409</v>
      </c>
      <c r="G201" s="258">
        <v>7.55</v>
      </c>
      <c r="I201" s="160">
        <f t="shared" si="2"/>
        <v>32897.759999999987</v>
      </c>
    </row>
    <row r="202" spans="2:9" ht="19.5" hidden="1" x14ac:dyDescent="0.25">
      <c r="B202" s="106"/>
      <c r="C202" s="148" t="s">
        <v>2382</v>
      </c>
      <c r="D202" s="150">
        <v>43836</v>
      </c>
      <c r="E202" s="113" t="s">
        <v>2381</v>
      </c>
      <c r="F202" s="256" t="s">
        <v>14409</v>
      </c>
      <c r="G202" s="258">
        <v>4.42</v>
      </c>
      <c r="I202" s="160">
        <f t="shared" si="2"/>
        <v>32902.179999999986</v>
      </c>
    </row>
    <row r="203" spans="2:9" ht="19.5" hidden="1" x14ac:dyDescent="0.25">
      <c r="B203" s="106"/>
      <c r="C203" s="148" t="s">
        <v>2380</v>
      </c>
      <c r="D203" s="150">
        <v>43836</v>
      </c>
      <c r="E203" s="113" t="s">
        <v>2379</v>
      </c>
      <c r="F203" s="256" t="s">
        <v>14409</v>
      </c>
      <c r="G203" s="258">
        <v>28.62</v>
      </c>
      <c r="I203" s="160">
        <f t="shared" si="2"/>
        <v>32930.799999999988</v>
      </c>
    </row>
    <row r="204" spans="2:9" ht="19.5" hidden="1" x14ac:dyDescent="0.25">
      <c r="B204" s="106"/>
      <c r="C204" s="148" t="s">
        <v>2378</v>
      </c>
      <c r="D204" s="150">
        <v>43836</v>
      </c>
      <c r="E204" s="113" t="s">
        <v>2377</v>
      </c>
      <c r="F204" s="256" t="s">
        <v>14409</v>
      </c>
      <c r="G204" s="258">
        <v>5.96</v>
      </c>
      <c r="I204" s="160">
        <f t="shared" si="2"/>
        <v>32936.759999999987</v>
      </c>
    </row>
    <row r="205" spans="2:9" hidden="1" x14ac:dyDescent="0.25">
      <c r="B205" s="106"/>
      <c r="C205" s="148" t="s">
        <v>2376</v>
      </c>
      <c r="D205" s="150">
        <v>43836</v>
      </c>
      <c r="E205" s="113" t="s">
        <v>2375</v>
      </c>
      <c r="F205" s="256" t="s">
        <v>14409</v>
      </c>
      <c r="G205" s="258">
        <v>31.47</v>
      </c>
      <c r="I205" s="160">
        <f t="shared" si="2"/>
        <v>32968.229999999989</v>
      </c>
    </row>
    <row r="206" spans="2:9" ht="19.5" hidden="1" x14ac:dyDescent="0.25">
      <c r="B206" s="106"/>
      <c r="C206" s="148" t="s">
        <v>2374</v>
      </c>
      <c r="D206" s="150">
        <v>43836</v>
      </c>
      <c r="E206" s="113" t="s">
        <v>2373</v>
      </c>
      <c r="F206" s="256" t="s">
        <v>14409</v>
      </c>
      <c r="G206" s="258">
        <v>3.37</v>
      </c>
      <c r="I206" s="160">
        <f t="shared" si="2"/>
        <v>32971.599999999991</v>
      </c>
    </row>
    <row r="207" spans="2:9" ht="19.5" hidden="1" x14ac:dyDescent="0.25">
      <c r="B207" s="106"/>
      <c r="C207" s="148" t="s">
        <v>2372</v>
      </c>
      <c r="D207" s="150">
        <v>43836</v>
      </c>
      <c r="E207" s="113" t="s">
        <v>2371</v>
      </c>
      <c r="F207" s="256" t="s">
        <v>14409</v>
      </c>
      <c r="G207" s="258">
        <v>2.63</v>
      </c>
      <c r="I207" s="160">
        <f t="shared" si="2"/>
        <v>32974.229999999989</v>
      </c>
    </row>
    <row r="208" spans="2:9" hidden="1" x14ac:dyDescent="0.25">
      <c r="B208" s="106"/>
      <c r="C208" s="148" t="s">
        <v>2370</v>
      </c>
      <c r="D208" s="150">
        <v>43836</v>
      </c>
      <c r="E208" s="113" t="s">
        <v>2369</v>
      </c>
      <c r="F208" s="256" t="s">
        <v>14409</v>
      </c>
      <c r="G208" s="258">
        <v>8.3800000000000008</v>
      </c>
      <c r="I208" s="160">
        <f t="shared" si="2"/>
        <v>32982.609999999986</v>
      </c>
    </row>
    <row r="209" spans="2:9" hidden="1" x14ac:dyDescent="0.25">
      <c r="B209" s="106"/>
      <c r="C209" s="148" t="s">
        <v>2368</v>
      </c>
      <c r="D209" s="150">
        <v>43836</v>
      </c>
      <c r="E209" s="113" t="s">
        <v>2367</v>
      </c>
      <c r="F209" s="256" t="s">
        <v>14409</v>
      </c>
      <c r="G209" s="258">
        <v>10.16</v>
      </c>
      <c r="I209" s="160">
        <f t="shared" si="2"/>
        <v>32992.76999999999</v>
      </c>
    </row>
    <row r="210" spans="2:9" ht="19.5" hidden="1" x14ac:dyDescent="0.25">
      <c r="B210" s="106"/>
      <c r="C210" s="148" t="s">
        <v>2366</v>
      </c>
      <c r="D210" s="150">
        <v>43836</v>
      </c>
      <c r="E210" s="113" t="s">
        <v>2365</v>
      </c>
      <c r="F210" s="256" t="s">
        <v>14409</v>
      </c>
      <c r="G210" s="258">
        <v>8.6300000000000008</v>
      </c>
      <c r="I210" s="160">
        <f t="shared" si="2"/>
        <v>33001.399999999987</v>
      </c>
    </row>
    <row r="211" spans="2:9" ht="19.5" hidden="1" x14ac:dyDescent="0.25">
      <c r="B211" s="106"/>
      <c r="C211" s="148" t="s">
        <v>2364</v>
      </c>
      <c r="D211" s="150">
        <v>43836</v>
      </c>
      <c r="E211" s="113" t="s">
        <v>2363</v>
      </c>
      <c r="F211" s="256" t="s">
        <v>14409</v>
      </c>
      <c r="G211" s="258">
        <v>12.63</v>
      </c>
      <c r="I211" s="160">
        <f t="shared" si="2"/>
        <v>33014.029999999984</v>
      </c>
    </row>
    <row r="212" spans="2:9" hidden="1" x14ac:dyDescent="0.25">
      <c r="B212" s="106"/>
      <c r="C212" s="148" t="s">
        <v>2362</v>
      </c>
      <c r="D212" s="150">
        <v>43836</v>
      </c>
      <c r="E212" s="113" t="s">
        <v>2361</v>
      </c>
      <c r="F212" s="256" t="s">
        <v>14409</v>
      </c>
      <c r="G212" s="258">
        <v>1.72</v>
      </c>
      <c r="I212" s="160">
        <f t="shared" ref="I212:I275" si="3">+I211+G212-H212</f>
        <v>33015.749999999985</v>
      </c>
    </row>
    <row r="213" spans="2:9" hidden="1" x14ac:dyDescent="0.25">
      <c r="B213" s="106"/>
      <c r="C213" s="148" t="s">
        <v>2360</v>
      </c>
      <c r="D213" s="150">
        <v>43836</v>
      </c>
      <c r="E213" s="113" t="s">
        <v>2359</v>
      </c>
      <c r="F213" s="256" t="s">
        <v>14409</v>
      </c>
      <c r="G213" s="258">
        <v>1.84</v>
      </c>
      <c r="I213" s="160">
        <f t="shared" si="3"/>
        <v>33017.589999999982</v>
      </c>
    </row>
    <row r="214" spans="2:9" ht="19.5" hidden="1" x14ac:dyDescent="0.25">
      <c r="B214" s="106"/>
      <c r="C214" s="148" t="s">
        <v>2358</v>
      </c>
      <c r="D214" s="150">
        <v>43836</v>
      </c>
      <c r="E214" s="113" t="s">
        <v>2357</v>
      </c>
      <c r="F214" s="256" t="s">
        <v>14409</v>
      </c>
      <c r="G214" s="258">
        <v>3.14</v>
      </c>
      <c r="I214" s="160">
        <f t="shared" si="3"/>
        <v>33020.729999999981</v>
      </c>
    </row>
    <row r="215" spans="2:9" hidden="1" x14ac:dyDescent="0.25">
      <c r="B215" s="106"/>
      <c r="C215" s="148" t="s">
        <v>2356</v>
      </c>
      <c r="D215" s="150">
        <v>43836</v>
      </c>
      <c r="E215" s="113" t="s">
        <v>2355</v>
      </c>
      <c r="F215" s="256" t="s">
        <v>14409</v>
      </c>
      <c r="G215" s="258">
        <v>5.59</v>
      </c>
      <c r="I215" s="160">
        <f t="shared" si="3"/>
        <v>33026.319999999978</v>
      </c>
    </row>
    <row r="216" spans="2:9" ht="19.5" hidden="1" x14ac:dyDescent="0.25">
      <c r="B216" s="106"/>
      <c r="C216" s="148" t="s">
        <v>2354</v>
      </c>
      <c r="D216" s="150">
        <v>43836</v>
      </c>
      <c r="E216" s="113" t="s">
        <v>2353</v>
      </c>
      <c r="F216" s="256" t="s">
        <v>14409</v>
      </c>
      <c r="G216" s="258">
        <v>3.53</v>
      </c>
      <c r="I216" s="160">
        <f t="shared" si="3"/>
        <v>33029.849999999977</v>
      </c>
    </row>
    <row r="217" spans="2:9" ht="19.5" hidden="1" x14ac:dyDescent="0.25">
      <c r="B217" s="106"/>
      <c r="C217" s="148" t="s">
        <v>2352</v>
      </c>
      <c r="D217" s="150">
        <v>43836</v>
      </c>
      <c r="E217" s="113" t="s">
        <v>2351</v>
      </c>
      <c r="F217" s="256" t="s">
        <v>14409</v>
      </c>
      <c r="G217" s="258">
        <v>4.0199999999999996</v>
      </c>
      <c r="I217" s="160">
        <f t="shared" si="3"/>
        <v>33033.869999999974</v>
      </c>
    </row>
    <row r="218" spans="2:9" ht="19.5" hidden="1" x14ac:dyDescent="0.25">
      <c r="B218" s="106"/>
      <c r="C218" s="148" t="s">
        <v>2350</v>
      </c>
      <c r="D218" s="150">
        <v>43836</v>
      </c>
      <c r="E218" s="113" t="s">
        <v>2349</v>
      </c>
      <c r="F218" s="256" t="s">
        <v>14409</v>
      </c>
      <c r="G218" s="258">
        <v>9.77</v>
      </c>
      <c r="I218" s="160">
        <f t="shared" si="3"/>
        <v>33043.63999999997</v>
      </c>
    </row>
    <row r="219" spans="2:9" ht="19.5" hidden="1" x14ac:dyDescent="0.25">
      <c r="B219" s="106"/>
      <c r="C219" s="148" t="s">
        <v>2348</v>
      </c>
      <c r="D219" s="150">
        <v>43836</v>
      </c>
      <c r="E219" s="113" t="s">
        <v>2347</v>
      </c>
      <c r="F219" s="256" t="s">
        <v>14409</v>
      </c>
      <c r="G219" s="258">
        <v>18.5</v>
      </c>
      <c r="I219" s="160">
        <f t="shared" si="3"/>
        <v>33062.13999999997</v>
      </c>
    </row>
    <row r="220" spans="2:9" ht="19.5" hidden="1" x14ac:dyDescent="0.25">
      <c r="B220" s="106"/>
      <c r="C220" s="148" t="s">
        <v>2346</v>
      </c>
      <c r="D220" s="150">
        <v>43836</v>
      </c>
      <c r="E220" s="113" t="s">
        <v>2345</v>
      </c>
      <c r="F220" s="256" t="s">
        <v>14409</v>
      </c>
      <c r="G220" s="258">
        <v>8.84</v>
      </c>
      <c r="I220" s="160">
        <f t="shared" si="3"/>
        <v>33070.979999999967</v>
      </c>
    </row>
    <row r="221" spans="2:9" hidden="1" x14ac:dyDescent="0.25">
      <c r="B221" s="106"/>
      <c r="C221" s="148" t="s">
        <v>2344</v>
      </c>
      <c r="D221" s="150">
        <v>43836</v>
      </c>
      <c r="E221" s="113" t="s">
        <v>2343</v>
      </c>
      <c r="F221" s="256" t="s">
        <v>14409</v>
      </c>
      <c r="G221" s="258">
        <v>18.02</v>
      </c>
      <c r="I221" s="160">
        <f t="shared" si="3"/>
        <v>33088.999999999964</v>
      </c>
    </row>
    <row r="222" spans="2:9" ht="19.5" hidden="1" x14ac:dyDescent="0.25">
      <c r="B222" s="106"/>
      <c r="C222" s="148" t="s">
        <v>2342</v>
      </c>
      <c r="D222" s="150">
        <v>43836</v>
      </c>
      <c r="E222" s="113" t="s">
        <v>2341</v>
      </c>
      <c r="F222" s="256" t="s">
        <v>14409</v>
      </c>
      <c r="G222" s="258">
        <v>0.35</v>
      </c>
      <c r="I222" s="160">
        <f t="shared" si="3"/>
        <v>33089.349999999962</v>
      </c>
    </row>
    <row r="223" spans="2:9" ht="19.5" hidden="1" x14ac:dyDescent="0.25">
      <c r="B223" s="106"/>
      <c r="C223" s="148" t="s">
        <v>2340</v>
      </c>
      <c r="D223" s="150">
        <v>43836</v>
      </c>
      <c r="E223" s="113" t="s">
        <v>2339</v>
      </c>
      <c r="F223" s="256" t="s">
        <v>14409</v>
      </c>
      <c r="G223" s="258">
        <v>4.95</v>
      </c>
      <c r="I223" s="160">
        <f t="shared" si="3"/>
        <v>33094.299999999959</v>
      </c>
    </row>
    <row r="224" spans="2:9" ht="19.5" hidden="1" x14ac:dyDescent="0.25">
      <c r="B224" s="106"/>
      <c r="C224" s="148" t="s">
        <v>2338</v>
      </c>
      <c r="D224" s="150">
        <v>43836</v>
      </c>
      <c r="E224" s="113" t="s">
        <v>2337</v>
      </c>
      <c r="F224" s="256" t="s">
        <v>14409</v>
      </c>
      <c r="G224" s="258">
        <v>4.46</v>
      </c>
      <c r="I224" s="160">
        <f t="shared" si="3"/>
        <v>33098.759999999958</v>
      </c>
    </row>
    <row r="225" spans="2:9" hidden="1" x14ac:dyDescent="0.25">
      <c r="B225" s="106"/>
      <c r="C225" s="148" t="s">
        <v>2336</v>
      </c>
      <c r="D225" s="150">
        <v>43836</v>
      </c>
      <c r="E225" s="113" t="s">
        <v>2335</v>
      </c>
      <c r="F225" s="256" t="s">
        <v>14409</v>
      </c>
      <c r="G225" s="258">
        <v>1.68</v>
      </c>
      <c r="I225" s="160">
        <f t="shared" si="3"/>
        <v>33100.439999999959</v>
      </c>
    </row>
    <row r="226" spans="2:9" hidden="1" x14ac:dyDescent="0.25">
      <c r="B226" s="106"/>
      <c r="C226" s="148" t="s">
        <v>2334</v>
      </c>
      <c r="D226" s="150">
        <v>43836</v>
      </c>
      <c r="E226" s="113" t="s">
        <v>2333</v>
      </c>
      <c r="F226" s="256">
        <v>3</v>
      </c>
      <c r="G226" s="255">
        <v>0.85</v>
      </c>
      <c r="I226" s="160">
        <f t="shared" si="3"/>
        <v>33101.289999999957</v>
      </c>
    </row>
    <row r="227" spans="2:9" hidden="1" x14ac:dyDescent="0.25">
      <c r="B227" s="106"/>
      <c r="C227" s="148" t="s">
        <v>2332</v>
      </c>
      <c r="D227" s="150">
        <v>43836</v>
      </c>
      <c r="E227" s="113" t="s">
        <v>2331</v>
      </c>
      <c r="F227" s="256">
        <v>3</v>
      </c>
      <c r="G227" s="255">
        <v>1.78</v>
      </c>
      <c r="I227" s="160">
        <f t="shared" si="3"/>
        <v>33103.069999999956</v>
      </c>
    </row>
    <row r="228" spans="2:9" hidden="1" x14ac:dyDescent="0.25">
      <c r="B228" s="106"/>
      <c r="C228" s="148" t="s">
        <v>2330</v>
      </c>
      <c r="D228" s="150">
        <v>43836</v>
      </c>
      <c r="E228" s="113" t="s">
        <v>2329</v>
      </c>
      <c r="F228" s="256">
        <v>3</v>
      </c>
      <c r="G228" s="255">
        <v>2.1800000000000002</v>
      </c>
      <c r="I228" s="160">
        <f t="shared" si="3"/>
        <v>33105.249999999956</v>
      </c>
    </row>
    <row r="229" spans="2:9" hidden="1" x14ac:dyDescent="0.25">
      <c r="B229" s="106"/>
      <c r="C229" s="148" t="s">
        <v>2328</v>
      </c>
      <c r="D229" s="150">
        <v>43836</v>
      </c>
      <c r="E229" s="113" t="s">
        <v>2327</v>
      </c>
      <c r="F229" s="256">
        <v>3</v>
      </c>
      <c r="G229" s="255">
        <v>16.27</v>
      </c>
      <c r="I229" s="160">
        <f t="shared" si="3"/>
        <v>33121.519999999953</v>
      </c>
    </row>
    <row r="230" spans="2:9" hidden="1" x14ac:dyDescent="0.25">
      <c r="B230" s="106"/>
      <c r="C230" s="148" t="s">
        <v>2326</v>
      </c>
      <c r="D230" s="150">
        <v>43836</v>
      </c>
      <c r="E230" s="113" t="s">
        <v>2325</v>
      </c>
      <c r="F230" s="256">
        <v>3</v>
      </c>
      <c r="G230" s="255">
        <v>4.4000000000000004</v>
      </c>
      <c r="I230" s="160">
        <f t="shared" si="3"/>
        <v>33125.919999999955</v>
      </c>
    </row>
    <row r="231" spans="2:9" hidden="1" x14ac:dyDescent="0.25">
      <c r="B231" s="106"/>
      <c r="C231" s="148" t="s">
        <v>2324</v>
      </c>
      <c r="D231" s="150">
        <v>43836</v>
      </c>
      <c r="E231" s="113" t="s">
        <v>2323</v>
      </c>
      <c r="F231" s="256">
        <v>3</v>
      </c>
      <c r="G231" s="255">
        <v>2.11</v>
      </c>
      <c r="I231" s="160">
        <f t="shared" si="3"/>
        <v>33128.029999999955</v>
      </c>
    </row>
    <row r="232" spans="2:9" ht="19.5" hidden="1" x14ac:dyDescent="0.25">
      <c r="B232" s="106"/>
      <c r="C232" s="148" t="s">
        <v>2322</v>
      </c>
      <c r="D232" s="150">
        <v>43836</v>
      </c>
      <c r="E232" s="113" t="s">
        <v>2321</v>
      </c>
      <c r="F232" s="256">
        <v>3</v>
      </c>
      <c r="G232" s="255">
        <v>6.01</v>
      </c>
      <c r="I232" s="160">
        <f t="shared" si="3"/>
        <v>33134.039999999957</v>
      </c>
    </row>
    <row r="233" spans="2:9" hidden="1" x14ac:dyDescent="0.25">
      <c r="B233" s="106"/>
      <c r="C233" s="148" t="s">
        <v>2320</v>
      </c>
      <c r="D233" s="150">
        <v>43836</v>
      </c>
      <c r="E233" s="113" t="s">
        <v>2319</v>
      </c>
      <c r="F233" s="256">
        <v>3</v>
      </c>
      <c r="G233" s="255">
        <v>10.11</v>
      </c>
      <c r="I233" s="160">
        <f t="shared" si="3"/>
        <v>33144.149999999958</v>
      </c>
    </row>
    <row r="234" spans="2:9" ht="19.5" hidden="1" x14ac:dyDescent="0.25">
      <c r="B234" s="106"/>
      <c r="C234" s="148" t="s">
        <v>2318</v>
      </c>
      <c r="D234" s="150">
        <v>43836</v>
      </c>
      <c r="E234" s="113" t="s">
        <v>2317</v>
      </c>
      <c r="F234" s="256">
        <v>3</v>
      </c>
      <c r="G234" s="255">
        <v>4.46</v>
      </c>
      <c r="I234" s="160">
        <f t="shared" si="3"/>
        <v>33148.609999999957</v>
      </c>
    </row>
    <row r="235" spans="2:9" ht="19.5" hidden="1" x14ac:dyDescent="0.25">
      <c r="B235" s="106"/>
      <c r="C235" s="148" t="s">
        <v>2316</v>
      </c>
      <c r="D235" s="150">
        <v>43836</v>
      </c>
      <c r="E235" s="113" t="s">
        <v>2315</v>
      </c>
      <c r="F235" s="256">
        <v>3</v>
      </c>
      <c r="G235" s="255">
        <v>6.3</v>
      </c>
      <c r="I235" s="160">
        <f t="shared" si="3"/>
        <v>33154.90999999996</v>
      </c>
    </row>
    <row r="236" spans="2:9" ht="19.5" hidden="1" x14ac:dyDescent="0.25">
      <c r="B236" s="106"/>
      <c r="C236" s="148" t="s">
        <v>2314</v>
      </c>
      <c r="D236" s="150">
        <v>43836</v>
      </c>
      <c r="E236" s="113" t="s">
        <v>2313</v>
      </c>
      <c r="F236" s="256">
        <v>3</v>
      </c>
      <c r="G236" s="255">
        <v>8.5</v>
      </c>
      <c r="I236" s="160">
        <f t="shared" si="3"/>
        <v>33163.40999999996</v>
      </c>
    </row>
    <row r="237" spans="2:9" ht="19.5" hidden="1" x14ac:dyDescent="0.25">
      <c r="B237" s="106"/>
      <c r="C237" s="148" t="s">
        <v>2312</v>
      </c>
      <c r="D237" s="150">
        <v>43836</v>
      </c>
      <c r="E237" s="113" t="s">
        <v>2311</v>
      </c>
      <c r="F237" s="256">
        <v>3</v>
      </c>
      <c r="G237" s="255">
        <v>5.58</v>
      </c>
      <c r="I237" s="160">
        <f t="shared" si="3"/>
        <v>33168.989999999962</v>
      </c>
    </row>
    <row r="238" spans="2:9" ht="19.5" hidden="1" x14ac:dyDescent="0.25">
      <c r="B238" s="106"/>
      <c r="C238" s="148" t="s">
        <v>2310</v>
      </c>
      <c r="D238" s="150">
        <v>43836</v>
      </c>
      <c r="E238" s="113" t="s">
        <v>2309</v>
      </c>
      <c r="F238" s="256">
        <v>3</v>
      </c>
      <c r="G238" s="255">
        <v>9.31</v>
      </c>
      <c r="I238" s="160">
        <f t="shared" si="3"/>
        <v>33178.299999999959</v>
      </c>
    </row>
    <row r="239" spans="2:9" hidden="1" x14ac:dyDescent="0.25">
      <c r="B239" s="106"/>
      <c r="C239" s="148" t="s">
        <v>2308</v>
      </c>
      <c r="D239" s="150">
        <v>43836</v>
      </c>
      <c r="E239" s="113" t="s">
        <v>2307</v>
      </c>
      <c r="F239" s="256">
        <v>3</v>
      </c>
      <c r="G239" s="255">
        <v>5.69</v>
      </c>
      <c r="I239" s="160">
        <f t="shared" si="3"/>
        <v>33183.989999999962</v>
      </c>
    </row>
    <row r="240" spans="2:9" ht="19.5" hidden="1" x14ac:dyDescent="0.25">
      <c r="B240" s="106"/>
      <c r="C240" s="148" t="s">
        <v>2306</v>
      </c>
      <c r="D240" s="150">
        <v>43836</v>
      </c>
      <c r="E240" s="113" t="s">
        <v>2305</v>
      </c>
      <c r="F240" s="256">
        <v>3</v>
      </c>
      <c r="G240" s="255">
        <v>4.92</v>
      </c>
      <c r="I240" s="160">
        <f t="shared" si="3"/>
        <v>33188.90999999996</v>
      </c>
    </row>
    <row r="241" spans="2:9" hidden="1" x14ac:dyDescent="0.25">
      <c r="B241" s="106"/>
      <c r="C241" s="148" t="s">
        <v>2304</v>
      </c>
      <c r="D241" s="150">
        <v>43836</v>
      </c>
      <c r="E241" s="113" t="s">
        <v>2303</v>
      </c>
      <c r="F241" s="256">
        <v>3</v>
      </c>
      <c r="G241" s="255">
        <v>3.42</v>
      </c>
      <c r="I241" s="160">
        <f t="shared" si="3"/>
        <v>33192.329999999958</v>
      </c>
    </row>
    <row r="242" spans="2:9" hidden="1" x14ac:dyDescent="0.25">
      <c r="B242" s="106"/>
      <c r="C242" s="148" t="s">
        <v>2302</v>
      </c>
      <c r="D242" s="150">
        <v>43836</v>
      </c>
      <c r="E242" s="113" t="s">
        <v>2301</v>
      </c>
      <c r="F242" s="256">
        <v>3</v>
      </c>
      <c r="G242" s="255">
        <v>2.35</v>
      </c>
      <c r="I242" s="160">
        <f t="shared" si="3"/>
        <v>33194.679999999957</v>
      </c>
    </row>
    <row r="243" spans="2:9" hidden="1" x14ac:dyDescent="0.25">
      <c r="B243" s="106"/>
      <c r="C243" s="148" t="s">
        <v>2300</v>
      </c>
      <c r="D243" s="150">
        <v>43836</v>
      </c>
      <c r="E243" s="113" t="s">
        <v>2299</v>
      </c>
      <c r="F243" s="256">
        <v>3</v>
      </c>
      <c r="G243" s="255">
        <v>8.3800000000000008</v>
      </c>
      <c r="I243" s="160">
        <f t="shared" si="3"/>
        <v>33203.059999999954</v>
      </c>
    </row>
    <row r="244" spans="2:9" ht="19.5" hidden="1" x14ac:dyDescent="0.25">
      <c r="B244" s="106"/>
      <c r="C244" s="148" t="s">
        <v>2298</v>
      </c>
      <c r="D244" s="150">
        <v>43836</v>
      </c>
      <c r="E244" s="113" t="s">
        <v>2297</v>
      </c>
      <c r="F244" s="256">
        <v>3</v>
      </c>
      <c r="G244" s="255">
        <v>5.51</v>
      </c>
      <c r="I244" s="160">
        <f t="shared" si="3"/>
        <v>33208.569999999956</v>
      </c>
    </row>
    <row r="245" spans="2:9" hidden="1" x14ac:dyDescent="0.25">
      <c r="B245" s="106"/>
      <c r="C245" s="148" t="s">
        <v>2296</v>
      </c>
      <c r="D245" s="150">
        <v>43836</v>
      </c>
      <c r="E245" s="113" t="s">
        <v>2295</v>
      </c>
      <c r="F245" s="256">
        <v>3</v>
      </c>
      <c r="G245" s="255">
        <v>4.1900000000000004</v>
      </c>
      <c r="I245" s="160">
        <f t="shared" si="3"/>
        <v>33212.759999999958</v>
      </c>
    </row>
    <row r="246" spans="2:9" hidden="1" x14ac:dyDescent="0.25">
      <c r="B246" s="106"/>
      <c r="C246" s="148" t="s">
        <v>2294</v>
      </c>
      <c r="D246" s="150">
        <v>43836</v>
      </c>
      <c r="E246" s="113" t="s">
        <v>2293</v>
      </c>
      <c r="F246" s="256">
        <v>3</v>
      </c>
      <c r="G246" s="255">
        <v>4.12</v>
      </c>
      <c r="I246" s="160">
        <f t="shared" si="3"/>
        <v>33216.879999999961</v>
      </c>
    </row>
    <row r="247" spans="2:9" hidden="1" x14ac:dyDescent="0.25">
      <c r="B247" s="106"/>
      <c r="C247" s="148" t="s">
        <v>2292</v>
      </c>
      <c r="D247" s="150">
        <v>43836</v>
      </c>
      <c r="E247" s="113" t="s">
        <v>2291</v>
      </c>
      <c r="F247" s="256">
        <v>3</v>
      </c>
      <c r="G247" s="255">
        <v>8.3800000000000008</v>
      </c>
      <c r="I247" s="160">
        <f t="shared" si="3"/>
        <v>33225.259999999958</v>
      </c>
    </row>
    <row r="248" spans="2:9" ht="19.5" hidden="1" x14ac:dyDescent="0.25">
      <c r="B248" s="106"/>
      <c r="C248" s="148" t="s">
        <v>2290</v>
      </c>
      <c r="D248" s="150">
        <v>43836</v>
      </c>
      <c r="E248" s="113" t="s">
        <v>2289</v>
      </c>
      <c r="F248" s="256">
        <v>3</v>
      </c>
      <c r="G248" s="255">
        <v>4.46</v>
      </c>
      <c r="I248" s="160">
        <f t="shared" si="3"/>
        <v>33229.719999999958</v>
      </c>
    </row>
    <row r="249" spans="2:9" ht="19.5" hidden="1" x14ac:dyDescent="0.25">
      <c r="B249" s="106"/>
      <c r="C249" s="148" t="s">
        <v>2288</v>
      </c>
      <c r="D249" s="150">
        <v>43836</v>
      </c>
      <c r="E249" s="113" t="s">
        <v>2287</v>
      </c>
      <c r="F249" s="256">
        <v>3</v>
      </c>
      <c r="G249" s="255">
        <v>7.82</v>
      </c>
      <c r="I249" s="160">
        <f t="shared" si="3"/>
        <v>33237.539999999957</v>
      </c>
    </row>
    <row r="250" spans="2:9" hidden="1" x14ac:dyDescent="0.25">
      <c r="B250" s="106"/>
      <c r="C250" s="148" t="s">
        <v>2286</v>
      </c>
      <c r="D250" s="150">
        <v>43836</v>
      </c>
      <c r="E250" s="113" t="s">
        <v>2285</v>
      </c>
      <c r="F250" s="256">
        <v>3</v>
      </c>
      <c r="G250" s="255">
        <v>19.82</v>
      </c>
      <c r="I250" s="160">
        <f t="shared" si="3"/>
        <v>33257.359999999957</v>
      </c>
    </row>
    <row r="251" spans="2:9" hidden="1" x14ac:dyDescent="0.25">
      <c r="B251" s="106"/>
      <c r="C251" s="148" t="s">
        <v>2284</v>
      </c>
      <c r="D251" s="150">
        <v>43836</v>
      </c>
      <c r="E251" s="113" t="s">
        <v>2283</v>
      </c>
      <c r="F251" s="256">
        <v>3</v>
      </c>
      <c r="G251" s="255">
        <v>6.94</v>
      </c>
      <c r="I251" s="160">
        <f t="shared" si="3"/>
        <v>33264.299999999959</v>
      </c>
    </row>
    <row r="252" spans="2:9" hidden="1" x14ac:dyDescent="0.25">
      <c r="B252" s="106"/>
      <c r="C252" s="148" t="s">
        <v>2282</v>
      </c>
      <c r="D252" s="150">
        <v>43836</v>
      </c>
      <c r="E252" s="113" t="s">
        <v>2281</v>
      </c>
      <c r="F252" s="256">
        <v>3</v>
      </c>
      <c r="G252" s="255">
        <v>2.36</v>
      </c>
      <c r="I252" s="160">
        <f t="shared" si="3"/>
        <v>33266.65999999996</v>
      </c>
    </row>
    <row r="253" spans="2:9" hidden="1" x14ac:dyDescent="0.25">
      <c r="B253" s="106"/>
      <c r="C253" s="148" t="s">
        <v>2280</v>
      </c>
      <c r="D253" s="150">
        <v>43836</v>
      </c>
      <c r="E253" s="113" t="s">
        <v>2279</v>
      </c>
      <c r="F253" s="256">
        <v>3</v>
      </c>
      <c r="G253" s="255">
        <v>8.3800000000000008</v>
      </c>
      <c r="I253" s="160">
        <f t="shared" si="3"/>
        <v>33275.039999999957</v>
      </c>
    </row>
    <row r="254" spans="2:9" hidden="1" x14ac:dyDescent="0.25">
      <c r="B254" s="106"/>
      <c r="C254" s="148" t="s">
        <v>2278</v>
      </c>
      <c r="D254" s="150">
        <v>43836</v>
      </c>
      <c r="E254" s="113" t="s">
        <v>2277</v>
      </c>
      <c r="F254" s="256">
        <v>3</v>
      </c>
      <c r="G254" s="255">
        <v>8.3800000000000008</v>
      </c>
      <c r="I254" s="160">
        <f t="shared" si="3"/>
        <v>33283.419999999955</v>
      </c>
    </row>
    <row r="255" spans="2:9" hidden="1" x14ac:dyDescent="0.25">
      <c r="B255" s="106"/>
      <c r="C255" s="148" t="s">
        <v>2276</v>
      </c>
      <c r="D255" s="150">
        <v>43836</v>
      </c>
      <c r="E255" s="113" t="s">
        <v>2275</v>
      </c>
      <c r="F255" s="256">
        <v>3</v>
      </c>
      <c r="G255" s="255">
        <v>6.94</v>
      </c>
      <c r="I255" s="160">
        <f t="shared" si="3"/>
        <v>33290.359999999957</v>
      </c>
    </row>
    <row r="256" spans="2:9" hidden="1" x14ac:dyDescent="0.25">
      <c r="B256" s="106"/>
      <c r="C256" s="148" t="s">
        <v>2274</v>
      </c>
      <c r="D256" s="150">
        <v>43836</v>
      </c>
      <c r="E256" s="113" t="s">
        <v>2273</v>
      </c>
      <c r="F256" s="256">
        <v>3</v>
      </c>
      <c r="G256" s="255">
        <v>8.9</v>
      </c>
      <c r="I256" s="160">
        <f t="shared" si="3"/>
        <v>33299.259999999958</v>
      </c>
    </row>
    <row r="257" spans="2:9" hidden="1" x14ac:dyDescent="0.25">
      <c r="B257" s="106"/>
      <c r="C257" s="148" t="s">
        <v>2272</v>
      </c>
      <c r="D257" s="150">
        <v>43836</v>
      </c>
      <c r="E257" s="113" t="s">
        <v>2271</v>
      </c>
      <c r="F257" s="256">
        <v>3</v>
      </c>
      <c r="G257" s="255">
        <v>7.82</v>
      </c>
      <c r="I257" s="160">
        <f t="shared" si="3"/>
        <v>33307.079999999958</v>
      </c>
    </row>
    <row r="258" spans="2:9" hidden="1" x14ac:dyDescent="0.25">
      <c r="B258" s="106"/>
      <c r="C258" s="148" t="s">
        <v>2270</v>
      </c>
      <c r="D258" s="150">
        <v>43836</v>
      </c>
      <c r="E258" s="113" t="s">
        <v>2269</v>
      </c>
      <c r="F258" s="256">
        <v>3</v>
      </c>
      <c r="G258" s="255">
        <v>10.28</v>
      </c>
      <c r="I258" s="160">
        <f t="shared" si="3"/>
        <v>33317.359999999957</v>
      </c>
    </row>
    <row r="259" spans="2:9" hidden="1" x14ac:dyDescent="0.25">
      <c r="B259" s="106"/>
      <c r="C259" s="148" t="s">
        <v>2268</v>
      </c>
      <c r="D259" s="150">
        <v>43836</v>
      </c>
      <c r="E259" s="113" t="s">
        <v>2267</v>
      </c>
      <c r="F259" s="256">
        <v>3</v>
      </c>
      <c r="G259" s="255">
        <v>1.68</v>
      </c>
      <c r="I259" s="160">
        <f t="shared" si="3"/>
        <v>33319.039999999957</v>
      </c>
    </row>
    <row r="260" spans="2:9" hidden="1" x14ac:dyDescent="0.25">
      <c r="B260" s="106"/>
      <c r="C260" s="148" t="s">
        <v>2266</v>
      </c>
      <c r="D260" s="150">
        <v>43836</v>
      </c>
      <c r="E260" s="113" t="s">
        <v>2265</v>
      </c>
      <c r="F260" s="256">
        <v>3</v>
      </c>
      <c r="G260" s="255">
        <v>3.24</v>
      </c>
      <c r="I260" s="160">
        <f t="shared" si="3"/>
        <v>33322.279999999955</v>
      </c>
    </row>
    <row r="261" spans="2:9" hidden="1" x14ac:dyDescent="0.25">
      <c r="B261" s="106"/>
      <c r="C261" s="148" t="s">
        <v>2264</v>
      </c>
      <c r="D261" s="150">
        <v>43836</v>
      </c>
      <c r="E261" s="113" t="s">
        <v>2263</v>
      </c>
      <c r="F261" s="256">
        <v>3</v>
      </c>
      <c r="G261" s="255">
        <v>27.1</v>
      </c>
      <c r="I261" s="160">
        <f t="shared" si="3"/>
        <v>33349.379999999954</v>
      </c>
    </row>
    <row r="262" spans="2:9" hidden="1" x14ac:dyDescent="0.25">
      <c r="B262" s="106"/>
      <c r="C262" s="148" t="s">
        <v>2262</v>
      </c>
      <c r="D262" s="150">
        <v>43836</v>
      </c>
      <c r="E262" s="113" t="s">
        <v>2261</v>
      </c>
      <c r="F262" s="256">
        <v>3</v>
      </c>
      <c r="G262" s="255">
        <v>17.899999999999999</v>
      </c>
      <c r="I262" s="160">
        <f t="shared" si="3"/>
        <v>33367.279999999955</v>
      </c>
    </row>
    <row r="263" spans="2:9" hidden="1" x14ac:dyDescent="0.25">
      <c r="B263" s="106"/>
      <c r="C263" s="148" t="s">
        <v>2260</v>
      </c>
      <c r="D263" s="150">
        <v>43836</v>
      </c>
      <c r="E263" s="113" t="s">
        <v>2259</v>
      </c>
      <c r="F263" s="256">
        <v>3</v>
      </c>
      <c r="G263" s="255">
        <v>1.68</v>
      </c>
      <c r="I263" s="160">
        <f t="shared" si="3"/>
        <v>33368.959999999955</v>
      </c>
    </row>
    <row r="264" spans="2:9" hidden="1" x14ac:dyDescent="0.25">
      <c r="B264" s="106"/>
      <c r="C264" s="148" t="s">
        <v>2258</v>
      </c>
      <c r="D264" s="150">
        <v>43836</v>
      </c>
      <c r="E264" s="113" t="s">
        <v>2257</v>
      </c>
      <c r="F264" s="256">
        <v>3</v>
      </c>
      <c r="G264" s="255">
        <v>8.34</v>
      </c>
      <c r="I264" s="160">
        <f t="shared" si="3"/>
        <v>33377.299999999952</v>
      </c>
    </row>
    <row r="265" spans="2:9" hidden="1" x14ac:dyDescent="0.25">
      <c r="B265" s="106"/>
      <c r="C265" s="148" t="s">
        <v>2256</v>
      </c>
      <c r="D265" s="150">
        <v>43836</v>
      </c>
      <c r="E265" s="113" t="s">
        <v>2255</v>
      </c>
      <c r="F265" s="256">
        <v>3</v>
      </c>
      <c r="G265" s="255">
        <v>2.0699999999999998</v>
      </c>
      <c r="I265" s="160">
        <f t="shared" si="3"/>
        <v>33379.369999999952</v>
      </c>
    </row>
    <row r="266" spans="2:9" hidden="1" x14ac:dyDescent="0.25">
      <c r="B266" s="106"/>
      <c r="C266" s="148" t="s">
        <v>2254</v>
      </c>
      <c r="D266" s="150">
        <v>43836</v>
      </c>
      <c r="E266" s="113" t="s">
        <v>2253</v>
      </c>
      <c r="F266" s="256">
        <v>3</v>
      </c>
      <c r="G266" s="255">
        <v>1.68</v>
      </c>
      <c r="I266" s="160">
        <f t="shared" si="3"/>
        <v>33381.049999999952</v>
      </c>
    </row>
    <row r="267" spans="2:9" ht="19.5" hidden="1" x14ac:dyDescent="0.25">
      <c r="B267" s="106"/>
      <c r="C267" s="148" t="s">
        <v>2252</v>
      </c>
      <c r="D267" s="150">
        <v>43836</v>
      </c>
      <c r="E267" s="113" t="s">
        <v>2251</v>
      </c>
      <c r="F267" s="256">
        <v>3</v>
      </c>
      <c r="G267" s="255">
        <v>10.32</v>
      </c>
      <c r="I267" s="160">
        <f t="shared" si="3"/>
        <v>33391.369999999952</v>
      </c>
    </row>
    <row r="268" spans="2:9" hidden="1" x14ac:dyDescent="0.25">
      <c r="B268" s="106"/>
      <c r="C268" s="148" t="s">
        <v>2250</v>
      </c>
      <c r="D268" s="150">
        <v>43836</v>
      </c>
      <c r="E268" s="113" t="s">
        <v>2249</v>
      </c>
      <c r="F268" s="256">
        <v>3</v>
      </c>
      <c r="G268" s="255">
        <v>3.47</v>
      </c>
      <c r="I268" s="160">
        <f t="shared" si="3"/>
        <v>33394.839999999953</v>
      </c>
    </row>
    <row r="269" spans="2:9" hidden="1" x14ac:dyDescent="0.25">
      <c r="B269" s="106"/>
      <c r="C269" s="148" t="s">
        <v>2248</v>
      </c>
      <c r="D269" s="150">
        <v>43836</v>
      </c>
      <c r="E269" s="113" t="s">
        <v>2247</v>
      </c>
      <c r="F269" s="256">
        <v>3</v>
      </c>
      <c r="G269" s="255">
        <v>4.1900000000000004</v>
      </c>
      <c r="I269" s="160">
        <f t="shared" si="3"/>
        <v>33399.029999999955</v>
      </c>
    </row>
    <row r="270" spans="2:9" hidden="1" x14ac:dyDescent="0.25">
      <c r="B270" s="106"/>
      <c r="C270" s="148" t="s">
        <v>2246</v>
      </c>
      <c r="D270" s="150">
        <v>43836</v>
      </c>
      <c r="E270" s="113" t="s">
        <v>2245</v>
      </c>
      <c r="F270" s="256">
        <v>3</v>
      </c>
      <c r="G270" s="255">
        <v>7.82</v>
      </c>
      <c r="I270" s="160">
        <f t="shared" si="3"/>
        <v>33406.849999999955</v>
      </c>
    </row>
    <row r="271" spans="2:9" hidden="1" x14ac:dyDescent="0.25">
      <c r="B271" s="106"/>
      <c r="C271" s="148" t="s">
        <v>2244</v>
      </c>
      <c r="D271" s="150">
        <v>43836</v>
      </c>
      <c r="E271" s="113" t="s">
        <v>2243</v>
      </c>
      <c r="F271" s="256">
        <v>3</v>
      </c>
      <c r="G271" s="255">
        <v>1.76</v>
      </c>
      <c r="I271" s="160">
        <f t="shared" si="3"/>
        <v>33408.609999999957</v>
      </c>
    </row>
    <row r="272" spans="2:9" hidden="1" x14ac:dyDescent="0.25">
      <c r="B272" s="106"/>
      <c r="C272" s="148" t="s">
        <v>2242</v>
      </c>
      <c r="D272" s="150">
        <v>43836</v>
      </c>
      <c r="E272" s="113" t="s">
        <v>2241</v>
      </c>
      <c r="F272" s="256">
        <v>3</v>
      </c>
      <c r="G272" s="255">
        <v>4.1900000000000004</v>
      </c>
      <c r="I272" s="160">
        <f t="shared" si="3"/>
        <v>33412.799999999959</v>
      </c>
    </row>
    <row r="273" spans="2:9" hidden="1" x14ac:dyDescent="0.25">
      <c r="B273" s="106"/>
      <c r="C273" s="148" t="s">
        <v>2240</v>
      </c>
      <c r="D273" s="150">
        <v>43836</v>
      </c>
      <c r="E273" s="113" t="s">
        <v>2239</v>
      </c>
      <c r="F273" s="256">
        <v>3</v>
      </c>
      <c r="G273" s="255">
        <v>8.3800000000000008</v>
      </c>
      <c r="I273" s="160">
        <f t="shared" si="3"/>
        <v>33421.179999999957</v>
      </c>
    </row>
    <row r="274" spans="2:9" hidden="1" x14ac:dyDescent="0.25">
      <c r="B274" s="106"/>
      <c r="C274" s="148" t="s">
        <v>2238</v>
      </c>
      <c r="D274" s="150">
        <v>43836</v>
      </c>
      <c r="E274" s="113" t="s">
        <v>2237</v>
      </c>
      <c r="F274" s="256">
        <v>3</v>
      </c>
      <c r="G274" s="255">
        <v>4.1900000000000004</v>
      </c>
      <c r="I274" s="160">
        <f t="shared" si="3"/>
        <v>33425.369999999959</v>
      </c>
    </row>
    <row r="275" spans="2:9" hidden="1" x14ac:dyDescent="0.25">
      <c r="B275" s="106"/>
      <c r="C275" s="148" t="s">
        <v>2236</v>
      </c>
      <c r="D275" s="150">
        <v>43836</v>
      </c>
      <c r="E275" s="113" t="s">
        <v>2235</v>
      </c>
      <c r="F275" s="256">
        <v>3</v>
      </c>
      <c r="G275" s="255">
        <v>2.35</v>
      </c>
      <c r="I275" s="160">
        <f t="shared" si="3"/>
        <v>33427.719999999958</v>
      </c>
    </row>
    <row r="276" spans="2:9" hidden="1" x14ac:dyDescent="0.25">
      <c r="B276" s="106"/>
      <c r="C276" s="148" t="s">
        <v>2234</v>
      </c>
      <c r="D276" s="150">
        <v>43836</v>
      </c>
      <c r="E276" s="113" t="s">
        <v>2233</v>
      </c>
      <c r="F276" s="256">
        <v>3</v>
      </c>
      <c r="G276" s="255">
        <v>3.36</v>
      </c>
      <c r="I276" s="160">
        <f t="shared" ref="I276:I339" si="4">+I275+G276-H276</f>
        <v>33431.079999999958</v>
      </c>
    </row>
    <row r="277" spans="2:9" hidden="1" x14ac:dyDescent="0.25">
      <c r="B277" s="106"/>
      <c r="C277" s="148" t="s">
        <v>2232</v>
      </c>
      <c r="D277" s="150">
        <v>43836</v>
      </c>
      <c r="E277" s="113" t="s">
        <v>2231</v>
      </c>
      <c r="F277" s="256">
        <v>3</v>
      </c>
      <c r="G277" s="255">
        <v>8.4</v>
      </c>
      <c r="I277" s="160">
        <f t="shared" si="4"/>
        <v>33439.47999999996</v>
      </c>
    </row>
    <row r="278" spans="2:9" hidden="1" x14ac:dyDescent="0.25">
      <c r="B278" s="106"/>
      <c r="C278" s="148" t="s">
        <v>2230</v>
      </c>
      <c r="D278" s="150">
        <v>43836</v>
      </c>
      <c r="E278" s="113" t="s">
        <v>2229</v>
      </c>
      <c r="F278" s="256">
        <v>3</v>
      </c>
      <c r="G278" s="255">
        <v>24.6</v>
      </c>
      <c r="I278" s="160">
        <f t="shared" si="4"/>
        <v>33464.079999999958</v>
      </c>
    </row>
    <row r="279" spans="2:9" hidden="1" x14ac:dyDescent="0.25">
      <c r="B279" s="106"/>
      <c r="C279" s="148" t="s">
        <v>2228</v>
      </c>
      <c r="D279" s="150">
        <v>43836</v>
      </c>
      <c r="E279" s="113" t="s">
        <v>2227</v>
      </c>
      <c r="F279" s="256">
        <v>3</v>
      </c>
      <c r="G279" s="255">
        <v>1.68</v>
      </c>
      <c r="I279" s="160">
        <f t="shared" si="4"/>
        <v>33465.759999999958</v>
      </c>
    </row>
    <row r="280" spans="2:9" hidden="1" x14ac:dyDescent="0.25">
      <c r="B280" s="106"/>
      <c r="C280" s="148" t="s">
        <v>2226</v>
      </c>
      <c r="D280" s="150">
        <v>43836</v>
      </c>
      <c r="E280" s="113" t="s">
        <v>2225</v>
      </c>
      <c r="F280" s="256">
        <v>3</v>
      </c>
      <c r="G280" s="255">
        <v>11.76</v>
      </c>
      <c r="I280" s="160">
        <f t="shared" si="4"/>
        <v>33477.51999999996</v>
      </c>
    </row>
    <row r="281" spans="2:9" hidden="1" x14ac:dyDescent="0.25">
      <c r="B281" s="106"/>
      <c r="C281" s="148" t="s">
        <v>2224</v>
      </c>
      <c r="D281" s="150">
        <v>43836</v>
      </c>
      <c r="E281" s="113" t="s">
        <v>2223</v>
      </c>
      <c r="F281" s="256">
        <v>3</v>
      </c>
      <c r="G281" s="255">
        <v>32.97</v>
      </c>
      <c r="I281" s="160">
        <f t="shared" si="4"/>
        <v>33510.489999999962</v>
      </c>
    </row>
    <row r="282" spans="2:9" hidden="1" x14ac:dyDescent="0.25">
      <c r="B282" s="106"/>
      <c r="C282" s="148" t="s">
        <v>2222</v>
      </c>
      <c r="D282" s="150">
        <v>43836</v>
      </c>
      <c r="E282" s="113" t="s">
        <v>2221</v>
      </c>
      <c r="F282" s="256">
        <v>3</v>
      </c>
      <c r="G282" s="255">
        <v>3.01</v>
      </c>
      <c r="I282" s="160">
        <f t="shared" si="4"/>
        <v>33513.499999999964</v>
      </c>
    </row>
    <row r="283" spans="2:9" ht="19.5" hidden="1" x14ac:dyDescent="0.25">
      <c r="B283" s="106"/>
      <c r="C283" s="148" t="s">
        <v>2220</v>
      </c>
      <c r="D283" s="150">
        <v>43836</v>
      </c>
      <c r="E283" s="113" t="s">
        <v>2219</v>
      </c>
      <c r="F283" s="256">
        <v>3</v>
      </c>
      <c r="G283" s="255">
        <v>1.68</v>
      </c>
      <c r="I283" s="160">
        <f t="shared" si="4"/>
        <v>33515.179999999964</v>
      </c>
    </row>
    <row r="284" spans="2:9" ht="19.5" hidden="1" x14ac:dyDescent="0.25">
      <c r="B284" s="106"/>
      <c r="C284" s="148" t="s">
        <v>2218</v>
      </c>
      <c r="D284" s="150">
        <v>43836</v>
      </c>
      <c r="E284" s="113" t="s">
        <v>2217</v>
      </c>
      <c r="F284" s="256">
        <v>3</v>
      </c>
      <c r="G284" s="255">
        <v>15.3</v>
      </c>
      <c r="I284" s="160">
        <f t="shared" si="4"/>
        <v>33530.479999999967</v>
      </c>
    </row>
    <row r="285" spans="2:9" ht="19.5" hidden="1" x14ac:dyDescent="0.25">
      <c r="B285" s="106"/>
      <c r="C285" s="148" t="s">
        <v>2216</v>
      </c>
      <c r="D285" s="150">
        <v>43836</v>
      </c>
      <c r="E285" s="113" t="s">
        <v>2215</v>
      </c>
      <c r="F285" s="256">
        <v>3</v>
      </c>
      <c r="G285" s="255">
        <v>15.3</v>
      </c>
      <c r="I285" s="160">
        <f t="shared" si="4"/>
        <v>33545.77999999997</v>
      </c>
    </row>
    <row r="286" spans="2:9" ht="19.5" hidden="1" x14ac:dyDescent="0.25">
      <c r="B286" s="106"/>
      <c r="C286" s="148" t="s">
        <v>2214</v>
      </c>
      <c r="D286" s="150">
        <v>43836</v>
      </c>
      <c r="E286" s="113" t="s">
        <v>2213</v>
      </c>
      <c r="F286" s="256">
        <v>3</v>
      </c>
      <c r="G286" s="255">
        <v>15.3</v>
      </c>
      <c r="I286" s="160">
        <f t="shared" si="4"/>
        <v>33561.079999999973</v>
      </c>
    </row>
    <row r="287" spans="2:9" hidden="1" x14ac:dyDescent="0.25">
      <c r="B287" s="106"/>
      <c r="C287" s="148" t="s">
        <v>2212</v>
      </c>
      <c r="D287" s="150">
        <v>43836</v>
      </c>
      <c r="E287" s="113" t="s">
        <v>2211</v>
      </c>
      <c r="F287" s="256">
        <v>3</v>
      </c>
      <c r="G287" s="255">
        <v>6.62</v>
      </c>
      <c r="I287" s="160">
        <f t="shared" si="4"/>
        <v>33567.699999999975</v>
      </c>
    </row>
    <row r="288" spans="2:9" ht="19.5" hidden="1" x14ac:dyDescent="0.25">
      <c r="B288" s="106"/>
      <c r="C288" s="148" t="s">
        <v>2210</v>
      </c>
      <c r="D288" s="150">
        <v>43836</v>
      </c>
      <c r="E288" s="113" t="s">
        <v>2209</v>
      </c>
      <c r="F288" s="256">
        <v>3</v>
      </c>
      <c r="G288" s="255">
        <v>15.3</v>
      </c>
      <c r="I288" s="160">
        <f t="shared" si="4"/>
        <v>33582.999999999978</v>
      </c>
    </row>
    <row r="289" spans="2:9" hidden="1" x14ac:dyDescent="0.25">
      <c r="B289" s="106"/>
      <c r="C289" s="148" t="s">
        <v>2208</v>
      </c>
      <c r="D289" s="150">
        <v>43836</v>
      </c>
      <c r="E289" s="113" t="s">
        <v>2207</v>
      </c>
      <c r="F289" s="256">
        <v>3</v>
      </c>
      <c r="G289" s="255">
        <v>46.36</v>
      </c>
      <c r="I289" s="160">
        <f t="shared" si="4"/>
        <v>33629.359999999979</v>
      </c>
    </row>
    <row r="290" spans="2:9" ht="19.5" hidden="1" x14ac:dyDescent="0.25">
      <c r="B290" s="106"/>
      <c r="C290" s="148" t="s">
        <v>2206</v>
      </c>
      <c r="D290" s="150">
        <v>43836</v>
      </c>
      <c r="E290" s="113" t="s">
        <v>2205</v>
      </c>
      <c r="F290" s="256">
        <v>3</v>
      </c>
      <c r="G290" s="255">
        <v>29.04</v>
      </c>
      <c r="I290" s="160">
        <f t="shared" si="4"/>
        <v>33658.39999999998</v>
      </c>
    </row>
    <row r="291" spans="2:9" hidden="1" x14ac:dyDescent="0.25">
      <c r="B291" s="148"/>
      <c r="C291" s="148" t="s">
        <v>2204</v>
      </c>
      <c r="D291" s="150">
        <v>43836</v>
      </c>
      <c r="E291" s="113" t="s">
        <v>2203</v>
      </c>
      <c r="F291" s="257" t="s">
        <v>14436</v>
      </c>
      <c r="G291" s="160">
        <v>3.02</v>
      </c>
      <c r="I291" s="160">
        <f t="shared" si="4"/>
        <v>33661.419999999976</v>
      </c>
    </row>
    <row r="292" spans="2:9" hidden="1" x14ac:dyDescent="0.25">
      <c r="B292" s="148"/>
      <c r="C292" s="148" t="s">
        <v>2202</v>
      </c>
      <c r="D292" s="150">
        <v>43837</v>
      </c>
      <c r="E292" s="113" t="s">
        <v>2201</v>
      </c>
      <c r="F292" s="257" t="s">
        <v>14442</v>
      </c>
      <c r="G292" s="160">
        <v>6.15</v>
      </c>
      <c r="I292" s="160">
        <f t="shared" si="4"/>
        <v>33667.569999999978</v>
      </c>
    </row>
    <row r="293" spans="2:9" ht="19.5" hidden="1" x14ac:dyDescent="0.25">
      <c r="B293" s="148"/>
      <c r="C293" s="148" t="s">
        <v>2200</v>
      </c>
      <c r="D293" s="150">
        <v>43837</v>
      </c>
      <c r="E293" s="113" t="s">
        <v>2199</v>
      </c>
      <c r="F293" s="257" t="s">
        <v>14442</v>
      </c>
      <c r="G293" s="160">
        <v>5.12</v>
      </c>
      <c r="I293" s="160">
        <f t="shared" si="4"/>
        <v>33672.689999999981</v>
      </c>
    </row>
    <row r="294" spans="2:9" ht="19.5" hidden="1" x14ac:dyDescent="0.25">
      <c r="B294" s="148"/>
      <c r="C294" s="148" t="s">
        <v>2198</v>
      </c>
      <c r="D294" s="150">
        <v>43837</v>
      </c>
      <c r="E294" s="113" t="s">
        <v>2197</v>
      </c>
      <c r="F294" s="257" t="s">
        <v>14442</v>
      </c>
      <c r="G294" s="160">
        <v>49.47</v>
      </c>
      <c r="I294" s="160">
        <f t="shared" si="4"/>
        <v>33722.159999999982</v>
      </c>
    </row>
    <row r="295" spans="2:9" ht="19.5" hidden="1" x14ac:dyDescent="0.25">
      <c r="B295" s="148"/>
      <c r="C295" s="148" t="s">
        <v>2196</v>
      </c>
      <c r="D295" s="150">
        <v>43837</v>
      </c>
      <c r="E295" s="113" t="s">
        <v>2195</v>
      </c>
      <c r="F295" s="257" t="s">
        <v>14436</v>
      </c>
      <c r="G295" s="160">
        <v>26.17</v>
      </c>
      <c r="I295" s="160">
        <f t="shared" si="4"/>
        <v>33748.32999999998</v>
      </c>
    </row>
    <row r="296" spans="2:9" hidden="1" x14ac:dyDescent="0.25">
      <c r="B296" s="148"/>
      <c r="C296" s="148" t="s">
        <v>2194</v>
      </c>
      <c r="D296" s="150">
        <v>43837</v>
      </c>
      <c r="E296" s="113" t="s">
        <v>2193</v>
      </c>
      <c r="F296" s="257" t="s">
        <v>14442</v>
      </c>
      <c r="G296" s="160">
        <v>0.03</v>
      </c>
      <c r="I296" s="160">
        <f t="shared" si="4"/>
        <v>33748.359999999979</v>
      </c>
    </row>
    <row r="297" spans="2:9" ht="19.5" hidden="1" x14ac:dyDescent="0.25">
      <c r="B297" s="148"/>
      <c r="C297" s="148" t="s">
        <v>2192</v>
      </c>
      <c r="D297" s="150">
        <v>43837</v>
      </c>
      <c r="E297" s="113" t="s">
        <v>2191</v>
      </c>
      <c r="F297" s="257" t="s">
        <v>14436</v>
      </c>
      <c r="G297" s="160">
        <v>60.24</v>
      </c>
      <c r="I297" s="160">
        <f t="shared" si="4"/>
        <v>33808.599999999977</v>
      </c>
    </row>
    <row r="298" spans="2:9" hidden="1" x14ac:dyDescent="0.25">
      <c r="B298" s="148"/>
      <c r="C298" s="148" t="s">
        <v>2190</v>
      </c>
      <c r="D298" s="150">
        <v>43837</v>
      </c>
      <c r="E298" s="113" t="s">
        <v>2189</v>
      </c>
      <c r="F298" s="257" t="s">
        <v>14442</v>
      </c>
      <c r="G298" s="160">
        <v>26.58</v>
      </c>
      <c r="I298" s="160">
        <f t="shared" si="4"/>
        <v>33835.179999999978</v>
      </c>
    </row>
    <row r="299" spans="2:9" ht="19.5" hidden="1" x14ac:dyDescent="0.25">
      <c r="B299" s="148"/>
      <c r="C299" s="148" t="s">
        <v>2188</v>
      </c>
      <c r="D299" s="150">
        <v>43837</v>
      </c>
      <c r="E299" s="113" t="s">
        <v>2187</v>
      </c>
      <c r="F299" s="257" t="s">
        <v>14442</v>
      </c>
      <c r="G299" s="160">
        <v>10.44</v>
      </c>
      <c r="I299" s="160">
        <f t="shared" si="4"/>
        <v>33845.619999999981</v>
      </c>
    </row>
    <row r="300" spans="2:9" ht="19.5" hidden="1" x14ac:dyDescent="0.25">
      <c r="B300" s="148"/>
      <c r="C300" s="148" t="s">
        <v>2186</v>
      </c>
      <c r="D300" s="150">
        <v>43837</v>
      </c>
      <c r="E300" s="113" t="s">
        <v>2185</v>
      </c>
      <c r="F300" s="257" t="s">
        <v>14442</v>
      </c>
      <c r="G300" s="160">
        <v>3.45</v>
      </c>
      <c r="I300" s="160">
        <f t="shared" si="4"/>
        <v>33849.069999999978</v>
      </c>
    </row>
    <row r="301" spans="2:9" hidden="1" x14ac:dyDescent="0.25">
      <c r="B301" s="148"/>
      <c r="C301" s="148" t="s">
        <v>2184</v>
      </c>
      <c r="D301" s="150">
        <v>43837</v>
      </c>
      <c r="E301" s="113" t="s">
        <v>2183</v>
      </c>
      <c r="F301" s="257" t="s">
        <v>14436</v>
      </c>
      <c r="G301" s="160">
        <v>9.93</v>
      </c>
      <c r="I301" s="160">
        <f t="shared" si="4"/>
        <v>33858.999999999978</v>
      </c>
    </row>
    <row r="302" spans="2:9" hidden="1" x14ac:dyDescent="0.25">
      <c r="B302" s="148"/>
      <c r="C302" s="148" t="s">
        <v>2182</v>
      </c>
      <c r="D302" s="150">
        <v>43837</v>
      </c>
      <c r="E302" s="113" t="s">
        <v>2181</v>
      </c>
      <c r="F302" s="257" t="s">
        <v>14436</v>
      </c>
      <c r="G302" s="160">
        <v>76.819999999999993</v>
      </c>
      <c r="I302" s="160">
        <f t="shared" si="4"/>
        <v>33935.819999999978</v>
      </c>
    </row>
    <row r="303" spans="2:9" hidden="1" x14ac:dyDescent="0.25">
      <c r="B303" s="148"/>
      <c r="C303" s="148" t="s">
        <v>2180</v>
      </c>
      <c r="D303" s="150">
        <v>43837</v>
      </c>
      <c r="E303" s="113" t="s">
        <v>2179</v>
      </c>
      <c r="F303" s="257" t="s">
        <v>14442</v>
      </c>
      <c r="G303" s="160">
        <v>0.18</v>
      </c>
      <c r="I303" s="160">
        <f t="shared" si="4"/>
        <v>33935.999999999978</v>
      </c>
    </row>
    <row r="304" spans="2:9" hidden="1" x14ac:dyDescent="0.25">
      <c r="B304" s="148"/>
      <c r="C304" s="148" t="s">
        <v>2178</v>
      </c>
      <c r="D304" s="150">
        <v>43837</v>
      </c>
      <c r="E304" s="113" t="s">
        <v>2177</v>
      </c>
      <c r="F304" s="257" t="s">
        <v>14436</v>
      </c>
      <c r="G304" s="160">
        <v>22.56</v>
      </c>
      <c r="I304" s="160">
        <f t="shared" si="4"/>
        <v>33958.559999999976</v>
      </c>
    </row>
    <row r="305" spans="2:9" hidden="1" x14ac:dyDescent="0.25">
      <c r="B305" s="106"/>
      <c r="C305" s="148" t="s">
        <v>2176</v>
      </c>
      <c r="D305" s="150">
        <v>43837</v>
      </c>
      <c r="E305" s="113" t="s">
        <v>2175</v>
      </c>
      <c r="F305" s="256" t="s">
        <v>14409</v>
      </c>
      <c r="G305" s="258">
        <v>2.5499999999999998</v>
      </c>
      <c r="I305" s="160">
        <f t="shared" si="4"/>
        <v>33961.109999999979</v>
      </c>
    </row>
    <row r="306" spans="2:9" ht="19.5" hidden="1" x14ac:dyDescent="0.25">
      <c r="B306" s="106"/>
      <c r="C306" s="148" t="s">
        <v>2174</v>
      </c>
      <c r="D306" s="150">
        <v>43837</v>
      </c>
      <c r="E306" s="113" t="s">
        <v>2173</v>
      </c>
      <c r="F306" s="256" t="s">
        <v>14409</v>
      </c>
      <c r="G306" s="258">
        <v>3.84</v>
      </c>
      <c r="I306" s="160">
        <f t="shared" si="4"/>
        <v>33964.949999999975</v>
      </c>
    </row>
    <row r="307" spans="2:9" ht="19.5" hidden="1" x14ac:dyDescent="0.25">
      <c r="B307" s="106"/>
      <c r="C307" s="148" t="s">
        <v>2172</v>
      </c>
      <c r="D307" s="150">
        <v>43837</v>
      </c>
      <c r="E307" s="113" t="s">
        <v>2171</v>
      </c>
      <c r="F307" s="256" t="s">
        <v>14409</v>
      </c>
      <c r="G307" s="258">
        <v>9.7899999999999991</v>
      </c>
      <c r="I307" s="160">
        <f t="shared" si="4"/>
        <v>33974.739999999976</v>
      </c>
    </row>
    <row r="308" spans="2:9" ht="19.5" hidden="1" x14ac:dyDescent="0.25">
      <c r="B308" s="106"/>
      <c r="C308" s="148" t="s">
        <v>2170</v>
      </c>
      <c r="D308" s="150">
        <v>43837</v>
      </c>
      <c r="E308" s="113" t="s">
        <v>2169</v>
      </c>
      <c r="F308" s="256" t="s">
        <v>14409</v>
      </c>
      <c r="G308" s="258">
        <v>10.89</v>
      </c>
      <c r="I308" s="160">
        <f t="shared" si="4"/>
        <v>33985.629999999976</v>
      </c>
    </row>
    <row r="309" spans="2:9" ht="19.5" hidden="1" x14ac:dyDescent="0.25">
      <c r="B309" s="106"/>
      <c r="C309" s="148" t="s">
        <v>2168</v>
      </c>
      <c r="D309" s="150">
        <v>43837</v>
      </c>
      <c r="E309" s="113" t="s">
        <v>2167</v>
      </c>
      <c r="F309" s="256" t="s">
        <v>14409</v>
      </c>
      <c r="G309" s="258">
        <v>2.08</v>
      </c>
      <c r="I309" s="160">
        <f t="shared" si="4"/>
        <v>33987.709999999977</v>
      </c>
    </row>
    <row r="310" spans="2:9" hidden="1" x14ac:dyDescent="0.25">
      <c r="B310" s="106"/>
      <c r="C310" s="148" t="s">
        <v>2166</v>
      </c>
      <c r="D310" s="150">
        <v>43837</v>
      </c>
      <c r="E310" s="113" t="s">
        <v>2165</v>
      </c>
      <c r="F310" s="256" t="s">
        <v>14409</v>
      </c>
      <c r="G310" s="258">
        <v>2.81</v>
      </c>
      <c r="I310" s="160">
        <f t="shared" si="4"/>
        <v>33990.519999999975</v>
      </c>
    </row>
    <row r="311" spans="2:9" ht="19.5" hidden="1" x14ac:dyDescent="0.25">
      <c r="B311" s="106"/>
      <c r="C311" s="148" t="s">
        <v>2164</v>
      </c>
      <c r="D311" s="150">
        <v>43837</v>
      </c>
      <c r="E311" s="113" t="s">
        <v>2163</v>
      </c>
      <c r="F311" s="256" t="s">
        <v>14409</v>
      </c>
      <c r="G311" s="258">
        <v>8.0500000000000007</v>
      </c>
      <c r="I311" s="160">
        <f t="shared" si="4"/>
        <v>33998.569999999978</v>
      </c>
    </row>
    <row r="312" spans="2:9" hidden="1" x14ac:dyDescent="0.25">
      <c r="B312" s="106"/>
      <c r="C312" s="148" t="s">
        <v>2162</v>
      </c>
      <c r="D312" s="150">
        <v>43837</v>
      </c>
      <c r="E312" s="113" t="s">
        <v>2161</v>
      </c>
      <c r="F312" s="256" t="s">
        <v>14409</v>
      </c>
      <c r="G312" s="258">
        <v>2.5</v>
      </c>
      <c r="I312" s="160">
        <f t="shared" si="4"/>
        <v>34001.069999999978</v>
      </c>
    </row>
    <row r="313" spans="2:9" ht="19.5" hidden="1" x14ac:dyDescent="0.25">
      <c r="B313" s="106"/>
      <c r="C313" s="148" t="s">
        <v>2160</v>
      </c>
      <c r="D313" s="150">
        <v>43837</v>
      </c>
      <c r="E313" s="113" t="s">
        <v>2159</v>
      </c>
      <c r="F313" s="256" t="s">
        <v>14409</v>
      </c>
      <c r="G313" s="258">
        <v>5.42</v>
      </c>
      <c r="I313" s="160">
        <f t="shared" si="4"/>
        <v>34006.489999999976</v>
      </c>
    </row>
    <row r="314" spans="2:9" ht="19.5" hidden="1" x14ac:dyDescent="0.25">
      <c r="B314" s="106"/>
      <c r="C314" s="148" t="s">
        <v>2158</v>
      </c>
      <c r="D314" s="150">
        <v>43837</v>
      </c>
      <c r="E314" s="113" t="s">
        <v>2157</v>
      </c>
      <c r="F314" s="256" t="s">
        <v>14409</v>
      </c>
      <c r="G314" s="258">
        <v>9.84</v>
      </c>
      <c r="I314" s="160">
        <f t="shared" si="4"/>
        <v>34016.329999999973</v>
      </c>
    </row>
    <row r="315" spans="2:9" ht="19.5" hidden="1" x14ac:dyDescent="0.25">
      <c r="B315" s="106"/>
      <c r="C315" s="148" t="s">
        <v>2156</v>
      </c>
      <c r="D315" s="150">
        <v>43837</v>
      </c>
      <c r="E315" s="113" t="s">
        <v>2155</v>
      </c>
      <c r="F315" s="256" t="s">
        <v>14409</v>
      </c>
      <c r="G315" s="258">
        <v>10.01</v>
      </c>
      <c r="I315" s="160">
        <f t="shared" si="4"/>
        <v>34026.339999999975</v>
      </c>
    </row>
    <row r="316" spans="2:9" hidden="1" x14ac:dyDescent="0.25">
      <c r="B316" s="106"/>
      <c r="C316" s="148" t="s">
        <v>2154</v>
      </c>
      <c r="D316" s="150">
        <v>43837</v>
      </c>
      <c r="E316" s="113" t="s">
        <v>2153</v>
      </c>
      <c r="F316" s="256" t="s">
        <v>14409</v>
      </c>
      <c r="G316" s="258">
        <v>5.77</v>
      </c>
      <c r="I316" s="160">
        <f t="shared" si="4"/>
        <v>34032.109999999971</v>
      </c>
    </row>
    <row r="317" spans="2:9" ht="19.5" hidden="1" x14ac:dyDescent="0.25">
      <c r="B317" s="106"/>
      <c r="C317" s="148" t="s">
        <v>2152</v>
      </c>
      <c r="D317" s="150">
        <v>43837</v>
      </c>
      <c r="E317" s="113" t="s">
        <v>2151</v>
      </c>
      <c r="F317" s="256" t="s">
        <v>14409</v>
      </c>
      <c r="G317" s="258">
        <v>7.27</v>
      </c>
      <c r="I317" s="160">
        <f t="shared" si="4"/>
        <v>34039.379999999968</v>
      </c>
    </row>
    <row r="318" spans="2:9" hidden="1" x14ac:dyDescent="0.25">
      <c r="B318" s="106"/>
      <c r="C318" s="148" t="s">
        <v>2150</v>
      </c>
      <c r="D318" s="150">
        <v>43837</v>
      </c>
      <c r="E318" s="113" t="s">
        <v>2149</v>
      </c>
      <c r="F318" s="256" t="s">
        <v>14409</v>
      </c>
      <c r="G318" s="258">
        <v>3.04</v>
      </c>
      <c r="I318" s="160">
        <f t="shared" si="4"/>
        <v>34042.419999999969</v>
      </c>
    </row>
    <row r="319" spans="2:9" hidden="1" x14ac:dyDescent="0.25">
      <c r="B319" s="106"/>
      <c r="C319" s="148" t="s">
        <v>2148</v>
      </c>
      <c r="D319" s="150">
        <v>43837</v>
      </c>
      <c r="E319" s="113" t="s">
        <v>2147</v>
      </c>
      <c r="F319" s="256" t="s">
        <v>14409</v>
      </c>
      <c r="G319" s="258">
        <v>2.23</v>
      </c>
      <c r="I319" s="160">
        <f t="shared" si="4"/>
        <v>34044.649999999972</v>
      </c>
    </row>
    <row r="320" spans="2:9" hidden="1" x14ac:dyDescent="0.25">
      <c r="B320" s="106"/>
      <c r="C320" s="148" t="s">
        <v>2146</v>
      </c>
      <c r="D320" s="150">
        <v>43837</v>
      </c>
      <c r="E320" s="113" t="s">
        <v>2145</v>
      </c>
      <c r="F320" s="256" t="s">
        <v>14409</v>
      </c>
      <c r="G320" s="258">
        <v>6.06</v>
      </c>
      <c r="I320" s="160">
        <f t="shared" si="4"/>
        <v>34050.70999999997</v>
      </c>
    </row>
    <row r="321" spans="2:9" hidden="1" x14ac:dyDescent="0.25">
      <c r="B321" s="106"/>
      <c r="C321" s="148" t="s">
        <v>2144</v>
      </c>
      <c r="D321" s="150">
        <v>43837</v>
      </c>
      <c r="E321" s="113" t="s">
        <v>2143</v>
      </c>
      <c r="F321" s="256" t="s">
        <v>14409</v>
      </c>
      <c r="G321" s="258">
        <v>1.39</v>
      </c>
      <c r="I321" s="160">
        <f t="shared" si="4"/>
        <v>34052.099999999969</v>
      </c>
    </row>
    <row r="322" spans="2:9" hidden="1" x14ac:dyDescent="0.25">
      <c r="B322" s="106"/>
      <c r="C322" s="148" t="s">
        <v>2142</v>
      </c>
      <c r="D322" s="150">
        <v>43837</v>
      </c>
      <c r="E322" s="113" t="s">
        <v>2141</v>
      </c>
      <c r="F322" s="256" t="s">
        <v>14409</v>
      </c>
      <c r="G322" s="258">
        <v>1.6</v>
      </c>
      <c r="I322" s="160">
        <f t="shared" si="4"/>
        <v>34053.699999999968</v>
      </c>
    </row>
    <row r="323" spans="2:9" ht="19.5" hidden="1" x14ac:dyDescent="0.25">
      <c r="B323" s="106"/>
      <c r="C323" s="148" t="s">
        <v>2140</v>
      </c>
      <c r="D323" s="150">
        <v>43837</v>
      </c>
      <c r="E323" s="113" t="s">
        <v>2139</v>
      </c>
      <c r="F323" s="256" t="s">
        <v>14409</v>
      </c>
      <c r="G323" s="258">
        <v>18.8</v>
      </c>
      <c r="I323" s="160">
        <f t="shared" si="4"/>
        <v>34072.499999999971</v>
      </c>
    </row>
    <row r="324" spans="2:9" ht="19.5" hidden="1" x14ac:dyDescent="0.25">
      <c r="B324" s="106"/>
      <c r="C324" s="148" t="s">
        <v>2138</v>
      </c>
      <c r="D324" s="150">
        <v>43837</v>
      </c>
      <c r="E324" s="113" t="s">
        <v>2137</v>
      </c>
      <c r="F324" s="256" t="s">
        <v>14409</v>
      </c>
      <c r="G324" s="258">
        <v>19.86</v>
      </c>
      <c r="I324" s="160">
        <f t="shared" si="4"/>
        <v>34092.359999999971</v>
      </c>
    </row>
    <row r="325" spans="2:9" ht="19.5" hidden="1" x14ac:dyDescent="0.25">
      <c r="B325" s="106"/>
      <c r="C325" s="148" t="s">
        <v>2136</v>
      </c>
      <c r="D325" s="150">
        <v>43837</v>
      </c>
      <c r="E325" s="113" t="s">
        <v>2135</v>
      </c>
      <c r="F325" s="256" t="s">
        <v>14409</v>
      </c>
      <c r="G325" s="258">
        <v>3.43</v>
      </c>
      <c r="I325" s="160">
        <f t="shared" si="4"/>
        <v>34095.789999999972</v>
      </c>
    </row>
    <row r="326" spans="2:9" ht="19.5" hidden="1" x14ac:dyDescent="0.25">
      <c r="B326" s="106"/>
      <c r="C326" s="148" t="s">
        <v>2134</v>
      </c>
      <c r="D326" s="150">
        <v>43837</v>
      </c>
      <c r="E326" s="113" t="s">
        <v>2133</v>
      </c>
      <c r="F326" s="256" t="s">
        <v>14409</v>
      </c>
      <c r="G326" s="258">
        <v>7.55</v>
      </c>
      <c r="I326" s="160">
        <f t="shared" si="4"/>
        <v>34103.339999999975</v>
      </c>
    </row>
    <row r="327" spans="2:9" hidden="1" x14ac:dyDescent="0.25">
      <c r="B327" s="106"/>
      <c r="C327" s="148" t="s">
        <v>2132</v>
      </c>
      <c r="D327" s="150">
        <v>43837</v>
      </c>
      <c r="E327" s="113" t="s">
        <v>2131</v>
      </c>
      <c r="F327" s="256" t="s">
        <v>14409</v>
      </c>
      <c r="G327" s="258">
        <v>11.19</v>
      </c>
      <c r="I327" s="160">
        <f t="shared" si="4"/>
        <v>34114.529999999977</v>
      </c>
    </row>
    <row r="328" spans="2:9" hidden="1" x14ac:dyDescent="0.25">
      <c r="B328" s="106"/>
      <c r="C328" s="148" t="s">
        <v>2130</v>
      </c>
      <c r="D328" s="150">
        <v>43837</v>
      </c>
      <c r="E328" s="113" t="s">
        <v>2129</v>
      </c>
      <c r="F328" s="256" t="s">
        <v>14409</v>
      </c>
      <c r="G328" s="258">
        <v>2.5</v>
      </c>
      <c r="I328" s="160">
        <f t="shared" si="4"/>
        <v>34117.029999999977</v>
      </c>
    </row>
    <row r="329" spans="2:9" hidden="1" x14ac:dyDescent="0.25">
      <c r="B329" s="106"/>
      <c r="C329" s="148" t="s">
        <v>2128</v>
      </c>
      <c r="D329" s="150">
        <v>43837</v>
      </c>
      <c r="E329" s="113" t="s">
        <v>2127</v>
      </c>
      <c r="F329" s="256" t="s">
        <v>14409</v>
      </c>
      <c r="G329" s="258">
        <v>4.1900000000000004</v>
      </c>
      <c r="I329" s="160">
        <f t="shared" si="4"/>
        <v>34121.219999999979</v>
      </c>
    </row>
    <row r="330" spans="2:9" hidden="1" x14ac:dyDescent="0.25">
      <c r="B330" s="106"/>
      <c r="C330" s="148" t="s">
        <v>2126</v>
      </c>
      <c r="D330" s="150">
        <v>43837</v>
      </c>
      <c r="E330" s="113" t="s">
        <v>2125</v>
      </c>
      <c r="F330" s="256" t="s">
        <v>14409</v>
      </c>
      <c r="G330" s="258">
        <v>12.4</v>
      </c>
      <c r="I330" s="160">
        <f t="shared" si="4"/>
        <v>34133.619999999981</v>
      </c>
    </row>
    <row r="331" spans="2:9" ht="19.5" hidden="1" x14ac:dyDescent="0.25">
      <c r="B331" s="106"/>
      <c r="C331" s="148" t="s">
        <v>2124</v>
      </c>
      <c r="D331" s="150">
        <v>43837</v>
      </c>
      <c r="E331" s="113" t="s">
        <v>2123</v>
      </c>
      <c r="F331" s="256" t="s">
        <v>14409</v>
      </c>
      <c r="G331" s="258">
        <v>0.88</v>
      </c>
      <c r="I331" s="160">
        <f t="shared" si="4"/>
        <v>34134.499999999978</v>
      </c>
    </row>
    <row r="332" spans="2:9" hidden="1" x14ac:dyDescent="0.25">
      <c r="B332" s="106"/>
      <c r="C332" s="148" t="s">
        <v>2122</v>
      </c>
      <c r="D332" s="150">
        <v>43837</v>
      </c>
      <c r="E332" s="113" t="s">
        <v>2121</v>
      </c>
      <c r="F332" s="256" t="s">
        <v>14409</v>
      </c>
      <c r="G332" s="258">
        <v>1.68</v>
      </c>
      <c r="I332" s="160">
        <f t="shared" si="4"/>
        <v>34136.179999999978</v>
      </c>
    </row>
    <row r="333" spans="2:9" ht="19.5" hidden="1" x14ac:dyDescent="0.25">
      <c r="B333" s="106"/>
      <c r="C333" s="148" t="s">
        <v>2120</v>
      </c>
      <c r="D333" s="150">
        <v>43837</v>
      </c>
      <c r="E333" s="113" t="s">
        <v>2119</v>
      </c>
      <c r="F333" s="256" t="s">
        <v>14409</v>
      </c>
      <c r="G333" s="258">
        <v>7.71</v>
      </c>
      <c r="I333" s="160">
        <f t="shared" si="4"/>
        <v>34143.889999999978</v>
      </c>
    </row>
    <row r="334" spans="2:9" hidden="1" x14ac:dyDescent="0.25">
      <c r="B334" s="106"/>
      <c r="C334" s="148" t="s">
        <v>2118</v>
      </c>
      <c r="D334" s="150">
        <v>43837</v>
      </c>
      <c r="E334" s="113" t="s">
        <v>2117</v>
      </c>
      <c r="F334" s="256" t="s">
        <v>14409</v>
      </c>
      <c r="G334" s="258">
        <v>8.42</v>
      </c>
      <c r="I334" s="160">
        <f t="shared" si="4"/>
        <v>34152.309999999976</v>
      </c>
    </row>
    <row r="335" spans="2:9" ht="19.5" hidden="1" x14ac:dyDescent="0.25">
      <c r="B335" s="106"/>
      <c r="C335" s="148" t="s">
        <v>2116</v>
      </c>
      <c r="D335" s="150">
        <v>43837</v>
      </c>
      <c r="E335" s="113" t="s">
        <v>2115</v>
      </c>
      <c r="F335" s="256" t="s">
        <v>14409</v>
      </c>
      <c r="G335" s="258">
        <v>5.22</v>
      </c>
      <c r="I335" s="160">
        <f t="shared" si="4"/>
        <v>34157.529999999977</v>
      </c>
    </row>
    <row r="336" spans="2:9" hidden="1" x14ac:dyDescent="0.25">
      <c r="B336" s="106"/>
      <c r="C336" s="148" t="s">
        <v>2114</v>
      </c>
      <c r="D336" s="150">
        <v>43837</v>
      </c>
      <c r="E336" s="113" t="s">
        <v>2113</v>
      </c>
      <c r="F336" s="256" t="s">
        <v>14409</v>
      </c>
      <c r="G336" s="258">
        <v>8.48</v>
      </c>
      <c r="I336" s="160">
        <f t="shared" si="4"/>
        <v>34166.00999999998</v>
      </c>
    </row>
    <row r="337" spans="2:9" hidden="1" x14ac:dyDescent="0.25">
      <c r="B337" s="106"/>
      <c r="C337" s="148" t="s">
        <v>2112</v>
      </c>
      <c r="D337" s="150">
        <v>43837</v>
      </c>
      <c r="E337" s="113" t="s">
        <v>2111</v>
      </c>
      <c r="F337" s="256" t="s">
        <v>14409</v>
      </c>
      <c r="G337" s="258">
        <v>1.68</v>
      </c>
      <c r="I337" s="160">
        <f t="shared" si="4"/>
        <v>34167.689999999981</v>
      </c>
    </row>
    <row r="338" spans="2:9" ht="19.5" hidden="1" x14ac:dyDescent="0.25">
      <c r="B338" s="106"/>
      <c r="C338" s="148" t="s">
        <v>2110</v>
      </c>
      <c r="D338" s="150">
        <v>43837</v>
      </c>
      <c r="E338" s="113" t="s">
        <v>2109</v>
      </c>
      <c r="F338" s="256" t="s">
        <v>14409</v>
      </c>
      <c r="G338" s="258">
        <v>3.17</v>
      </c>
      <c r="I338" s="160">
        <f t="shared" si="4"/>
        <v>34170.859999999979</v>
      </c>
    </row>
    <row r="339" spans="2:9" hidden="1" x14ac:dyDescent="0.25">
      <c r="B339" s="106"/>
      <c r="C339" s="148" t="s">
        <v>2108</v>
      </c>
      <c r="D339" s="150">
        <v>43837</v>
      </c>
      <c r="E339" s="113" t="s">
        <v>2107</v>
      </c>
      <c r="F339" s="256" t="s">
        <v>14409</v>
      </c>
      <c r="G339" s="258">
        <v>8.3800000000000008</v>
      </c>
      <c r="I339" s="160">
        <f t="shared" si="4"/>
        <v>34179.239999999976</v>
      </c>
    </row>
    <row r="340" spans="2:9" ht="19.5" hidden="1" x14ac:dyDescent="0.25">
      <c r="B340" s="106"/>
      <c r="C340" s="148" t="s">
        <v>2106</v>
      </c>
      <c r="D340" s="150">
        <v>43837</v>
      </c>
      <c r="E340" s="113" t="s">
        <v>2105</v>
      </c>
      <c r="F340" s="256" t="s">
        <v>14409</v>
      </c>
      <c r="G340" s="258">
        <v>5.45</v>
      </c>
      <c r="I340" s="160">
        <f t="shared" ref="I340:I403" si="5">+I339+G340-H340</f>
        <v>34184.689999999973</v>
      </c>
    </row>
    <row r="341" spans="2:9" ht="19.5" hidden="1" x14ac:dyDescent="0.25">
      <c r="B341" s="106"/>
      <c r="C341" s="148" t="s">
        <v>2104</v>
      </c>
      <c r="D341" s="150">
        <v>43837</v>
      </c>
      <c r="E341" s="113" t="s">
        <v>2103</v>
      </c>
      <c r="F341" s="256" t="s">
        <v>14409</v>
      </c>
      <c r="G341" s="258">
        <v>3.57</v>
      </c>
      <c r="I341" s="160">
        <f t="shared" si="5"/>
        <v>34188.259999999973</v>
      </c>
    </row>
    <row r="342" spans="2:9" hidden="1" x14ac:dyDescent="0.25">
      <c r="B342" s="106"/>
      <c r="C342" s="148" t="s">
        <v>2102</v>
      </c>
      <c r="D342" s="150">
        <v>43837</v>
      </c>
      <c r="E342" s="113" t="s">
        <v>2101</v>
      </c>
      <c r="F342" s="256" t="s">
        <v>14409</v>
      </c>
      <c r="G342" s="258">
        <v>28.83</v>
      </c>
      <c r="I342" s="160">
        <f t="shared" si="5"/>
        <v>34217.089999999975</v>
      </c>
    </row>
    <row r="343" spans="2:9" ht="19.5" hidden="1" x14ac:dyDescent="0.25">
      <c r="B343" s="106"/>
      <c r="C343" s="148" t="s">
        <v>2100</v>
      </c>
      <c r="D343" s="150">
        <v>43837</v>
      </c>
      <c r="E343" s="113" t="s">
        <v>2099</v>
      </c>
      <c r="F343" s="256" t="s">
        <v>14409</v>
      </c>
      <c r="G343" s="258">
        <v>6.94</v>
      </c>
      <c r="I343" s="160">
        <f t="shared" si="5"/>
        <v>34224.029999999977</v>
      </c>
    </row>
    <row r="344" spans="2:9" hidden="1" x14ac:dyDescent="0.25">
      <c r="B344" s="106"/>
      <c r="C344" s="148" t="s">
        <v>2098</v>
      </c>
      <c r="D344" s="150">
        <v>43837</v>
      </c>
      <c r="E344" s="113" t="s">
        <v>2097</v>
      </c>
      <c r="F344" s="256" t="s">
        <v>14409</v>
      </c>
      <c r="G344" s="258">
        <v>1.9</v>
      </c>
      <c r="I344" s="160">
        <f t="shared" si="5"/>
        <v>34225.929999999978</v>
      </c>
    </row>
    <row r="345" spans="2:9" hidden="1" x14ac:dyDescent="0.25">
      <c r="B345" s="106"/>
      <c r="C345" s="148" t="s">
        <v>2096</v>
      </c>
      <c r="D345" s="150">
        <v>43837</v>
      </c>
      <c r="E345" s="113" t="s">
        <v>2095</v>
      </c>
      <c r="F345" s="256" t="s">
        <v>14409</v>
      </c>
      <c r="G345" s="258">
        <v>12.47</v>
      </c>
      <c r="I345" s="160">
        <f t="shared" si="5"/>
        <v>34238.39999999998</v>
      </c>
    </row>
    <row r="346" spans="2:9" hidden="1" x14ac:dyDescent="0.25">
      <c r="B346" s="106"/>
      <c r="C346" s="148" t="s">
        <v>2094</v>
      </c>
      <c r="D346" s="150">
        <v>43837</v>
      </c>
      <c r="E346" s="113" t="s">
        <v>2093</v>
      </c>
      <c r="F346" s="256" t="s">
        <v>14409</v>
      </c>
      <c r="G346" s="258">
        <v>5.33</v>
      </c>
      <c r="I346" s="160">
        <f t="shared" si="5"/>
        <v>34243.729999999981</v>
      </c>
    </row>
    <row r="347" spans="2:9" ht="19.5" hidden="1" x14ac:dyDescent="0.25">
      <c r="B347" s="106"/>
      <c r="C347" s="148" t="s">
        <v>2092</v>
      </c>
      <c r="D347" s="150">
        <v>43837</v>
      </c>
      <c r="E347" s="113" t="s">
        <v>2091</v>
      </c>
      <c r="F347" s="256" t="s">
        <v>14409</v>
      </c>
      <c r="G347" s="258">
        <v>0.37</v>
      </c>
      <c r="I347" s="160">
        <f t="shared" si="5"/>
        <v>34244.099999999984</v>
      </c>
    </row>
    <row r="348" spans="2:9" ht="19.5" hidden="1" x14ac:dyDescent="0.25">
      <c r="B348" s="106"/>
      <c r="C348" s="148" t="s">
        <v>2090</v>
      </c>
      <c r="D348" s="150">
        <v>43837</v>
      </c>
      <c r="E348" s="113" t="s">
        <v>2089</v>
      </c>
      <c r="F348" s="256" t="s">
        <v>14409</v>
      </c>
      <c r="G348" s="258">
        <v>16.239999999999998</v>
      </c>
      <c r="I348" s="160">
        <f t="shared" si="5"/>
        <v>34260.339999999982</v>
      </c>
    </row>
    <row r="349" spans="2:9" ht="19.5" hidden="1" x14ac:dyDescent="0.25">
      <c r="B349" s="106"/>
      <c r="C349" s="148" t="s">
        <v>2088</v>
      </c>
      <c r="D349" s="150">
        <v>43837</v>
      </c>
      <c r="E349" s="113" t="s">
        <v>2087</v>
      </c>
      <c r="F349" s="256" t="s">
        <v>14409</v>
      </c>
      <c r="G349" s="258">
        <v>20.54</v>
      </c>
      <c r="I349" s="160">
        <f t="shared" si="5"/>
        <v>34280.879999999983</v>
      </c>
    </row>
    <row r="350" spans="2:9" hidden="1" x14ac:dyDescent="0.25">
      <c r="B350" s="106"/>
      <c r="C350" s="148" t="s">
        <v>2086</v>
      </c>
      <c r="D350" s="150">
        <v>43837</v>
      </c>
      <c r="E350" s="113" t="s">
        <v>2085</v>
      </c>
      <c r="F350" s="256">
        <v>4</v>
      </c>
      <c r="G350" s="255">
        <v>8.3800000000000008</v>
      </c>
      <c r="I350" s="160">
        <f t="shared" si="5"/>
        <v>34289.25999999998</v>
      </c>
    </row>
    <row r="351" spans="2:9" ht="19.5" hidden="1" x14ac:dyDescent="0.25">
      <c r="B351" s="106"/>
      <c r="C351" s="148" t="s">
        <v>2084</v>
      </c>
      <c r="D351" s="150">
        <v>43837</v>
      </c>
      <c r="E351" s="113" t="s">
        <v>2083</v>
      </c>
      <c r="F351" s="256">
        <v>4</v>
      </c>
      <c r="G351" s="255">
        <v>17.88</v>
      </c>
      <c r="I351" s="160">
        <f t="shared" si="5"/>
        <v>34307.139999999978</v>
      </c>
    </row>
    <row r="352" spans="2:9" hidden="1" x14ac:dyDescent="0.25">
      <c r="B352" s="106"/>
      <c r="C352" s="148" t="s">
        <v>2082</v>
      </c>
      <c r="D352" s="150">
        <v>43837</v>
      </c>
      <c r="E352" s="113" t="s">
        <v>2081</v>
      </c>
      <c r="F352" s="256">
        <v>4</v>
      </c>
      <c r="G352" s="255">
        <v>12.69</v>
      </c>
      <c r="I352" s="160">
        <f t="shared" si="5"/>
        <v>34319.82999999998</v>
      </c>
    </row>
    <row r="353" spans="2:9" ht="19.5" hidden="1" x14ac:dyDescent="0.25">
      <c r="B353" s="106"/>
      <c r="C353" s="148" t="s">
        <v>2080</v>
      </c>
      <c r="D353" s="150">
        <v>43837</v>
      </c>
      <c r="E353" s="113" t="s">
        <v>2079</v>
      </c>
      <c r="F353" s="256">
        <v>4</v>
      </c>
      <c r="G353" s="255">
        <v>3.55</v>
      </c>
      <c r="I353" s="160">
        <f t="shared" si="5"/>
        <v>34323.379999999983</v>
      </c>
    </row>
    <row r="354" spans="2:9" ht="19.5" hidden="1" x14ac:dyDescent="0.25">
      <c r="B354" s="106"/>
      <c r="C354" s="148" t="s">
        <v>2078</v>
      </c>
      <c r="D354" s="150">
        <v>43837</v>
      </c>
      <c r="E354" s="113" t="s">
        <v>2077</v>
      </c>
      <c r="F354" s="256">
        <v>4</v>
      </c>
      <c r="G354" s="255">
        <v>40.270000000000003</v>
      </c>
      <c r="I354" s="160">
        <f t="shared" si="5"/>
        <v>34363.64999999998</v>
      </c>
    </row>
    <row r="355" spans="2:9" ht="19.5" hidden="1" x14ac:dyDescent="0.25">
      <c r="B355" s="106"/>
      <c r="C355" s="148" t="s">
        <v>2076</v>
      </c>
      <c r="D355" s="150">
        <v>43837</v>
      </c>
      <c r="E355" s="113" t="s">
        <v>2075</v>
      </c>
      <c r="F355" s="256">
        <v>4</v>
      </c>
      <c r="G355" s="255">
        <v>25.14</v>
      </c>
      <c r="I355" s="160">
        <f t="shared" si="5"/>
        <v>34388.789999999979</v>
      </c>
    </row>
    <row r="356" spans="2:9" ht="19.5" hidden="1" x14ac:dyDescent="0.25">
      <c r="B356" s="106"/>
      <c r="C356" s="148" t="s">
        <v>2074</v>
      </c>
      <c r="D356" s="150">
        <v>43837</v>
      </c>
      <c r="E356" s="113" t="s">
        <v>2073</v>
      </c>
      <c r="F356" s="256">
        <v>4</v>
      </c>
      <c r="G356" s="255">
        <v>6.24</v>
      </c>
      <c r="I356" s="160">
        <f t="shared" si="5"/>
        <v>34395.029999999977</v>
      </c>
    </row>
    <row r="357" spans="2:9" ht="29.25" hidden="1" x14ac:dyDescent="0.25">
      <c r="B357" s="148">
        <v>3273</v>
      </c>
      <c r="C357" s="148" t="s">
        <v>2072</v>
      </c>
      <c r="D357" s="150">
        <v>43838</v>
      </c>
      <c r="E357" s="113" t="s">
        <v>2071</v>
      </c>
      <c r="F357" s="257" t="s">
        <v>14432</v>
      </c>
      <c r="H357" s="161">
        <v>827.23</v>
      </c>
      <c r="I357" s="160">
        <f t="shared" si="5"/>
        <v>33567.799999999974</v>
      </c>
    </row>
    <row r="358" spans="2:9" ht="29.25" hidden="1" x14ac:dyDescent="0.25">
      <c r="B358" s="148">
        <v>3274</v>
      </c>
      <c r="C358" s="148" t="s">
        <v>2070</v>
      </c>
      <c r="D358" s="150">
        <v>43838</v>
      </c>
      <c r="E358" s="113" t="s">
        <v>2069</v>
      </c>
      <c r="F358" s="257" t="s">
        <v>14432</v>
      </c>
      <c r="H358" s="161">
        <v>154.56</v>
      </c>
      <c r="I358" s="160">
        <f t="shared" si="5"/>
        <v>33413.239999999976</v>
      </c>
    </row>
    <row r="359" spans="2:9" ht="29.25" hidden="1" x14ac:dyDescent="0.25">
      <c r="B359" s="148">
        <v>3275</v>
      </c>
      <c r="C359" s="148" t="s">
        <v>2068</v>
      </c>
      <c r="D359" s="150">
        <v>43838</v>
      </c>
      <c r="E359" s="113" t="s">
        <v>2067</v>
      </c>
      <c r="F359" s="257" t="s">
        <v>14432</v>
      </c>
      <c r="H359" s="161">
        <v>154.56</v>
      </c>
      <c r="I359" s="160">
        <f t="shared" si="5"/>
        <v>33258.679999999978</v>
      </c>
    </row>
    <row r="360" spans="2:9" ht="29.25" hidden="1" x14ac:dyDescent="0.25">
      <c r="B360" s="148">
        <v>3276</v>
      </c>
      <c r="C360" s="148" t="s">
        <v>2066</v>
      </c>
      <c r="D360" s="150">
        <v>43838</v>
      </c>
      <c r="E360" s="113" t="s">
        <v>2065</v>
      </c>
      <c r="F360" s="257" t="s">
        <v>14432</v>
      </c>
      <c r="H360" s="161">
        <v>538.72</v>
      </c>
      <c r="I360" s="160">
        <f t="shared" si="5"/>
        <v>32719.959999999977</v>
      </c>
    </row>
    <row r="361" spans="2:9" ht="29.25" hidden="1" x14ac:dyDescent="0.25">
      <c r="B361" s="148">
        <v>3277</v>
      </c>
      <c r="C361" s="148" t="s">
        <v>2064</v>
      </c>
      <c r="D361" s="150">
        <v>43838</v>
      </c>
      <c r="E361" s="113" t="s">
        <v>2063</v>
      </c>
      <c r="F361" s="257" t="s">
        <v>14432</v>
      </c>
      <c r="H361" s="161">
        <v>327.04000000000002</v>
      </c>
      <c r="I361" s="160">
        <f t="shared" si="5"/>
        <v>32392.919999999976</v>
      </c>
    </row>
    <row r="362" spans="2:9" ht="29.25" hidden="1" x14ac:dyDescent="0.25">
      <c r="B362" s="148">
        <v>3278</v>
      </c>
      <c r="C362" s="148" t="s">
        <v>2062</v>
      </c>
      <c r="D362" s="150">
        <v>43838</v>
      </c>
      <c r="E362" s="113" t="s">
        <v>2061</v>
      </c>
      <c r="F362" s="257" t="s">
        <v>14432</v>
      </c>
      <c r="H362" s="161">
        <v>15.47</v>
      </c>
      <c r="I362" s="160">
        <f t="shared" si="5"/>
        <v>32377.449999999975</v>
      </c>
    </row>
    <row r="363" spans="2:9" ht="19.5" hidden="1" x14ac:dyDescent="0.25">
      <c r="B363" s="148">
        <v>3279</v>
      </c>
      <c r="C363" s="148" t="s">
        <v>2060</v>
      </c>
      <c r="D363" s="150">
        <v>43838</v>
      </c>
      <c r="E363" s="113" t="s">
        <v>2059</v>
      </c>
      <c r="F363" s="257" t="s">
        <v>14432</v>
      </c>
      <c r="H363" s="161">
        <v>111.69</v>
      </c>
      <c r="I363" s="160">
        <f t="shared" si="5"/>
        <v>32265.759999999977</v>
      </c>
    </row>
    <row r="364" spans="2:9" ht="19.5" hidden="1" x14ac:dyDescent="0.25">
      <c r="B364" s="148">
        <v>3280</v>
      </c>
      <c r="C364" s="148" t="s">
        <v>2058</v>
      </c>
      <c r="D364" s="150">
        <v>43838</v>
      </c>
      <c r="E364" s="113" t="s">
        <v>2057</v>
      </c>
      <c r="F364" s="257" t="s">
        <v>14432</v>
      </c>
      <c r="H364" s="161">
        <v>317.52</v>
      </c>
      <c r="I364" s="160">
        <f t="shared" si="5"/>
        <v>31948.239999999976</v>
      </c>
    </row>
    <row r="365" spans="2:9" ht="19.5" hidden="1" x14ac:dyDescent="0.25">
      <c r="B365" s="148">
        <v>3281</v>
      </c>
      <c r="C365" s="148" t="s">
        <v>2056</v>
      </c>
      <c r="D365" s="150">
        <v>43838</v>
      </c>
      <c r="E365" s="113" t="s">
        <v>2055</v>
      </c>
      <c r="F365" s="257" t="s">
        <v>14432</v>
      </c>
      <c r="H365" s="161">
        <v>90</v>
      </c>
      <c r="I365" s="160">
        <f t="shared" si="5"/>
        <v>31858.239999999976</v>
      </c>
    </row>
    <row r="366" spans="2:9" ht="19.5" hidden="1" x14ac:dyDescent="0.25">
      <c r="B366" s="148">
        <v>3282</v>
      </c>
      <c r="C366" s="148" t="s">
        <v>2054</v>
      </c>
      <c r="D366" s="150">
        <v>43838</v>
      </c>
      <c r="E366" s="113" t="s">
        <v>2053</v>
      </c>
      <c r="F366" s="257" t="s">
        <v>14432</v>
      </c>
      <c r="H366" s="161">
        <v>440.68</v>
      </c>
      <c r="I366" s="160">
        <f t="shared" si="5"/>
        <v>31417.559999999976</v>
      </c>
    </row>
    <row r="367" spans="2:9" ht="19.5" hidden="1" x14ac:dyDescent="0.25">
      <c r="B367" s="148">
        <v>3283</v>
      </c>
      <c r="C367" s="148" t="s">
        <v>2052</v>
      </c>
      <c r="D367" s="150">
        <v>43838</v>
      </c>
      <c r="E367" s="113" t="s">
        <v>2051</v>
      </c>
      <c r="F367" s="257" t="s">
        <v>14432</v>
      </c>
      <c r="H367" s="161">
        <v>93.12</v>
      </c>
      <c r="I367" s="160">
        <f t="shared" si="5"/>
        <v>31324.439999999977</v>
      </c>
    </row>
    <row r="368" spans="2:9" ht="29.25" hidden="1" x14ac:dyDescent="0.25">
      <c r="B368" s="148">
        <v>3284</v>
      </c>
      <c r="C368" s="148" t="s">
        <v>2050</v>
      </c>
      <c r="D368" s="150">
        <v>43838</v>
      </c>
      <c r="E368" s="113" t="s">
        <v>2049</v>
      </c>
      <c r="F368" s="257" t="s">
        <v>14432</v>
      </c>
      <c r="H368" s="161">
        <v>97.69</v>
      </c>
      <c r="I368" s="160">
        <f t="shared" si="5"/>
        <v>31226.749999999978</v>
      </c>
    </row>
    <row r="369" spans="2:9" ht="19.5" hidden="1" x14ac:dyDescent="0.25">
      <c r="B369" s="148"/>
      <c r="C369" s="148" t="s">
        <v>2048</v>
      </c>
      <c r="D369" s="150">
        <v>43838</v>
      </c>
      <c r="E369" s="113" t="s">
        <v>2047</v>
      </c>
      <c r="F369" s="257" t="s">
        <v>14436</v>
      </c>
      <c r="G369" s="160">
        <v>166.4</v>
      </c>
      <c r="I369" s="160">
        <f t="shared" si="5"/>
        <v>31393.14999999998</v>
      </c>
    </row>
    <row r="370" spans="2:9" hidden="1" x14ac:dyDescent="0.25">
      <c r="B370" s="148"/>
      <c r="C370" s="148" t="s">
        <v>2046</v>
      </c>
      <c r="D370" s="150">
        <v>43838</v>
      </c>
      <c r="E370" s="113" t="s">
        <v>2045</v>
      </c>
      <c r="F370" s="257" t="s">
        <v>14443</v>
      </c>
      <c r="G370" s="160">
        <v>19.920000000000002</v>
      </c>
      <c r="I370" s="160">
        <f t="shared" si="5"/>
        <v>31413.069999999978</v>
      </c>
    </row>
    <row r="371" spans="2:9" ht="19.5" hidden="1" x14ac:dyDescent="0.25">
      <c r="B371" s="148"/>
      <c r="C371" s="148" t="s">
        <v>2044</v>
      </c>
      <c r="D371" s="150">
        <v>43838</v>
      </c>
      <c r="E371" s="113" t="s">
        <v>2043</v>
      </c>
      <c r="F371" s="257" t="s">
        <v>14443</v>
      </c>
      <c r="G371" s="160">
        <v>42.54</v>
      </c>
      <c r="I371" s="160">
        <f t="shared" si="5"/>
        <v>31455.609999999979</v>
      </c>
    </row>
    <row r="372" spans="2:9" ht="19.5" hidden="1" x14ac:dyDescent="0.25">
      <c r="B372" s="148"/>
      <c r="C372" s="148" t="s">
        <v>2042</v>
      </c>
      <c r="D372" s="150">
        <v>43838</v>
      </c>
      <c r="E372" s="113" t="s">
        <v>2041</v>
      </c>
      <c r="F372" s="257" t="s">
        <v>14443</v>
      </c>
      <c r="G372" s="160">
        <v>21.32</v>
      </c>
      <c r="I372" s="160">
        <f t="shared" si="5"/>
        <v>31476.929999999978</v>
      </c>
    </row>
    <row r="373" spans="2:9" hidden="1" x14ac:dyDescent="0.25">
      <c r="B373" s="148"/>
      <c r="C373" s="148" t="s">
        <v>2040</v>
      </c>
      <c r="D373" s="150">
        <v>43838</v>
      </c>
      <c r="E373" s="113" t="s">
        <v>2039</v>
      </c>
      <c r="F373" s="257" t="s">
        <v>14443</v>
      </c>
      <c r="G373" s="160">
        <v>4.79</v>
      </c>
      <c r="I373" s="160">
        <f t="shared" si="5"/>
        <v>31481.719999999979</v>
      </c>
    </row>
    <row r="374" spans="2:9" ht="19.5" hidden="1" x14ac:dyDescent="0.25">
      <c r="B374" s="148"/>
      <c r="C374" s="148" t="s">
        <v>2038</v>
      </c>
      <c r="D374" s="150">
        <v>43838</v>
      </c>
      <c r="E374" s="113" t="s">
        <v>2037</v>
      </c>
      <c r="F374" s="257" t="s">
        <v>14436</v>
      </c>
      <c r="G374" s="160">
        <v>30.05</v>
      </c>
      <c r="I374" s="160">
        <f t="shared" si="5"/>
        <v>31511.769999999979</v>
      </c>
    </row>
    <row r="375" spans="2:9" ht="19.5" hidden="1" x14ac:dyDescent="0.25">
      <c r="B375" s="148"/>
      <c r="C375" s="148" t="s">
        <v>2036</v>
      </c>
      <c r="D375" s="150">
        <v>43838</v>
      </c>
      <c r="E375" s="113" t="s">
        <v>2035</v>
      </c>
      <c r="F375" s="257" t="s">
        <v>14443</v>
      </c>
      <c r="G375" s="160">
        <v>0.59</v>
      </c>
      <c r="I375" s="160">
        <f t="shared" si="5"/>
        <v>31512.359999999979</v>
      </c>
    </row>
    <row r="376" spans="2:9" ht="19.5" hidden="1" x14ac:dyDescent="0.25">
      <c r="B376" s="148"/>
      <c r="C376" s="148" t="s">
        <v>2034</v>
      </c>
      <c r="D376" s="150">
        <v>43838</v>
      </c>
      <c r="E376" s="113" t="s">
        <v>2033</v>
      </c>
      <c r="F376" s="257" t="s">
        <v>14436</v>
      </c>
      <c r="G376" s="160">
        <v>152.53</v>
      </c>
      <c r="I376" s="160">
        <f t="shared" si="5"/>
        <v>31664.889999999978</v>
      </c>
    </row>
    <row r="377" spans="2:9" hidden="1" x14ac:dyDescent="0.25">
      <c r="B377" s="148"/>
      <c r="C377" s="148" t="s">
        <v>2032</v>
      </c>
      <c r="D377" s="150">
        <v>43838</v>
      </c>
      <c r="E377" s="113" t="s">
        <v>2031</v>
      </c>
      <c r="F377" s="257" t="s">
        <v>14443</v>
      </c>
      <c r="G377" s="160">
        <v>8.86</v>
      </c>
      <c r="I377" s="160">
        <f t="shared" si="5"/>
        <v>31673.749999999978</v>
      </c>
    </row>
    <row r="378" spans="2:9" ht="19.5" hidden="1" x14ac:dyDescent="0.25">
      <c r="B378" s="148"/>
      <c r="C378" s="148" t="s">
        <v>2030</v>
      </c>
      <c r="D378" s="150">
        <v>43838</v>
      </c>
      <c r="E378" s="113" t="s">
        <v>2029</v>
      </c>
      <c r="F378" s="257" t="s">
        <v>14443</v>
      </c>
      <c r="G378" s="160">
        <v>13.51</v>
      </c>
      <c r="I378" s="160">
        <f t="shared" si="5"/>
        <v>31687.259999999977</v>
      </c>
    </row>
    <row r="379" spans="2:9" ht="19.5" hidden="1" x14ac:dyDescent="0.25">
      <c r="B379" s="148"/>
      <c r="C379" s="148" t="s">
        <v>2028</v>
      </c>
      <c r="D379" s="150">
        <v>43838</v>
      </c>
      <c r="E379" s="113" t="s">
        <v>2027</v>
      </c>
      <c r="F379" s="257" t="s">
        <v>14443</v>
      </c>
      <c r="G379" s="160">
        <v>20.25</v>
      </c>
      <c r="I379" s="160">
        <f t="shared" si="5"/>
        <v>31707.509999999977</v>
      </c>
    </row>
    <row r="380" spans="2:9" hidden="1" x14ac:dyDescent="0.25">
      <c r="B380" s="148"/>
      <c r="C380" s="148" t="s">
        <v>2026</v>
      </c>
      <c r="D380" s="150">
        <v>43838</v>
      </c>
      <c r="E380" s="113" t="s">
        <v>2025</v>
      </c>
      <c r="F380" s="257" t="s">
        <v>14443</v>
      </c>
      <c r="G380" s="160">
        <v>3.74</v>
      </c>
      <c r="I380" s="160">
        <f t="shared" si="5"/>
        <v>31711.249999999978</v>
      </c>
    </row>
    <row r="381" spans="2:9" ht="19.5" hidden="1" x14ac:dyDescent="0.25">
      <c r="B381" s="148"/>
      <c r="C381" s="148" t="s">
        <v>2024</v>
      </c>
      <c r="D381" s="150">
        <v>43838</v>
      </c>
      <c r="E381" s="113" t="s">
        <v>2023</v>
      </c>
      <c r="F381" s="257" t="s">
        <v>14443</v>
      </c>
      <c r="G381" s="160">
        <v>1.47</v>
      </c>
      <c r="I381" s="160">
        <f t="shared" si="5"/>
        <v>31712.719999999979</v>
      </c>
    </row>
    <row r="382" spans="2:9" ht="19.5" hidden="1" x14ac:dyDescent="0.25">
      <c r="B382" s="148"/>
      <c r="C382" s="148" t="s">
        <v>2022</v>
      </c>
      <c r="D382" s="150">
        <v>43838</v>
      </c>
      <c r="E382" s="113" t="s">
        <v>2021</v>
      </c>
      <c r="F382" s="257" t="s">
        <v>14443</v>
      </c>
      <c r="G382" s="160">
        <v>19.57</v>
      </c>
      <c r="I382" s="160">
        <f t="shared" si="5"/>
        <v>31732.289999999979</v>
      </c>
    </row>
    <row r="383" spans="2:9" ht="19.5" hidden="1" x14ac:dyDescent="0.25">
      <c r="B383" s="148"/>
      <c r="C383" s="148" t="s">
        <v>2020</v>
      </c>
      <c r="D383" s="150">
        <v>43838</v>
      </c>
      <c r="E383" s="113" t="s">
        <v>2019</v>
      </c>
      <c r="F383" s="257" t="s">
        <v>14443</v>
      </c>
      <c r="G383" s="160">
        <v>5.66</v>
      </c>
      <c r="I383" s="160">
        <f t="shared" si="5"/>
        <v>31737.949999999979</v>
      </c>
    </row>
    <row r="384" spans="2:9" ht="19.5" hidden="1" x14ac:dyDescent="0.25">
      <c r="B384" s="148"/>
      <c r="C384" s="148" t="s">
        <v>2018</v>
      </c>
      <c r="D384" s="150">
        <v>43838</v>
      </c>
      <c r="E384" s="113" t="s">
        <v>2017</v>
      </c>
      <c r="F384" s="257" t="s">
        <v>14437</v>
      </c>
      <c r="G384" s="160">
        <v>8.4600000000000009</v>
      </c>
      <c r="I384" s="160">
        <f t="shared" si="5"/>
        <v>31746.409999999978</v>
      </c>
    </row>
    <row r="385" spans="2:9" hidden="1" x14ac:dyDescent="0.25">
      <c r="B385" s="148"/>
      <c r="C385" s="148" t="s">
        <v>2016</v>
      </c>
      <c r="D385" s="150">
        <v>43838</v>
      </c>
      <c r="E385" s="113" t="s">
        <v>2015</v>
      </c>
      <c r="F385" s="257" t="s">
        <v>14443</v>
      </c>
      <c r="G385" s="160">
        <v>20.68</v>
      </c>
      <c r="I385" s="160">
        <f t="shared" si="5"/>
        <v>31767.089999999978</v>
      </c>
    </row>
    <row r="386" spans="2:9" ht="19.5" hidden="1" x14ac:dyDescent="0.25">
      <c r="B386" s="106"/>
      <c r="C386" s="148" t="s">
        <v>2014</v>
      </c>
      <c r="D386" s="150">
        <v>43838</v>
      </c>
      <c r="E386" s="113" t="s">
        <v>2013</v>
      </c>
      <c r="F386" s="256" t="s">
        <v>14409</v>
      </c>
      <c r="G386" s="258">
        <v>4.8099999999999996</v>
      </c>
      <c r="I386" s="160">
        <f t="shared" si="5"/>
        <v>31771.89999999998</v>
      </c>
    </row>
    <row r="387" spans="2:9" ht="19.5" hidden="1" x14ac:dyDescent="0.25">
      <c r="B387" s="106"/>
      <c r="C387" s="148" t="s">
        <v>2012</v>
      </c>
      <c r="D387" s="150">
        <v>43838</v>
      </c>
      <c r="E387" s="113" t="s">
        <v>2011</v>
      </c>
      <c r="F387" s="256" t="s">
        <v>14409</v>
      </c>
      <c r="G387" s="258">
        <v>2.4500000000000002</v>
      </c>
      <c r="I387" s="160">
        <f t="shared" si="5"/>
        <v>31774.34999999998</v>
      </c>
    </row>
    <row r="388" spans="2:9" hidden="1" x14ac:dyDescent="0.25">
      <c r="B388" s="106"/>
      <c r="C388" s="148" t="s">
        <v>2010</v>
      </c>
      <c r="D388" s="150">
        <v>43838</v>
      </c>
      <c r="E388" s="113" t="s">
        <v>2009</v>
      </c>
      <c r="F388" s="256" t="s">
        <v>14409</v>
      </c>
      <c r="G388" s="258">
        <v>9.4</v>
      </c>
      <c r="I388" s="160">
        <f t="shared" si="5"/>
        <v>31783.749999999982</v>
      </c>
    </row>
    <row r="389" spans="2:9" ht="19.5" hidden="1" x14ac:dyDescent="0.25">
      <c r="B389" s="106"/>
      <c r="C389" s="148" t="s">
        <v>2008</v>
      </c>
      <c r="D389" s="150">
        <v>43838</v>
      </c>
      <c r="E389" s="113" t="s">
        <v>2007</v>
      </c>
      <c r="F389" s="256" t="s">
        <v>14409</v>
      </c>
      <c r="G389" s="258">
        <v>10.119999999999999</v>
      </c>
      <c r="I389" s="160">
        <f t="shared" si="5"/>
        <v>31793.869999999981</v>
      </c>
    </row>
    <row r="390" spans="2:9" ht="19.5" hidden="1" x14ac:dyDescent="0.25">
      <c r="B390" s="106"/>
      <c r="C390" s="148" t="s">
        <v>2006</v>
      </c>
      <c r="D390" s="150">
        <v>43838</v>
      </c>
      <c r="E390" s="113" t="s">
        <v>2005</v>
      </c>
      <c r="F390" s="256" t="s">
        <v>14409</v>
      </c>
      <c r="G390" s="258">
        <v>5.24</v>
      </c>
      <c r="I390" s="160">
        <f t="shared" si="5"/>
        <v>31799.109999999982</v>
      </c>
    </row>
    <row r="391" spans="2:9" ht="19.5" hidden="1" x14ac:dyDescent="0.25">
      <c r="B391" s="106"/>
      <c r="C391" s="148" t="s">
        <v>2004</v>
      </c>
      <c r="D391" s="150">
        <v>43838</v>
      </c>
      <c r="E391" s="113" t="s">
        <v>2003</v>
      </c>
      <c r="F391" s="256" t="s">
        <v>14409</v>
      </c>
      <c r="G391" s="258">
        <v>5.91</v>
      </c>
      <c r="I391" s="160">
        <f t="shared" si="5"/>
        <v>31805.019999999982</v>
      </c>
    </row>
    <row r="392" spans="2:9" ht="19.5" hidden="1" x14ac:dyDescent="0.25">
      <c r="B392" s="106"/>
      <c r="C392" s="148" t="s">
        <v>2002</v>
      </c>
      <c r="D392" s="150">
        <v>43838</v>
      </c>
      <c r="E392" s="113" t="s">
        <v>2001</v>
      </c>
      <c r="F392" s="256" t="s">
        <v>14409</v>
      </c>
      <c r="G392" s="258">
        <v>1.4</v>
      </c>
      <c r="I392" s="160">
        <f t="shared" si="5"/>
        <v>31806.419999999984</v>
      </c>
    </row>
    <row r="393" spans="2:9" ht="19.5" hidden="1" x14ac:dyDescent="0.25">
      <c r="B393" s="106"/>
      <c r="C393" s="148" t="s">
        <v>2000</v>
      </c>
      <c r="D393" s="150">
        <v>43838</v>
      </c>
      <c r="E393" s="113" t="s">
        <v>1999</v>
      </c>
      <c r="F393" s="256" t="s">
        <v>14409</v>
      </c>
      <c r="G393" s="258">
        <v>3.91</v>
      </c>
      <c r="I393" s="160">
        <f t="shared" si="5"/>
        <v>31810.329999999984</v>
      </c>
    </row>
    <row r="394" spans="2:9" ht="19.5" hidden="1" x14ac:dyDescent="0.25">
      <c r="B394" s="106"/>
      <c r="C394" s="148" t="s">
        <v>1998</v>
      </c>
      <c r="D394" s="150">
        <v>43838</v>
      </c>
      <c r="E394" s="113" t="s">
        <v>1997</v>
      </c>
      <c r="F394" s="256" t="s">
        <v>14409</v>
      </c>
      <c r="G394" s="258">
        <v>2.78</v>
      </c>
      <c r="I394" s="160">
        <f t="shared" si="5"/>
        <v>31813.109999999982</v>
      </c>
    </row>
    <row r="395" spans="2:9" hidden="1" x14ac:dyDescent="0.25">
      <c r="B395" s="106"/>
      <c r="C395" s="148" t="s">
        <v>1996</v>
      </c>
      <c r="D395" s="150">
        <v>43838</v>
      </c>
      <c r="E395" s="113" t="s">
        <v>1995</v>
      </c>
      <c r="F395" s="256" t="s">
        <v>14409</v>
      </c>
      <c r="G395" s="258">
        <v>5.99</v>
      </c>
      <c r="I395" s="160">
        <f t="shared" si="5"/>
        <v>31819.099999999984</v>
      </c>
    </row>
    <row r="396" spans="2:9" hidden="1" x14ac:dyDescent="0.25">
      <c r="B396" s="106"/>
      <c r="C396" s="148" t="s">
        <v>1994</v>
      </c>
      <c r="D396" s="150">
        <v>43838</v>
      </c>
      <c r="E396" s="113" t="s">
        <v>1993</v>
      </c>
      <c r="F396" s="256" t="s">
        <v>14409</v>
      </c>
      <c r="G396" s="258">
        <v>1.83</v>
      </c>
      <c r="I396" s="160">
        <f t="shared" si="5"/>
        <v>31820.929999999986</v>
      </c>
    </row>
    <row r="397" spans="2:9" ht="19.5" hidden="1" x14ac:dyDescent="0.25">
      <c r="B397" s="106"/>
      <c r="C397" s="148" t="s">
        <v>1992</v>
      </c>
      <c r="D397" s="150">
        <v>43838</v>
      </c>
      <c r="E397" s="113" t="s">
        <v>1991</v>
      </c>
      <c r="F397" s="256" t="s">
        <v>14409</v>
      </c>
      <c r="G397" s="258">
        <v>1.31</v>
      </c>
      <c r="I397" s="160">
        <f t="shared" si="5"/>
        <v>31822.239999999987</v>
      </c>
    </row>
    <row r="398" spans="2:9" ht="19.5" hidden="1" x14ac:dyDescent="0.25">
      <c r="B398" s="106"/>
      <c r="C398" s="148" t="s">
        <v>1990</v>
      </c>
      <c r="D398" s="150">
        <v>43838</v>
      </c>
      <c r="E398" s="113" t="s">
        <v>1989</v>
      </c>
      <c r="F398" s="256" t="s">
        <v>14409</v>
      </c>
      <c r="G398" s="258">
        <v>4.29</v>
      </c>
      <c r="I398" s="160">
        <f t="shared" si="5"/>
        <v>31826.529999999988</v>
      </c>
    </row>
    <row r="399" spans="2:9" ht="19.5" hidden="1" x14ac:dyDescent="0.25">
      <c r="B399" s="106"/>
      <c r="C399" s="148" t="s">
        <v>1988</v>
      </c>
      <c r="D399" s="150">
        <v>43838</v>
      </c>
      <c r="E399" s="113" t="s">
        <v>1987</v>
      </c>
      <c r="F399" s="256" t="s">
        <v>14409</v>
      </c>
      <c r="G399" s="258">
        <v>3.71</v>
      </c>
      <c r="I399" s="160">
        <f t="shared" si="5"/>
        <v>31830.239999999987</v>
      </c>
    </row>
    <row r="400" spans="2:9" hidden="1" x14ac:dyDescent="0.25">
      <c r="B400" s="106"/>
      <c r="C400" s="148" t="s">
        <v>1986</v>
      </c>
      <c r="D400" s="150">
        <v>43838</v>
      </c>
      <c r="E400" s="113" t="s">
        <v>1985</v>
      </c>
      <c r="F400" s="256" t="s">
        <v>14409</v>
      </c>
      <c r="G400" s="258">
        <v>0.48</v>
      </c>
      <c r="I400" s="160">
        <f t="shared" si="5"/>
        <v>31830.719999999987</v>
      </c>
    </row>
    <row r="401" spans="2:9" ht="19.5" hidden="1" x14ac:dyDescent="0.25">
      <c r="B401" s="106"/>
      <c r="C401" s="148" t="s">
        <v>1984</v>
      </c>
      <c r="D401" s="150">
        <v>43838</v>
      </c>
      <c r="E401" s="113" t="s">
        <v>1983</v>
      </c>
      <c r="F401" s="256" t="s">
        <v>14409</v>
      </c>
      <c r="G401" s="258">
        <v>16.760000000000002</v>
      </c>
      <c r="I401" s="160">
        <f t="shared" si="5"/>
        <v>31847.479999999985</v>
      </c>
    </row>
    <row r="402" spans="2:9" ht="19.5" hidden="1" x14ac:dyDescent="0.25">
      <c r="B402" s="106"/>
      <c r="C402" s="148" t="s">
        <v>1982</v>
      </c>
      <c r="D402" s="150">
        <v>43838</v>
      </c>
      <c r="E402" s="113" t="s">
        <v>1981</v>
      </c>
      <c r="F402" s="256" t="s">
        <v>14409</v>
      </c>
      <c r="G402" s="258">
        <v>6.78</v>
      </c>
      <c r="I402" s="160">
        <f t="shared" si="5"/>
        <v>31854.259999999984</v>
      </c>
    </row>
    <row r="403" spans="2:9" ht="19.5" hidden="1" x14ac:dyDescent="0.25">
      <c r="B403" s="106"/>
      <c r="C403" s="148" t="s">
        <v>1980</v>
      </c>
      <c r="D403" s="150">
        <v>43838</v>
      </c>
      <c r="E403" s="113" t="s">
        <v>1979</v>
      </c>
      <c r="F403" s="256" t="s">
        <v>14409</v>
      </c>
      <c r="G403" s="258">
        <v>15.57</v>
      </c>
      <c r="I403" s="160">
        <f t="shared" si="5"/>
        <v>31869.829999999984</v>
      </c>
    </row>
    <row r="404" spans="2:9" ht="19.5" hidden="1" x14ac:dyDescent="0.25">
      <c r="B404" s="106"/>
      <c r="C404" s="148" t="s">
        <v>1978</v>
      </c>
      <c r="D404" s="150">
        <v>43838</v>
      </c>
      <c r="E404" s="113" t="s">
        <v>1977</v>
      </c>
      <c r="F404" s="256" t="s">
        <v>14409</v>
      </c>
      <c r="G404" s="258">
        <v>3.58</v>
      </c>
      <c r="I404" s="160">
        <f t="shared" ref="I404:I467" si="6">+I403+G404-H404</f>
        <v>31873.409999999985</v>
      </c>
    </row>
    <row r="405" spans="2:9" ht="19.5" hidden="1" x14ac:dyDescent="0.25">
      <c r="B405" s="106"/>
      <c r="C405" s="148" t="s">
        <v>1976</v>
      </c>
      <c r="D405" s="150">
        <v>43838</v>
      </c>
      <c r="E405" s="113" t="s">
        <v>1975</v>
      </c>
      <c r="F405" s="256" t="s">
        <v>14409</v>
      </c>
      <c r="G405" s="258">
        <v>0.28999999999999998</v>
      </c>
      <c r="I405" s="160">
        <f t="shared" si="6"/>
        <v>31873.699999999986</v>
      </c>
    </row>
    <row r="406" spans="2:9" ht="19.5" hidden="1" x14ac:dyDescent="0.25">
      <c r="B406" s="106"/>
      <c r="C406" s="148" t="s">
        <v>1974</v>
      </c>
      <c r="D406" s="150">
        <v>43838</v>
      </c>
      <c r="E406" s="113" t="s">
        <v>1973</v>
      </c>
      <c r="F406" s="256" t="s">
        <v>14409</v>
      </c>
      <c r="G406" s="258">
        <v>6.66</v>
      </c>
      <c r="I406" s="160">
        <f t="shared" si="6"/>
        <v>31880.359999999986</v>
      </c>
    </row>
    <row r="407" spans="2:9" ht="19.5" hidden="1" x14ac:dyDescent="0.25">
      <c r="B407" s="106"/>
      <c r="C407" s="148" t="s">
        <v>1972</v>
      </c>
      <c r="D407" s="150">
        <v>43838</v>
      </c>
      <c r="E407" s="113" t="s">
        <v>1971</v>
      </c>
      <c r="F407" s="256" t="s">
        <v>14409</v>
      </c>
      <c r="G407" s="258">
        <v>13.88</v>
      </c>
      <c r="I407" s="160">
        <f t="shared" si="6"/>
        <v>31894.239999999987</v>
      </c>
    </row>
    <row r="408" spans="2:9" ht="19.5" hidden="1" x14ac:dyDescent="0.25">
      <c r="B408" s="106"/>
      <c r="C408" s="148" t="s">
        <v>1970</v>
      </c>
      <c r="D408" s="150">
        <v>43838</v>
      </c>
      <c r="E408" s="113" t="s">
        <v>1969</v>
      </c>
      <c r="F408" s="256" t="s">
        <v>14409</v>
      </c>
      <c r="G408" s="258">
        <v>8.51</v>
      </c>
      <c r="I408" s="160">
        <f t="shared" si="6"/>
        <v>31902.749999999985</v>
      </c>
    </row>
    <row r="409" spans="2:9" ht="19.5" hidden="1" x14ac:dyDescent="0.25">
      <c r="B409" s="106"/>
      <c r="C409" s="148" t="s">
        <v>1968</v>
      </c>
      <c r="D409" s="150">
        <v>43838</v>
      </c>
      <c r="E409" s="113" t="s">
        <v>1967</v>
      </c>
      <c r="F409" s="256" t="s">
        <v>14409</v>
      </c>
      <c r="G409" s="258">
        <v>1.88</v>
      </c>
      <c r="I409" s="160">
        <f t="shared" si="6"/>
        <v>31904.629999999986</v>
      </c>
    </row>
    <row r="410" spans="2:9" ht="19.5" hidden="1" x14ac:dyDescent="0.25">
      <c r="B410" s="106"/>
      <c r="C410" s="148" t="s">
        <v>1966</v>
      </c>
      <c r="D410" s="150">
        <v>43838</v>
      </c>
      <c r="E410" s="113" t="s">
        <v>1965</v>
      </c>
      <c r="F410" s="256" t="s">
        <v>14409</v>
      </c>
      <c r="G410" s="258">
        <v>7.01</v>
      </c>
      <c r="I410" s="160">
        <f t="shared" si="6"/>
        <v>31911.639999999985</v>
      </c>
    </row>
    <row r="411" spans="2:9" ht="19.5" hidden="1" x14ac:dyDescent="0.25">
      <c r="B411" s="106"/>
      <c r="C411" s="148" t="s">
        <v>1964</v>
      </c>
      <c r="D411" s="150">
        <v>43838</v>
      </c>
      <c r="E411" s="113" t="s">
        <v>1963</v>
      </c>
      <c r="F411" s="256" t="s">
        <v>14409</v>
      </c>
      <c r="G411" s="258">
        <v>9.99</v>
      </c>
      <c r="I411" s="160">
        <f t="shared" si="6"/>
        <v>31921.629999999986</v>
      </c>
    </row>
    <row r="412" spans="2:9" ht="19.5" hidden="1" x14ac:dyDescent="0.25">
      <c r="B412" s="106"/>
      <c r="C412" s="148" t="s">
        <v>1962</v>
      </c>
      <c r="D412" s="150">
        <v>43838</v>
      </c>
      <c r="E412" s="113" t="s">
        <v>1961</v>
      </c>
      <c r="F412" s="256" t="s">
        <v>14409</v>
      </c>
      <c r="G412" s="258">
        <v>3.36</v>
      </c>
      <c r="I412" s="160">
        <f t="shared" si="6"/>
        <v>31924.989999999987</v>
      </c>
    </row>
    <row r="413" spans="2:9" ht="19.5" hidden="1" x14ac:dyDescent="0.25">
      <c r="B413" s="106"/>
      <c r="C413" s="148" t="s">
        <v>1960</v>
      </c>
      <c r="D413" s="150">
        <v>43838</v>
      </c>
      <c r="E413" s="113" t="s">
        <v>1959</v>
      </c>
      <c r="F413" s="256" t="s">
        <v>14409</v>
      </c>
      <c r="G413" s="258">
        <v>1.7</v>
      </c>
      <c r="I413" s="160">
        <f t="shared" si="6"/>
        <v>31926.689999999988</v>
      </c>
    </row>
    <row r="414" spans="2:9" hidden="1" x14ac:dyDescent="0.25">
      <c r="B414" s="106"/>
      <c r="C414" s="148" t="s">
        <v>1958</v>
      </c>
      <c r="D414" s="150">
        <v>43838</v>
      </c>
      <c r="E414" s="113" t="s">
        <v>1957</v>
      </c>
      <c r="F414" s="256" t="s">
        <v>14409</v>
      </c>
      <c r="G414" s="258">
        <v>0.13</v>
      </c>
      <c r="I414" s="160">
        <f t="shared" si="6"/>
        <v>31926.819999999989</v>
      </c>
    </row>
    <row r="415" spans="2:9" hidden="1" x14ac:dyDescent="0.25">
      <c r="B415" s="106"/>
      <c r="C415" s="148" t="s">
        <v>1956</v>
      </c>
      <c r="D415" s="150">
        <v>43838</v>
      </c>
      <c r="E415" s="113" t="s">
        <v>1955</v>
      </c>
      <c r="F415" s="256" t="s">
        <v>14409</v>
      </c>
      <c r="G415" s="258">
        <v>8.3800000000000008</v>
      </c>
      <c r="I415" s="160">
        <f t="shared" si="6"/>
        <v>31935.19999999999</v>
      </c>
    </row>
    <row r="416" spans="2:9" ht="19.5" hidden="1" x14ac:dyDescent="0.25">
      <c r="B416" s="106"/>
      <c r="C416" s="148" t="s">
        <v>1954</v>
      </c>
      <c r="D416" s="150">
        <v>43838</v>
      </c>
      <c r="E416" s="113" t="s">
        <v>1953</v>
      </c>
      <c r="F416" s="256" t="s">
        <v>14409</v>
      </c>
      <c r="G416" s="258">
        <v>20.83</v>
      </c>
      <c r="I416" s="160">
        <f t="shared" si="6"/>
        <v>31956.029999999992</v>
      </c>
    </row>
    <row r="417" spans="2:9" ht="19.5" hidden="1" x14ac:dyDescent="0.25">
      <c r="B417" s="106"/>
      <c r="C417" s="148" t="s">
        <v>1952</v>
      </c>
      <c r="D417" s="150">
        <v>43838</v>
      </c>
      <c r="E417" s="113" t="s">
        <v>1951</v>
      </c>
      <c r="F417" s="256" t="s">
        <v>14409</v>
      </c>
      <c r="G417" s="258">
        <v>4.13</v>
      </c>
      <c r="I417" s="160">
        <f t="shared" si="6"/>
        <v>31960.159999999993</v>
      </c>
    </row>
    <row r="418" spans="2:9" hidden="1" x14ac:dyDescent="0.25">
      <c r="B418" s="106"/>
      <c r="C418" s="148" t="s">
        <v>1950</v>
      </c>
      <c r="D418" s="150">
        <v>43838</v>
      </c>
      <c r="E418" s="113" t="s">
        <v>1949</v>
      </c>
      <c r="F418" s="256" t="s">
        <v>14409</v>
      </c>
      <c r="G418" s="258">
        <v>6.1</v>
      </c>
      <c r="I418" s="160">
        <f t="shared" si="6"/>
        <v>31966.259999999991</v>
      </c>
    </row>
    <row r="419" spans="2:9" ht="19.5" hidden="1" x14ac:dyDescent="0.25">
      <c r="B419" s="106"/>
      <c r="C419" s="148" t="s">
        <v>1948</v>
      </c>
      <c r="D419" s="150">
        <v>43838</v>
      </c>
      <c r="E419" s="113" t="s">
        <v>1947</v>
      </c>
      <c r="F419" s="256" t="s">
        <v>14409</v>
      </c>
      <c r="G419" s="258">
        <v>9.35</v>
      </c>
      <c r="I419" s="160">
        <f t="shared" si="6"/>
        <v>31975.60999999999</v>
      </c>
    </row>
    <row r="420" spans="2:9" ht="19.5" hidden="1" x14ac:dyDescent="0.25">
      <c r="B420" s="106"/>
      <c r="C420" s="148" t="s">
        <v>1946</v>
      </c>
      <c r="D420" s="150">
        <v>43838</v>
      </c>
      <c r="E420" s="113" t="s">
        <v>1945</v>
      </c>
      <c r="F420" s="256" t="s">
        <v>14409</v>
      </c>
      <c r="G420" s="258">
        <v>6.23</v>
      </c>
      <c r="I420" s="160">
        <f t="shared" si="6"/>
        <v>31981.839999999989</v>
      </c>
    </row>
    <row r="421" spans="2:9" ht="19.5" hidden="1" x14ac:dyDescent="0.25">
      <c r="B421" s="106"/>
      <c r="C421" s="148" t="s">
        <v>1944</v>
      </c>
      <c r="D421" s="150">
        <v>43838</v>
      </c>
      <c r="E421" s="113" t="s">
        <v>1943</v>
      </c>
      <c r="F421" s="256" t="s">
        <v>14409</v>
      </c>
      <c r="G421" s="258">
        <v>1.91</v>
      </c>
      <c r="I421" s="160">
        <f t="shared" si="6"/>
        <v>31983.749999999989</v>
      </c>
    </row>
    <row r="422" spans="2:9" ht="19.5" hidden="1" x14ac:dyDescent="0.25">
      <c r="B422" s="106"/>
      <c r="C422" s="148" t="s">
        <v>1942</v>
      </c>
      <c r="D422" s="150">
        <v>43838</v>
      </c>
      <c r="E422" s="113" t="s">
        <v>1941</v>
      </c>
      <c r="F422" s="256" t="s">
        <v>14409</v>
      </c>
      <c r="G422" s="258">
        <v>4.07</v>
      </c>
      <c r="I422" s="160">
        <f t="shared" si="6"/>
        <v>31987.819999999989</v>
      </c>
    </row>
    <row r="423" spans="2:9" hidden="1" x14ac:dyDescent="0.25">
      <c r="B423" s="106"/>
      <c r="C423" s="148" t="s">
        <v>1940</v>
      </c>
      <c r="D423" s="150">
        <v>43838</v>
      </c>
      <c r="E423" s="113" t="s">
        <v>1939</v>
      </c>
      <c r="F423" s="256">
        <v>5</v>
      </c>
      <c r="G423" s="255">
        <v>3.11</v>
      </c>
      <c r="I423" s="160">
        <f t="shared" si="6"/>
        <v>31990.929999999989</v>
      </c>
    </row>
    <row r="424" spans="2:9" hidden="1" x14ac:dyDescent="0.25">
      <c r="B424" s="106"/>
      <c r="C424" s="148" t="s">
        <v>1938</v>
      </c>
      <c r="D424" s="150">
        <v>43838</v>
      </c>
      <c r="E424" s="113" t="s">
        <v>1937</v>
      </c>
      <c r="F424" s="256">
        <v>5</v>
      </c>
      <c r="G424" s="255">
        <v>3.36</v>
      </c>
      <c r="I424" s="160">
        <f t="shared" si="6"/>
        <v>31994.28999999999</v>
      </c>
    </row>
    <row r="425" spans="2:9" hidden="1" x14ac:dyDescent="0.25">
      <c r="B425" s="106"/>
      <c r="C425" s="148" t="s">
        <v>1936</v>
      </c>
      <c r="D425" s="150">
        <v>43838</v>
      </c>
      <c r="E425" s="113" t="s">
        <v>1935</v>
      </c>
      <c r="F425" s="256">
        <v>5</v>
      </c>
      <c r="G425" s="255">
        <v>8.3800000000000008</v>
      </c>
      <c r="I425" s="160">
        <f t="shared" si="6"/>
        <v>32002.669999999991</v>
      </c>
    </row>
    <row r="426" spans="2:9" ht="19.5" hidden="1" x14ac:dyDescent="0.25">
      <c r="B426" s="106"/>
      <c r="C426" s="148" t="s">
        <v>1934</v>
      </c>
      <c r="D426" s="150">
        <v>43838</v>
      </c>
      <c r="E426" s="113" t="s">
        <v>1933</v>
      </c>
      <c r="F426" s="256">
        <v>5</v>
      </c>
      <c r="G426" s="255">
        <v>16.3</v>
      </c>
      <c r="I426" s="160">
        <f t="shared" si="6"/>
        <v>32018.96999999999</v>
      </c>
    </row>
    <row r="427" spans="2:9" ht="19.5" hidden="1" x14ac:dyDescent="0.25">
      <c r="B427" s="106"/>
      <c r="C427" s="148" t="s">
        <v>1932</v>
      </c>
      <c r="D427" s="150">
        <v>43838</v>
      </c>
      <c r="E427" s="113" t="s">
        <v>1931</v>
      </c>
      <c r="F427" s="256">
        <v>5</v>
      </c>
      <c r="G427" s="255">
        <v>15.3</v>
      </c>
      <c r="I427" s="160">
        <f t="shared" si="6"/>
        <v>32034.26999999999</v>
      </c>
    </row>
    <row r="428" spans="2:9" ht="19.5" hidden="1" x14ac:dyDescent="0.25">
      <c r="B428" s="106"/>
      <c r="C428" s="148" t="s">
        <v>1930</v>
      </c>
      <c r="D428" s="150">
        <v>43838</v>
      </c>
      <c r="E428" s="113" t="s">
        <v>1929</v>
      </c>
      <c r="F428" s="256">
        <v>5</v>
      </c>
      <c r="G428" s="255">
        <v>4.25</v>
      </c>
      <c r="I428" s="160">
        <f t="shared" si="6"/>
        <v>32038.51999999999</v>
      </c>
    </row>
    <row r="429" spans="2:9" ht="19.5" hidden="1" x14ac:dyDescent="0.25">
      <c r="B429" s="106"/>
      <c r="C429" s="148" t="s">
        <v>1928</v>
      </c>
      <c r="D429" s="150">
        <v>43838</v>
      </c>
      <c r="E429" s="113" t="s">
        <v>1927</v>
      </c>
      <c r="F429" s="256">
        <v>5</v>
      </c>
      <c r="G429" s="255">
        <v>6.67</v>
      </c>
      <c r="I429" s="160">
        <f t="shared" si="6"/>
        <v>32045.189999999988</v>
      </c>
    </row>
    <row r="430" spans="2:9" ht="39" hidden="1" x14ac:dyDescent="0.25">
      <c r="B430" s="148"/>
      <c r="C430" s="148" t="s">
        <v>1926</v>
      </c>
      <c r="D430" s="150">
        <v>43838</v>
      </c>
      <c r="E430" s="113" t="s">
        <v>1925</v>
      </c>
      <c r="F430" s="257" t="s">
        <v>14438</v>
      </c>
      <c r="G430" s="160">
        <v>199.45</v>
      </c>
      <c r="I430" s="160">
        <f t="shared" si="6"/>
        <v>32244.639999999989</v>
      </c>
    </row>
    <row r="431" spans="2:9" ht="39" hidden="1" x14ac:dyDescent="0.25">
      <c r="B431" s="148"/>
      <c r="C431" s="148" t="s">
        <v>1924</v>
      </c>
      <c r="D431" s="150">
        <v>43838</v>
      </c>
      <c r="E431" s="113" t="s">
        <v>1923</v>
      </c>
      <c r="F431" s="257" t="s">
        <v>14438</v>
      </c>
      <c r="G431" s="160">
        <v>66.849999999999994</v>
      </c>
      <c r="I431" s="160">
        <f t="shared" si="6"/>
        <v>32311.489999999987</v>
      </c>
    </row>
    <row r="432" spans="2:9" ht="19.5" hidden="1" x14ac:dyDescent="0.25">
      <c r="B432" s="148"/>
      <c r="C432" s="148" t="s">
        <v>1922</v>
      </c>
      <c r="D432" s="150">
        <v>43839</v>
      </c>
      <c r="E432" s="113" t="s">
        <v>1921</v>
      </c>
      <c r="F432" s="257" t="s">
        <v>14444</v>
      </c>
      <c r="G432" s="160">
        <v>12.43</v>
      </c>
      <c r="I432" s="160">
        <f t="shared" si="6"/>
        <v>32323.919999999987</v>
      </c>
    </row>
    <row r="433" spans="2:9" ht="19.5" hidden="1" x14ac:dyDescent="0.25">
      <c r="B433" s="148"/>
      <c r="C433" s="148" t="s">
        <v>1920</v>
      </c>
      <c r="D433" s="150">
        <v>43839</v>
      </c>
      <c r="E433" s="113" t="s">
        <v>1919</v>
      </c>
      <c r="F433" s="257" t="s">
        <v>14444</v>
      </c>
      <c r="G433" s="160">
        <v>10.24</v>
      </c>
      <c r="I433" s="160">
        <f t="shared" si="6"/>
        <v>32334.159999999989</v>
      </c>
    </row>
    <row r="434" spans="2:9" ht="19.5" hidden="1" x14ac:dyDescent="0.25">
      <c r="B434" s="148"/>
      <c r="C434" s="148" t="s">
        <v>1918</v>
      </c>
      <c r="D434" s="150">
        <v>43839</v>
      </c>
      <c r="E434" s="113" t="s">
        <v>1917</v>
      </c>
      <c r="F434" s="257" t="s">
        <v>14444</v>
      </c>
      <c r="G434" s="160">
        <v>25.14</v>
      </c>
      <c r="I434" s="160">
        <f t="shared" si="6"/>
        <v>32359.299999999988</v>
      </c>
    </row>
    <row r="435" spans="2:9" hidden="1" x14ac:dyDescent="0.25">
      <c r="B435" s="148"/>
      <c r="C435" s="148" t="s">
        <v>1916</v>
      </c>
      <c r="D435" s="150">
        <v>43839</v>
      </c>
      <c r="E435" s="113" t="s">
        <v>1915</v>
      </c>
      <c r="F435" s="257" t="s">
        <v>14444</v>
      </c>
      <c r="G435" s="160">
        <v>7.44</v>
      </c>
      <c r="I435" s="160">
        <f t="shared" si="6"/>
        <v>32366.739999999987</v>
      </c>
    </row>
    <row r="436" spans="2:9" ht="19.5" hidden="1" x14ac:dyDescent="0.25">
      <c r="B436" s="148"/>
      <c r="C436" s="148" t="s">
        <v>1914</v>
      </c>
      <c r="D436" s="150">
        <v>43839</v>
      </c>
      <c r="E436" s="113" t="s">
        <v>1913</v>
      </c>
      <c r="F436" s="257" t="s">
        <v>14444</v>
      </c>
      <c r="G436" s="160">
        <v>32.409999999999997</v>
      </c>
      <c r="I436" s="160">
        <f t="shared" si="6"/>
        <v>32399.149999999987</v>
      </c>
    </row>
    <row r="437" spans="2:9" hidden="1" x14ac:dyDescent="0.25">
      <c r="B437" s="148"/>
      <c r="C437" s="148" t="s">
        <v>1912</v>
      </c>
      <c r="D437" s="150">
        <v>43839</v>
      </c>
      <c r="E437" s="113" t="s">
        <v>1911</v>
      </c>
      <c r="F437" s="257" t="s">
        <v>14436</v>
      </c>
      <c r="G437" s="160">
        <v>33.33</v>
      </c>
      <c r="I437" s="160">
        <f t="shared" si="6"/>
        <v>32432.479999999989</v>
      </c>
    </row>
    <row r="438" spans="2:9" hidden="1" x14ac:dyDescent="0.25">
      <c r="B438" s="148"/>
      <c r="C438" s="148" t="s">
        <v>1910</v>
      </c>
      <c r="D438" s="150">
        <v>43839</v>
      </c>
      <c r="E438" s="113" t="s">
        <v>1909</v>
      </c>
      <c r="F438" s="257" t="s">
        <v>14437</v>
      </c>
      <c r="G438" s="160">
        <v>31.93</v>
      </c>
      <c r="I438" s="160">
        <f t="shared" si="6"/>
        <v>32464.409999999989</v>
      </c>
    </row>
    <row r="439" spans="2:9" hidden="1" x14ac:dyDescent="0.25">
      <c r="B439" s="148"/>
      <c r="C439" s="148" t="s">
        <v>1908</v>
      </c>
      <c r="D439" s="150">
        <v>43839</v>
      </c>
      <c r="E439" s="113" t="s">
        <v>1907</v>
      </c>
      <c r="F439" s="257" t="s">
        <v>14437</v>
      </c>
      <c r="G439" s="160">
        <v>7.44</v>
      </c>
      <c r="I439" s="160">
        <f t="shared" si="6"/>
        <v>32471.849999999988</v>
      </c>
    </row>
    <row r="440" spans="2:9" ht="19.5" hidden="1" x14ac:dyDescent="0.25">
      <c r="B440" s="106"/>
      <c r="C440" s="148" t="s">
        <v>1906</v>
      </c>
      <c r="D440" s="150">
        <v>43839</v>
      </c>
      <c r="E440" s="113" t="s">
        <v>1905</v>
      </c>
      <c r="F440" s="256" t="s">
        <v>14409</v>
      </c>
      <c r="G440" s="258">
        <v>14.39</v>
      </c>
      <c r="I440" s="160">
        <f t="shared" si="6"/>
        <v>32486.239999999987</v>
      </c>
    </row>
    <row r="441" spans="2:9" hidden="1" x14ac:dyDescent="0.25">
      <c r="B441" s="106"/>
      <c r="C441" s="148" t="s">
        <v>1904</v>
      </c>
      <c r="D441" s="150">
        <v>43839</v>
      </c>
      <c r="E441" s="113" t="s">
        <v>1903</v>
      </c>
      <c r="F441" s="256" t="s">
        <v>14409</v>
      </c>
      <c r="G441" s="258">
        <v>5.29</v>
      </c>
      <c r="I441" s="160">
        <f t="shared" si="6"/>
        <v>32491.529999999988</v>
      </c>
    </row>
    <row r="442" spans="2:9" ht="19.5" hidden="1" x14ac:dyDescent="0.25">
      <c r="B442" s="106"/>
      <c r="C442" s="148" t="s">
        <v>1902</v>
      </c>
      <c r="D442" s="150">
        <v>43839</v>
      </c>
      <c r="E442" s="113" t="s">
        <v>1901</v>
      </c>
      <c r="F442" s="256" t="s">
        <v>14409</v>
      </c>
      <c r="G442" s="258">
        <v>10.39</v>
      </c>
      <c r="I442" s="160">
        <f t="shared" si="6"/>
        <v>32501.919999999987</v>
      </c>
    </row>
    <row r="443" spans="2:9" hidden="1" x14ac:dyDescent="0.25">
      <c r="B443" s="106"/>
      <c r="C443" s="148" t="s">
        <v>1900</v>
      </c>
      <c r="D443" s="150">
        <v>43839</v>
      </c>
      <c r="E443" s="113" t="s">
        <v>1899</v>
      </c>
      <c r="F443" s="256" t="s">
        <v>14409</v>
      </c>
      <c r="G443" s="258">
        <v>1.71</v>
      </c>
      <c r="I443" s="160">
        <f t="shared" si="6"/>
        <v>32503.629999999986</v>
      </c>
    </row>
    <row r="444" spans="2:9" hidden="1" x14ac:dyDescent="0.25">
      <c r="B444" s="106"/>
      <c r="C444" s="148" t="s">
        <v>1898</v>
      </c>
      <c r="D444" s="150">
        <v>43839</v>
      </c>
      <c r="E444" s="113" t="s">
        <v>1897</v>
      </c>
      <c r="F444" s="256" t="s">
        <v>14409</v>
      </c>
      <c r="G444" s="258">
        <v>5.31</v>
      </c>
      <c r="I444" s="160">
        <f t="shared" si="6"/>
        <v>32508.939999999988</v>
      </c>
    </row>
    <row r="445" spans="2:9" ht="19.5" hidden="1" x14ac:dyDescent="0.25">
      <c r="B445" s="106"/>
      <c r="C445" s="148" t="s">
        <v>1896</v>
      </c>
      <c r="D445" s="150">
        <v>43839</v>
      </c>
      <c r="E445" s="113" t="s">
        <v>1895</v>
      </c>
      <c r="F445" s="256" t="s">
        <v>14409</v>
      </c>
      <c r="G445" s="258">
        <v>19.739999999999998</v>
      </c>
      <c r="I445" s="160">
        <f t="shared" si="6"/>
        <v>32528.679999999989</v>
      </c>
    </row>
    <row r="446" spans="2:9" ht="19.5" hidden="1" x14ac:dyDescent="0.25">
      <c r="B446" s="106"/>
      <c r="C446" s="148" t="s">
        <v>1894</v>
      </c>
      <c r="D446" s="150">
        <v>43839</v>
      </c>
      <c r="E446" s="113" t="s">
        <v>1893</v>
      </c>
      <c r="F446" s="256" t="s">
        <v>14409</v>
      </c>
      <c r="G446" s="258">
        <v>13.38</v>
      </c>
      <c r="I446" s="160">
        <f t="shared" si="6"/>
        <v>32542.05999999999</v>
      </c>
    </row>
    <row r="447" spans="2:9" ht="19.5" hidden="1" x14ac:dyDescent="0.25">
      <c r="B447" s="106"/>
      <c r="C447" s="148" t="s">
        <v>1892</v>
      </c>
      <c r="D447" s="150">
        <v>43839</v>
      </c>
      <c r="E447" s="113" t="s">
        <v>1891</v>
      </c>
      <c r="F447" s="256" t="s">
        <v>14409</v>
      </c>
      <c r="G447" s="258">
        <v>5.39</v>
      </c>
      <c r="I447" s="160">
        <f t="shared" si="6"/>
        <v>32547.44999999999</v>
      </c>
    </row>
    <row r="448" spans="2:9" hidden="1" x14ac:dyDescent="0.25">
      <c r="B448" s="106"/>
      <c r="C448" s="148" t="s">
        <v>1890</v>
      </c>
      <c r="D448" s="150">
        <v>43839</v>
      </c>
      <c r="E448" s="113" t="s">
        <v>1889</v>
      </c>
      <c r="F448" s="256" t="s">
        <v>14409</v>
      </c>
      <c r="G448" s="258">
        <v>1.69</v>
      </c>
      <c r="I448" s="160">
        <f t="shared" si="6"/>
        <v>32549.139999999989</v>
      </c>
    </row>
    <row r="449" spans="2:9" ht="19.5" hidden="1" x14ac:dyDescent="0.25">
      <c r="B449" s="106"/>
      <c r="C449" s="148" t="s">
        <v>1888</v>
      </c>
      <c r="D449" s="150">
        <v>43839</v>
      </c>
      <c r="E449" s="113" t="s">
        <v>1887</v>
      </c>
      <c r="F449" s="256" t="s">
        <v>14409</v>
      </c>
      <c r="G449" s="258">
        <v>6.65</v>
      </c>
      <c r="I449" s="160">
        <f t="shared" si="6"/>
        <v>32555.78999999999</v>
      </c>
    </row>
    <row r="450" spans="2:9" ht="19.5" hidden="1" x14ac:dyDescent="0.25">
      <c r="B450" s="106"/>
      <c r="C450" s="148" t="s">
        <v>1886</v>
      </c>
      <c r="D450" s="150">
        <v>43839</v>
      </c>
      <c r="E450" s="113" t="s">
        <v>1885</v>
      </c>
      <c r="F450" s="256" t="s">
        <v>14409</v>
      </c>
      <c r="G450" s="258">
        <v>10.09</v>
      </c>
      <c r="I450" s="160">
        <f t="shared" si="6"/>
        <v>32565.87999999999</v>
      </c>
    </row>
    <row r="451" spans="2:9" ht="19.5" hidden="1" x14ac:dyDescent="0.25">
      <c r="B451" s="106"/>
      <c r="C451" s="148" t="s">
        <v>1884</v>
      </c>
      <c r="D451" s="150">
        <v>43839</v>
      </c>
      <c r="E451" s="113" t="s">
        <v>1883</v>
      </c>
      <c r="F451" s="256" t="s">
        <v>14409</v>
      </c>
      <c r="G451" s="258">
        <v>8.74</v>
      </c>
      <c r="I451" s="160">
        <f t="shared" si="6"/>
        <v>32574.619999999992</v>
      </c>
    </row>
    <row r="452" spans="2:9" ht="19.5" hidden="1" x14ac:dyDescent="0.25">
      <c r="B452" s="106"/>
      <c r="C452" s="148" t="s">
        <v>1882</v>
      </c>
      <c r="D452" s="150">
        <v>43839</v>
      </c>
      <c r="E452" s="113" t="s">
        <v>1881</v>
      </c>
      <c r="F452" s="256" t="s">
        <v>14409</v>
      </c>
      <c r="G452" s="258">
        <v>16.760000000000002</v>
      </c>
      <c r="I452" s="160">
        <f t="shared" si="6"/>
        <v>32591.37999999999</v>
      </c>
    </row>
    <row r="453" spans="2:9" ht="19.5" hidden="1" x14ac:dyDescent="0.25">
      <c r="B453" s="106"/>
      <c r="C453" s="148" t="s">
        <v>1880</v>
      </c>
      <c r="D453" s="150">
        <v>43839</v>
      </c>
      <c r="E453" s="113" t="s">
        <v>1879</v>
      </c>
      <c r="F453" s="256" t="s">
        <v>14409</v>
      </c>
      <c r="G453" s="258">
        <v>1.68</v>
      </c>
      <c r="I453" s="160">
        <f t="shared" si="6"/>
        <v>32593.05999999999</v>
      </c>
    </row>
    <row r="454" spans="2:9" hidden="1" x14ac:dyDescent="0.25">
      <c r="B454" s="106"/>
      <c r="C454" s="148" t="s">
        <v>1878</v>
      </c>
      <c r="D454" s="150">
        <v>43839</v>
      </c>
      <c r="E454" s="113" t="s">
        <v>1877</v>
      </c>
      <c r="F454" s="256" t="s">
        <v>14409</v>
      </c>
      <c r="G454" s="258">
        <v>2.16</v>
      </c>
      <c r="I454" s="160">
        <f t="shared" si="6"/>
        <v>32595.21999999999</v>
      </c>
    </row>
    <row r="455" spans="2:9" ht="19.5" hidden="1" x14ac:dyDescent="0.25">
      <c r="B455" s="106"/>
      <c r="C455" s="148" t="s">
        <v>1876</v>
      </c>
      <c r="D455" s="150">
        <v>43839</v>
      </c>
      <c r="E455" s="113" t="s">
        <v>1875</v>
      </c>
      <c r="F455" s="256" t="s">
        <v>14409</v>
      </c>
      <c r="G455" s="258">
        <v>5.04</v>
      </c>
      <c r="I455" s="160">
        <f t="shared" si="6"/>
        <v>32600.259999999991</v>
      </c>
    </row>
    <row r="456" spans="2:9" hidden="1" x14ac:dyDescent="0.25">
      <c r="B456" s="106"/>
      <c r="C456" s="148" t="s">
        <v>1874</v>
      </c>
      <c r="D456" s="150">
        <v>43839</v>
      </c>
      <c r="E456" s="113" t="s">
        <v>1873</v>
      </c>
      <c r="F456" s="256" t="s">
        <v>14409</v>
      </c>
      <c r="G456" s="258">
        <v>2.58</v>
      </c>
      <c r="I456" s="160">
        <f t="shared" si="6"/>
        <v>32602.839999999993</v>
      </c>
    </row>
    <row r="457" spans="2:9" ht="19.5" hidden="1" x14ac:dyDescent="0.25">
      <c r="B457" s="106"/>
      <c r="C457" s="148" t="s">
        <v>1872</v>
      </c>
      <c r="D457" s="150">
        <v>43839</v>
      </c>
      <c r="E457" s="113" t="s">
        <v>1871</v>
      </c>
      <c r="F457" s="256" t="s">
        <v>14409</v>
      </c>
      <c r="G457" s="258">
        <v>3.86</v>
      </c>
      <c r="I457" s="160">
        <f t="shared" si="6"/>
        <v>32606.699999999993</v>
      </c>
    </row>
    <row r="458" spans="2:9" ht="19.5" hidden="1" x14ac:dyDescent="0.25">
      <c r="B458" s="106"/>
      <c r="C458" s="148" t="s">
        <v>1870</v>
      </c>
      <c r="D458" s="150">
        <v>43839</v>
      </c>
      <c r="E458" s="113" t="s">
        <v>1869</v>
      </c>
      <c r="F458" s="256" t="s">
        <v>14409</v>
      </c>
      <c r="G458" s="258">
        <v>8.42</v>
      </c>
      <c r="I458" s="160">
        <f t="shared" si="6"/>
        <v>32615.119999999992</v>
      </c>
    </row>
    <row r="459" spans="2:9" ht="19.5" hidden="1" x14ac:dyDescent="0.25">
      <c r="B459" s="106"/>
      <c r="C459" s="148" t="s">
        <v>1868</v>
      </c>
      <c r="D459" s="150">
        <v>43839</v>
      </c>
      <c r="E459" s="113" t="s">
        <v>1867</v>
      </c>
      <c r="F459" s="256" t="s">
        <v>14409</v>
      </c>
      <c r="G459" s="258">
        <v>29.08</v>
      </c>
      <c r="I459" s="160">
        <f t="shared" si="6"/>
        <v>32644.199999999993</v>
      </c>
    </row>
    <row r="460" spans="2:9" ht="19.5" hidden="1" x14ac:dyDescent="0.25">
      <c r="B460" s="106"/>
      <c r="C460" s="148" t="s">
        <v>1866</v>
      </c>
      <c r="D460" s="150">
        <v>43839</v>
      </c>
      <c r="E460" s="113" t="s">
        <v>1865</v>
      </c>
      <c r="F460" s="256" t="s">
        <v>14409</v>
      </c>
      <c r="G460" s="258">
        <v>3.48</v>
      </c>
      <c r="I460" s="160">
        <f t="shared" si="6"/>
        <v>32647.679999999993</v>
      </c>
    </row>
    <row r="461" spans="2:9" ht="19.5" hidden="1" x14ac:dyDescent="0.25">
      <c r="B461" s="106"/>
      <c r="C461" s="148" t="s">
        <v>1864</v>
      </c>
      <c r="D461" s="150">
        <v>43839</v>
      </c>
      <c r="E461" s="113" t="s">
        <v>1863</v>
      </c>
      <c r="F461" s="256" t="s">
        <v>14409</v>
      </c>
      <c r="G461" s="258">
        <v>3.76</v>
      </c>
      <c r="I461" s="160">
        <f t="shared" si="6"/>
        <v>32651.439999999991</v>
      </c>
    </row>
    <row r="462" spans="2:9" hidden="1" x14ac:dyDescent="0.25">
      <c r="B462" s="106"/>
      <c r="C462" s="148" t="s">
        <v>1862</v>
      </c>
      <c r="D462" s="150">
        <v>43839</v>
      </c>
      <c r="E462" s="113" t="s">
        <v>1861</v>
      </c>
      <c r="F462" s="256" t="s">
        <v>14409</v>
      </c>
      <c r="G462" s="258">
        <v>11.52</v>
      </c>
      <c r="I462" s="160">
        <f t="shared" si="6"/>
        <v>32662.959999999992</v>
      </c>
    </row>
    <row r="463" spans="2:9" ht="19.5" hidden="1" x14ac:dyDescent="0.25">
      <c r="B463" s="106"/>
      <c r="C463" s="148" t="s">
        <v>1860</v>
      </c>
      <c r="D463" s="150">
        <v>43839</v>
      </c>
      <c r="E463" s="113" t="s">
        <v>1859</v>
      </c>
      <c r="F463" s="256" t="s">
        <v>14409</v>
      </c>
      <c r="G463" s="258">
        <v>7.02</v>
      </c>
      <c r="I463" s="160">
        <f t="shared" si="6"/>
        <v>32669.979999999992</v>
      </c>
    </row>
    <row r="464" spans="2:9" ht="19.5" hidden="1" x14ac:dyDescent="0.25">
      <c r="B464" s="106"/>
      <c r="C464" s="148" t="s">
        <v>1858</v>
      </c>
      <c r="D464" s="150">
        <v>43839</v>
      </c>
      <c r="E464" s="113" t="s">
        <v>1857</v>
      </c>
      <c r="F464" s="256" t="s">
        <v>14409</v>
      </c>
      <c r="G464" s="258">
        <v>8.68</v>
      </c>
      <c r="I464" s="160">
        <f t="shared" si="6"/>
        <v>32678.659999999993</v>
      </c>
    </row>
    <row r="465" spans="2:9" ht="19.5" hidden="1" x14ac:dyDescent="0.25">
      <c r="B465" s="106"/>
      <c r="C465" s="148" t="s">
        <v>1856</v>
      </c>
      <c r="D465" s="150">
        <v>43839</v>
      </c>
      <c r="E465" s="113" t="s">
        <v>1855</v>
      </c>
      <c r="F465" s="256" t="s">
        <v>14409</v>
      </c>
      <c r="G465" s="258">
        <v>13.88</v>
      </c>
      <c r="I465" s="160">
        <f t="shared" si="6"/>
        <v>32692.539999999994</v>
      </c>
    </row>
    <row r="466" spans="2:9" hidden="1" x14ac:dyDescent="0.25">
      <c r="B466" s="106"/>
      <c r="C466" s="148" t="s">
        <v>1854</v>
      </c>
      <c r="D466" s="150">
        <v>43839</v>
      </c>
      <c r="E466" s="113" t="s">
        <v>1853</v>
      </c>
      <c r="F466" s="256" t="s">
        <v>14409</v>
      </c>
      <c r="G466" s="258">
        <v>21.57</v>
      </c>
      <c r="I466" s="160">
        <f t="shared" si="6"/>
        <v>32714.109999999993</v>
      </c>
    </row>
    <row r="467" spans="2:9" hidden="1" x14ac:dyDescent="0.25">
      <c r="B467" s="106"/>
      <c r="C467" s="148" t="s">
        <v>1852</v>
      </c>
      <c r="D467" s="150">
        <v>43839</v>
      </c>
      <c r="E467" s="113" t="s">
        <v>1851</v>
      </c>
      <c r="F467" s="256" t="s">
        <v>14409</v>
      </c>
      <c r="G467" s="258">
        <v>5.0999999999999996</v>
      </c>
      <c r="I467" s="160">
        <f t="shared" si="6"/>
        <v>32719.209999999992</v>
      </c>
    </row>
    <row r="468" spans="2:9" hidden="1" x14ac:dyDescent="0.25">
      <c r="B468" s="106"/>
      <c r="C468" s="148" t="s">
        <v>1850</v>
      </c>
      <c r="D468" s="150">
        <v>43839</v>
      </c>
      <c r="E468" s="113" t="s">
        <v>1849</v>
      </c>
      <c r="F468" s="256" t="s">
        <v>14409</v>
      </c>
      <c r="G468" s="258">
        <v>6.8</v>
      </c>
      <c r="I468" s="160">
        <f t="shared" ref="I468:I531" si="7">+I467+G468-H468</f>
        <v>32726.009999999991</v>
      </c>
    </row>
    <row r="469" spans="2:9" ht="19.5" hidden="1" x14ac:dyDescent="0.25">
      <c r="B469" s="106"/>
      <c r="C469" s="148" t="s">
        <v>1848</v>
      </c>
      <c r="D469" s="150">
        <v>43839</v>
      </c>
      <c r="E469" s="113" t="s">
        <v>1847</v>
      </c>
      <c r="F469" s="256" t="s">
        <v>14409</v>
      </c>
      <c r="G469" s="258">
        <v>5.0599999999999996</v>
      </c>
      <c r="I469" s="160">
        <f t="shared" si="7"/>
        <v>32731.069999999992</v>
      </c>
    </row>
    <row r="470" spans="2:9" ht="19.5" hidden="1" x14ac:dyDescent="0.25">
      <c r="B470" s="106"/>
      <c r="C470" s="148" t="s">
        <v>1846</v>
      </c>
      <c r="D470" s="150">
        <v>43839</v>
      </c>
      <c r="E470" s="113" t="s">
        <v>1845</v>
      </c>
      <c r="F470" s="256" t="s">
        <v>14409</v>
      </c>
      <c r="G470" s="258">
        <v>3.9</v>
      </c>
      <c r="I470" s="160">
        <f t="shared" si="7"/>
        <v>32734.969999999994</v>
      </c>
    </row>
    <row r="471" spans="2:9" hidden="1" x14ac:dyDescent="0.25">
      <c r="B471" s="106"/>
      <c r="C471" s="148" t="s">
        <v>1844</v>
      </c>
      <c r="D471" s="150">
        <v>43839</v>
      </c>
      <c r="E471" s="113" t="s">
        <v>1843</v>
      </c>
      <c r="F471" s="256" t="s">
        <v>14409</v>
      </c>
      <c r="G471" s="258">
        <v>1.77</v>
      </c>
      <c r="I471" s="160">
        <f t="shared" si="7"/>
        <v>32736.739999999994</v>
      </c>
    </row>
    <row r="472" spans="2:9" ht="19.5" hidden="1" x14ac:dyDescent="0.25">
      <c r="B472" s="106"/>
      <c r="C472" s="148" t="s">
        <v>1842</v>
      </c>
      <c r="D472" s="150">
        <v>43839</v>
      </c>
      <c r="E472" s="113" t="s">
        <v>1841</v>
      </c>
      <c r="F472" s="256" t="s">
        <v>14409</v>
      </c>
      <c r="G472" s="258">
        <v>3.39</v>
      </c>
      <c r="I472" s="160">
        <f t="shared" si="7"/>
        <v>32740.129999999994</v>
      </c>
    </row>
    <row r="473" spans="2:9" hidden="1" x14ac:dyDescent="0.25">
      <c r="B473" s="106"/>
      <c r="C473" s="148" t="s">
        <v>1840</v>
      </c>
      <c r="D473" s="150">
        <v>43839</v>
      </c>
      <c r="E473" s="113" t="s">
        <v>1839</v>
      </c>
      <c r="F473" s="256">
        <v>6</v>
      </c>
      <c r="G473" s="255">
        <v>19.14</v>
      </c>
      <c r="I473" s="160">
        <f t="shared" si="7"/>
        <v>32759.269999999993</v>
      </c>
    </row>
    <row r="474" spans="2:9" hidden="1" x14ac:dyDescent="0.25">
      <c r="B474" s="106"/>
      <c r="C474" s="148" t="s">
        <v>1838</v>
      </c>
      <c r="D474" s="150">
        <v>43839</v>
      </c>
      <c r="E474" s="113" t="s">
        <v>1837</v>
      </c>
      <c r="F474" s="256">
        <v>6</v>
      </c>
      <c r="G474" s="255">
        <v>47.99</v>
      </c>
      <c r="I474" s="160">
        <f t="shared" si="7"/>
        <v>32807.259999999995</v>
      </c>
    </row>
    <row r="475" spans="2:9" hidden="1" x14ac:dyDescent="0.25">
      <c r="B475" s="106"/>
      <c r="C475" s="148" t="s">
        <v>1836</v>
      </c>
      <c r="D475" s="150">
        <v>43839</v>
      </c>
      <c r="E475" s="113" t="s">
        <v>1835</v>
      </c>
      <c r="F475" s="256">
        <v>6</v>
      </c>
      <c r="G475" s="255">
        <v>18.39</v>
      </c>
      <c r="I475" s="160">
        <f t="shared" si="7"/>
        <v>32825.649999999994</v>
      </c>
    </row>
    <row r="476" spans="2:9" ht="19.5" hidden="1" x14ac:dyDescent="0.25">
      <c r="B476" s="106"/>
      <c r="C476" s="148" t="s">
        <v>1834</v>
      </c>
      <c r="D476" s="150">
        <v>43839</v>
      </c>
      <c r="E476" s="113" t="s">
        <v>1833</v>
      </c>
      <c r="F476" s="256">
        <v>6</v>
      </c>
      <c r="G476" s="255">
        <v>6.02</v>
      </c>
      <c r="I476" s="160">
        <f t="shared" si="7"/>
        <v>32831.669999999991</v>
      </c>
    </row>
    <row r="477" spans="2:9" ht="19.5" hidden="1" x14ac:dyDescent="0.25">
      <c r="B477" s="148"/>
      <c r="C477" s="148" t="s">
        <v>1832</v>
      </c>
      <c r="D477" s="150">
        <v>43840</v>
      </c>
      <c r="E477" s="113" t="s">
        <v>1831</v>
      </c>
      <c r="F477" s="257" t="s">
        <v>14436</v>
      </c>
      <c r="G477" s="160">
        <v>30.32</v>
      </c>
      <c r="I477" s="160">
        <f t="shared" si="7"/>
        <v>32861.989999999991</v>
      </c>
    </row>
    <row r="478" spans="2:9" hidden="1" x14ac:dyDescent="0.25">
      <c r="B478" s="148"/>
      <c r="C478" s="148" t="s">
        <v>1830</v>
      </c>
      <c r="D478" s="150">
        <v>43840</v>
      </c>
      <c r="E478" s="113" t="s">
        <v>1829</v>
      </c>
      <c r="F478" s="257" t="s">
        <v>14437</v>
      </c>
      <c r="G478" s="160">
        <v>1</v>
      </c>
      <c r="I478" s="160">
        <f t="shared" si="7"/>
        <v>32862.989999999991</v>
      </c>
    </row>
    <row r="479" spans="2:9" hidden="1" x14ac:dyDescent="0.25">
      <c r="B479" s="148"/>
      <c r="C479" s="148" t="s">
        <v>1828</v>
      </c>
      <c r="D479" s="150">
        <v>43840</v>
      </c>
      <c r="E479" s="113" t="s">
        <v>1827</v>
      </c>
      <c r="F479" s="257" t="s">
        <v>14445</v>
      </c>
      <c r="G479" s="160">
        <v>1.69</v>
      </c>
      <c r="I479" s="160">
        <f t="shared" si="7"/>
        <v>32864.679999999993</v>
      </c>
    </row>
    <row r="480" spans="2:9" ht="19.5" hidden="1" x14ac:dyDescent="0.25">
      <c r="B480" s="148"/>
      <c r="C480" s="148" t="s">
        <v>1826</v>
      </c>
      <c r="D480" s="150">
        <v>43840</v>
      </c>
      <c r="E480" s="113" t="s">
        <v>1825</v>
      </c>
      <c r="F480" s="257" t="s">
        <v>14445</v>
      </c>
      <c r="G480" s="160">
        <v>8.4499999999999993</v>
      </c>
      <c r="I480" s="160">
        <f t="shared" si="7"/>
        <v>32873.12999999999</v>
      </c>
    </row>
    <row r="481" spans="2:9" hidden="1" x14ac:dyDescent="0.25">
      <c r="B481" s="148"/>
      <c r="C481" s="148" t="s">
        <v>1824</v>
      </c>
      <c r="D481" s="150">
        <v>43840</v>
      </c>
      <c r="E481" s="113" t="s">
        <v>1823</v>
      </c>
      <c r="F481" s="257" t="s">
        <v>14445</v>
      </c>
      <c r="G481" s="160">
        <v>2.4300000000000002</v>
      </c>
      <c r="I481" s="160">
        <f t="shared" si="7"/>
        <v>32875.55999999999</v>
      </c>
    </row>
    <row r="482" spans="2:9" hidden="1" x14ac:dyDescent="0.25">
      <c r="B482" s="148"/>
      <c r="C482" s="148" t="s">
        <v>1822</v>
      </c>
      <c r="D482" s="150">
        <v>43840</v>
      </c>
      <c r="E482" s="113" t="s">
        <v>1821</v>
      </c>
      <c r="F482" s="257" t="s">
        <v>14445</v>
      </c>
      <c r="G482" s="160">
        <v>16.440000000000001</v>
      </c>
      <c r="I482" s="160">
        <f t="shared" si="7"/>
        <v>32891.999999999993</v>
      </c>
    </row>
    <row r="483" spans="2:9" ht="19.5" hidden="1" x14ac:dyDescent="0.25">
      <c r="B483" s="148"/>
      <c r="C483" s="148" t="s">
        <v>1820</v>
      </c>
      <c r="D483" s="150">
        <v>43840</v>
      </c>
      <c r="E483" s="113" t="s">
        <v>1819</v>
      </c>
      <c r="F483" s="257" t="s">
        <v>14445</v>
      </c>
      <c r="G483" s="160">
        <v>2</v>
      </c>
      <c r="I483" s="160">
        <f t="shared" si="7"/>
        <v>32893.999999999993</v>
      </c>
    </row>
    <row r="484" spans="2:9" ht="19.5" hidden="1" x14ac:dyDescent="0.25">
      <c r="B484" s="148"/>
      <c r="C484" s="148" t="s">
        <v>1818</v>
      </c>
      <c r="D484" s="150">
        <v>43840</v>
      </c>
      <c r="E484" s="113" t="s">
        <v>1817</v>
      </c>
      <c r="F484" s="257" t="s">
        <v>14436</v>
      </c>
      <c r="G484" s="160">
        <v>19.760000000000002</v>
      </c>
      <c r="I484" s="160">
        <f t="shared" si="7"/>
        <v>32913.759999999995</v>
      </c>
    </row>
    <row r="485" spans="2:9" hidden="1" x14ac:dyDescent="0.25">
      <c r="B485" s="148"/>
      <c r="C485" s="148" t="s">
        <v>1816</v>
      </c>
      <c r="D485" s="150">
        <v>43840</v>
      </c>
      <c r="E485" s="113" t="s">
        <v>1815</v>
      </c>
      <c r="F485" s="257" t="s">
        <v>14436</v>
      </c>
      <c r="G485" s="160">
        <v>10.75</v>
      </c>
      <c r="I485" s="160">
        <f t="shared" si="7"/>
        <v>32924.509999999995</v>
      </c>
    </row>
    <row r="486" spans="2:9" ht="19.5" hidden="1" x14ac:dyDescent="0.25">
      <c r="B486" s="148"/>
      <c r="C486" s="148" t="s">
        <v>1814</v>
      </c>
      <c r="D486" s="150">
        <v>43840</v>
      </c>
      <c r="E486" s="113" t="s">
        <v>1813</v>
      </c>
      <c r="F486" s="257" t="s">
        <v>14445</v>
      </c>
      <c r="G486" s="160">
        <v>4.55</v>
      </c>
      <c r="I486" s="160">
        <f t="shared" si="7"/>
        <v>32929.06</v>
      </c>
    </row>
    <row r="487" spans="2:9" hidden="1" x14ac:dyDescent="0.25">
      <c r="B487" s="148"/>
      <c r="C487" s="148" t="s">
        <v>1812</v>
      </c>
      <c r="D487" s="150">
        <v>43840</v>
      </c>
      <c r="E487" s="113" t="s">
        <v>1811</v>
      </c>
      <c r="F487" s="257" t="s">
        <v>14447</v>
      </c>
      <c r="G487" s="160">
        <v>1.68</v>
      </c>
      <c r="I487" s="160">
        <f t="shared" si="7"/>
        <v>32930.74</v>
      </c>
    </row>
    <row r="488" spans="2:9" ht="19.5" hidden="1" x14ac:dyDescent="0.25">
      <c r="B488" s="148"/>
      <c r="C488" s="148" t="s">
        <v>1810</v>
      </c>
      <c r="D488" s="150">
        <v>43840</v>
      </c>
      <c r="E488" s="113" t="s">
        <v>1809</v>
      </c>
      <c r="F488" s="257" t="s">
        <v>14436</v>
      </c>
      <c r="G488" s="160">
        <v>23.46</v>
      </c>
      <c r="I488" s="160">
        <f t="shared" si="7"/>
        <v>32954.199999999997</v>
      </c>
    </row>
    <row r="489" spans="2:9" ht="19.5" hidden="1" x14ac:dyDescent="0.25">
      <c r="B489" s="106"/>
      <c r="C489" s="148" t="s">
        <v>1808</v>
      </c>
      <c r="D489" s="150">
        <v>43840</v>
      </c>
      <c r="E489" s="113" t="s">
        <v>1807</v>
      </c>
      <c r="F489" s="256" t="s">
        <v>14412</v>
      </c>
      <c r="G489" s="258">
        <v>11.12</v>
      </c>
      <c r="I489" s="160">
        <f t="shared" si="7"/>
        <v>32965.32</v>
      </c>
    </row>
    <row r="490" spans="2:9" ht="19.5" hidden="1" x14ac:dyDescent="0.25">
      <c r="B490" s="106"/>
      <c r="C490" s="148" t="s">
        <v>1806</v>
      </c>
      <c r="D490" s="150">
        <v>43840</v>
      </c>
      <c r="E490" s="113" t="s">
        <v>1805</v>
      </c>
      <c r="F490" s="256" t="s">
        <v>14412</v>
      </c>
      <c r="G490" s="258">
        <v>3.49</v>
      </c>
      <c r="I490" s="160">
        <f t="shared" si="7"/>
        <v>32968.81</v>
      </c>
    </row>
    <row r="491" spans="2:9" hidden="1" x14ac:dyDescent="0.25">
      <c r="B491" s="106"/>
      <c r="C491" s="148" t="s">
        <v>1804</v>
      </c>
      <c r="D491" s="150">
        <v>43840</v>
      </c>
      <c r="E491" s="113" t="s">
        <v>1803</v>
      </c>
      <c r="F491" s="256" t="s">
        <v>14412</v>
      </c>
      <c r="G491" s="258">
        <v>3.11</v>
      </c>
      <c r="I491" s="160">
        <f t="shared" si="7"/>
        <v>32971.919999999998</v>
      </c>
    </row>
    <row r="492" spans="2:9" hidden="1" x14ac:dyDescent="0.25">
      <c r="B492" s="106"/>
      <c r="C492" s="148" t="s">
        <v>1802</v>
      </c>
      <c r="D492" s="150">
        <v>43840</v>
      </c>
      <c r="E492" s="113" t="s">
        <v>1801</v>
      </c>
      <c r="F492" s="256" t="s">
        <v>14412</v>
      </c>
      <c r="G492" s="258">
        <v>8.14</v>
      </c>
      <c r="I492" s="160">
        <f t="shared" si="7"/>
        <v>32980.06</v>
      </c>
    </row>
    <row r="493" spans="2:9" hidden="1" x14ac:dyDescent="0.25">
      <c r="B493" s="106"/>
      <c r="C493" s="148" t="s">
        <v>1800</v>
      </c>
      <c r="D493" s="150">
        <v>43840</v>
      </c>
      <c r="E493" s="113" t="s">
        <v>1799</v>
      </c>
      <c r="F493" s="256" t="s">
        <v>14412</v>
      </c>
      <c r="G493" s="258">
        <v>16.760000000000002</v>
      </c>
      <c r="I493" s="160">
        <f t="shared" si="7"/>
        <v>32996.82</v>
      </c>
    </row>
    <row r="494" spans="2:9" hidden="1" x14ac:dyDescent="0.25">
      <c r="B494" s="106"/>
      <c r="C494" s="148" t="s">
        <v>1798</v>
      </c>
      <c r="D494" s="150">
        <v>43840</v>
      </c>
      <c r="E494" s="113" t="s">
        <v>1797</v>
      </c>
      <c r="F494" s="256" t="s">
        <v>14412</v>
      </c>
      <c r="G494" s="258">
        <v>12.76</v>
      </c>
      <c r="I494" s="160">
        <f t="shared" si="7"/>
        <v>33009.58</v>
      </c>
    </row>
    <row r="495" spans="2:9" hidden="1" x14ac:dyDescent="0.25">
      <c r="B495" s="106"/>
      <c r="C495" s="148" t="s">
        <v>1796</v>
      </c>
      <c r="D495" s="150">
        <v>43840</v>
      </c>
      <c r="E495" s="113" t="s">
        <v>1795</v>
      </c>
      <c r="F495" s="256" t="s">
        <v>14412</v>
      </c>
      <c r="G495" s="258">
        <v>2.64</v>
      </c>
      <c r="I495" s="160">
        <f t="shared" si="7"/>
        <v>33012.22</v>
      </c>
    </row>
    <row r="496" spans="2:9" hidden="1" x14ac:dyDescent="0.25">
      <c r="B496" s="106"/>
      <c r="C496" s="148" t="s">
        <v>1794</v>
      </c>
      <c r="D496" s="150">
        <v>43840</v>
      </c>
      <c r="E496" s="113" t="s">
        <v>1793</v>
      </c>
      <c r="F496" s="256" t="s">
        <v>14412</v>
      </c>
      <c r="G496" s="258">
        <v>11.19</v>
      </c>
      <c r="I496" s="160">
        <f t="shared" si="7"/>
        <v>33023.410000000003</v>
      </c>
    </row>
    <row r="497" spans="2:9" hidden="1" x14ac:dyDescent="0.25">
      <c r="B497" s="106"/>
      <c r="C497" s="148" t="s">
        <v>1792</v>
      </c>
      <c r="D497" s="150">
        <v>43840</v>
      </c>
      <c r="E497" s="113" t="s">
        <v>1791</v>
      </c>
      <c r="F497" s="256" t="s">
        <v>14412</v>
      </c>
      <c r="G497" s="258">
        <v>5.94</v>
      </c>
      <c r="I497" s="160">
        <f t="shared" si="7"/>
        <v>33029.350000000006</v>
      </c>
    </row>
    <row r="498" spans="2:9" ht="19.5" hidden="1" x14ac:dyDescent="0.25">
      <c r="B498" s="106"/>
      <c r="C498" s="148" t="s">
        <v>1790</v>
      </c>
      <c r="D498" s="150">
        <v>43840</v>
      </c>
      <c r="E498" s="113" t="s">
        <v>1789</v>
      </c>
      <c r="F498" s="256" t="s">
        <v>14412</v>
      </c>
      <c r="G498" s="258">
        <v>8.81</v>
      </c>
      <c r="I498" s="160">
        <f t="shared" si="7"/>
        <v>33038.160000000003</v>
      </c>
    </row>
    <row r="499" spans="2:9" ht="19.5" hidden="1" x14ac:dyDescent="0.25">
      <c r="B499" s="106"/>
      <c r="C499" s="148" t="s">
        <v>1788</v>
      </c>
      <c r="D499" s="150">
        <v>43840</v>
      </c>
      <c r="E499" s="113" t="s">
        <v>1787</v>
      </c>
      <c r="F499" s="256" t="s">
        <v>14412</v>
      </c>
      <c r="G499" s="258">
        <v>8.98</v>
      </c>
      <c r="I499" s="160">
        <f t="shared" si="7"/>
        <v>33047.140000000007</v>
      </c>
    </row>
    <row r="500" spans="2:9" ht="19.5" hidden="1" x14ac:dyDescent="0.25">
      <c r="B500" s="106"/>
      <c r="C500" s="148" t="s">
        <v>1786</v>
      </c>
      <c r="D500" s="150">
        <v>43840</v>
      </c>
      <c r="E500" s="113" t="s">
        <v>1785</v>
      </c>
      <c r="F500" s="256" t="s">
        <v>14412</v>
      </c>
      <c r="G500" s="258">
        <v>5.04</v>
      </c>
      <c r="I500" s="160">
        <f t="shared" si="7"/>
        <v>33052.180000000008</v>
      </c>
    </row>
    <row r="501" spans="2:9" hidden="1" x14ac:dyDescent="0.25">
      <c r="B501" s="106"/>
      <c r="C501" s="148" t="s">
        <v>1784</v>
      </c>
      <c r="D501" s="150">
        <v>43840</v>
      </c>
      <c r="E501" s="113" t="s">
        <v>1783</v>
      </c>
      <c r="F501" s="256" t="s">
        <v>14412</v>
      </c>
      <c r="G501" s="258">
        <v>7.39</v>
      </c>
      <c r="I501" s="160">
        <f t="shared" si="7"/>
        <v>33059.570000000007</v>
      </c>
    </row>
    <row r="502" spans="2:9" hidden="1" x14ac:dyDescent="0.25">
      <c r="B502" s="106"/>
      <c r="C502" s="148" t="s">
        <v>1782</v>
      </c>
      <c r="D502" s="150">
        <v>43840</v>
      </c>
      <c r="E502" s="113" t="s">
        <v>1781</v>
      </c>
      <c r="F502" s="256" t="s">
        <v>14412</v>
      </c>
      <c r="G502" s="258">
        <v>2.99</v>
      </c>
      <c r="I502" s="160">
        <f t="shared" si="7"/>
        <v>33062.560000000005</v>
      </c>
    </row>
    <row r="503" spans="2:9" hidden="1" x14ac:dyDescent="0.25">
      <c r="B503" s="106"/>
      <c r="C503" s="148" t="s">
        <v>1780</v>
      </c>
      <c r="D503" s="150">
        <v>43840</v>
      </c>
      <c r="E503" s="113" t="s">
        <v>1779</v>
      </c>
      <c r="F503" s="256" t="s">
        <v>14412</v>
      </c>
      <c r="G503" s="258">
        <v>12.96</v>
      </c>
      <c r="I503" s="160">
        <f t="shared" si="7"/>
        <v>33075.520000000004</v>
      </c>
    </row>
    <row r="504" spans="2:9" ht="19.5" hidden="1" x14ac:dyDescent="0.25">
      <c r="B504" s="106"/>
      <c r="C504" s="148" t="s">
        <v>1778</v>
      </c>
      <c r="D504" s="150">
        <v>43840</v>
      </c>
      <c r="E504" s="113" t="s">
        <v>1777</v>
      </c>
      <c r="F504" s="256" t="s">
        <v>14412</v>
      </c>
      <c r="G504" s="258">
        <v>4.03</v>
      </c>
      <c r="I504" s="160">
        <f t="shared" si="7"/>
        <v>33079.550000000003</v>
      </c>
    </row>
    <row r="505" spans="2:9" ht="19.5" hidden="1" x14ac:dyDescent="0.25">
      <c r="B505" s="106"/>
      <c r="C505" s="148" t="s">
        <v>1776</v>
      </c>
      <c r="D505" s="150">
        <v>43840</v>
      </c>
      <c r="E505" s="113" t="s">
        <v>1775</v>
      </c>
      <c r="F505" s="256" t="s">
        <v>14412</v>
      </c>
      <c r="G505" s="258">
        <v>5.85</v>
      </c>
      <c r="I505" s="160">
        <f t="shared" si="7"/>
        <v>33085.4</v>
      </c>
    </row>
    <row r="506" spans="2:9" ht="19.5" hidden="1" x14ac:dyDescent="0.25">
      <c r="B506" s="106"/>
      <c r="C506" s="148" t="s">
        <v>1774</v>
      </c>
      <c r="D506" s="150">
        <v>43840</v>
      </c>
      <c r="E506" s="113" t="s">
        <v>1773</v>
      </c>
      <c r="F506" s="256">
        <v>7</v>
      </c>
      <c r="G506" s="255">
        <v>8.0299999999999994</v>
      </c>
      <c r="I506" s="160">
        <f t="shared" si="7"/>
        <v>33093.43</v>
      </c>
    </row>
    <row r="507" spans="2:9" hidden="1" x14ac:dyDescent="0.25">
      <c r="B507" s="106"/>
      <c r="C507" s="148" t="s">
        <v>1772</v>
      </c>
      <c r="D507" s="150">
        <v>43840</v>
      </c>
      <c r="E507" s="113" t="s">
        <v>1771</v>
      </c>
      <c r="F507" s="257">
        <v>7</v>
      </c>
      <c r="G507" s="255">
        <v>2.67</v>
      </c>
      <c r="I507" s="160">
        <f t="shared" si="7"/>
        <v>33096.1</v>
      </c>
    </row>
    <row r="508" spans="2:9" ht="19.5" hidden="1" x14ac:dyDescent="0.25">
      <c r="B508" s="106"/>
      <c r="C508" s="148" t="s">
        <v>1770</v>
      </c>
      <c r="D508" s="150">
        <v>43840</v>
      </c>
      <c r="E508" s="113" t="s">
        <v>1769</v>
      </c>
      <c r="F508" s="257">
        <v>7</v>
      </c>
      <c r="G508" s="255">
        <v>8.74</v>
      </c>
      <c r="I508" s="160">
        <f t="shared" si="7"/>
        <v>33104.839999999997</v>
      </c>
    </row>
    <row r="509" spans="2:9" hidden="1" x14ac:dyDescent="0.25">
      <c r="B509" s="106"/>
      <c r="C509" s="148" t="s">
        <v>1768</v>
      </c>
      <c r="D509" s="150">
        <v>43840</v>
      </c>
      <c r="E509" s="113" t="s">
        <v>1767</v>
      </c>
      <c r="F509" s="257">
        <v>7</v>
      </c>
      <c r="G509" s="255">
        <v>1.68</v>
      </c>
      <c r="I509" s="160">
        <f t="shared" si="7"/>
        <v>33106.519999999997</v>
      </c>
    </row>
    <row r="510" spans="2:9" hidden="1" x14ac:dyDescent="0.25">
      <c r="B510" s="106"/>
      <c r="C510" s="148" t="s">
        <v>1766</v>
      </c>
      <c r="D510" s="150">
        <v>43840</v>
      </c>
      <c r="E510" s="113" t="s">
        <v>1765</v>
      </c>
      <c r="F510" s="257">
        <v>7</v>
      </c>
      <c r="G510" s="255">
        <v>3.36</v>
      </c>
      <c r="I510" s="160">
        <f t="shared" si="7"/>
        <v>33109.879999999997</v>
      </c>
    </row>
    <row r="511" spans="2:9" hidden="1" x14ac:dyDescent="0.25">
      <c r="B511" s="106"/>
      <c r="C511" s="148" t="s">
        <v>1764</v>
      </c>
      <c r="D511" s="150">
        <v>43840</v>
      </c>
      <c r="E511" s="113" t="s">
        <v>1763</v>
      </c>
      <c r="F511" s="257">
        <v>7</v>
      </c>
      <c r="G511" s="255">
        <v>7.01</v>
      </c>
      <c r="I511" s="160">
        <f t="shared" si="7"/>
        <v>33116.89</v>
      </c>
    </row>
    <row r="512" spans="2:9" hidden="1" x14ac:dyDescent="0.25">
      <c r="B512" s="106"/>
      <c r="C512" s="148" t="s">
        <v>1762</v>
      </c>
      <c r="D512" s="150">
        <v>43840</v>
      </c>
      <c r="E512" s="113" t="s">
        <v>1761</v>
      </c>
      <c r="F512" s="257">
        <v>7</v>
      </c>
      <c r="G512" s="255">
        <v>8.3800000000000008</v>
      </c>
      <c r="I512" s="160">
        <f t="shared" si="7"/>
        <v>33125.269999999997</v>
      </c>
    </row>
    <row r="513" spans="2:9" hidden="1" x14ac:dyDescent="0.25">
      <c r="B513" s="106"/>
      <c r="C513" s="148" t="s">
        <v>1760</v>
      </c>
      <c r="D513" s="150">
        <v>43840</v>
      </c>
      <c r="E513" s="113" t="s">
        <v>1759</v>
      </c>
      <c r="F513" s="257">
        <v>7</v>
      </c>
      <c r="G513" s="255">
        <v>12.3</v>
      </c>
      <c r="I513" s="160">
        <f t="shared" si="7"/>
        <v>33137.57</v>
      </c>
    </row>
    <row r="514" spans="2:9" ht="19.5" hidden="1" x14ac:dyDescent="0.25">
      <c r="B514" s="106"/>
      <c r="C514" s="148" t="s">
        <v>1758</v>
      </c>
      <c r="D514" s="150">
        <v>43840</v>
      </c>
      <c r="E514" s="113" t="s">
        <v>1757</v>
      </c>
      <c r="F514" s="257">
        <v>7</v>
      </c>
      <c r="G514" s="255">
        <v>15.3</v>
      </c>
      <c r="I514" s="160">
        <f t="shared" si="7"/>
        <v>33152.870000000003</v>
      </c>
    </row>
    <row r="515" spans="2:9" hidden="1" x14ac:dyDescent="0.25">
      <c r="B515" s="106"/>
      <c r="C515" s="148" t="s">
        <v>1756</v>
      </c>
      <c r="D515" s="150">
        <v>43840</v>
      </c>
      <c r="E515" s="113" t="s">
        <v>1755</v>
      </c>
      <c r="F515" s="257">
        <v>7</v>
      </c>
      <c r="G515" s="255">
        <v>8.3800000000000008</v>
      </c>
      <c r="I515" s="160">
        <f t="shared" si="7"/>
        <v>33161.25</v>
      </c>
    </row>
    <row r="516" spans="2:9" ht="19.5" hidden="1" x14ac:dyDescent="0.25">
      <c r="B516" s="106"/>
      <c r="C516" s="148" t="s">
        <v>1754</v>
      </c>
      <c r="D516" s="150">
        <v>43840</v>
      </c>
      <c r="E516" s="113" t="s">
        <v>1753</v>
      </c>
      <c r="F516" s="257">
        <v>7</v>
      </c>
      <c r="G516" s="255">
        <v>8.3800000000000008</v>
      </c>
      <c r="I516" s="160">
        <f t="shared" si="7"/>
        <v>33169.629999999997</v>
      </c>
    </row>
    <row r="517" spans="2:9" hidden="1" x14ac:dyDescent="0.25">
      <c r="B517" s="106"/>
      <c r="C517" s="148" t="s">
        <v>1752</v>
      </c>
      <c r="D517" s="150">
        <v>43840</v>
      </c>
      <c r="E517" s="113" t="s">
        <v>1751</v>
      </c>
      <c r="F517" s="257">
        <v>7</v>
      </c>
      <c r="G517" s="255">
        <v>8.52</v>
      </c>
      <c r="I517" s="160">
        <f t="shared" si="7"/>
        <v>33178.149999999994</v>
      </c>
    </row>
    <row r="518" spans="2:9" ht="19.5" hidden="1" x14ac:dyDescent="0.25">
      <c r="B518" s="106"/>
      <c r="C518" s="148" t="s">
        <v>1750</v>
      </c>
      <c r="D518" s="150">
        <v>43840</v>
      </c>
      <c r="E518" s="113" t="s">
        <v>1749</v>
      </c>
      <c r="F518" s="257">
        <v>7</v>
      </c>
      <c r="G518" s="255">
        <v>23.79</v>
      </c>
      <c r="I518" s="160">
        <f t="shared" si="7"/>
        <v>33201.939999999995</v>
      </c>
    </row>
    <row r="519" spans="2:9" ht="19.5" hidden="1" x14ac:dyDescent="0.25">
      <c r="B519" s="106"/>
      <c r="C519" s="148" t="s">
        <v>1748</v>
      </c>
      <c r="D519" s="150">
        <v>43840</v>
      </c>
      <c r="E519" s="113" t="s">
        <v>1747</v>
      </c>
      <c r="F519" s="257">
        <v>7</v>
      </c>
      <c r="G519" s="255">
        <v>0.57999999999999996</v>
      </c>
      <c r="I519" s="160">
        <f t="shared" si="7"/>
        <v>33202.519999999997</v>
      </c>
    </row>
    <row r="520" spans="2:9" hidden="1" x14ac:dyDescent="0.25">
      <c r="B520" s="106"/>
      <c r="C520" s="148" t="s">
        <v>1746</v>
      </c>
      <c r="D520" s="150">
        <v>43840</v>
      </c>
      <c r="E520" s="113" t="s">
        <v>1745</v>
      </c>
      <c r="F520" s="257">
        <v>7</v>
      </c>
      <c r="G520" s="255">
        <v>0.15</v>
      </c>
      <c r="I520" s="160">
        <f t="shared" si="7"/>
        <v>33202.67</v>
      </c>
    </row>
    <row r="521" spans="2:9" ht="19.5" hidden="1" x14ac:dyDescent="0.25">
      <c r="B521" s="106"/>
      <c r="C521" s="148" t="s">
        <v>1744</v>
      </c>
      <c r="D521" s="150">
        <v>43840</v>
      </c>
      <c r="E521" s="113" t="s">
        <v>1743</v>
      </c>
      <c r="F521" s="256" t="s">
        <v>14409</v>
      </c>
      <c r="H521" s="161">
        <v>99.62</v>
      </c>
      <c r="I521" s="160">
        <f t="shared" si="7"/>
        <v>33103.049999999996</v>
      </c>
    </row>
    <row r="522" spans="2:9" ht="19.5" hidden="1" x14ac:dyDescent="0.25">
      <c r="B522" s="148"/>
      <c r="C522" s="148" t="s">
        <v>1742</v>
      </c>
      <c r="D522" s="150">
        <v>43840</v>
      </c>
      <c r="E522" s="113" t="s">
        <v>1741</v>
      </c>
      <c r="F522" s="257" t="s">
        <v>14433</v>
      </c>
      <c r="H522" s="161">
        <v>566.69000000000005</v>
      </c>
      <c r="I522" s="160">
        <f t="shared" si="7"/>
        <v>32536.359999999997</v>
      </c>
    </row>
    <row r="523" spans="2:9" ht="19.5" hidden="1" x14ac:dyDescent="0.25">
      <c r="B523" s="106"/>
      <c r="C523" s="148" t="s">
        <v>1740</v>
      </c>
      <c r="D523" s="150">
        <v>43841</v>
      </c>
      <c r="E523" s="113" t="s">
        <v>1739</v>
      </c>
      <c r="F523" s="256" t="s">
        <v>14412</v>
      </c>
      <c r="G523" s="258">
        <v>8.44</v>
      </c>
      <c r="I523" s="160">
        <f t="shared" si="7"/>
        <v>32544.799999999996</v>
      </c>
    </row>
    <row r="524" spans="2:9" ht="19.5" hidden="1" x14ac:dyDescent="0.25">
      <c r="B524" s="106"/>
      <c r="C524" s="148" t="s">
        <v>1738</v>
      </c>
      <c r="D524" s="150">
        <v>43841</v>
      </c>
      <c r="E524" s="113" t="s">
        <v>1737</v>
      </c>
      <c r="F524" s="256" t="s">
        <v>14412</v>
      </c>
      <c r="G524" s="258">
        <v>25.42</v>
      </c>
      <c r="I524" s="160">
        <f t="shared" si="7"/>
        <v>32570.219999999994</v>
      </c>
    </row>
    <row r="525" spans="2:9" ht="19.5" hidden="1" x14ac:dyDescent="0.25">
      <c r="B525" s="106"/>
      <c r="C525" s="148" t="s">
        <v>1736</v>
      </c>
      <c r="D525" s="150">
        <v>43841</v>
      </c>
      <c r="E525" s="113" t="s">
        <v>1735</v>
      </c>
      <c r="F525" s="256" t="s">
        <v>14412</v>
      </c>
      <c r="G525" s="258">
        <v>2.67</v>
      </c>
      <c r="I525" s="160">
        <f t="shared" si="7"/>
        <v>32572.889999999992</v>
      </c>
    </row>
    <row r="526" spans="2:9" ht="19.5" hidden="1" x14ac:dyDescent="0.25">
      <c r="B526" s="106"/>
      <c r="C526" s="148" t="s">
        <v>1734</v>
      </c>
      <c r="D526" s="150">
        <v>43841</v>
      </c>
      <c r="E526" s="113" t="s">
        <v>1733</v>
      </c>
      <c r="F526" s="256" t="s">
        <v>14412</v>
      </c>
      <c r="G526" s="258">
        <v>5.53</v>
      </c>
      <c r="I526" s="160">
        <f t="shared" si="7"/>
        <v>32578.419999999991</v>
      </c>
    </row>
    <row r="527" spans="2:9" ht="19.5" hidden="1" x14ac:dyDescent="0.25">
      <c r="B527" s="106"/>
      <c r="C527" s="148" t="s">
        <v>1732</v>
      </c>
      <c r="D527" s="150">
        <v>43841</v>
      </c>
      <c r="E527" s="113" t="s">
        <v>1731</v>
      </c>
      <c r="F527" s="256" t="s">
        <v>14412</v>
      </c>
      <c r="G527" s="258">
        <v>8.51</v>
      </c>
      <c r="I527" s="160">
        <f t="shared" si="7"/>
        <v>32586.929999999989</v>
      </c>
    </row>
    <row r="528" spans="2:9" ht="19.5" hidden="1" x14ac:dyDescent="0.25">
      <c r="B528" s="106"/>
      <c r="C528" s="148" t="s">
        <v>1730</v>
      </c>
      <c r="D528" s="150">
        <v>43841</v>
      </c>
      <c r="E528" s="113" t="s">
        <v>1729</v>
      </c>
      <c r="F528" s="256" t="s">
        <v>14412</v>
      </c>
      <c r="G528" s="258">
        <v>5.23</v>
      </c>
      <c r="I528" s="160">
        <f t="shared" si="7"/>
        <v>32592.159999999989</v>
      </c>
    </row>
    <row r="529" spans="2:9" ht="19.5" hidden="1" x14ac:dyDescent="0.25">
      <c r="B529" s="148"/>
      <c r="C529" s="148" t="s">
        <v>1728</v>
      </c>
      <c r="D529" s="150">
        <v>43841</v>
      </c>
      <c r="E529" s="113" t="s">
        <v>1727</v>
      </c>
      <c r="F529" s="257" t="s">
        <v>14437</v>
      </c>
      <c r="G529" s="259">
        <v>1</v>
      </c>
      <c r="I529" s="160">
        <f t="shared" si="7"/>
        <v>32593.159999999989</v>
      </c>
    </row>
    <row r="530" spans="2:9" ht="19.5" hidden="1" x14ac:dyDescent="0.25">
      <c r="B530" s="106"/>
      <c r="C530" s="148" t="s">
        <v>1726</v>
      </c>
      <c r="D530" s="150">
        <v>43842</v>
      </c>
      <c r="E530" s="113" t="s">
        <v>1725</v>
      </c>
      <c r="F530" s="256" t="s">
        <v>14412</v>
      </c>
      <c r="G530" s="258">
        <v>4.43</v>
      </c>
      <c r="I530" s="160">
        <f t="shared" si="7"/>
        <v>32597.589999999989</v>
      </c>
    </row>
    <row r="531" spans="2:9" ht="19.5" hidden="1" x14ac:dyDescent="0.25">
      <c r="B531" s="106"/>
      <c r="C531" s="148" t="s">
        <v>1724</v>
      </c>
      <c r="D531" s="150">
        <v>43842</v>
      </c>
      <c r="E531" s="113" t="s">
        <v>1723</v>
      </c>
      <c r="F531" s="256" t="s">
        <v>14412</v>
      </c>
      <c r="G531" s="258">
        <v>1.48</v>
      </c>
      <c r="I531" s="160">
        <f t="shared" si="7"/>
        <v>32599.069999999989</v>
      </c>
    </row>
    <row r="532" spans="2:9" ht="19.5" hidden="1" x14ac:dyDescent="0.25">
      <c r="B532" s="106"/>
      <c r="C532" s="148" t="s">
        <v>1722</v>
      </c>
      <c r="D532" s="150">
        <v>43842</v>
      </c>
      <c r="E532" s="113" t="s">
        <v>1721</v>
      </c>
      <c r="F532" s="256" t="s">
        <v>14412</v>
      </c>
      <c r="G532" s="258">
        <v>5.15</v>
      </c>
      <c r="I532" s="160">
        <f t="shared" ref="I532:I595" si="8">+I531+G532-H532</f>
        <v>32604.21999999999</v>
      </c>
    </row>
    <row r="533" spans="2:9" ht="19.5" hidden="1" x14ac:dyDescent="0.25">
      <c r="B533" s="148"/>
      <c r="C533" s="148" t="s">
        <v>1720</v>
      </c>
      <c r="D533" s="150">
        <v>43843</v>
      </c>
      <c r="E533" s="113" t="s">
        <v>1719</v>
      </c>
      <c r="F533" s="257" t="s">
        <v>14437</v>
      </c>
      <c r="G533" s="160">
        <v>71.319999999999993</v>
      </c>
      <c r="I533" s="160">
        <f t="shared" si="8"/>
        <v>32675.53999999999</v>
      </c>
    </row>
    <row r="534" spans="2:9" hidden="1" x14ac:dyDescent="0.25">
      <c r="B534" s="148"/>
      <c r="C534" s="148" t="s">
        <v>1718</v>
      </c>
      <c r="D534" s="150">
        <v>43843</v>
      </c>
      <c r="E534" s="113" t="s">
        <v>1717</v>
      </c>
      <c r="F534" s="257" t="s">
        <v>14447</v>
      </c>
      <c r="G534" s="160">
        <v>2.15</v>
      </c>
      <c r="I534" s="160">
        <f t="shared" si="8"/>
        <v>32677.689999999991</v>
      </c>
    </row>
    <row r="535" spans="2:9" hidden="1" x14ac:dyDescent="0.25">
      <c r="B535" s="148"/>
      <c r="C535" s="148" t="s">
        <v>1716</v>
      </c>
      <c r="D535" s="150">
        <v>43843</v>
      </c>
      <c r="E535" s="113" t="s">
        <v>1715</v>
      </c>
      <c r="F535" s="257" t="s">
        <v>14437</v>
      </c>
      <c r="G535" s="160">
        <v>1.68</v>
      </c>
      <c r="I535" s="160">
        <f t="shared" si="8"/>
        <v>32679.369999999992</v>
      </c>
    </row>
    <row r="536" spans="2:9" hidden="1" x14ac:dyDescent="0.25">
      <c r="B536" s="148"/>
      <c r="C536" s="148" t="s">
        <v>1714</v>
      </c>
      <c r="D536" s="150">
        <v>43843</v>
      </c>
      <c r="E536" s="113" t="s">
        <v>1713</v>
      </c>
      <c r="F536" s="257" t="s">
        <v>14437</v>
      </c>
      <c r="G536" s="160">
        <v>7.71</v>
      </c>
      <c r="I536" s="160">
        <f t="shared" si="8"/>
        <v>32687.079999999991</v>
      </c>
    </row>
    <row r="537" spans="2:9" hidden="1" x14ac:dyDescent="0.25">
      <c r="B537" s="148"/>
      <c r="C537" s="148" t="s">
        <v>1712</v>
      </c>
      <c r="D537" s="150">
        <v>43843</v>
      </c>
      <c r="E537" s="113" t="s">
        <v>1711</v>
      </c>
      <c r="F537" s="257" t="s">
        <v>14447</v>
      </c>
      <c r="G537" s="160">
        <v>1.3</v>
      </c>
      <c r="I537" s="160">
        <f t="shared" si="8"/>
        <v>32688.37999999999</v>
      </c>
    </row>
    <row r="538" spans="2:9" ht="19.5" hidden="1" x14ac:dyDescent="0.25">
      <c r="B538" s="148"/>
      <c r="C538" s="148" t="s">
        <v>1710</v>
      </c>
      <c r="D538" s="150">
        <v>43843</v>
      </c>
      <c r="E538" s="113" t="s">
        <v>1709</v>
      </c>
      <c r="F538" s="257" t="s">
        <v>14447</v>
      </c>
      <c r="G538" s="160">
        <v>25.14</v>
      </c>
      <c r="I538" s="160">
        <f t="shared" si="8"/>
        <v>32713.51999999999</v>
      </c>
    </row>
    <row r="539" spans="2:9" ht="19.5" hidden="1" x14ac:dyDescent="0.25">
      <c r="B539" s="148"/>
      <c r="C539" s="148" t="s">
        <v>1708</v>
      </c>
      <c r="D539" s="150">
        <v>43843</v>
      </c>
      <c r="E539" s="113" t="s">
        <v>1707</v>
      </c>
      <c r="F539" s="257" t="s">
        <v>14436</v>
      </c>
      <c r="G539" s="160">
        <v>75.319999999999993</v>
      </c>
      <c r="I539" s="160">
        <f t="shared" si="8"/>
        <v>32788.839999999989</v>
      </c>
    </row>
    <row r="540" spans="2:9" ht="19.5" hidden="1" x14ac:dyDescent="0.25">
      <c r="B540" s="106"/>
      <c r="C540" s="148" t="s">
        <v>1706</v>
      </c>
      <c r="D540" s="150">
        <v>43843</v>
      </c>
      <c r="E540" s="113" t="s">
        <v>1705</v>
      </c>
      <c r="F540" s="256" t="s">
        <v>14412</v>
      </c>
      <c r="G540" s="258">
        <v>2.59</v>
      </c>
      <c r="I540" s="160">
        <f t="shared" si="8"/>
        <v>32791.429999999986</v>
      </c>
    </row>
    <row r="541" spans="2:9" hidden="1" x14ac:dyDescent="0.25">
      <c r="B541" s="106"/>
      <c r="C541" s="148" t="s">
        <v>1704</v>
      </c>
      <c r="D541" s="150">
        <v>43843</v>
      </c>
      <c r="E541" s="113" t="s">
        <v>1703</v>
      </c>
      <c r="F541" s="256" t="s">
        <v>14412</v>
      </c>
      <c r="G541" s="258">
        <v>1.85</v>
      </c>
      <c r="I541" s="160">
        <f t="shared" si="8"/>
        <v>32793.279999999984</v>
      </c>
    </row>
    <row r="542" spans="2:9" ht="19.5" hidden="1" x14ac:dyDescent="0.25">
      <c r="B542" s="106"/>
      <c r="C542" s="148" t="s">
        <v>1702</v>
      </c>
      <c r="D542" s="150">
        <v>43843</v>
      </c>
      <c r="E542" s="113" t="s">
        <v>1701</v>
      </c>
      <c r="F542" s="256" t="s">
        <v>14412</v>
      </c>
      <c r="G542" s="258">
        <v>13.88</v>
      </c>
      <c r="I542" s="160">
        <f t="shared" si="8"/>
        <v>32807.159999999982</v>
      </c>
    </row>
    <row r="543" spans="2:9" ht="19.5" hidden="1" x14ac:dyDescent="0.25">
      <c r="B543" s="106"/>
      <c r="C543" s="148" t="s">
        <v>1700</v>
      </c>
      <c r="D543" s="150">
        <v>43843</v>
      </c>
      <c r="E543" s="113" t="s">
        <v>1699</v>
      </c>
      <c r="F543" s="256" t="s">
        <v>14412</v>
      </c>
      <c r="G543" s="258">
        <v>9.02</v>
      </c>
      <c r="I543" s="160">
        <f t="shared" si="8"/>
        <v>32816.179999999978</v>
      </c>
    </row>
    <row r="544" spans="2:9" ht="19.5" hidden="1" x14ac:dyDescent="0.25">
      <c r="B544" s="106"/>
      <c r="C544" s="148" t="s">
        <v>1698</v>
      </c>
      <c r="D544" s="150">
        <v>43843</v>
      </c>
      <c r="E544" s="113" t="s">
        <v>1697</v>
      </c>
      <c r="F544" s="256" t="s">
        <v>14412</v>
      </c>
      <c r="G544" s="258">
        <v>5.46</v>
      </c>
      <c r="I544" s="160">
        <f t="shared" si="8"/>
        <v>32821.639999999978</v>
      </c>
    </row>
    <row r="545" spans="2:9" ht="19.5" hidden="1" x14ac:dyDescent="0.25">
      <c r="B545" s="106"/>
      <c r="C545" s="148" t="s">
        <v>1696</v>
      </c>
      <c r="D545" s="150">
        <v>43843</v>
      </c>
      <c r="E545" s="113" t="s">
        <v>1695</v>
      </c>
      <c r="F545" s="256" t="s">
        <v>14412</v>
      </c>
      <c r="G545" s="258">
        <v>3.26</v>
      </c>
      <c r="I545" s="160">
        <f t="shared" si="8"/>
        <v>32824.89999999998</v>
      </c>
    </row>
    <row r="546" spans="2:9" ht="19.5" hidden="1" x14ac:dyDescent="0.25">
      <c r="B546" s="106"/>
      <c r="C546" s="148" t="s">
        <v>1694</v>
      </c>
      <c r="D546" s="150">
        <v>43843</v>
      </c>
      <c r="E546" s="113" t="s">
        <v>1693</v>
      </c>
      <c r="F546" s="256" t="s">
        <v>14412</v>
      </c>
      <c r="G546" s="258">
        <v>6.18</v>
      </c>
      <c r="I546" s="160">
        <f t="shared" si="8"/>
        <v>32831.07999999998</v>
      </c>
    </row>
    <row r="547" spans="2:9" ht="19.5" hidden="1" x14ac:dyDescent="0.25">
      <c r="B547" s="106"/>
      <c r="C547" s="148" t="s">
        <v>1692</v>
      </c>
      <c r="D547" s="150">
        <v>43843</v>
      </c>
      <c r="E547" s="113" t="s">
        <v>1691</v>
      </c>
      <c r="F547" s="256" t="s">
        <v>14412</v>
      </c>
      <c r="G547" s="258">
        <v>4.67</v>
      </c>
      <c r="I547" s="160">
        <f t="shared" si="8"/>
        <v>32835.749999999978</v>
      </c>
    </row>
    <row r="548" spans="2:9" ht="19.5" hidden="1" x14ac:dyDescent="0.25">
      <c r="B548" s="106"/>
      <c r="C548" s="148" t="s">
        <v>1690</v>
      </c>
      <c r="D548" s="150">
        <v>43843</v>
      </c>
      <c r="E548" s="113" t="s">
        <v>1689</v>
      </c>
      <c r="F548" s="256" t="s">
        <v>14412</v>
      </c>
      <c r="G548" s="258">
        <v>4.6500000000000004</v>
      </c>
      <c r="I548" s="160">
        <f t="shared" si="8"/>
        <v>32840.39999999998</v>
      </c>
    </row>
    <row r="549" spans="2:9" hidden="1" x14ac:dyDescent="0.25">
      <c r="B549" s="106"/>
      <c r="C549" s="148" t="s">
        <v>1688</v>
      </c>
      <c r="D549" s="150">
        <v>43843</v>
      </c>
      <c r="E549" s="113" t="s">
        <v>1687</v>
      </c>
      <c r="F549" s="256" t="s">
        <v>14412</v>
      </c>
      <c r="G549" s="258">
        <v>3.26</v>
      </c>
      <c r="I549" s="160">
        <f t="shared" si="8"/>
        <v>32843.659999999982</v>
      </c>
    </row>
    <row r="550" spans="2:9" ht="19.5" hidden="1" x14ac:dyDescent="0.25">
      <c r="B550" s="106"/>
      <c r="C550" s="148" t="s">
        <v>1686</v>
      </c>
      <c r="D550" s="150">
        <v>43843</v>
      </c>
      <c r="E550" s="113" t="s">
        <v>1685</v>
      </c>
      <c r="F550" s="256" t="s">
        <v>14412</v>
      </c>
      <c r="G550" s="258">
        <v>23.28</v>
      </c>
      <c r="I550" s="160">
        <f t="shared" si="8"/>
        <v>32866.939999999981</v>
      </c>
    </row>
    <row r="551" spans="2:9" hidden="1" x14ac:dyDescent="0.25">
      <c r="B551" s="106"/>
      <c r="C551" s="148" t="s">
        <v>1684</v>
      </c>
      <c r="D551" s="150">
        <v>43843</v>
      </c>
      <c r="E551" s="113" t="s">
        <v>1683</v>
      </c>
      <c r="F551" s="256" t="s">
        <v>14412</v>
      </c>
      <c r="G551" s="258">
        <v>5.7</v>
      </c>
      <c r="I551" s="160">
        <f t="shared" si="8"/>
        <v>32872.639999999978</v>
      </c>
    </row>
    <row r="552" spans="2:9" hidden="1" x14ac:dyDescent="0.25">
      <c r="B552" s="106"/>
      <c r="C552" s="148" t="s">
        <v>1682</v>
      </c>
      <c r="D552" s="150">
        <v>43843</v>
      </c>
      <c r="E552" s="113" t="s">
        <v>1681</v>
      </c>
      <c r="F552" s="256" t="s">
        <v>14412</v>
      </c>
      <c r="G552" s="258">
        <v>5.36</v>
      </c>
      <c r="I552" s="160">
        <f t="shared" si="8"/>
        <v>32877.999999999978</v>
      </c>
    </row>
    <row r="553" spans="2:9" ht="19.5" hidden="1" x14ac:dyDescent="0.25">
      <c r="B553" s="106"/>
      <c r="C553" s="148" t="s">
        <v>1680</v>
      </c>
      <c r="D553" s="150">
        <v>43843</v>
      </c>
      <c r="E553" s="113" t="s">
        <v>1679</v>
      </c>
      <c r="F553" s="256" t="s">
        <v>14412</v>
      </c>
      <c r="G553" s="258">
        <v>7.56</v>
      </c>
      <c r="I553" s="160">
        <f t="shared" si="8"/>
        <v>32885.559999999976</v>
      </c>
    </row>
    <row r="554" spans="2:9" hidden="1" x14ac:dyDescent="0.25">
      <c r="B554" s="106"/>
      <c r="C554" s="148" t="s">
        <v>1678</v>
      </c>
      <c r="D554" s="150">
        <v>43843</v>
      </c>
      <c r="E554" s="113" t="s">
        <v>1677</v>
      </c>
      <c r="F554" s="256" t="s">
        <v>14412</v>
      </c>
      <c r="G554" s="258">
        <v>1.68</v>
      </c>
      <c r="I554" s="160">
        <f t="shared" si="8"/>
        <v>32887.239999999976</v>
      </c>
    </row>
    <row r="555" spans="2:9" hidden="1" x14ac:dyDescent="0.25">
      <c r="B555" s="106"/>
      <c r="C555" s="148" t="s">
        <v>1676</v>
      </c>
      <c r="D555" s="150">
        <v>43843</v>
      </c>
      <c r="E555" s="113" t="s">
        <v>1675</v>
      </c>
      <c r="F555" s="256" t="s">
        <v>14412</v>
      </c>
      <c r="G555" s="258">
        <v>12.44</v>
      </c>
      <c r="I555" s="160">
        <f t="shared" si="8"/>
        <v>32899.679999999978</v>
      </c>
    </row>
    <row r="556" spans="2:9" ht="19.5" hidden="1" x14ac:dyDescent="0.25">
      <c r="B556" s="106"/>
      <c r="C556" s="148" t="s">
        <v>1674</v>
      </c>
      <c r="D556" s="150">
        <v>43843</v>
      </c>
      <c r="E556" s="113" t="s">
        <v>1673</v>
      </c>
      <c r="F556" s="256" t="s">
        <v>14412</v>
      </c>
      <c r="G556" s="258">
        <v>38.69</v>
      </c>
      <c r="I556" s="160">
        <f t="shared" si="8"/>
        <v>32938.369999999981</v>
      </c>
    </row>
    <row r="557" spans="2:9" ht="19.5" hidden="1" x14ac:dyDescent="0.25">
      <c r="B557" s="106"/>
      <c r="C557" s="148" t="s">
        <v>1672</v>
      </c>
      <c r="D557" s="150">
        <v>43843</v>
      </c>
      <c r="E557" s="113" t="s">
        <v>1671</v>
      </c>
      <c r="F557" s="256" t="s">
        <v>14412</v>
      </c>
      <c r="G557" s="258">
        <v>5.13</v>
      </c>
      <c r="I557" s="160">
        <f t="shared" si="8"/>
        <v>32943.499999999978</v>
      </c>
    </row>
    <row r="558" spans="2:9" hidden="1" x14ac:dyDescent="0.25">
      <c r="B558" s="106"/>
      <c r="C558" s="148" t="s">
        <v>1670</v>
      </c>
      <c r="D558" s="150">
        <v>43843</v>
      </c>
      <c r="E558" s="113" t="s">
        <v>1669</v>
      </c>
      <c r="F558" s="256" t="s">
        <v>14412</v>
      </c>
      <c r="G558" s="258">
        <v>16.48</v>
      </c>
      <c r="I558" s="160">
        <f t="shared" si="8"/>
        <v>32959.979999999981</v>
      </c>
    </row>
    <row r="559" spans="2:9" hidden="1" x14ac:dyDescent="0.25">
      <c r="B559" s="106"/>
      <c r="C559" s="148" t="s">
        <v>1668</v>
      </c>
      <c r="D559" s="150">
        <v>43843</v>
      </c>
      <c r="E559" s="113" t="s">
        <v>1667</v>
      </c>
      <c r="F559" s="256" t="s">
        <v>14412</v>
      </c>
      <c r="G559" s="258">
        <v>17.87</v>
      </c>
      <c r="I559" s="160">
        <f t="shared" si="8"/>
        <v>32977.849999999984</v>
      </c>
    </row>
    <row r="560" spans="2:9" ht="19.5" hidden="1" x14ac:dyDescent="0.25">
      <c r="B560" s="106"/>
      <c r="C560" s="148" t="s">
        <v>1666</v>
      </c>
      <c r="D560" s="150">
        <v>43843</v>
      </c>
      <c r="E560" s="113" t="s">
        <v>1665</v>
      </c>
      <c r="F560" s="256" t="s">
        <v>14412</v>
      </c>
      <c r="G560" s="258">
        <v>0.48</v>
      </c>
      <c r="I560" s="160">
        <f t="shared" si="8"/>
        <v>32978.329999999987</v>
      </c>
    </row>
    <row r="561" spans="2:9" ht="19.5" hidden="1" x14ac:dyDescent="0.25">
      <c r="B561" s="106"/>
      <c r="C561" s="148" t="s">
        <v>1664</v>
      </c>
      <c r="D561" s="150">
        <v>43843</v>
      </c>
      <c r="E561" s="113" t="s">
        <v>1663</v>
      </c>
      <c r="F561" s="256" t="s">
        <v>14412</v>
      </c>
      <c r="G561" s="258">
        <v>36.68</v>
      </c>
      <c r="I561" s="160">
        <f t="shared" si="8"/>
        <v>33015.009999999987</v>
      </c>
    </row>
    <row r="562" spans="2:9" hidden="1" x14ac:dyDescent="0.25">
      <c r="B562" s="106"/>
      <c r="C562" s="148" t="s">
        <v>1662</v>
      </c>
      <c r="D562" s="150">
        <v>43843</v>
      </c>
      <c r="E562" s="113" t="s">
        <v>1661</v>
      </c>
      <c r="F562" s="256" t="s">
        <v>14412</v>
      </c>
      <c r="G562" s="258">
        <v>0.87</v>
      </c>
      <c r="I562" s="160">
        <f t="shared" si="8"/>
        <v>33015.87999999999</v>
      </c>
    </row>
    <row r="563" spans="2:9" ht="19.5" hidden="1" x14ac:dyDescent="0.25">
      <c r="B563" s="106"/>
      <c r="C563" s="148" t="s">
        <v>1660</v>
      </c>
      <c r="D563" s="150">
        <v>43843</v>
      </c>
      <c r="E563" s="113" t="s">
        <v>1659</v>
      </c>
      <c r="F563" s="256" t="s">
        <v>14412</v>
      </c>
      <c r="G563" s="258">
        <v>1.68</v>
      </c>
      <c r="I563" s="160">
        <f t="shared" si="8"/>
        <v>33017.55999999999</v>
      </c>
    </row>
    <row r="564" spans="2:9" ht="19.5" hidden="1" x14ac:dyDescent="0.25">
      <c r="B564" s="106"/>
      <c r="C564" s="148" t="s">
        <v>1658</v>
      </c>
      <c r="D564" s="150">
        <v>43843</v>
      </c>
      <c r="E564" s="113" t="s">
        <v>1657</v>
      </c>
      <c r="F564" s="256" t="s">
        <v>14412</v>
      </c>
      <c r="G564" s="258">
        <v>17.84</v>
      </c>
      <c r="I564" s="160">
        <f t="shared" si="8"/>
        <v>33035.399999999987</v>
      </c>
    </row>
    <row r="565" spans="2:9" hidden="1" x14ac:dyDescent="0.25">
      <c r="B565" s="106"/>
      <c r="C565" s="148" t="s">
        <v>1656</v>
      </c>
      <c r="D565" s="150">
        <v>43843</v>
      </c>
      <c r="E565" s="113" t="s">
        <v>1655</v>
      </c>
      <c r="F565" s="256" t="s">
        <v>14412</v>
      </c>
      <c r="G565" s="258">
        <v>5.33</v>
      </c>
      <c r="I565" s="160">
        <f t="shared" si="8"/>
        <v>33040.729999999989</v>
      </c>
    </row>
    <row r="566" spans="2:9" ht="19.5" hidden="1" x14ac:dyDescent="0.25">
      <c r="B566" s="106"/>
      <c r="C566" s="148" t="s">
        <v>1654</v>
      </c>
      <c r="D566" s="150">
        <v>43843</v>
      </c>
      <c r="E566" s="113" t="s">
        <v>1653</v>
      </c>
      <c r="F566" s="256">
        <v>8</v>
      </c>
      <c r="G566" s="255">
        <v>4.92</v>
      </c>
      <c r="I566" s="160">
        <f t="shared" si="8"/>
        <v>33045.649999999987</v>
      </c>
    </row>
    <row r="567" spans="2:9" ht="19.5" hidden="1" x14ac:dyDescent="0.25">
      <c r="B567" s="106"/>
      <c r="C567" s="148" t="s">
        <v>1652</v>
      </c>
      <c r="D567" s="150">
        <v>43843</v>
      </c>
      <c r="E567" s="113" t="s">
        <v>1651</v>
      </c>
      <c r="F567" s="256">
        <v>8</v>
      </c>
      <c r="G567" s="255">
        <v>3.7</v>
      </c>
      <c r="I567" s="160">
        <f t="shared" si="8"/>
        <v>33049.349999999984</v>
      </c>
    </row>
    <row r="568" spans="2:9" ht="19.5" hidden="1" x14ac:dyDescent="0.25">
      <c r="B568" s="106"/>
      <c r="C568" s="148" t="s">
        <v>1650</v>
      </c>
      <c r="D568" s="150">
        <v>43843</v>
      </c>
      <c r="E568" s="113" t="s">
        <v>1649</v>
      </c>
      <c r="F568" s="256">
        <v>8</v>
      </c>
      <c r="G568" s="255">
        <v>1.94</v>
      </c>
      <c r="I568" s="160">
        <f t="shared" si="8"/>
        <v>33051.289999999986</v>
      </c>
    </row>
    <row r="569" spans="2:9" hidden="1" x14ac:dyDescent="0.25">
      <c r="B569" s="106"/>
      <c r="C569" s="148" t="s">
        <v>1648</v>
      </c>
      <c r="D569" s="150">
        <v>43843</v>
      </c>
      <c r="E569" s="113" t="s">
        <v>1647</v>
      </c>
      <c r="F569" s="256">
        <v>8</v>
      </c>
      <c r="G569" s="255">
        <v>6</v>
      </c>
      <c r="I569" s="160">
        <f t="shared" si="8"/>
        <v>33057.289999999986</v>
      </c>
    </row>
    <row r="570" spans="2:9" hidden="1" x14ac:dyDescent="0.25">
      <c r="B570" s="106"/>
      <c r="C570" s="148" t="s">
        <v>1646</v>
      </c>
      <c r="D570" s="150">
        <v>43843</v>
      </c>
      <c r="E570" s="113" t="s">
        <v>1645</v>
      </c>
      <c r="F570" s="256">
        <v>8</v>
      </c>
      <c r="G570" s="255">
        <v>1.85</v>
      </c>
      <c r="I570" s="160">
        <f t="shared" si="8"/>
        <v>33059.139999999985</v>
      </c>
    </row>
    <row r="571" spans="2:9" hidden="1" x14ac:dyDescent="0.25">
      <c r="B571" s="106"/>
      <c r="C571" s="148" t="s">
        <v>1644</v>
      </c>
      <c r="D571" s="150">
        <v>43843</v>
      </c>
      <c r="E571" s="113" t="s">
        <v>1643</v>
      </c>
      <c r="F571" s="256">
        <v>8</v>
      </c>
      <c r="G571" s="255">
        <v>1.94</v>
      </c>
      <c r="I571" s="160">
        <f t="shared" si="8"/>
        <v>33061.079999999987</v>
      </c>
    </row>
    <row r="572" spans="2:9" ht="19.5" hidden="1" x14ac:dyDescent="0.25">
      <c r="B572" s="106"/>
      <c r="C572" s="148" t="s">
        <v>1642</v>
      </c>
      <c r="D572" s="150">
        <v>43843</v>
      </c>
      <c r="E572" s="113" t="s">
        <v>1641</v>
      </c>
      <c r="F572" s="256">
        <v>8</v>
      </c>
      <c r="G572" s="255">
        <v>8.66</v>
      </c>
      <c r="I572" s="160">
        <f t="shared" si="8"/>
        <v>33069.739999999991</v>
      </c>
    </row>
    <row r="573" spans="2:9" ht="19.5" hidden="1" x14ac:dyDescent="0.25">
      <c r="B573" s="106"/>
      <c r="C573" s="148" t="s">
        <v>1640</v>
      </c>
      <c r="D573" s="150">
        <v>43843</v>
      </c>
      <c r="E573" s="113" t="s">
        <v>1639</v>
      </c>
      <c r="F573" s="256">
        <v>8</v>
      </c>
      <c r="G573" s="255">
        <v>1.94</v>
      </c>
      <c r="I573" s="160">
        <f t="shared" si="8"/>
        <v>33071.679999999993</v>
      </c>
    </row>
    <row r="574" spans="2:9" hidden="1" x14ac:dyDescent="0.25">
      <c r="B574" s="106"/>
      <c r="C574" s="148" t="s">
        <v>1638</v>
      </c>
      <c r="D574" s="150">
        <v>43843</v>
      </c>
      <c r="E574" s="113" t="s">
        <v>1637</v>
      </c>
      <c r="F574" s="256">
        <v>8</v>
      </c>
      <c r="G574" s="255">
        <v>12.19</v>
      </c>
      <c r="I574" s="160">
        <f t="shared" si="8"/>
        <v>33083.869999999995</v>
      </c>
    </row>
    <row r="575" spans="2:9" ht="19.5" hidden="1" x14ac:dyDescent="0.25">
      <c r="B575" s="106"/>
      <c r="C575" s="148" t="s">
        <v>1636</v>
      </c>
      <c r="D575" s="150">
        <v>43843</v>
      </c>
      <c r="E575" s="113" t="s">
        <v>1635</v>
      </c>
      <c r="F575" s="256">
        <v>8</v>
      </c>
      <c r="G575" s="255">
        <v>2.16</v>
      </c>
      <c r="I575" s="160">
        <f t="shared" si="8"/>
        <v>33086.03</v>
      </c>
    </row>
    <row r="576" spans="2:9" hidden="1" x14ac:dyDescent="0.25">
      <c r="B576" s="106"/>
      <c r="C576" s="148" t="s">
        <v>1634</v>
      </c>
      <c r="D576" s="150">
        <v>43843</v>
      </c>
      <c r="E576" s="113" t="s">
        <v>1633</v>
      </c>
      <c r="F576" s="256">
        <v>8</v>
      </c>
      <c r="G576" s="255">
        <v>3.88</v>
      </c>
      <c r="I576" s="160">
        <f t="shared" si="8"/>
        <v>33089.909999999996</v>
      </c>
    </row>
    <row r="577" spans="2:9" hidden="1" x14ac:dyDescent="0.25">
      <c r="B577" s="106"/>
      <c r="C577" s="148" t="s">
        <v>1632</v>
      </c>
      <c r="D577" s="150">
        <v>43843</v>
      </c>
      <c r="E577" s="113" t="s">
        <v>1631</v>
      </c>
      <c r="F577" s="256">
        <v>8</v>
      </c>
      <c r="G577" s="255">
        <v>2.46</v>
      </c>
      <c r="I577" s="160">
        <f t="shared" si="8"/>
        <v>33092.369999999995</v>
      </c>
    </row>
    <row r="578" spans="2:9" hidden="1" x14ac:dyDescent="0.25">
      <c r="B578" s="106"/>
      <c r="C578" s="148" t="s">
        <v>1630</v>
      </c>
      <c r="D578" s="150">
        <v>43843</v>
      </c>
      <c r="E578" s="113" t="s">
        <v>1629</v>
      </c>
      <c r="F578" s="256">
        <v>8</v>
      </c>
      <c r="G578" s="255">
        <v>5.0199999999999996</v>
      </c>
      <c r="I578" s="160">
        <f t="shared" si="8"/>
        <v>33097.389999999992</v>
      </c>
    </row>
    <row r="579" spans="2:9" ht="19.5" hidden="1" x14ac:dyDescent="0.25">
      <c r="B579" s="106"/>
      <c r="C579" s="148" t="s">
        <v>1628</v>
      </c>
      <c r="D579" s="150">
        <v>43844</v>
      </c>
      <c r="E579" s="113" t="s">
        <v>1627</v>
      </c>
      <c r="F579" s="256" t="s">
        <v>14412</v>
      </c>
      <c r="G579" s="258">
        <v>3.39</v>
      </c>
      <c r="I579" s="160">
        <f t="shared" si="8"/>
        <v>33100.779999999992</v>
      </c>
    </row>
    <row r="580" spans="2:9" ht="19.5" hidden="1" x14ac:dyDescent="0.25">
      <c r="B580" s="148"/>
      <c r="C580" s="148" t="s">
        <v>1626</v>
      </c>
      <c r="D580" s="150">
        <v>43844</v>
      </c>
      <c r="E580" s="113" t="s">
        <v>1625</v>
      </c>
      <c r="F580" s="257" t="s">
        <v>14446</v>
      </c>
      <c r="G580" s="160">
        <v>22.17</v>
      </c>
      <c r="I580" s="160">
        <f t="shared" si="8"/>
        <v>33122.94999999999</v>
      </c>
    </row>
    <row r="581" spans="2:9" ht="19.5" hidden="1" x14ac:dyDescent="0.25">
      <c r="B581" s="148"/>
      <c r="C581" s="148" t="s">
        <v>1624</v>
      </c>
      <c r="D581" s="150">
        <v>43844</v>
      </c>
      <c r="E581" s="113" t="s">
        <v>1623</v>
      </c>
      <c r="F581" s="257" t="s">
        <v>14436</v>
      </c>
      <c r="G581" s="160">
        <v>67.31</v>
      </c>
      <c r="I581" s="160">
        <f t="shared" si="8"/>
        <v>33190.259999999987</v>
      </c>
    </row>
    <row r="582" spans="2:9" ht="19.5" hidden="1" x14ac:dyDescent="0.25">
      <c r="B582" s="148"/>
      <c r="C582" s="148" t="s">
        <v>1622</v>
      </c>
      <c r="D582" s="150">
        <v>43844</v>
      </c>
      <c r="E582" s="113" t="s">
        <v>1621</v>
      </c>
      <c r="F582" s="257" t="s">
        <v>14446</v>
      </c>
      <c r="G582" s="160">
        <v>15.48</v>
      </c>
      <c r="I582" s="160">
        <f t="shared" si="8"/>
        <v>33205.739999999991</v>
      </c>
    </row>
    <row r="583" spans="2:9" hidden="1" x14ac:dyDescent="0.25">
      <c r="B583" s="148"/>
      <c r="C583" s="148" t="s">
        <v>1620</v>
      </c>
      <c r="D583" s="150">
        <v>43844</v>
      </c>
      <c r="E583" s="113" t="s">
        <v>1619</v>
      </c>
      <c r="F583" s="257" t="s">
        <v>14446</v>
      </c>
      <c r="G583" s="160">
        <v>2.2000000000000002</v>
      </c>
      <c r="I583" s="160">
        <f t="shared" si="8"/>
        <v>33207.939999999988</v>
      </c>
    </row>
    <row r="584" spans="2:9" ht="19.5" hidden="1" x14ac:dyDescent="0.25">
      <c r="B584" s="148"/>
      <c r="C584" s="148" t="s">
        <v>1618</v>
      </c>
      <c r="D584" s="150">
        <v>43844</v>
      </c>
      <c r="E584" s="113" t="s">
        <v>1617</v>
      </c>
      <c r="F584" s="257" t="s">
        <v>14436</v>
      </c>
      <c r="G584" s="160">
        <v>62.22</v>
      </c>
      <c r="I584" s="160">
        <f t="shared" si="8"/>
        <v>33270.159999999989</v>
      </c>
    </row>
    <row r="585" spans="2:9" ht="19.5" hidden="1" x14ac:dyDescent="0.25">
      <c r="B585" s="148"/>
      <c r="C585" s="148" t="s">
        <v>1616</v>
      </c>
      <c r="D585" s="150">
        <v>43844</v>
      </c>
      <c r="E585" s="113" t="s">
        <v>1615</v>
      </c>
      <c r="F585" s="257" t="s">
        <v>14436</v>
      </c>
      <c r="G585" s="160">
        <v>37.36</v>
      </c>
      <c r="I585" s="160">
        <f t="shared" si="8"/>
        <v>33307.51999999999</v>
      </c>
    </row>
    <row r="586" spans="2:9" ht="19.5" hidden="1" x14ac:dyDescent="0.25">
      <c r="B586" s="148"/>
      <c r="C586" s="148" t="s">
        <v>1614</v>
      </c>
      <c r="D586" s="150">
        <v>43844</v>
      </c>
      <c r="E586" s="113" t="s">
        <v>1613</v>
      </c>
      <c r="F586" s="257" t="s">
        <v>14436</v>
      </c>
      <c r="G586" s="160">
        <v>55.67</v>
      </c>
      <c r="I586" s="160">
        <f t="shared" si="8"/>
        <v>33363.189999999988</v>
      </c>
    </row>
    <row r="587" spans="2:9" ht="19.5" hidden="1" x14ac:dyDescent="0.25">
      <c r="B587" s="148"/>
      <c r="C587" s="148" t="s">
        <v>1612</v>
      </c>
      <c r="D587" s="150">
        <v>43844</v>
      </c>
      <c r="E587" s="113" t="s">
        <v>1611</v>
      </c>
      <c r="F587" s="257" t="s">
        <v>14436</v>
      </c>
      <c r="G587" s="160">
        <v>15.06</v>
      </c>
      <c r="I587" s="160">
        <f t="shared" si="8"/>
        <v>33378.249999999985</v>
      </c>
    </row>
    <row r="588" spans="2:9" ht="19.5" hidden="1" x14ac:dyDescent="0.25">
      <c r="B588" s="148"/>
      <c r="C588" s="148" t="s">
        <v>1610</v>
      </c>
      <c r="D588" s="150">
        <v>43844</v>
      </c>
      <c r="E588" s="113" t="s">
        <v>1609</v>
      </c>
      <c r="F588" s="257" t="s">
        <v>14436</v>
      </c>
      <c r="G588" s="160">
        <v>15.06</v>
      </c>
      <c r="I588" s="160">
        <f t="shared" si="8"/>
        <v>33393.309999999983</v>
      </c>
    </row>
    <row r="589" spans="2:9" ht="19.5" hidden="1" x14ac:dyDescent="0.25">
      <c r="B589" s="148"/>
      <c r="C589" s="148" t="s">
        <v>1608</v>
      </c>
      <c r="D589" s="150">
        <v>43844</v>
      </c>
      <c r="E589" s="113" t="s">
        <v>1607</v>
      </c>
      <c r="F589" s="257" t="s">
        <v>14446</v>
      </c>
      <c r="G589" s="160">
        <v>5.22</v>
      </c>
      <c r="I589" s="160">
        <f t="shared" si="8"/>
        <v>33398.529999999984</v>
      </c>
    </row>
    <row r="590" spans="2:9" hidden="1" x14ac:dyDescent="0.25">
      <c r="B590" s="148"/>
      <c r="C590" s="148" t="s">
        <v>1606</v>
      </c>
      <c r="D590" s="150">
        <v>43844</v>
      </c>
      <c r="E590" s="113" t="s">
        <v>1605</v>
      </c>
      <c r="F590" s="257" t="s">
        <v>14446</v>
      </c>
      <c r="G590" s="160">
        <v>1.61</v>
      </c>
      <c r="I590" s="160">
        <f t="shared" si="8"/>
        <v>33400.139999999985</v>
      </c>
    </row>
    <row r="591" spans="2:9" hidden="1" x14ac:dyDescent="0.25">
      <c r="B591" s="106"/>
      <c r="C591" s="148" t="s">
        <v>1604</v>
      </c>
      <c r="D591" s="150">
        <v>43844</v>
      </c>
      <c r="E591" s="113" t="s">
        <v>1603</v>
      </c>
      <c r="F591" s="256">
        <v>9</v>
      </c>
      <c r="G591" s="255">
        <v>2.65</v>
      </c>
      <c r="I591" s="160">
        <f t="shared" si="8"/>
        <v>33402.789999999986</v>
      </c>
    </row>
    <row r="592" spans="2:9" hidden="1" x14ac:dyDescent="0.25">
      <c r="B592" s="106"/>
      <c r="C592" s="148" t="s">
        <v>1602</v>
      </c>
      <c r="D592" s="150">
        <v>43844</v>
      </c>
      <c r="E592" s="113" t="s">
        <v>1601</v>
      </c>
      <c r="F592" s="256">
        <v>9</v>
      </c>
      <c r="G592" s="255">
        <v>1.92</v>
      </c>
      <c r="I592" s="160">
        <f t="shared" si="8"/>
        <v>33404.709999999985</v>
      </c>
    </row>
    <row r="593" spans="2:9" hidden="1" x14ac:dyDescent="0.25">
      <c r="B593" s="106"/>
      <c r="C593" s="148" t="s">
        <v>1600</v>
      </c>
      <c r="D593" s="150">
        <v>43844</v>
      </c>
      <c r="E593" s="113" t="s">
        <v>1599</v>
      </c>
      <c r="F593" s="256">
        <v>9</v>
      </c>
      <c r="G593" s="255">
        <v>2.77</v>
      </c>
      <c r="I593" s="160">
        <f t="shared" si="8"/>
        <v>33407.479999999981</v>
      </c>
    </row>
    <row r="594" spans="2:9" hidden="1" x14ac:dyDescent="0.25">
      <c r="B594" s="106"/>
      <c r="C594" s="148" t="s">
        <v>1598</v>
      </c>
      <c r="D594" s="150">
        <v>43844</v>
      </c>
      <c r="E594" s="113" t="s">
        <v>1597</v>
      </c>
      <c r="F594" s="256">
        <v>9</v>
      </c>
      <c r="G594" s="255">
        <v>6.14</v>
      </c>
      <c r="I594" s="160">
        <f t="shared" si="8"/>
        <v>33413.619999999981</v>
      </c>
    </row>
    <row r="595" spans="2:9" ht="19.5" hidden="1" x14ac:dyDescent="0.25">
      <c r="B595" s="106"/>
      <c r="C595" s="148" t="s">
        <v>1596</v>
      </c>
      <c r="D595" s="150">
        <v>43844</v>
      </c>
      <c r="E595" s="113" t="s">
        <v>1595</v>
      </c>
      <c r="F595" s="256">
        <v>9</v>
      </c>
      <c r="G595" s="255">
        <v>4.8099999999999996</v>
      </c>
      <c r="I595" s="160">
        <f t="shared" si="8"/>
        <v>33418.429999999978</v>
      </c>
    </row>
    <row r="596" spans="2:9" hidden="1" x14ac:dyDescent="0.25">
      <c r="B596" s="106"/>
      <c r="C596" s="148" t="s">
        <v>1594</v>
      </c>
      <c r="D596" s="150">
        <v>43844</v>
      </c>
      <c r="E596" s="113" t="s">
        <v>1593</v>
      </c>
      <c r="F596" s="256">
        <v>9</v>
      </c>
      <c r="G596" s="255">
        <v>1.68</v>
      </c>
      <c r="I596" s="160">
        <f t="shared" ref="I596:I659" si="9">+I595+G596-H596</f>
        <v>33420.109999999979</v>
      </c>
    </row>
    <row r="597" spans="2:9" ht="19.5" hidden="1" x14ac:dyDescent="0.25">
      <c r="B597" s="106"/>
      <c r="C597" s="148" t="s">
        <v>1592</v>
      </c>
      <c r="D597" s="150">
        <v>43844</v>
      </c>
      <c r="E597" s="113" t="s">
        <v>1591</v>
      </c>
      <c r="F597" s="256">
        <v>9</v>
      </c>
      <c r="G597" s="255">
        <v>8.1</v>
      </c>
      <c r="I597" s="160">
        <f t="shared" si="9"/>
        <v>33428.209999999977</v>
      </c>
    </row>
    <row r="598" spans="2:9" hidden="1" x14ac:dyDescent="0.25">
      <c r="B598" s="148"/>
      <c r="C598" s="148" t="s">
        <v>1590</v>
      </c>
      <c r="D598" s="150">
        <v>43844</v>
      </c>
      <c r="E598" s="113" t="s">
        <v>1589</v>
      </c>
      <c r="F598" s="257" t="s">
        <v>14437</v>
      </c>
      <c r="G598" s="160">
        <v>24.82</v>
      </c>
      <c r="I598" s="160">
        <f t="shared" si="9"/>
        <v>33453.029999999977</v>
      </c>
    </row>
    <row r="599" spans="2:9" ht="19.5" hidden="1" x14ac:dyDescent="0.25">
      <c r="B599" s="148"/>
      <c r="C599" s="148" t="s">
        <v>1588</v>
      </c>
      <c r="D599" s="150">
        <v>43844</v>
      </c>
      <c r="E599" s="113" t="s">
        <v>1587</v>
      </c>
      <c r="F599" s="257" t="s">
        <v>14437</v>
      </c>
      <c r="G599" s="160">
        <v>8.6</v>
      </c>
      <c r="I599" s="160">
        <f t="shared" si="9"/>
        <v>33461.629999999976</v>
      </c>
    </row>
    <row r="600" spans="2:9" ht="19.5" hidden="1" x14ac:dyDescent="0.25">
      <c r="B600" s="148"/>
      <c r="C600" s="148" t="s">
        <v>1586</v>
      </c>
      <c r="D600" s="150">
        <v>43844</v>
      </c>
      <c r="E600" s="113" t="s">
        <v>1585</v>
      </c>
      <c r="F600" s="257" t="s">
        <v>14437</v>
      </c>
      <c r="G600" s="160">
        <v>47.92</v>
      </c>
      <c r="I600" s="160">
        <f t="shared" si="9"/>
        <v>33509.549999999974</v>
      </c>
    </row>
    <row r="601" spans="2:9" ht="19.5" hidden="1" x14ac:dyDescent="0.25">
      <c r="B601" s="106"/>
      <c r="C601" s="148" t="s">
        <v>1584</v>
      </c>
      <c r="D601" s="150">
        <v>43844</v>
      </c>
      <c r="E601" s="113" t="s">
        <v>1583</v>
      </c>
      <c r="F601" s="256" t="s">
        <v>14412</v>
      </c>
      <c r="G601" s="258">
        <v>23.4</v>
      </c>
      <c r="I601" s="160">
        <f t="shared" si="9"/>
        <v>33532.949999999975</v>
      </c>
    </row>
    <row r="602" spans="2:9" ht="19.5" hidden="1" x14ac:dyDescent="0.25">
      <c r="B602" s="106"/>
      <c r="C602" s="148" t="s">
        <v>1582</v>
      </c>
      <c r="D602" s="150">
        <v>43844</v>
      </c>
      <c r="E602" s="113" t="s">
        <v>1581</v>
      </c>
      <c r="F602" s="256" t="s">
        <v>14412</v>
      </c>
      <c r="G602" s="258">
        <v>7.61</v>
      </c>
      <c r="I602" s="160">
        <f t="shared" si="9"/>
        <v>33540.559999999976</v>
      </c>
    </row>
    <row r="603" spans="2:9" hidden="1" x14ac:dyDescent="0.25">
      <c r="B603" s="106"/>
      <c r="C603" s="148" t="s">
        <v>1580</v>
      </c>
      <c r="D603" s="150">
        <v>43844</v>
      </c>
      <c r="E603" s="113" t="s">
        <v>1579</v>
      </c>
      <c r="F603" s="256" t="s">
        <v>14412</v>
      </c>
      <c r="G603" s="258">
        <v>6.75</v>
      </c>
      <c r="I603" s="160">
        <f t="shared" si="9"/>
        <v>33547.309999999976</v>
      </c>
    </row>
    <row r="604" spans="2:9" hidden="1" x14ac:dyDescent="0.25">
      <c r="B604" s="106"/>
      <c r="C604" s="148" t="s">
        <v>1578</v>
      </c>
      <c r="D604" s="150">
        <v>43844</v>
      </c>
      <c r="E604" s="113" t="s">
        <v>1577</v>
      </c>
      <c r="F604" s="256" t="s">
        <v>14412</v>
      </c>
      <c r="G604" s="258">
        <v>4.17</v>
      </c>
      <c r="I604" s="160">
        <f t="shared" si="9"/>
        <v>33551.479999999974</v>
      </c>
    </row>
    <row r="605" spans="2:9" ht="19.5" hidden="1" x14ac:dyDescent="0.25">
      <c r="B605" s="106"/>
      <c r="C605" s="148" t="s">
        <v>1576</v>
      </c>
      <c r="D605" s="150">
        <v>43844</v>
      </c>
      <c r="E605" s="113" t="s">
        <v>1575</v>
      </c>
      <c r="F605" s="256" t="s">
        <v>14412</v>
      </c>
      <c r="G605" s="258">
        <v>5.04</v>
      </c>
      <c r="I605" s="160">
        <f t="shared" si="9"/>
        <v>33556.519999999975</v>
      </c>
    </row>
    <row r="606" spans="2:9" ht="19.5" hidden="1" x14ac:dyDescent="0.25">
      <c r="B606" s="106"/>
      <c r="C606" s="148" t="s">
        <v>1574</v>
      </c>
      <c r="D606" s="150">
        <v>43844</v>
      </c>
      <c r="E606" s="113" t="s">
        <v>1573</v>
      </c>
      <c r="F606" s="256" t="s">
        <v>14412</v>
      </c>
      <c r="G606" s="258">
        <v>5.59</v>
      </c>
      <c r="I606" s="160">
        <f t="shared" si="9"/>
        <v>33562.109999999971</v>
      </c>
    </row>
    <row r="607" spans="2:9" ht="19.5" hidden="1" x14ac:dyDescent="0.25">
      <c r="B607" s="106"/>
      <c r="C607" s="148" t="s">
        <v>1572</v>
      </c>
      <c r="D607" s="150">
        <v>43844</v>
      </c>
      <c r="E607" s="113" t="s">
        <v>1571</v>
      </c>
      <c r="F607" s="256" t="s">
        <v>14412</v>
      </c>
      <c r="G607" s="258">
        <v>15.62</v>
      </c>
      <c r="I607" s="160">
        <f t="shared" si="9"/>
        <v>33577.729999999974</v>
      </c>
    </row>
    <row r="608" spans="2:9" hidden="1" x14ac:dyDescent="0.25">
      <c r="B608" s="106"/>
      <c r="C608" s="148" t="s">
        <v>1570</v>
      </c>
      <c r="D608" s="150">
        <v>43844</v>
      </c>
      <c r="E608" s="113" t="s">
        <v>1569</v>
      </c>
      <c r="F608" s="256" t="s">
        <v>14412</v>
      </c>
      <c r="G608" s="258">
        <v>3.35</v>
      </c>
      <c r="I608" s="160">
        <f t="shared" si="9"/>
        <v>33581.079999999973</v>
      </c>
    </row>
    <row r="609" spans="2:9" hidden="1" x14ac:dyDescent="0.25">
      <c r="B609" s="106"/>
      <c r="C609" s="148" t="s">
        <v>1568</v>
      </c>
      <c r="D609" s="150">
        <v>43844</v>
      </c>
      <c r="E609" s="113" t="s">
        <v>1567</v>
      </c>
      <c r="F609" s="256" t="s">
        <v>14412</v>
      </c>
      <c r="G609" s="258">
        <v>4.63</v>
      </c>
      <c r="I609" s="160">
        <f t="shared" si="9"/>
        <v>33585.70999999997</v>
      </c>
    </row>
    <row r="610" spans="2:9" ht="19.5" hidden="1" x14ac:dyDescent="0.25">
      <c r="B610" s="106"/>
      <c r="C610" s="148" t="s">
        <v>1566</v>
      </c>
      <c r="D610" s="150">
        <v>43844</v>
      </c>
      <c r="E610" s="113" t="s">
        <v>1565</v>
      </c>
      <c r="F610" s="256" t="s">
        <v>14412</v>
      </c>
      <c r="G610" s="258">
        <v>9.26</v>
      </c>
      <c r="I610" s="160">
        <f t="shared" si="9"/>
        <v>33594.969999999972</v>
      </c>
    </row>
    <row r="611" spans="2:9" hidden="1" x14ac:dyDescent="0.25">
      <c r="B611" s="106"/>
      <c r="C611" s="148" t="s">
        <v>1564</v>
      </c>
      <c r="D611" s="150">
        <v>43844</v>
      </c>
      <c r="E611" s="113" t="s">
        <v>1563</v>
      </c>
      <c r="F611" s="256" t="s">
        <v>14412</v>
      </c>
      <c r="G611" s="258">
        <v>2.11</v>
      </c>
      <c r="I611" s="160">
        <f t="shared" si="9"/>
        <v>33597.079999999973</v>
      </c>
    </row>
    <row r="612" spans="2:9" hidden="1" x14ac:dyDescent="0.25">
      <c r="B612" s="106"/>
      <c r="C612" s="148" t="s">
        <v>1562</v>
      </c>
      <c r="D612" s="150">
        <v>43844</v>
      </c>
      <c r="E612" s="113" t="s">
        <v>1561</v>
      </c>
      <c r="F612" s="256" t="s">
        <v>14412</v>
      </c>
      <c r="G612" s="258">
        <v>0.27</v>
      </c>
      <c r="I612" s="160">
        <f t="shared" si="9"/>
        <v>33597.349999999969</v>
      </c>
    </row>
    <row r="613" spans="2:9" hidden="1" x14ac:dyDescent="0.25">
      <c r="B613" s="106"/>
      <c r="C613" s="148" t="s">
        <v>1560</v>
      </c>
      <c r="D613" s="150">
        <v>43844</v>
      </c>
      <c r="E613" s="113" t="s">
        <v>1559</v>
      </c>
      <c r="F613" s="256" t="s">
        <v>14412</v>
      </c>
      <c r="G613" s="258">
        <v>1.9</v>
      </c>
      <c r="I613" s="160">
        <f t="shared" si="9"/>
        <v>33599.249999999971</v>
      </c>
    </row>
    <row r="614" spans="2:9" hidden="1" x14ac:dyDescent="0.25">
      <c r="B614" s="106"/>
      <c r="C614" s="148" t="s">
        <v>1558</v>
      </c>
      <c r="D614" s="150">
        <v>43844</v>
      </c>
      <c r="E614" s="113" t="s">
        <v>1557</v>
      </c>
      <c r="F614" s="256" t="s">
        <v>14412</v>
      </c>
      <c r="G614" s="258">
        <v>1.71</v>
      </c>
      <c r="I614" s="160">
        <f t="shared" si="9"/>
        <v>33600.95999999997</v>
      </c>
    </row>
    <row r="615" spans="2:9" ht="19.5" hidden="1" x14ac:dyDescent="0.25">
      <c r="B615" s="106"/>
      <c r="C615" s="148" t="s">
        <v>1556</v>
      </c>
      <c r="D615" s="150">
        <v>43844</v>
      </c>
      <c r="E615" s="113" t="s">
        <v>1555</v>
      </c>
      <c r="F615" s="256" t="s">
        <v>14412</v>
      </c>
      <c r="G615" s="258">
        <v>12.87</v>
      </c>
      <c r="I615" s="160">
        <f t="shared" si="9"/>
        <v>33613.829999999973</v>
      </c>
    </row>
    <row r="616" spans="2:9" hidden="1" x14ac:dyDescent="0.25">
      <c r="B616" s="106"/>
      <c r="C616" s="148" t="s">
        <v>1554</v>
      </c>
      <c r="D616" s="150">
        <v>43844</v>
      </c>
      <c r="E616" s="113" t="s">
        <v>1553</v>
      </c>
      <c r="F616" s="256" t="s">
        <v>14412</v>
      </c>
      <c r="G616" s="258">
        <v>3.86</v>
      </c>
      <c r="I616" s="160">
        <f t="shared" si="9"/>
        <v>33617.689999999973</v>
      </c>
    </row>
    <row r="617" spans="2:9" hidden="1" x14ac:dyDescent="0.25">
      <c r="B617" s="106"/>
      <c r="C617" s="148" t="s">
        <v>1552</v>
      </c>
      <c r="D617" s="150">
        <v>43844</v>
      </c>
      <c r="E617" s="113" t="s">
        <v>1551</v>
      </c>
      <c r="F617" s="256" t="s">
        <v>14412</v>
      </c>
      <c r="G617" s="258">
        <v>1.86</v>
      </c>
      <c r="I617" s="160">
        <f t="shared" si="9"/>
        <v>33619.549999999974</v>
      </c>
    </row>
    <row r="618" spans="2:9" hidden="1" x14ac:dyDescent="0.25">
      <c r="B618" s="106"/>
      <c r="C618" s="148" t="s">
        <v>1550</v>
      </c>
      <c r="D618" s="150">
        <v>43844</v>
      </c>
      <c r="E618" s="113" t="s">
        <v>1549</v>
      </c>
      <c r="F618" s="256" t="s">
        <v>14412</v>
      </c>
      <c r="G618" s="258">
        <v>44.73</v>
      </c>
      <c r="I618" s="160">
        <f t="shared" si="9"/>
        <v>33664.279999999977</v>
      </c>
    </row>
    <row r="619" spans="2:9" ht="19.5" hidden="1" x14ac:dyDescent="0.25">
      <c r="B619" s="106"/>
      <c r="C619" s="148" t="s">
        <v>1548</v>
      </c>
      <c r="D619" s="150">
        <v>43844</v>
      </c>
      <c r="E619" s="113" t="s">
        <v>1547</v>
      </c>
      <c r="F619" s="256" t="s">
        <v>14412</v>
      </c>
      <c r="G619" s="258">
        <v>3.39</v>
      </c>
      <c r="I619" s="160">
        <f t="shared" si="9"/>
        <v>33667.669999999976</v>
      </c>
    </row>
    <row r="620" spans="2:9" ht="19.5" hidden="1" x14ac:dyDescent="0.25">
      <c r="B620" s="106"/>
      <c r="C620" s="148" t="s">
        <v>1546</v>
      </c>
      <c r="D620" s="150">
        <v>43844</v>
      </c>
      <c r="E620" s="113" t="s">
        <v>1545</v>
      </c>
      <c r="F620" s="256" t="s">
        <v>14412</v>
      </c>
      <c r="G620" s="258">
        <v>4.09</v>
      </c>
      <c r="I620" s="160">
        <f t="shared" si="9"/>
        <v>33671.759999999973</v>
      </c>
    </row>
    <row r="621" spans="2:9" hidden="1" x14ac:dyDescent="0.25">
      <c r="B621" s="106"/>
      <c r="C621" s="148" t="s">
        <v>1544</v>
      </c>
      <c r="D621" s="150">
        <v>43844</v>
      </c>
      <c r="E621" s="113" t="s">
        <v>1543</v>
      </c>
      <c r="F621" s="256" t="s">
        <v>14412</v>
      </c>
      <c r="G621" s="258">
        <v>2.36</v>
      </c>
      <c r="I621" s="160">
        <f t="shared" si="9"/>
        <v>33674.119999999974</v>
      </c>
    </row>
    <row r="622" spans="2:9" hidden="1" x14ac:dyDescent="0.25">
      <c r="B622" s="106"/>
      <c r="C622" s="148" t="s">
        <v>1542</v>
      </c>
      <c r="D622" s="150">
        <v>43844</v>
      </c>
      <c r="E622" s="113" t="s">
        <v>1541</v>
      </c>
      <c r="F622" s="256" t="s">
        <v>14412</v>
      </c>
      <c r="G622" s="258">
        <v>24.21</v>
      </c>
      <c r="I622" s="160">
        <f t="shared" si="9"/>
        <v>33698.329999999973</v>
      </c>
    </row>
    <row r="623" spans="2:9" hidden="1" x14ac:dyDescent="0.25">
      <c r="B623" s="106"/>
      <c r="C623" s="148" t="s">
        <v>1540</v>
      </c>
      <c r="D623" s="150">
        <v>43844</v>
      </c>
      <c r="E623" s="113" t="s">
        <v>1539</v>
      </c>
      <c r="F623" s="256" t="s">
        <v>14412</v>
      </c>
      <c r="G623" s="258">
        <v>5.88</v>
      </c>
      <c r="I623" s="160">
        <f t="shared" si="9"/>
        <v>33704.20999999997</v>
      </c>
    </row>
    <row r="624" spans="2:9" ht="19.5" hidden="1" x14ac:dyDescent="0.25">
      <c r="B624" s="106"/>
      <c r="C624" s="148" t="s">
        <v>1538</v>
      </c>
      <c r="D624" s="150">
        <v>43844</v>
      </c>
      <c r="E624" s="113" t="s">
        <v>1537</v>
      </c>
      <c r="F624" s="256" t="s">
        <v>14412</v>
      </c>
      <c r="G624" s="258">
        <v>4.7</v>
      </c>
      <c r="I624" s="160">
        <f t="shared" si="9"/>
        <v>33708.909999999967</v>
      </c>
    </row>
    <row r="625" spans="2:9" hidden="1" x14ac:dyDescent="0.25">
      <c r="B625" s="106"/>
      <c r="C625" s="148" t="s">
        <v>1536</v>
      </c>
      <c r="D625" s="150">
        <v>43844</v>
      </c>
      <c r="E625" s="113" t="s">
        <v>1535</v>
      </c>
      <c r="F625" s="256" t="s">
        <v>14412</v>
      </c>
      <c r="G625" s="258">
        <v>2.37</v>
      </c>
      <c r="I625" s="160">
        <f t="shared" si="9"/>
        <v>33711.27999999997</v>
      </c>
    </row>
    <row r="626" spans="2:9" ht="19.5" hidden="1" x14ac:dyDescent="0.25">
      <c r="B626" s="106"/>
      <c r="C626" s="148" t="s">
        <v>1534</v>
      </c>
      <c r="D626" s="150">
        <v>43844</v>
      </c>
      <c r="E626" s="113" t="s">
        <v>1533</v>
      </c>
      <c r="F626" s="256" t="s">
        <v>14412</v>
      </c>
      <c r="G626" s="258">
        <v>1.76</v>
      </c>
      <c r="I626" s="160">
        <f t="shared" si="9"/>
        <v>33713.039999999972</v>
      </c>
    </row>
    <row r="627" spans="2:9" hidden="1" x14ac:dyDescent="0.25">
      <c r="B627" s="106"/>
      <c r="C627" s="148" t="s">
        <v>1532</v>
      </c>
      <c r="D627" s="150">
        <v>43844</v>
      </c>
      <c r="E627" s="113" t="s">
        <v>1531</v>
      </c>
      <c r="F627" s="256" t="s">
        <v>14412</v>
      </c>
      <c r="G627" s="258">
        <v>16.64</v>
      </c>
      <c r="I627" s="160">
        <f t="shared" si="9"/>
        <v>33729.679999999971</v>
      </c>
    </row>
    <row r="628" spans="2:9" ht="19.5" hidden="1" x14ac:dyDescent="0.25">
      <c r="B628" s="106"/>
      <c r="C628" s="148" t="s">
        <v>1530</v>
      </c>
      <c r="D628" s="150">
        <v>43845</v>
      </c>
      <c r="E628" s="113" t="s">
        <v>1529</v>
      </c>
      <c r="F628" s="256" t="s">
        <v>14412</v>
      </c>
      <c r="G628" s="258">
        <v>6.66</v>
      </c>
      <c r="I628" s="160">
        <f t="shared" si="9"/>
        <v>33736.339999999975</v>
      </c>
    </row>
    <row r="629" spans="2:9" ht="19.5" hidden="1" x14ac:dyDescent="0.25">
      <c r="B629" s="148">
        <v>3285</v>
      </c>
      <c r="C629" s="148" t="s">
        <v>1528</v>
      </c>
      <c r="D629" s="150">
        <v>43845</v>
      </c>
      <c r="E629" s="113" t="s">
        <v>1527</v>
      </c>
      <c r="F629" s="257" t="s">
        <v>14432</v>
      </c>
      <c r="H629" s="161">
        <v>96.57</v>
      </c>
      <c r="I629" s="160">
        <f t="shared" si="9"/>
        <v>33639.769999999975</v>
      </c>
    </row>
    <row r="630" spans="2:9" ht="19.5" hidden="1" x14ac:dyDescent="0.25">
      <c r="B630" s="148">
        <v>3286</v>
      </c>
      <c r="C630" s="148" t="s">
        <v>1526</v>
      </c>
      <c r="D630" s="150">
        <v>43845</v>
      </c>
      <c r="E630" s="113" t="s">
        <v>1525</v>
      </c>
      <c r="F630" s="257" t="s">
        <v>14432</v>
      </c>
      <c r="H630" s="161">
        <v>160</v>
      </c>
      <c r="I630" s="160">
        <f t="shared" si="9"/>
        <v>33479.769999999975</v>
      </c>
    </row>
    <row r="631" spans="2:9" ht="19.5" hidden="1" x14ac:dyDescent="0.25">
      <c r="B631" s="148">
        <v>3287</v>
      </c>
      <c r="C631" s="148" t="s">
        <v>1524</v>
      </c>
      <c r="D631" s="150">
        <v>43845</v>
      </c>
      <c r="E631" s="113" t="s">
        <v>1523</v>
      </c>
      <c r="F631" s="257" t="s">
        <v>14432</v>
      </c>
      <c r="H631" s="161">
        <v>160</v>
      </c>
      <c r="I631" s="160">
        <f t="shared" si="9"/>
        <v>33319.769999999975</v>
      </c>
    </row>
    <row r="632" spans="2:9" ht="19.5" hidden="1" x14ac:dyDescent="0.25">
      <c r="B632" s="148">
        <v>3288</v>
      </c>
      <c r="C632" s="148" t="s">
        <v>1522</v>
      </c>
      <c r="D632" s="150">
        <v>43845</v>
      </c>
      <c r="E632" s="113" t="s">
        <v>1521</v>
      </c>
      <c r="F632" s="257" t="s">
        <v>14432</v>
      </c>
      <c r="H632" s="161">
        <v>130.86000000000001</v>
      </c>
      <c r="I632" s="160">
        <f t="shared" si="9"/>
        <v>33188.909999999974</v>
      </c>
    </row>
    <row r="633" spans="2:9" ht="29.25" hidden="1" x14ac:dyDescent="0.25">
      <c r="B633" s="148">
        <v>3289</v>
      </c>
      <c r="C633" s="148" t="s">
        <v>1520</v>
      </c>
      <c r="D633" s="150">
        <v>43845</v>
      </c>
      <c r="E633" s="113" t="s">
        <v>1519</v>
      </c>
      <c r="F633" s="257" t="s">
        <v>14432</v>
      </c>
      <c r="H633" s="161">
        <v>117.25</v>
      </c>
      <c r="I633" s="160">
        <f t="shared" si="9"/>
        <v>33071.659999999974</v>
      </c>
    </row>
    <row r="634" spans="2:9" ht="29.25" hidden="1" x14ac:dyDescent="0.25">
      <c r="B634" s="148">
        <v>3290</v>
      </c>
      <c r="C634" s="148" t="s">
        <v>1518</v>
      </c>
      <c r="D634" s="150">
        <v>43845</v>
      </c>
      <c r="E634" s="113" t="s">
        <v>1517</v>
      </c>
      <c r="F634" s="257" t="s">
        <v>14432</v>
      </c>
      <c r="H634" s="161">
        <v>170</v>
      </c>
      <c r="I634" s="160">
        <f t="shared" si="9"/>
        <v>32901.659999999974</v>
      </c>
    </row>
    <row r="635" spans="2:9" ht="19.5" hidden="1" x14ac:dyDescent="0.25">
      <c r="B635" s="148">
        <v>3291</v>
      </c>
      <c r="C635" s="148" t="s">
        <v>1516</v>
      </c>
      <c r="D635" s="150">
        <v>43845</v>
      </c>
      <c r="E635" s="113" t="s">
        <v>1515</v>
      </c>
      <c r="F635" s="257" t="s">
        <v>14432</v>
      </c>
      <c r="H635" s="161">
        <v>317.52</v>
      </c>
      <c r="I635" s="160">
        <f t="shared" si="9"/>
        <v>32584.139999999974</v>
      </c>
    </row>
    <row r="636" spans="2:9" ht="29.25" hidden="1" x14ac:dyDescent="0.25">
      <c r="B636" s="148">
        <v>3292</v>
      </c>
      <c r="C636" s="148" t="s">
        <v>1514</v>
      </c>
      <c r="D636" s="150">
        <v>43845</v>
      </c>
      <c r="E636" s="113" t="s">
        <v>1513</v>
      </c>
      <c r="F636" s="257" t="s">
        <v>14432</v>
      </c>
      <c r="H636" s="161">
        <v>13.43</v>
      </c>
      <c r="I636" s="160">
        <f t="shared" si="9"/>
        <v>32570.709999999974</v>
      </c>
    </row>
    <row r="637" spans="2:9" ht="19.5" hidden="1" x14ac:dyDescent="0.25">
      <c r="B637" s="148">
        <v>3293</v>
      </c>
      <c r="C637" s="148" t="s">
        <v>1512</v>
      </c>
      <c r="D637" s="150">
        <v>43845</v>
      </c>
      <c r="E637" s="113" t="s">
        <v>1511</v>
      </c>
      <c r="F637" s="257" t="s">
        <v>14432</v>
      </c>
      <c r="H637" s="161">
        <v>8.9499999999999993</v>
      </c>
      <c r="I637" s="160">
        <f t="shared" si="9"/>
        <v>32561.759999999973</v>
      </c>
    </row>
    <row r="638" spans="2:9" ht="19.5" hidden="1" x14ac:dyDescent="0.25">
      <c r="B638" s="148">
        <v>3294</v>
      </c>
      <c r="C638" s="148" t="s">
        <v>1510</v>
      </c>
      <c r="D638" s="150">
        <v>43845</v>
      </c>
      <c r="E638" s="113" t="s">
        <v>1509</v>
      </c>
      <c r="F638" s="257" t="s">
        <v>14432</v>
      </c>
      <c r="H638" s="161">
        <v>11.01</v>
      </c>
      <c r="I638" s="160">
        <f t="shared" si="9"/>
        <v>32550.749999999975</v>
      </c>
    </row>
    <row r="639" spans="2:9" ht="29.25" hidden="1" x14ac:dyDescent="0.25">
      <c r="B639" s="148">
        <v>3295</v>
      </c>
      <c r="C639" s="148" t="s">
        <v>1508</v>
      </c>
      <c r="D639" s="150">
        <v>43845</v>
      </c>
      <c r="E639" s="113" t="s">
        <v>1507</v>
      </c>
      <c r="F639" s="257" t="s">
        <v>14432</v>
      </c>
      <c r="H639" s="161">
        <v>20.86</v>
      </c>
      <c r="I639" s="160">
        <f t="shared" si="9"/>
        <v>32529.889999999974</v>
      </c>
    </row>
    <row r="640" spans="2:9" ht="29.25" hidden="1" x14ac:dyDescent="0.25">
      <c r="B640" s="148">
        <v>3296</v>
      </c>
      <c r="C640" s="148" t="s">
        <v>1506</v>
      </c>
      <c r="D640" s="150">
        <v>43845</v>
      </c>
      <c r="E640" s="113" t="s">
        <v>1505</v>
      </c>
      <c r="F640" s="257" t="s">
        <v>14432</v>
      </c>
      <c r="H640" s="161">
        <v>11.61</v>
      </c>
      <c r="I640" s="160">
        <f t="shared" si="9"/>
        <v>32518.279999999973</v>
      </c>
    </row>
    <row r="641" spans="2:9" ht="29.25" hidden="1" x14ac:dyDescent="0.25">
      <c r="B641" s="148">
        <v>3297</v>
      </c>
      <c r="C641" s="148" t="s">
        <v>1504</v>
      </c>
      <c r="D641" s="150">
        <v>43845</v>
      </c>
      <c r="E641" s="113" t="s">
        <v>1503</v>
      </c>
      <c r="F641" s="257" t="s">
        <v>14432</v>
      </c>
      <c r="H641" s="161">
        <v>14.95</v>
      </c>
      <c r="I641" s="160">
        <f t="shared" si="9"/>
        <v>32503.329999999973</v>
      </c>
    </row>
    <row r="642" spans="2:9" ht="19.5" hidden="1" x14ac:dyDescent="0.25">
      <c r="B642" s="148">
        <v>3298</v>
      </c>
      <c r="C642" s="148" t="s">
        <v>1502</v>
      </c>
      <c r="D642" s="150">
        <v>43845</v>
      </c>
      <c r="E642" s="113" t="s">
        <v>1501</v>
      </c>
      <c r="F642" s="257" t="s">
        <v>14432</v>
      </c>
      <c r="H642" s="161">
        <v>40.799999999999997</v>
      </c>
      <c r="I642" s="160">
        <f t="shared" si="9"/>
        <v>32462.529999999973</v>
      </c>
    </row>
    <row r="643" spans="2:9" ht="29.25" x14ac:dyDescent="0.25">
      <c r="B643" s="148">
        <v>3299</v>
      </c>
      <c r="C643" s="148" t="s">
        <v>1500</v>
      </c>
      <c r="D643" s="150">
        <v>43845</v>
      </c>
      <c r="E643" s="113" t="s">
        <v>1499</v>
      </c>
      <c r="H643" s="161">
        <v>270</v>
      </c>
      <c r="I643" s="160">
        <f t="shared" si="9"/>
        <v>32192.529999999973</v>
      </c>
    </row>
    <row r="644" spans="2:9" ht="19.5" hidden="1" x14ac:dyDescent="0.25">
      <c r="B644" s="148"/>
      <c r="C644" s="148" t="s">
        <v>1498</v>
      </c>
      <c r="D644" s="150">
        <v>43845</v>
      </c>
      <c r="E644" s="113" t="s">
        <v>1497</v>
      </c>
      <c r="F644" s="257" t="s">
        <v>14452</v>
      </c>
      <c r="G644" s="270">
        <v>1.9</v>
      </c>
      <c r="I644" s="160">
        <f t="shared" si="9"/>
        <v>32194.429999999975</v>
      </c>
    </row>
    <row r="645" spans="2:9" ht="19.5" hidden="1" x14ac:dyDescent="0.25">
      <c r="B645" s="148"/>
      <c r="C645" s="148" t="s">
        <v>1496</v>
      </c>
      <c r="D645" s="150">
        <v>43845</v>
      </c>
      <c r="E645" s="113" t="s">
        <v>1495</v>
      </c>
      <c r="F645" s="257" t="s">
        <v>14448</v>
      </c>
      <c r="G645" s="160">
        <v>0.84</v>
      </c>
      <c r="I645" s="160">
        <f t="shared" si="9"/>
        <v>32195.269999999975</v>
      </c>
    </row>
    <row r="646" spans="2:9" hidden="1" x14ac:dyDescent="0.25">
      <c r="B646" s="148"/>
      <c r="C646" s="148" t="s">
        <v>1494</v>
      </c>
      <c r="D646" s="150">
        <v>43845</v>
      </c>
      <c r="E646" s="113" t="s">
        <v>1493</v>
      </c>
      <c r="F646" s="257" t="s">
        <v>14452</v>
      </c>
      <c r="G646" s="270">
        <v>12.3</v>
      </c>
      <c r="I646" s="160">
        <f t="shared" si="9"/>
        <v>32207.569999999974</v>
      </c>
    </row>
    <row r="647" spans="2:9" ht="19.5" hidden="1" x14ac:dyDescent="0.25">
      <c r="B647" s="106"/>
      <c r="C647" s="148" t="s">
        <v>1492</v>
      </c>
      <c r="D647" s="150">
        <v>43845</v>
      </c>
      <c r="E647" s="113" t="s">
        <v>1491</v>
      </c>
      <c r="F647" s="256" t="s">
        <v>14412</v>
      </c>
      <c r="G647" s="258">
        <v>5.21</v>
      </c>
      <c r="I647" s="160">
        <f t="shared" si="9"/>
        <v>32212.779999999973</v>
      </c>
    </row>
    <row r="648" spans="2:9" ht="19.5" hidden="1" x14ac:dyDescent="0.25">
      <c r="B648" s="106"/>
      <c r="C648" s="148" t="s">
        <v>1490</v>
      </c>
      <c r="D648" s="150">
        <v>43845</v>
      </c>
      <c r="E648" s="113" t="s">
        <v>1489</v>
      </c>
      <c r="F648" s="256" t="s">
        <v>14412</v>
      </c>
      <c r="G648" s="258">
        <v>2.61</v>
      </c>
      <c r="I648" s="160">
        <f t="shared" si="9"/>
        <v>32215.389999999974</v>
      </c>
    </row>
    <row r="649" spans="2:9" ht="19.5" hidden="1" x14ac:dyDescent="0.25">
      <c r="B649" s="106"/>
      <c r="C649" s="148" t="s">
        <v>1488</v>
      </c>
      <c r="D649" s="150">
        <v>43845</v>
      </c>
      <c r="E649" s="113" t="s">
        <v>1487</v>
      </c>
      <c r="F649" s="256" t="s">
        <v>14412</v>
      </c>
      <c r="G649" s="258">
        <v>7.17</v>
      </c>
      <c r="I649" s="160">
        <f t="shared" si="9"/>
        <v>32222.559999999972</v>
      </c>
    </row>
    <row r="650" spans="2:9" hidden="1" x14ac:dyDescent="0.25">
      <c r="B650" s="106"/>
      <c r="C650" s="148" t="s">
        <v>1486</v>
      </c>
      <c r="D650" s="150">
        <v>43845</v>
      </c>
      <c r="E650" s="113" t="s">
        <v>1485</v>
      </c>
      <c r="F650" s="256" t="s">
        <v>14412</v>
      </c>
      <c r="G650" s="258">
        <v>7.86</v>
      </c>
      <c r="I650" s="160">
        <f t="shared" si="9"/>
        <v>32230.419999999973</v>
      </c>
    </row>
    <row r="651" spans="2:9" ht="19.5" hidden="1" x14ac:dyDescent="0.25">
      <c r="B651" s="106"/>
      <c r="C651" s="148" t="s">
        <v>1484</v>
      </c>
      <c r="D651" s="150">
        <v>43845</v>
      </c>
      <c r="E651" s="113" t="s">
        <v>1483</v>
      </c>
      <c r="F651" s="256" t="s">
        <v>14412</v>
      </c>
      <c r="G651" s="258">
        <v>16.87</v>
      </c>
      <c r="I651" s="160">
        <f t="shared" si="9"/>
        <v>32247.289999999972</v>
      </c>
    </row>
    <row r="652" spans="2:9" ht="19.5" hidden="1" x14ac:dyDescent="0.25">
      <c r="B652" s="106"/>
      <c r="C652" s="148" t="s">
        <v>1482</v>
      </c>
      <c r="D652" s="150">
        <v>43845</v>
      </c>
      <c r="E652" s="113" t="s">
        <v>1481</v>
      </c>
      <c r="F652" s="256" t="s">
        <v>14412</v>
      </c>
      <c r="G652" s="258">
        <v>3.6</v>
      </c>
      <c r="I652" s="160">
        <f t="shared" si="9"/>
        <v>32250.88999999997</v>
      </c>
    </row>
    <row r="653" spans="2:9" ht="19.5" hidden="1" x14ac:dyDescent="0.25">
      <c r="B653" s="106"/>
      <c r="C653" s="148" t="s">
        <v>1480</v>
      </c>
      <c r="D653" s="150">
        <v>43845</v>
      </c>
      <c r="E653" s="113" t="s">
        <v>1479</v>
      </c>
      <c r="F653" s="256" t="s">
        <v>14412</v>
      </c>
      <c r="G653" s="258">
        <v>2.08</v>
      </c>
      <c r="I653" s="160">
        <f t="shared" si="9"/>
        <v>32252.969999999972</v>
      </c>
    </row>
    <row r="654" spans="2:9" ht="19.5" hidden="1" x14ac:dyDescent="0.25">
      <c r="B654" s="106"/>
      <c r="C654" s="148" t="s">
        <v>1478</v>
      </c>
      <c r="D654" s="150">
        <v>43845</v>
      </c>
      <c r="E654" s="113" t="s">
        <v>1477</v>
      </c>
      <c r="F654" s="256" t="s">
        <v>14412</v>
      </c>
      <c r="G654" s="258">
        <v>3.67</v>
      </c>
      <c r="I654" s="160">
        <f t="shared" si="9"/>
        <v>32256.63999999997</v>
      </c>
    </row>
    <row r="655" spans="2:9" hidden="1" x14ac:dyDescent="0.25">
      <c r="B655" s="106"/>
      <c r="C655" s="148" t="s">
        <v>1476</v>
      </c>
      <c r="D655" s="150">
        <v>43845</v>
      </c>
      <c r="E655" s="113" t="s">
        <v>1475</v>
      </c>
      <c r="F655" s="256" t="s">
        <v>14412</v>
      </c>
      <c r="G655" s="258">
        <v>3.42</v>
      </c>
      <c r="I655" s="160">
        <f t="shared" si="9"/>
        <v>32260.059999999969</v>
      </c>
    </row>
    <row r="656" spans="2:9" hidden="1" x14ac:dyDescent="0.25">
      <c r="B656" s="106"/>
      <c r="C656" s="148" t="s">
        <v>1474</v>
      </c>
      <c r="D656" s="150">
        <v>43845</v>
      </c>
      <c r="E656" s="113" t="s">
        <v>1473</v>
      </c>
      <c r="F656" s="256" t="s">
        <v>14412</v>
      </c>
      <c r="G656" s="258">
        <v>4.1900000000000004</v>
      </c>
      <c r="I656" s="160">
        <f t="shared" si="9"/>
        <v>32264.249999999967</v>
      </c>
    </row>
    <row r="657" spans="2:9" hidden="1" x14ac:dyDescent="0.25">
      <c r="B657" s="106"/>
      <c r="C657" s="148" t="s">
        <v>1472</v>
      </c>
      <c r="D657" s="150">
        <v>43845</v>
      </c>
      <c r="E657" s="113" t="s">
        <v>1471</v>
      </c>
      <c r="F657" s="256" t="s">
        <v>14412</v>
      </c>
      <c r="G657" s="258">
        <v>4.63</v>
      </c>
      <c r="I657" s="160">
        <f t="shared" si="9"/>
        <v>32268.879999999968</v>
      </c>
    </row>
    <row r="658" spans="2:9" ht="19.5" hidden="1" x14ac:dyDescent="0.25">
      <c r="B658" s="106"/>
      <c r="C658" s="148" t="s">
        <v>1470</v>
      </c>
      <c r="D658" s="150">
        <v>43845</v>
      </c>
      <c r="E658" s="113" t="s">
        <v>1469</v>
      </c>
      <c r="F658" s="256" t="s">
        <v>14412</v>
      </c>
      <c r="G658" s="258">
        <v>13.98</v>
      </c>
      <c r="I658" s="160">
        <f t="shared" si="9"/>
        <v>32282.859999999968</v>
      </c>
    </row>
    <row r="659" spans="2:9" hidden="1" x14ac:dyDescent="0.25">
      <c r="B659" s="106"/>
      <c r="C659" s="148" t="s">
        <v>1468</v>
      </c>
      <c r="D659" s="150">
        <v>43845</v>
      </c>
      <c r="E659" s="113" t="s">
        <v>1467</v>
      </c>
      <c r="F659" s="256" t="s">
        <v>14412</v>
      </c>
      <c r="G659" s="258">
        <v>0.55000000000000004</v>
      </c>
      <c r="I659" s="160">
        <f t="shared" si="9"/>
        <v>32283.409999999967</v>
      </c>
    </row>
    <row r="660" spans="2:9" hidden="1" x14ac:dyDescent="0.25">
      <c r="B660" s="106"/>
      <c r="C660" s="148" t="s">
        <v>1466</v>
      </c>
      <c r="D660" s="150">
        <v>43845</v>
      </c>
      <c r="E660" s="113" t="s">
        <v>1465</v>
      </c>
      <c r="F660" s="256" t="s">
        <v>14412</v>
      </c>
      <c r="G660" s="258">
        <v>0.09</v>
      </c>
      <c r="I660" s="160">
        <f t="shared" ref="I660:I723" si="10">+I659+G660-H660</f>
        <v>32283.499999999967</v>
      </c>
    </row>
    <row r="661" spans="2:9" hidden="1" x14ac:dyDescent="0.25">
      <c r="B661" s="106"/>
      <c r="C661" s="148" t="s">
        <v>1464</v>
      </c>
      <c r="D661" s="150">
        <v>43845</v>
      </c>
      <c r="E661" s="113" t="s">
        <v>1463</v>
      </c>
      <c r="F661" s="256" t="s">
        <v>14412</v>
      </c>
      <c r="G661" s="258">
        <v>2.2000000000000002</v>
      </c>
      <c r="I661" s="160">
        <f t="shared" si="10"/>
        <v>32285.699999999968</v>
      </c>
    </row>
    <row r="662" spans="2:9" hidden="1" x14ac:dyDescent="0.25">
      <c r="B662" s="106"/>
      <c r="C662" s="148" t="s">
        <v>1462</v>
      </c>
      <c r="D662" s="150">
        <v>43845</v>
      </c>
      <c r="E662" s="113" t="s">
        <v>1461</v>
      </c>
      <c r="F662" s="256" t="s">
        <v>14412</v>
      </c>
      <c r="G662" s="258">
        <v>1.58</v>
      </c>
      <c r="I662" s="160">
        <f t="shared" si="10"/>
        <v>32287.27999999997</v>
      </c>
    </row>
    <row r="663" spans="2:9" hidden="1" x14ac:dyDescent="0.25">
      <c r="B663" s="106"/>
      <c r="C663" s="148" t="s">
        <v>1460</v>
      </c>
      <c r="D663" s="150">
        <v>43845</v>
      </c>
      <c r="E663" s="113" t="s">
        <v>1459</v>
      </c>
      <c r="F663" s="256" t="s">
        <v>14412</v>
      </c>
      <c r="G663" s="258">
        <v>3.48</v>
      </c>
      <c r="I663" s="160">
        <f t="shared" si="10"/>
        <v>32290.759999999969</v>
      </c>
    </row>
    <row r="664" spans="2:9" hidden="1" x14ac:dyDescent="0.25">
      <c r="B664" s="106"/>
      <c r="C664" s="148" t="s">
        <v>1458</v>
      </c>
      <c r="D664" s="150">
        <v>43845</v>
      </c>
      <c r="E664" s="113" t="s">
        <v>1457</v>
      </c>
      <c r="F664" s="256" t="s">
        <v>14412</v>
      </c>
      <c r="G664" s="258">
        <v>7.13</v>
      </c>
      <c r="I664" s="160">
        <f t="shared" si="10"/>
        <v>32297.88999999997</v>
      </c>
    </row>
    <row r="665" spans="2:9" ht="19.5" hidden="1" x14ac:dyDescent="0.25">
      <c r="B665" s="106"/>
      <c r="C665" s="148" t="s">
        <v>1456</v>
      </c>
      <c r="D665" s="150">
        <v>43845</v>
      </c>
      <c r="E665" s="113" t="s">
        <v>1455</v>
      </c>
      <c r="F665" s="256" t="s">
        <v>14412</v>
      </c>
      <c r="G665" s="258">
        <v>3.33</v>
      </c>
      <c r="I665" s="160">
        <f t="shared" si="10"/>
        <v>32301.219999999972</v>
      </c>
    </row>
    <row r="666" spans="2:9" ht="19.5" hidden="1" x14ac:dyDescent="0.25">
      <c r="B666" s="106"/>
      <c r="C666" s="148" t="s">
        <v>1454</v>
      </c>
      <c r="D666" s="150">
        <v>43845</v>
      </c>
      <c r="E666" s="113" t="s">
        <v>1453</v>
      </c>
      <c r="F666" s="256" t="s">
        <v>14412</v>
      </c>
      <c r="G666" s="258">
        <v>5.15</v>
      </c>
      <c r="I666" s="160">
        <f t="shared" si="10"/>
        <v>32306.369999999974</v>
      </c>
    </row>
    <row r="667" spans="2:9" ht="19.5" hidden="1" x14ac:dyDescent="0.25">
      <c r="B667" s="106"/>
      <c r="C667" s="148" t="s">
        <v>1452</v>
      </c>
      <c r="D667" s="150">
        <v>43845</v>
      </c>
      <c r="E667" s="113" t="s">
        <v>1451</v>
      </c>
      <c r="F667" s="256" t="s">
        <v>14412</v>
      </c>
      <c r="G667" s="258">
        <v>23.46</v>
      </c>
      <c r="I667" s="160">
        <f t="shared" si="10"/>
        <v>32329.829999999973</v>
      </c>
    </row>
    <row r="668" spans="2:9" ht="19.5" hidden="1" x14ac:dyDescent="0.25">
      <c r="B668" s="106"/>
      <c r="C668" s="148" t="s">
        <v>1450</v>
      </c>
      <c r="D668" s="150">
        <v>43845</v>
      </c>
      <c r="E668" s="113" t="s">
        <v>1449</v>
      </c>
      <c r="F668" s="256" t="s">
        <v>14412</v>
      </c>
      <c r="G668" s="258">
        <v>1.68</v>
      </c>
      <c r="I668" s="160">
        <f t="shared" si="10"/>
        <v>32331.509999999973</v>
      </c>
    </row>
    <row r="669" spans="2:9" hidden="1" x14ac:dyDescent="0.25">
      <c r="B669" s="106"/>
      <c r="C669" s="148" t="s">
        <v>1448</v>
      </c>
      <c r="D669" s="150">
        <v>43845</v>
      </c>
      <c r="E669" s="113" t="s">
        <v>1447</v>
      </c>
      <c r="F669" s="256" t="s">
        <v>14412</v>
      </c>
      <c r="G669" s="258">
        <v>1.68</v>
      </c>
      <c r="I669" s="160">
        <f t="shared" si="10"/>
        <v>32333.189999999973</v>
      </c>
    </row>
    <row r="670" spans="2:9" hidden="1" x14ac:dyDescent="0.25">
      <c r="B670" s="106"/>
      <c r="C670" s="148" t="s">
        <v>1446</v>
      </c>
      <c r="D670" s="150">
        <v>43845</v>
      </c>
      <c r="E670" s="113" t="s">
        <v>1445</v>
      </c>
      <c r="F670" s="256">
        <v>10</v>
      </c>
      <c r="G670" s="255">
        <v>8.3800000000000008</v>
      </c>
      <c r="I670" s="160">
        <f t="shared" si="10"/>
        <v>32341.569999999974</v>
      </c>
    </row>
    <row r="671" spans="2:9" hidden="1" x14ac:dyDescent="0.25">
      <c r="B671" s="106"/>
      <c r="C671" s="148" t="s">
        <v>1444</v>
      </c>
      <c r="D671" s="150">
        <v>43845</v>
      </c>
      <c r="E671" s="113" t="s">
        <v>1443</v>
      </c>
      <c r="F671" s="256">
        <v>10</v>
      </c>
      <c r="G671" s="255">
        <v>8.3800000000000008</v>
      </c>
      <c r="I671" s="160">
        <f t="shared" si="10"/>
        <v>32349.949999999975</v>
      </c>
    </row>
    <row r="672" spans="2:9" hidden="1" x14ac:dyDescent="0.25">
      <c r="B672" s="106"/>
      <c r="C672" s="148" t="s">
        <v>1442</v>
      </c>
      <c r="D672" s="150">
        <v>43845</v>
      </c>
      <c r="E672" s="113" t="s">
        <v>1441</v>
      </c>
      <c r="F672" s="256">
        <v>10</v>
      </c>
      <c r="G672" s="255">
        <v>12.3</v>
      </c>
      <c r="I672" s="160">
        <f t="shared" si="10"/>
        <v>32362.249999999975</v>
      </c>
    </row>
    <row r="673" spans="2:9" ht="19.5" hidden="1" x14ac:dyDescent="0.25">
      <c r="B673" s="106"/>
      <c r="C673" s="148" t="s">
        <v>1440</v>
      </c>
      <c r="D673" s="150">
        <v>43845</v>
      </c>
      <c r="E673" s="113" t="s">
        <v>1439</v>
      </c>
      <c r="F673" s="256">
        <v>10</v>
      </c>
      <c r="G673" s="255">
        <v>12.3</v>
      </c>
      <c r="I673" s="160">
        <f t="shared" si="10"/>
        <v>32374.549999999974</v>
      </c>
    </row>
    <row r="674" spans="2:9" hidden="1" x14ac:dyDescent="0.25">
      <c r="B674" s="106"/>
      <c r="C674" s="148" t="s">
        <v>1438</v>
      </c>
      <c r="D674" s="150">
        <v>43845</v>
      </c>
      <c r="E674" s="113" t="s">
        <v>1437</v>
      </c>
      <c r="F674" s="256">
        <v>10</v>
      </c>
      <c r="G674" s="255">
        <v>1.68</v>
      </c>
      <c r="I674" s="160">
        <f t="shared" si="10"/>
        <v>32376.229999999974</v>
      </c>
    </row>
    <row r="675" spans="2:9" ht="19.5" hidden="1" x14ac:dyDescent="0.25">
      <c r="B675" s="148"/>
      <c r="C675" s="148" t="s">
        <v>1436</v>
      </c>
      <c r="D675" s="150">
        <v>43845</v>
      </c>
      <c r="E675" s="113" t="s">
        <v>1435</v>
      </c>
      <c r="F675" s="257" t="s">
        <v>14437</v>
      </c>
      <c r="G675" s="160">
        <v>1.69</v>
      </c>
      <c r="I675" s="160">
        <f t="shared" si="10"/>
        <v>32377.919999999973</v>
      </c>
    </row>
    <row r="676" spans="2:9" ht="19.5" hidden="1" x14ac:dyDescent="0.25">
      <c r="B676" s="148"/>
      <c r="C676" s="148" t="s">
        <v>1434</v>
      </c>
      <c r="D676" s="150">
        <v>43845</v>
      </c>
      <c r="E676" s="113" t="s">
        <v>1433</v>
      </c>
      <c r="F676" s="257" t="s">
        <v>14437</v>
      </c>
      <c r="G676" s="160">
        <v>5.0599999999999996</v>
      </c>
      <c r="I676" s="160">
        <f t="shared" si="10"/>
        <v>32382.979999999974</v>
      </c>
    </row>
    <row r="677" spans="2:9" ht="19.5" hidden="1" x14ac:dyDescent="0.25">
      <c r="B677" s="148"/>
      <c r="C677" s="148" t="s">
        <v>1432</v>
      </c>
      <c r="D677" s="150">
        <v>43845</v>
      </c>
      <c r="E677" s="113" t="s">
        <v>1431</v>
      </c>
      <c r="F677" s="257" t="s">
        <v>14433</v>
      </c>
      <c r="H677" s="161">
        <v>2640</v>
      </c>
      <c r="I677" s="160">
        <f t="shared" si="10"/>
        <v>29742.979999999974</v>
      </c>
    </row>
    <row r="678" spans="2:9" ht="19.5" hidden="1" x14ac:dyDescent="0.25">
      <c r="B678" s="148"/>
      <c r="C678" s="148" t="s">
        <v>1430</v>
      </c>
      <c r="D678" s="150">
        <v>43845</v>
      </c>
      <c r="E678" s="113" t="s">
        <v>1429</v>
      </c>
      <c r="F678" s="257" t="s">
        <v>14433</v>
      </c>
      <c r="H678" s="161">
        <v>478.99</v>
      </c>
      <c r="I678" s="160">
        <f t="shared" si="10"/>
        <v>29263.989999999972</v>
      </c>
    </row>
    <row r="679" spans="2:9" ht="19.5" hidden="1" x14ac:dyDescent="0.25">
      <c r="B679" s="148"/>
      <c r="C679" s="148" t="s">
        <v>1428</v>
      </c>
      <c r="D679" s="150">
        <v>43845</v>
      </c>
      <c r="E679" s="113" t="s">
        <v>1427</v>
      </c>
      <c r="F679" s="257" t="s">
        <v>14433</v>
      </c>
      <c r="H679" s="161">
        <v>1800</v>
      </c>
      <c r="I679" s="160">
        <f t="shared" si="10"/>
        <v>27463.989999999972</v>
      </c>
    </row>
    <row r="680" spans="2:9" ht="19.5" hidden="1" x14ac:dyDescent="0.25">
      <c r="B680" s="148"/>
      <c r="C680" s="148" t="s">
        <v>1426</v>
      </c>
      <c r="D680" s="150">
        <v>43846</v>
      </c>
      <c r="E680" s="113" t="s">
        <v>1425</v>
      </c>
      <c r="F680" s="257" t="s">
        <v>14448</v>
      </c>
      <c r="G680" s="160">
        <v>15.06</v>
      </c>
      <c r="I680" s="160">
        <f t="shared" si="10"/>
        <v>27479.049999999974</v>
      </c>
    </row>
    <row r="681" spans="2:9" hidden="1" x14ac:dyDescent="0.25">
      <c r="B681" s="148"/>
      <c r="C681" s="148" t="s">
        <v>1424</v>
      </c>
      <c r="D681" s="150">
        <v>43846</v>
      </c>
      <c r="E681" s="113" t="s">
        <v>1423</v>
      </c>
      <c r="F681" s="257" t="s">
        <v>14448</v>
      </c>
      <c r="G681" s="160">
        <v>8.0500000000000007</v>
      </c>
      <c r="I681" s="160">
        <f t="shared" si="10"/>
        <v>27487.099999999973</v>
      </c>
    </row>
    <row r="682" spans="2:9" ht="19.5" hidden="1" x14ac:dyDescent="0.25">
      <c r="B682" s="148"/>
      <c r="C682" s="148" t="s">
        <v>1422</v>
      </c>
      <c r="D682" s="150">
        <v>43846</v>
      </c>
      <c r="E682" s="113" t="s">
        <v>1421</v>
      </c>
      <c r="F682" s="257" t="s">
        <v>14448</v>
      </c>
      <c r="G682" s="160">
        <v>1.81</v>
      </c>
      <c r="I682" s="160">
        <f t="shared" si="10"/>
        <v>27488.909999999974</v>
      </c>
    </row>
    <row r="683" spans="2:9" ht="19.5" hidden="1" x14ac:dyDescent="0.25">
      <c r="B683" s="148"/>
      <c r="C683" s="148" t="s">
        <v>1420</v>
      </c>
      <c r="D683" s="150">
        <v>43846</v>
      </c>
      <c r="E683" s="113" t="s">
        <v>1419</v>
      </c>
      <c r="F683" s="257" t="s">
        <v>14452</v>
      </c>
      <c r="G683" s="270">
        <v>7.48</v>
      </c>
      <c r="I683" s="160">
        <f t="shared" si="10"/>
        <v>27496.389999999974</v>
      </c>
    </row>
    <row r="684" spans="2:9" ht="19.5" hidden="1" x14ac:dyDescent="0.25">
      <c r="B684" s="148"/>
      <c r="C684" s="148" t="s">
        <v>1418</v>
      </c>
      <c r="D684" s="150">
        <v>43846</v>
      </c>
      <c r="E684" s="113" t="s">
        <v>1417</v>
      </c>
      <c r="F684" s="257" t="s">
        <v>14452</v>
      </c>
      <c r="G684" s="270">
        <v>8.42</v>
      </c>
      <c r="I684" s="160">
        <f t="shared" si="10"/>
        <v>27504.809999999972</v>
      </c>
    </row>
    <row r="685" spans="2:9" ht="19.5" hidden="1" x14ac:dyDescent="0.25">
      <c r="B685" s="148"/>
      <c r="C685" s="148" t="s">
        <v>1416</v>
      </c>
      <c r="D685" s="150">
        <v>43846</v>
      </c>
      <c r="E685" s="113" t="s">
        <v>1415</v>
      </c>
      <c r="F685" s="257" t="s">
        <v>14437</v>
      </c>
      <c r="G685" s="160">
        <v>5</v>
      </c>
      <c r="I685" s="160">
        <f t="shared" si="10"/>
        <v>27509.809999999972</v>
      </c>
    </row>
    <row r="686" spans="2:9" hidden="1" x14ac:dyDescent="0.25">
      <c r="B686" s="106"/>
      <c r="C686" s="148" t="s">
        <v>1414</v>
      </c>
      <c r="D686" s="150">
        <v>43846</v>
      </c>
      <c r="E686" s="113" t="s">
        <v>1413</v>
      </c>
      <c r="F686" s="256" t="s">
        <v>14412</v>
      </c>
      <c r="G686" s="258">
        <v>13.34</v>
      </c>
      <c r="I686" s="160">
        <f t="shared" si="10"/>
        <v>27523.149999999972</v>
      </c>
    </row>
    <row r="687" spans="2:9" hidden="1" x14ac:dyDescent="0.25">
      <c r="B687" s="106"/>
      <c r="C687" s="148" t="s">
        <v>1412</v>
      </c>
      <c r="D687" s="150">
        <v>43846</v>
      </c>
      <c r="E687" s="113" t="s">
        <v>1411</v>
      </c>
      <c r="F687" s="256" t="s">
        <v>14412</v>
      </c>
      <c r="G687" s="258">
        <v>1.84</v>
      </c>
      <c r="I687" s="160">
        <f t="shared" si="10"/>
        <v>27524.989999999972</v>
      </c>
    </row>
    <row r="688" spans="2:9" hidden="1" x14ac:dyDescent="0.25">
      <c r="B688" s="106"/>
      <c r="C688" s="148" t="s">
        <v>1410</v>
      </c>
      <c r="D688" s="150">
        <v>43846</v>
      </c>
      <c r="E688" s="113" t="s">
        <v>1409</v>
      </c>
      <c r="F688" s="256" t="s">
        <v>14412</v>
      </c>
      <c r="G688" s="258">
        <v>4.1900000000000004</v>
      </c>
      <c r="I688" s="160">
        <f t="shared" si="10"/>
        <v>27529.179999999971</v>
      </c>
    </row>
    <row r="689" spans="2:9" hidden="1" x14ac:dyDescent="0.25">
      <c r="B689" s="106"/>
      <c r="C689" s="148" t="s">
        <v>1408</v>
      </c>
      <c r="D689" s="150">
        <v>43846</v>
      </c>
      <c r="E689" s="113" t="s">
        <v>1407</v>
      </c>
      <c r="F689" s="256" t="s">
        <v>14412</v>
      </c>
      <c r="G689" s="258">
        <v>22.79</v>
      </c>
      <c r="I689" s="160">
        <f t="shared" si="10"/>
        <v>27551.969999999972</v>
      </c>
    </row>
    <row r="690" spans="2:9" ht="19.5" hidden="1" x14ac:dyDescent="0.25">
      <c r="B690" s="106"/>
      <c r="C690" s="148" t="s">
        <v>1406</v>
      </c>
      <c r="D690" s="150">
        <v>43846</v>
      </c>
      <c r="E690" s="113" t="s">
        <v>1405</v>
      </c>
      <c r="F690" s="256" t="s">
        <v>14412</v>
      </c>
      <c r="G690" s="258">
        <v>56.18</v>
      </c>
      <c r="I690" s="160">
        <f t="shared" si="10"/>
        <v>27608.149999999972</v>
      </c>
    </row>
    <row r="691" spans="2:9" hidden="1" x14ac:dyDescent="0.25">
      <c r="B691" s="106"/>
      <c r="C691" s="148" t="s">
        <v>1404</v>
      </c>
      <c r="D691" s="150">
        <v>43846</v>
      </c>
      <c r="E691" s="113" t="s">
        <v>1403</v>
      </c>
      <c r="F691" s="256" t="s">
        <v>14412</v>
      </c>
      <c r="G691" s="258">
        <v>0.18</v>
      </c>
      <c r="I691" s="160">
        <f t="shared" si="10"/>
        <v>27608.329999999973</v>
      </c>
    </row>
    <row r="692" spans="2:9" ht="19.5" hidden="1" x14ac:dyDescent="0.25">
      <c r="B692" s="106"/>
      <c r="C692" s="148" t="s">
        <v>1402</v>
      </c>
      <c r="D692" s="150">
        <v>43846</v>
      </c>
      <c r="E692" s="113" t="s">
        <v>1401</v>
      </c>
      <c r="F692" s="256" t="s">
        <v>14412</v>
      </c>
      <c r="G692" s="258">
        <v>3.83</v>
      </c>
      <c r="I692" s="160">
        <f t="shared" si="10"/>
        <v>27612.159999999974</v>
      </c>
    </row>
    <row r="693" spans="2:9" ht="19.5" hidden="1" x14ac:dyDescent="0.25">
      <c r="B693" s="106"/>
      <c r="C693" s="148" t="s">
        <v>1400</v>
      </c>
      <c r="D693" s="150">
        <v>43846</v>
      </c>
      <c r="E693" s="113" t="s">
        <v>1399</v>
      </c>
      <c r="F693" s="256" t="s">
        <v>14412</v>
      </c>
      <c r="G693" s="258">
        <v>1.68</v>
      </c>
      <c r="I693" s="160">
        <f t="shared" si="10"/>
        <v>27613.839999999975</v>
      </c>
    </row>
    <row r="694" spans="2:9" hidden="1" x14ac:dyDescent="0.25">
      <c r="B694" s="106"/>
      <c r="C694" s="148" t="s">
        <v>1398</v>
      </c>
      <c r="D694" s="150">
        <v>43846</v>
      </c>
      <c r="E694" s="113" t="s">
        <v>1397</v>
      </c>
      <c r="F694" s="256" t="s">
        <v>14412</v>
      </c>
      <c r="G694" s="258">
        <v>3.95</v>
      </c>
      <c r="I694" s="160">
        <f t="shared" si="10"/>
        <v>27617.789999999975</v>
      </c>
    </row>
    <row r="695" spans="2:9" ht="19.5" hidden="1" x14ac:dyDescent="0.25">
      <c r="B695" s="106"/>
      <c r="C695" s="148" t="s">
        <v>1396</v>
      </c>
      <c r="D695" s="150">
        <v>43846</v>
      </c>
      <c r="E695" s="113" t="s">
        <v>1395</v>
      </c>
      <c r="F695" s="256" t="s">
        <v>14412</v>
      </c>
      <c r="G695" s="258">
        <v>3.22</v>
      </c>
      <c r="I695" s="160">
        <f t="shared" si="10"/>
        <v>27621.009999999977</v>
      </c>
    </row>
    <row r="696" spans="2:9" ht="19.5" hidden="1" x14ac:dyDescent="0.25">
      <c r="B696" s="106"/>
      <c r="C696" s="148" t="s">
        <v>1394</v>
      </c>
      <c r="D696" s="150">
        <v>43846</v>
      </c>
      <c r="E696" s="113" t="s">
        <v>1393</v>
      </c>
      <c r="F696" s="256" t="s">
        <v>14412</v>
      </c>
      <c r="G696" s="258">
        <v>7.05</v>
      </c>
      <c r="I696" s="160">
        <f t="shared" si="10"/>
        <v>27628.059999999976</v>
      </c>
    </row>
    <row r="697" spans="2:9" ht="19.5" hidden="1" x14ac:dyDescent="0.25">
      <c r="B697" s="106"/>
      <c r="C697" s="148" t="s">
        <v>1392</v>
      </c>
      <c r="D697" s="150">
        <v>43846</v>
      </c>
      <c r="E697" s="113" t="s">
        <v>1391</v>
      </c>
      <c r="F697" s="256" t="s">
        <v>14412</v>
      </c>
      <c r="G697" s="258">
        <v>0.21</v>
      </c>
      <c r="I697" s="160">
        <f t="shared" si="10"/>
        <v>27628.269999999975</v>
      </c>
    </row>
    <row r="698" spans="2:9" ht="19.5" hidden="1" x14ac:dyDescent="0.25">
      <c r="B698" s="106"/>
      <c r="C698" s="148" t="s">
        <v>1390</v>
      </c>
      <c r="D698" s="150">
        <v>43846</v>
      </c>
      <c r="E698" s="113" t="s">
        <v>1389</v>
      </c>
      <c r="F698" s="256" t="s">
        <v>14412</v>
      </c>
      <c r="G698" s="258">
        <v>6.29</v>
      </c>
      <c r="I698" s="160">
        <f t="shared" si="10"/>
        <v>27634.559999999976</v>
      </c>
    </row>
    <row r="699" spans="2:9" hidden="1" x14ac:dyDescent="0.25">
      <c r="B699" s="106"/>
      <c r="C699" s="148" t="s">
        <v>1388</v>
      </c>
      <c r="D699" s="150">
        <v>43846</v>
      </c>
      <c r="E699" s="113" t="s">
        <v>1387</v>
      </c>
      <c r="F699" s="256" t="s">
        <v>14412</v>
      </c>
      <c r="G699" s="258">
        <v>4.7</v>
      </c>
      <c r="I699" s="160">
        <f t="shared" si="10"/>
        <v>27639.259999999977</v>
      </c>
    </row>
    <row r="700" spans="2:9" ht="19.5" hidden="1" x14ac:dyDescent="0.25">
      <c r="B700" s="106"/>
      <c r="C700" s="148" t="s">
        <v>1386</v>
      </c>
      <c r="D700" s="150">
        <v>43846</v>
      </c>
      <c r="E700" s="113" t="s">
        <v>1385</v>
      </c>
      <c r="F700" s="256" t="s">
        <v>14412</v>
      </c>
      <c r="G700" s="258">
        <v>16.760000000000002</v>
      </c>
      <c r="I700" s="160">
        <f t="shared" si="10"/>
        <v>27656.019999999975</v>
      </c>
    </row>
    <row r="701" spans="2:9" hidden="1" x14ac:dyDescent="0.25">
      <c r="B701" s="106"/>
      <c r="C701" s="148" t="s">
        <v>1384</v>
      </c>
      <c r="D701" s="150">
        <v>43846</v>
      </c>
      <c r="E701" s="113" t="s">
        <v>1383</v>
      </c>
      <c r="F701" s="256" t="s">
        <v>14412</v>
      </c>
      <c r="G701" s="258">
        <v>8.3800000000000008</v>
      </c>
      <c r="I701" s="160">
        <f t="shared" si="10"/>
        <v>27664.399999999976</v>
      </c>
    </row>
    <row r="702" spans="2:9" ht="19.5" hidden="1" x14ac:dyDescent="0.25">
      <c r="B702" s="106"/>
      <c r="C702" s="148" t="s">
        <v>1382</v>
      </c>
      <c r="D702" s="150">
        <v>43846</v>
      </c>
      <c r="E702" s="113" t="s">
        <v>1381</v>
      </c>
      <c r="F702" s="256" t="s">
        <v>14412</v>
      </c>
      <c r="G702" s="258">
        <v>5.07</v>
      </c>
      <c r="I702" s="160">
        <f t="shared" si="10"/>
        <v>27669.469999999976</v>
      </c>
    </row>
    <row r="703" spans="2:9" ht="19.5" hidden="1" x14ac:dyDescent="0.25">
      <c r="B703" s="106"/>
      <c r="C703" s="148" t="s">
        <v>1380</v>
      </c>
      <c r="D703" s="150">
        <v>43846</v>
      </c>
      <c r="E703" s="113" t="s">
        <v>1379</v>
      </c>
      <c r="F703" s="256" t="s">
        <v>14412</v>
      </c>
      <c r="G703" s="258">
        <v>0.78</v>
      </c>
      <c r="I703" s="160">
        <f t="shared" si="10"/>
        <v>27670.249999999975</v>
      </c>
    </row>
    <row r="704" spans="2:9" hidden="1" x14ac:dyDescent="0.25">
      <c r="B704" s="106"/>
      <c r="C704" s="148" t="s">
        <v>1378</v>
      </c>
      <c r="D704" s="150">
        <v>43846</v>
      </c>
      <c r="E704" s="113" t="s">
        <v>1377</v>
      </c>
      <c r="F704" s="256" t="s">
        <v>14412</v>
      </c>
      <c r="G704" s="258">
        <v>16.93</v>
      </c>
      <c r="I704" s="160">
        <f t="shared" si="10"/>
        <v>27687.179999999975</v>
      </c>
    </row>
    <row r="705" spans="2:9" hidden="1" x14ac:dyDescent="0.25">
      <c r="B705" s="106"/>
      <c r="C705" s="148" t="s">
        <v>1376</v>
      </c>
      <c r="D705" s="150">
        <v>43846</v>
      </c>
      <c r="E705" s="113" t="s">
        <v>1375</v>
      </c>
      <c r="F705" s="256" t="s">
        <v>14412</v>
      </c>
      <c r="G705" s="258">
        <v>1.85</v>
      </c>
      <c r="I705" s="160">
        <f t="shared" si="10"/>
        <v>27689.029999999973</v>
      </c>
    </row>
    <row r="706" spans="2:9" hidden="1" x14ac:dyDescent="0.25">
      <c r="B706" s="106"/>
      <c r="C706" s="148" t="s">
        <v>1374</v>
      </c>
      <c r="D706" s="150">
        <v>43846</v>
      </c>
      <c r="E706" s="113" t="s">
        <v>1373</v>
      </c>
      <c r="F706" s="256" t="s">
        <v>14412</v>
      </c>
      <c r="G706" s="258">
        <v>4.96</v>
      </c>
      <c r="I706" s="160">
        <f t="shared" si="10"/>
        <v>27693.989999999972</v>
      </c>
    </row>
    <row r="707" spans="2:9" hidden="1" x14ac:dyDescent="0.25">
      <c r="B707" s="106"/>
      <c r="C707" s="148" t="s">
        <v>1372</v>
      </c>
      <c r="D707" s="150">
        <v>43846</v>
      </c>
      <c r="E707" s="113" t="s">
        <v>1371</v>
      </c>
      <c r="F707" s="256" t="s">
        <v>14412</v>
      </c>
      <c r="G707" s="258">
        <v>1.68</v>
      </c>
      <c r="I707" s="160">
        <f t="shared" si="10"/>
        <v>27695.669999999973</v>
      </c>
    </row>
    <row r="708" spans="2:9" hidden="1" x14ac:dyDescent="0.25">
      <c r="B708" s="106"/>
      <c r="C708" s="148" t="s">
        <v>1370</v>
      </c>
      <c r="D708" s="150">
        <v>43846</v>
      </c>
      <c r="E708" s="113" t="s">
        <v>1369</v>
      </c>
      <c r="F708" s="256" t="s">
        <v>14412</v>
      </c>
      <c r="G708" s="258">
        <v>1.68</v>
      </c>
      <c r="I708" s="160">
        <f t="shared" si="10"/>
        <v>27697.349999999973</v>
      </c>
    </row>
    <row r="709" spans="2:9" hidden="1" x14ac:dyDescent="0.25">
      <c r="B709" s="106"/>
      <c r="C709" s="148" t="s">
        <v>1368</v>
      </c>
      <c r="D709" s="150">
        <v>43846</v>
      </c>
      <c r="E709" s="113" t="s">
        <v>1367</v>
      </c>
      <c r="F709" s="256" t="s">
        <v>14412</v>
      </c>
      <c r="G709" s="258">
        <v>6.94</v>
      </c>
      <c r="I709" s="160">
        <f t="shared" si="10"/>
        <v>27704.289999999972</v>
      </c>
    </row>
    <row r="710" spans="2:9" ht="19.5" hidden="1" x14ac:dyDescent="0.25">
      <c r="B710" s="106"/>
      <c r="C710" s="148" t="s">
        <v>1366</v>
      </c>
      <c r="D710" s="150">
        <v>43846</v>
      </c>
      <c r="E710" s="113" t="s">
        <v>1365</v>
      </c>
      <c r="F710" s="256">
        <v>11</v>
      </c>
      <c r="G710" s="255">
        <v>4.2300000000000004</v>
      </c>
      <c r="I710" s="160">
        <f t="shared" si="10"/>
        <v>27708.519999999971</v>
      </c>
    </row>
    <row r="711" spans="2:9" ht="19.5" hidden="1" x14ac:dyDescent="0.25">
      <c r="B711" s="106"/>
      <c r="C711" s="148" t="s">
        <v>1364</v>
      </c>
      <c r="D711" s="150">
        <v>43846</v>
      </c>
      <c r="E711" s="113" t="s">
        <v>1363</v>
      </c>
      <c r="F711" s="256">
        <v>11</v>
      </c>
      <c r="G711" s="255">
        <v>8.3800000000000008</v>
      </c>
      <c r="I711" s="160">
        <f t="shared" si="10"/>
        <v>27716.899999999972</v>
      </c>
    </row>
    <row r="712" spans="2:9" hidden="1" x14ac:dyDescent="0.25">
      <c r="B712" s="106"/>
      <c r="C712" s="148" t="s">
        <v>1362</v>
      </c>
      <c r="D712" s="150">
        <v>43846</v>
      </c>
      <c r="E712" s="113" t="s">
        <v>1361</v>
      </c>
      <c r="F712" s="256">
        <v>11</v>
      </c>
      <c r="G712" s="255">
        <v>8.61</v>
      </c>
      <c r="I712" s="160">
        <f t="shared" si="10"/>
        <v>27725.509999999973</v>
      </c>
    </row>
    <row r="713" spans="2:9" hidden="1" x14ac:dyDescent="0.25">
      <c r="B713" s="106"/>
      <c r="C713" s="148" t="s">
        <v>1360</v>
      </c>
      <c r="D713" s="150">
        <v>43846</v>
      </c>
      <c r="E713" s="113" t="s">
        <v>1359</v>
      </c>
      <c r="F713" s="256">
        <v>11</v>
      </c>
      <c r="G713" s="255">
        <v>12.3</v>
      </c>
      <c r="I713" s="160">
        <f t="shared" si="10"/>
        <v>27737.809999999972</v>
      </c>
    </row>
    <row r="714" spans="2:9" hidden="1" x14ac:dyDescent="0.25">
      <c r="B714" s="106"/>
      <c r="C714" s="148" t="s">
        <v>1358</v>
      </c>
      <c r="D714" s="150">
        <v>43846</v>
      </c>
      <c r="E714" s="113" t="s">
        <v>1357</v>
      </c>
      <c r="F714" s="256">
        <v>11</v>
      </c>
      <c r="G714" s="255">
        <v>3.35</v>
      </c>
      <c r="I714" s="160">
        <f t="shared" si="10"/>
        <v>27741.159999999971</v>
      </c>
    </row>
    <row r="715" spans="2:9" hidden="1" x14ac:dyDescent="0.25">
      <c r="B715" s="106"/>
      <c r="C715" s="148" t="s">
        <v>1356</v>
      </c>
      <c r="D715" s="150">
        <v>43846</v>
      </c>
      <c r="E715" s="113" t="s">
        <v>1355</v>
      </c>
      <c r="F715" s="256">
        <v>11</v>
      </c>
      <c r="G715" s="255">
        <v>6.75</v>
      </c>
      <c r="I715" s="160">
        <f t="shared" si="10"/>
        <v>27747.909999999971</v>
      </c>
    </row>
    <row r="716" spans="2:9" ht="19.5" hidden="1" x14ac:dyDescent="0.25">
      <c r="B716" s="148"/>
      <c r="C716" s="148" t="s">
        <v>1354</v>
      </c>
      <c r="D716" s="150">
        <v>43847</v>
      </c>
      <c r="E716" s="113" t="s">
        <v>1353</v>
      </c>
      <c r="F716" s="257" t="s">
        <v>14452</v>
      </c>
      <c r="G716" s="270">
        <v>25.14</v>
      </c>
      <c r="I716" s="160">
        <f t="shared" si="10"/>
        <v>27773.04999999997</v>
      </c>
    </row>
    <row r="717" spans="2:9" ht="19.5" hidden="1" x14ac:dyDescent="0.25">
      <c r="B717" s="148"/>
      <c r="C717" s="148" t="s">
        <v>1352</v>
      </c>
      <c r="D717" s="150">
        <v>43847</v>
      </c>
      <c r="E717" s="113" t="s">
        <v>1351</v>
      </c>
      <c r="F717" s="257" t="s">
        <v>14452</v>
      </c>
      <c r="G717" s="270">
        <v>1.22</v>
      </c>
      <c r="I717" s="160">
        <f t="shared" si="10"/>
        <v>27774.269999999971</v>
      </c>
    </row>
    <row r="718" spans="2:9" ht="19.5" hidden="1" x14ac:dyDescent="0.25">
      <c r="B718" s="148"/>
      <c r="C718" s="148" t="s">
        <v>1350</v>
      </c>
      <c r="D718" s="150">
        <v>43847</v>
      </c>
      <c r="E718" s="113" t="s">
        <v>1349</v>
      </c>
      <c r="F718" s="257" t="s">
        <v>14436</v>
      </c>
      <c r="G718" s="160">
        <v>30.6</v>
      </c>
      <c r="I718" s="160">
        <f t="shared" si="10"/>
        <v>27804.86999999997</v>
      </c>
    </row>
    <row r="719" spans="2:9" hidden="1" x14ac:dyDescent="0.25">
      <c r="B719" s="148"/>
      <c r="C719" s="148" t="s">
        <v>1348</v>
      </c>
      <c r="D719" s="150">
        <v>43847</v>
      </c>
      <c r="E719" s="113" t="s">
        <v>1347</v>
      </c>
      <c r="F719" s="257" t="s">
        <v>14452</v>
      </c>
      <c r="G719" s="270">
        <v>8.3800000000000008</v>
      </c>
      <c r="I719" s="160">
        <f t="shared" si="10"/>
        <v>27813.249999999971</v>
      </c>
    </row>
    <row r="720" spans="2:9" hidden="1" x14ac:dyDescent="0.25">
      <c r="B720" s="148"/>
      <c r="C720" s="148" t="s">
        <v>1346</v>
      </c>
      <c r="D720" s="150">
        <v>43847</v>
      </c>
      <c r="E720" s="113" t="s">
        <v>1345</v>
      </c>
      <c r="F720" s="257" t="s">
        <v>14452</v>
      </c>
      <c r="G720" s="270">
        <v>0.16</v>
      </c>
      <c r="I720" s="160">
        <f t="shared" si="10"/>
        <v>27813.409999999971</v>
      </c>
    </row>
    <row r="721" spans="2:9" ht="19.5" hidden="1" x14ac:dyDescent="0.25">
      <c r="B721" s="148"/>
      <c r="C721" s="148" t="s">
        <v>1344</v>
      </c>
      <c r="D721" s="150">
        <v>43847</v>
      </c>
      <c r="E721" s="113" t="s">
        <v>1343</v>
      </c>
      <c r="F721" s="257" t="s">
        <v>14436</v>
      </c>
      <c r="G721" s="160">
        <v>75.319999999999993</v>
      </c>
      <c r="I721" s="160">
        <f t="shared" si="10"/>
        <v>27888.72999999997</v>
      </c>
    </row>
    <row r="722" spans="2:9" hidden="1" x14ac:dyDescent="0.25">
      <c r="B722" s="148"/>
      <c r="C722" s="148" t="s">
        <v>1342</v>
      </c>
      <c r="D722" s="150">
        <v>43847</v>
      </c>
      <c r="E722" s="113" t="s">
        <v>1341</v>
      </c>
      <c r="F722" s="257" t="s">
        <v>14449</v>
      </c>
      <c r="G722" s="160">
        <v>15.06</v>
      </c>
      <c r="I722" s="160">
        <f t="shared" si="10"/>
        <v>27903.789999999972</v>
      </c>
    </row>
    <row r="723" spans="2:9" hidden="1" x14ac:dyDescent="0.25">
      <c r="B723" s="148"/>
      <c r="C723" s="148" t="s">
        <v>1340</v>
      </c>
      <c r="D723" s="150">
        <v>43847</v>
      </c>
      <c r="E723" s="113" t="s">
        <v>1339</v>
      </c>
      <c r="F723" s="257" t="s">
        <v>14452</v>
      </c>
      <c r="G723" s="270">
        <v>7.55</v>
      </c>
      <c r="I723" s="160">
        <f t="shared" si="10"/>
        <v>27911.339999999971</v>
      </c>
    </row>
    <row r="724" spans="2:9" hidden="1" x14ac:dyDescent="0.25">
      <c r="B724" s="148"/>
      <c r="C724" s="148" t="s">
        <v>1338</v>
      </c>
      <c r="D724" s="150">
        <v>43847</v>
      </c>
      <c r="E724" s="113" t="s">
        <v>1337</v>
      </c>
      <c r="F724" s="257" t="s">
        <v>14437</v>
      </c>
      <c r="G724" s="160">
        <v>99.64</v>
      </c>
      <c r="I724" s="160">
        <f t="shared" ref="I724:I787" si="11">+I723+G724-H724</f>
        <v>28010.97999999997</v>
      </c>
    </row>
    <row r="725" spans="2:9" hidden="1" x14ac:dyDescent="0.25">
      <c r="B725" s="148"/>
      <c r="C725" s="148" t="s">
        <v>1336</v>
      </c>
      <c r="D725" s="150">
        <v>43847</v>
      </c>
      <c r="E725" s="113" t="s">
        <v>1335</v>
      </c>
      <c r="F725" s="257" t="s">
        <v>14437</v>
      </c>
      <c r="G725" s="160">
        <v>9.2899999999999991</v>
      </c>
      <c r="I725" s="160">
        <f t="shared" si="11"/>
        <v>28020.269999999971</v>
      </c>
    </row>
    <row r="726" spans="2:9" ht="19.5" hidden="1" x14ac:dyDescent="0.25">
      <c r="B726" s="106"/>
      <c r="C726" s="148" t="s">
        <v>1334</v>
      </c>
      <c r="D726" s="150">
        <v>43847</v>
      </c>
      <c r="E726" s="113" t="s">
        <v>1333</v>
      </c>
      <c r="F726" s="257" t="s">
        <v>14413</v>
      </c>
      <c r="G726" s="258">
        <v>5.22</v>
      </c>
      <c r="I726" s="160">
        <f t="shared" si="11"/>
        <v>28025.489999999972</v>
      </c>
    </row>
    <row r="727" spans="2:9" hidden="1" x14ac:dyDescent="0.25">
      <c r="B727" s="106"/>
      <c r="C727" s="148" t="s">
        <v>1332</v>
      </c>
      <c r="D727" s="150">
        <v>43847</v>
      </c>
      <c r="E727" s="113" t="s">
        <v>1331</v>
      </c>
      <c r="F727" s="257" t="s">
        <v>14413</v>
      </c>
      <c r="G727" s="258">
        <v>2.7</v>
      </c>
      <c r="I727" s="160">
        <f t="shared" si="11"/>
        <v>28028.189999999973</v>
      </c>
    </row>
    <row r="728" spans="2:9" ht="19.5" hidden="1" x14ac:dyDescent="0.25">
      <c r="B728" s="106"/>
      <c r="C728" s="148" t="s">
        <v>1330</v>
      </c>
      <c r="D728" s="150">
        <v>43847</v>
      </c>
      <c r="E728" s="113" t="s">
        <v>1329</v>
      </c>
      <c r="F728" s="257" t="s">
        <v>14413</v>
      </c>
      <c r="G728" s="258">
        <v>11.54</v>
      </c>
      <c r="I728" s="160">
        <f t="shared" si="11"/>
        <v>28039.729999999974</v>
      </c>
    </row>
    <row r="729" spans="2:9" hidden="1" x14ac:dyDescent="0.25">
      <c r="B729" s="106"/>
      <c r="C729" s="148" t="s">
        <v>1328</v>
      </c>
      <c r="D729" s="150">
        <v>43847</v>
      </c>
      <c r="E729" s="113" t="s">
        <v>1327</v>
      </c>
      <c r="F729" s="257" t="s">
        <v>14413</v>
      </c>
      <c r="G729" s="258">
        <v>3.48</v>
      </c>
      <c r="I729" s="160">
        <f t="shared" si="11"/>
        <v>28043.209999999974</v>
      </c>
    </row>
    <row r="730" spans="2:9" ht="19.5" hidden="1" x14ac:dyDescent="0.25">
      <c r="B730" s="106"/>
      <c r="C730" s="148" t="s">
        <v>1326</v>
      </c>
      <c r="D730" s="150">
        <v>43847</v>
      </c>
      <c r="E730" s="113" t="s">
        <v>1325</v>
      </c>
      <c r="F730" s="257" t="s">
        <v>14413</v>
      </c>
      <c r="G730" s="258">
        <v>14.06</v>
      </c>
      <c r="I730" s="160">
        <f t="shared" si="11"/>
        <v>28057.269999999975</v>
      </c>
    </row>
    <row r="731" spans="2:9" ht="19.5" hidden="1" x14ac:dyDescent="0.25">
      <c r="B731" s="106"/>
      <c r="C731" s="148" t="s">
        <v>1324</v>
      </c>
      <c r="D731" s="150">
        <v>43847</v>
      </c>
      <c r="E731" s="113" t="s">
        <v>1323</v>
      </c>
      <c r="F731" s="257" t="s">
        <v>14413</v>
      </c>
      <c r="G731" s="258">
        <v>9.7200000000000006</v>
      </c>
      <c r="I731" s="160">
        <f t="shared" si="11"/>
        <v>28066.989999999976</v>
      </c>
    </row>
    <row r="732" spans="2:9" ht="19.5" hidden="1" x14ac:dyDescent="0.25">
      <c r="B732" s="106"/>
      <c r="C732" s="148" t="s">
        <v>1322</v>
      </c>
      <c r="D732" s="150">
        <v>43847</v>
      </c>
      <c r="E732" s="113" t="s">
        <v>1321</v>
      </c>
      <c r="F732" s="257" t="s">
        <v>14413</v>
      </c>
      <c r="G732" s="258">
        <v>7.85</v>
      </c>
      <c r="I732" s="160">
        <f t="shared" si="11"/>
        <v>28074.839999999975</v>
      </c>
    </row>
    <row r="733" spans="2:9" hidden="1" x14ac:dyDescent="0.25">
      <c r="B733" s="106"/>
      <c r="C733" s="148" t="s">
        <v>1320</v>
      </c>
      <c r="D733" s="150">
        <v>43847</v>
      </c>
      <c r="E733" s="113" t="s">
        <v>1319</v>
      </c>
      <c r="F733" s="257" t="s">
        <v>14413</v>
      </c>
      <c r="G733" s="258">
        <v>6.98</v>
      </c>
      <c r="I733" s="160">
        <f t="shared" si="11"/>
        <v>28081.819999999974</v>
      </c>
    </row>
    <row r="734" spans="2:9" hidden="1" x14ac:dyDescent="0.25">
      <c r="B734" s="106"/>
      <c r="C734" s="148" t="s">
        <v>1318</v>
      </c>
      <c r="D734" s="150">
        <v>43847</v>
      </c>
      <c r="E734" s="113" t="s">
        <v>1317</v>
      </c>
      <c r="F734" s="257" t="s">
        <v>14413</v>
      </c>
      <c r="G734" s="258">
        <v>6.94</v>
      </c>
      <c r="I734" s="160">
        <f t="shared" si="11"/>
        <v>28088.759999999973</v>
      </c>
    </row>
    <row r="735" spans="2:9" hidden="1" x14ac:dyDescent="0.25">
      <c r="B735" s="106"/>
      <c r="C735" s="148" t="s">
        <v>1316</v>
      </c>
      <c r="D735" s="150">
        <v>43847</v>
      </c>
      <c r="E735" s="113" t="s">
        <v>1315</v>
      </c>
      <c r="F735" s="257" t="s">
        <v>14413</v>
      </c>
      <c r="G735" s="258">
        <v>3.19</v>
      </c>
      <c r="I735" s="160">
        <f t="shared" si="11"/>
        <v>28091.949999999972</v>
      </c>
    </row>
    <row r="736" spans="2:9" ht="19.5" hidden="1" x14ac:dyDescent="0.25">
      <c r="B736" s="106"/>
      <c r="C736" s="148" t="s">
        <v>1314</v>
      </c>
      <c r="D736" s="150">
        <v>43847</v>
      </c>
      <c r="E736" s="113" t="s">
        <v>1313</v>
      </c>
      <c r="F736" s="257" t="s">
        <v>14413</v>
      </c>
      <c r="G736" s="258">
        <v>20.82</v>
      </c>
      <c r="I736" s="160">
        <f t="shared" si="11"/>
        <v>28112.769999999971</v>
      </c>
    </row>
    <row r="737" spans="2:9" hidden="1" x14ac:dyDescent="0.25">
      <c r="B737" s="106"/>
      <c r="C737" s="148" t="s">
        <v>1312</v>
      </c>
      <c r="D737" s="150">
        <v>43847</v>
      </c>
      <c r="E737" s="113" t="s">
        <v>1311</v>
      </c>
      <c r="F737" s="257" t="s">
        <v>14413</v>
      </c>
      <c r="G737" s="258">
        <v>2.35</v>
      </c>
      <c r="I737" s="160">
        <f t="shared" si="11"/>
        <v>28115.11999999997</v>
      </c>
    </row>
    <row r="738" spans="2:9" ht="19.5" hidden="1" x14ac:dyDescent="0.25">
      <c r="B738" s="106"/>
      <c r="C738" s="148" t="s">
        <v>1310</v>
      </c>
      <c r="D738" s="150">
        <v>43847</v>
      </c>
      <c r="E738" s="113" t="s">
        <v>1309</v>
      </c>
      <c r="F738" s="257" t="s">
        <v>14413</v>
      </c>
      <c r="G738" s="258">
        <v>3.42</v>
      </c>
      <c r="I738" s="160">
        <f t="shared" si="11"/>
        <v>28118.539999999968</v>
      </c>
    </row>
    <row r="739" spans="2:9" ht="19.5" hidden="1" x14ac:dyDescent="0.25">
      <c r="B739" s="106"/>
      <c r="C739" s="148" t="s">
        <v>1308</v>
      </c>
      <c r="D739" s="150">
        <v>43847</v>
      </c>
      <c r="E739" s="113" t="s">
        <v>1307</v>
      </c>
      <c r="F739" s="257" t="s">
        <v>14413</v>
      </c>
      <c r="G739" s="258">
        <v>6.92</v>
      </c>
      <c r="I739" s="160">
        <f t="shared" si="11"/>
        <v>28125.459999999966</v>
      </c>
    </row>
    <row r="740" spans="2:9" hidden="1" x14ac:dyDescent="0.25">
      <c r="B740" s="106"/>
      <c r="C740" s="148" t="s">
        <v>1306</v>
      </c>
      <c r="D740" s="150">
        <v>43847</v>
      </c>
      <c r="E740" s="113" t="s">
        <v>1305</v>
      </c>
      <c r="F740" s="257" t="s">
        <v>14413</v>
      </c>
      <c r="G740" s="258">
        <v>2.96</v>
      </c>
      <c r="I740" s="160">
        <f t="shared" si="11"/>
        <v>28128.419999999966</v>
      </c>
    </row>
    <row r="741" spans="2:9" ht="19.5" hidden="1" x14ac:dyDescent="0.25">
      <c r="B741" s="106"/>
      <c r="C741" s="148" t="s">
        <v>1304</v>
      </c>
      <c r="D741" s="150">
        <v>43847</v>
      </c>
      <c r="E741" s="113" t="s">
        <v>1303</v>
      </c>
      <c r="F741" s="257" t="s">
        <v>14413</v>
      </c>
      <c r="G741" s="258">
        <v>7.28</v>
      </c>
      <c r="I741" s="160">
        <f t="shared" si="11"/>
        <v>28135.699999999964</v>
      </c>
    </row>
    <row r="742" spans="2:9" hidden="1" x14ac:dyDescent="0.25">
      <c r="B742" s="106"/>
      <c r="C742" s="148" t="s">
        <v>1302</v>
      </c>
      <c r="D742" s="150">
        <v>43847</v>
      </c>
      <c r="E742" s="113" t="s">
        <v>1301</v>
      </c>
      <c r="F742" s="257" t="s">
        <v>14413</v>
      </c>
      <c r="G742" s="258">
        <v>5.35</v>
      </c>
      <c r="I742" s="160">
        <f t="shared" si="11"/>
        <v>28141.049999999963</v>
      </c>
    </row>
    <row r="743" spans="2:9" hidden="1" x14ac:dyDescent="0.25">
      <c r="B743" s="106"/>
      <c r="C743" s="148" t="s">
        <v>1300</v>
      </c>
      <c r="D743" s="150">
        <v>43847</v>
      </c>
      <c r="E743" s="113" t="s">
        <v>1299</v>
      </c>
      <c r="F743" s="257" t="s">
        <v>14413</v>
      </c>
      <c r="G743" s="258">
        <v>5.18</v>
      </c>
      <c r="I743" s="160">
        <f t="shared" si="11"/>
        <v>28146.229999999963</v>
      </c>
    </row>
    <row r="744" spans="2:9" ht="19.5" hidden="1" x14ac:dyDescent="0.25">
      <c r="B744" s="106"/>
      <c r="C744" s="148" t="s">
        <v>1298</v>
      </c>
      <c r="D744" s="150">
        <v>43847</v>
      </c>
      <c r="E744" s="113" t="s">
        <v>1297</v>
      </c>
      <c r="F744" s="257" t="s">
        <v>14413</v>
      </c>
      <c r="G744" s="258">
        <v>5.92</v>
      </c>
      <c r="I744" s="160">
        <f t="shared" si="11"/>
        <v>28152.149999999961</v>
      </c>
    </row>
    <row r="745" spans="2:9" ht="19.5" hidden="1" x14ac:dyDescent="0.25">
      <c r="B745" s="106"/>
      <c r="C745" s="148" t="s">
        <v>1296</v>
      </c>
      <c r="D745" s="150">
        <v>43847</v>
      </c>
      <c r="E745" s="113" t="s">
        <v>1295</v>
      </c>
      <c r="F745" s="257" t="s">
        <v>14413</v>
      </c>
      <c r="G745" s="258">
        <v>6.56</v>
      </c>
      <c r="I745" s="160">
        <f t="shared" si="11"/>
        <v>28158.709999999963</v>
      </c>
    </row>
    <row r="746" spans="2:9" hidden="1" x14ac:dyDescent="0.25">
      <c r="B746" s="106"/>
      <c r="C746" s="148" t="s">
        <v>1294</v>
      </c>
      <c r="D746" s="150">
        <v>43847</v>
      </c>
      <c r="E746" s="113" t="s">
        <v>1293</v>
      </c>
      <c r="F746" s="256">
        <v>12</v>
      </c>
      <c r="G746" s="255">
        <v>4.5599999999999996</v>
      </c>
      <c r="I746" s="160">
        <f t="shared" si="11"/>
        <v>28163.269999999964</v>
      </c>
    </row>
    <row r="747" spans="2:9" hidden="1" x14ac:dyDescent="0.25">
      <c r="B747" s="106"/>
      <c r="C747" s="148" t="s">
        <v>1292</v>
      </c>
      <c r="D747" s="150">
        <v>43847</v>
      </c>
      <c r="E747" s="113" t="s">
        <v>1291</v>
      </c>
      <c r="F747" s="256">
        <v>12</v>
      </c>
      <c r="G747" s="255">
        <v>15.3</v>
      </c>
      <c r="I747" s="160">
        <f t="shared" si="11"/>
        <v>28178.569999999963</v>
      </c>
    </row>
    <row r="748" spans="2:9" ht="19.5" hidden="1" x14ac:dyDescent="0.25">
      <c r="B748" s="106"/>
      <c r="C748" s="148" t="s">
        <v>1290</v>
      </c>
      <c r="D748" s="150">
        <v>43847</v>
      </c>
      <c r="E748" s="113" t="s">
        <v>1289</v>
      </c>
      <c r="F748" s="256">
        <v>12</v>
      </c>
      <c r="G748" s="255">
        <v>1.08</v>
      </c>
      <c r="I748" s="160">
        <f t="shared" si="11"/>
        <v>28179.649999999965</v>
      </c>
    </row>
    <row r="749" spans="2:9" hidden="1" x14ac:dyDescent="0.25">
      <c r="B749" s="106"/>
      <c r="C749" s="148" t="s">
        <v>1288</v>
      </c>
      <c r="D749" s="150">
        <v>43847</v>
      </c>
      <c r="E749" s="113" t="s">
        <v>1287</v>
      </c>
      <c r="F749" s="256">
        <v>12</v>
      </c>
      <c r="G749" s="255">
        <v>17.899999999999999</v>
      </c>
      <c r="I749" s="160">
        <f t="shared" si="11"/>
        <v>28197.549999999967</v>
      </c>
    </row>
    <row r="750" spans="2:9" ht="19.5" hidden="1" x14ac:dyDescent="0.25">
      <c r="B750" s="106"/>
      <c r="C750" s="148" t="s">
        <v>1286</v>
      </c>
      <c r="D750" s="150">
        <v>43847</v>
      </c>
      <c r="E750" s="113" t="s">
        <v>1285</v>
      </c>
      <c r="F750" s="256">
        <v>12</v>
      </c>
      <c r="G750" s="255">
        <v>5.7</v>
      </c>
      <c r="I750" s="160">
        <f t="shared" si="11"/>
        <v>28203.249999999967</v>
      </c>
    </row>
    <row r="751" spans="2:9" hidden="1" x14ac:dyDescent="0.25">
      <c r="B751" s="106"/>
      <c r="C751" s="148" t="s">
        <v>1284</v>
      </c>
      <c r="D751" s="150">
        <v>43847</v>
      </c>
      <c r="E751" s="113" t="s">
        <v>1283</v>
      </c>
      <c r="F751" s="256">
        <v>12</v>
      </c>
      <c r="G751" s="255">
        <v>5.25</v>
      </c>
      <c r="I751" s="160">
        <f t="shared" si="11"/>
        <v>28208.499999999967</v>
      </c>
    </row>
    <row r="752" spans="2:9" hidden="1" x14ac:dyDescent="0.25">
      <c r="B752" s="106"/>
      <c r="C752" s="148" t="s">
        <v>1282</v>
      </c>
      <c r="D752" s="150">
        <v>43847</v>
      </c>
      <c r="E752" s="113" t="s">
        <v>1281</v>
      </c>
      <c r="F752" s="256">
        <v>12</v>
      </c>
      <c r="G752" s="255">
        <v>8.56</v>
      </c>
      <c r="I752" s="160">
        <f t="shared" si="11"/>
        <v>28217.059999999969</v>
      </c>
    </row>
    <row r="753" spans="2:9" ht="19.5" hidden="1" x14ac:dyDescent="0.25">
      <c r="B753" s="106"/>
      <c r="C753" s="148" t="s">
        <v>1280</v>
      </c>
      <c r="D753" s="150">
        <v>43847</v>
      </c>
      <c r="E753" s="113" t="s">
        <v>1279</v>
      </c>
      <c r="F753" s="256">
        <v>12</v>
      </c>
      <c r="G753" s="255">
        <v>25.14</v>
      </c>
      <c r="I753" s="160">
        <f t="shared" si="11"/>
        <v>28242.199999999968</v>
      </c>
    </row>
    <row r="754" spans="2:9" hidden="1" x14ac:dyDescent="0.25">
      <c r="B754" s="148"/>
      <c r="C754" s="148" t="s">
        <v>1278</v>
      </c>
      <c r="D754" s="150">
        <v>43847</v>
      </c>
      <c r="E754" s="113" t="s">
        <v>1277</v>
      </c>
      <c r="F754" s="257" t="s">
        <v>14437</v>
      </c>
      <c r="G754" s="259">
        <v>16.690000000000001</v>
      </c>
      <c r="I754" s="160">
        <f t="shared" si="11"/>
        <v>28258.889999999967</v>
      </c>
    </row>
    <row r="755" spans="2:9" hidden="1" x14ac:dyDescent="0.25">
      <c r="B755" s="148"/>
      <c r="C755" s="148" t="s">
        <v>1276</v>
      </c>
      <c r="D755" s="150">
        <v>43847</v>
      </c>
      <c r="E755" s="113" t="s">
        <v>1275</v>
      </c>
      <c r="F755" s="257" t="s">
        <v>14437</v>
      </c>
      <c r="G755" s="259">
        <v>70.989999999999995</v>
      </c>
      <c r="I755" s="160">
        <f t="shared" si="11"/>
        <v>28329.879999999968</v>
      </c>
    </row>
    <row r="756" spans="2:9" hidden="1" x14ac:dyDescent="0.25">
      <c r="B756" s="148"/>
      <c r="C756" s="148" t="s">
        <v>1274</v>
      </c>
      <c r="D756" s="150">
        <v>43847</v>
      </c>
      <c r="E756" s="113" t="s">
        <v>1273</v>
      </c>
      <c r="F756" s="257" t="s">
        <v>14437</v>
      </c>
      <c r="G756" s="259">
        <v>13.58</v>
      </c>
      <c r="I756" s="160">
        <f t="shared" si="11"/>
        <v>28343.45999999997</v>
      </c>
    </row>
    <row r="757" spans="2:9" hidden="1" x14ac:dyDescent="0.25">
      <c r="B757" s="106"/>
      <c r="C757" s="148" t="s">
        <v>1272</v>
      </c>
      <c r="D757" s="150">
        <v>43848</v>
      </c>
      <c r="E757" s="113" t="s">
        <v>1271</v>
      </c>
      <c r="F757" s="257" t="s">
        <v>14413</v>
      </c>
      <c r="G757" s="258">
        <v>4.3099999999999996</v>
      </c>
      <c r="I757" s="160">
        <f t="shared" si="11"/>
        <v>28347.769999999971</v>
      </c>
    </row>
    <row r="758" spans="2:9" hidden="1" x14ac:dyDescent="0.25">
      <c r="B758" s="106"/>
      <c r="C758" s="148" t="s">
        <v>1270</v>
      </c>
      <c r="D758" s="150">
        <v>43848</v>
      </c>
      <c r="E758" s="113" t="s">
        <v>1269</v>
      </c>
      <c r="F758" s="257" t="s">
        <v>14413</v>
      </c>
      <c r="G758" s="258">
        <v>4.12</v>
      </c>
      <c r="I758" s="160">
        <f t="shared" si="11"/>
        <v>28351.88999999997</v>
      </c>
    </row>
    <row r="759" spans="2:9" hidden="1" x14ac:dyDescent="0.25">
      <c r="B759" s="106"/>
      <c r="C759" s="148" t="s">
        <v>1268</v>
      </c>
      <c r="D759" s="150">
        <v>43848</v>
      </c>
      <c r="E759" s="113" t="s">
        <v>1267</v>
      </c>
      <c r="F759" s="257" t="s">
        <v>14413</v>
      </c>
      <c r="G759" s="258">
        <v>0.12</v>
      </c>
      <c r="I759" s="160">
        <f t="shared" si="11"/>
        <v>28352.009999999969</v>
      </c>
    </row>
    <row r="760" spans="2:9" ht="19.5" hidden="1" x14ac:dyDescent="0.25">
      <c r="B760" s="106"/>
      <c r="C760" s="148" t="s">
        <v>1266</v>
      </c>
      <c r="D760" s="150">
        <v>43848</v>
      </c>
      <c r="E760" s="113" t="s">
        <v>1265</v>
      </c>
      <c r="F760" s="257" t="s">
        <v>14413</v>
      </c>
      <c r="G760" s="258">
        <v>5.18</v>
      </c>
      <c r="I760" s="160">
        <f t="shared" si="11"/>
        <v>28357.18999999997</v>
      </c>
    </row>
    <row r="761" spans="2:9" ht="19.5" hidden="1" x14ac:dyDescent="0.25">
      <c r="B761" s="106"/>
      <c r="C761" s="148" t="s">
        <v>1264</v>
      </c>
      <c r="D761" s="150">
        <v>43848</v>
      </c>
      <c r="E761" s="113" t="s">
        <v>1263</v>
      </c>
      <c r="F761" s="257" t="s">
        <v>14413</v>
      </c>
      <c r="G761" s="258">
        <v>4.7</v>
      </c>
      <c r="I761" s="160">
        <f t="shared" si="11"/>
        <v>28361.88999999997</v>
      </c>
    </row>
    <row r="762" spans="2:9" hidden="1" x14ac:dyDescent="0.25">
      <c r="B762" s="106"/>
      <c r="C762" s="148" t="s">
        <v>1262</v>
      </c>
      <c r="D762" s="150">
        <v>43848</v>
      </c>
      <c r="E762" s="113" t="s">
        <v>1261</v>
      </c>
      <c r="F762" s="257" t="s">
        <v>14413</v>
      </c>
      <c r="G762" s="258">
        <v>17.899999999999999</v>
      </c>
      <c r="I762" s="160">
        <f t="shared" si="11"/>
        <v>28379.789999999972</v>
      </c>
    </row>
    <row r="763" spans="2:9" ht="19.5" hidden="1" x14ac:dyDescent="0.25">
      <c r="B763" s="106"/>
      <c r="C763" s="148" t="s">
        <v>1260</v>
      </c>
      <c r="D763" s="150">
        <v>43848</v>
      </c>
      <c r="E763" s="113" t="s">
        <v>1259</v>
      </c>
      <c r="F763" s="257" t="s">
        <v>14413</v>
      </c>
      <c r="G763" s="258">
        <v>7.17</v>
      </c>
      <c r="I763" s="160">
        <f t="shared" si="11"/>
        <v>28386.95999999997</v>
      </c>
    </row>
    <row r="764" spans="2:9" ht="19.5" hidden="1" x14ac:dyDescent="0.25">
      <c r="B764" s="106"/>
      <c r="C764" s="148" t="s">
        <v>1258</v>
      </c>
      <c r="D764" s="150">
        <v>43848</v>
      </c>
      <c r="E764" s="113" t="s">
        <v>1257</v>
      </c>
      <c r="F764" s="257" t="s">
        <v>14413</v>
      </c>
      <c r="G764" s="258">
        <v>3.58</v>
      </c>
      <c r="I764" s="160">
        <f t="shared" si="11"/>
        <v>28390.539999999972</v>
      </c>
    </row>
    <row r="765" spans="2:9" ht="19.5" hidden="1" x14ac:dyDescent="0.25">
      <c r="B765" s="106"/>
      <c r="C765" s="148" t="s">
        <v>1256</v>
      </c>
      <c r="D765" s="150">
        <v>43848</v>
      </c>
      <c r="E765" s="113" t="s">
        <v>1255</v>
      </c>
      <c r="F765" s="257" t="s">
        <v>14413</v>
      </c>
      <c r="G765" s="258">
        <v>4.0199999999999996</v>
      </c>
      <c r="I765" s="160">
        <f t="shared" si="11"/>
        <v>28394.559999999972</v>
      </c>
    </row>
    <row r="766" spans="2:9" ht="19.5" hidden="1" x14ac:dyDescent="0.25">
      <c r="B766" s="106"/>
      <c r="C766" s="148" t="s">
        <v>1254</v>
      </c>
      <c r="D766" s="150">
        <v>43848</v>
      </c>
      <c r="E766" s="113" t="s">
        <v>1253</v>
      </c>
      <c r="F766" s="257" t="s">
        <v>14413</v>
      </c>
      <c r="G766" s="258">
        <v>15.68</v>
      </c>
      <c r="I766" s="160">
        <f t="shared" si="11"/>
        <v>28410.239999999972</v>
      </c>
    </row>
    <row r="767" spans="2:9" ht="19.5" hidden="1" x14ac:dyDescent="0.25">
      <c r="B767" s="106"/>
      <c r="C767" s="148" t="s">
        <v>1252</v>
      </c>
      <c r="D767" s="150">
        <v>43848</v>
      </c>
      <c r="E767" s="113" t="s">
        <v>1251</v>
      </c>
      <c r="F767" s="257" t="s">
        <v>14413</v>
      </c>
      <c r="G767" s="258">
        <v>12.49</v>
      </c>
      <c r="I767" s="160">
        <f t="shared" si="11"/>
        <v>28422.729999999974</v>
      </c>
    </row>
    <row r="768" spans="2:9" ht="19.5" hidden="1" x14ac:dyDescent="0.25">
      <c r="B768" s="106"/>
      <c r="C768" s="148" t="s">
        <v>1250</v>
      </c>
      <c r="D768" s="150">
        <v>43849</v>
      </c>
      <c r="E768" s="113" t="s">
        <v>1249</v>
      </c>
      <c r="F768" s="257" t="s">
        <v>14413</v>
      </c>
      <c r="G768" s="258">
        <v>6.35</v>
      </c>
      <c r="I768" s="160">
        <f t="shared" si="11"/>
        <v>28429.079999999973</v>
      </c>
    </row>
    <row r="769" spans="2:9" hidden="1" x14ac:dyDescent="0.25">
      <c r="B769" s="106"/>
      <c r="C769" s="148" t="s">
        <v>1248</v>
      </c>
      <c r="D769" s="150">
        <v>43849</v>
      </c>
      <c r="E769" s="113" t="s">
        <v>1247</v>
      </c>
      <c r="F769" s="257" t="s">
        <v>14413</v>
      </c>
      <c r="G769" s="258">
        <v>0.08</v>
      </c>
      <c r="I769" s="160">
        <f t="shared" si="11"/>
        <v>28429.159999999974</v>
      </c>
    </row>
    <row r="770" spans="2:9" ht="19.5" hidden="1" x14ac:dyDescent="0.25">
      <c r="B770" s="106"/>
      <c r="C770" s="148" t="s">
        <v>1246</v>
      </c>
      <c r="D770" s="150">
        <v>43849</v>
      </c>
      <c r="E770" s="113" t="s">
        <v>1245</v>
      </c>
      <c r="F770" s="257" t="s">
        <v>14413</v>
      </c>
      <c r="G770" s="258">
        <v>2.63</v>
      </c>
      <c r="I770" s="160">
        <f t="shared" si="11"/>
        <v>28431.789999999975</v>
      </c>
    </row>
    <row r="771" spans="2:9" hidden="1" x14ac:dyDescent="0.25">
      <c r="B771" s="106"/>
      <c r="C771" s="148" t="s">
        <v>1244</v>
      </c>
      <c r="D771" s="150">
        <v>43849</v>
      </c>
      <c r="E771" s="113" t="s">
        <v>1243</v>
      </c>
      <c r="F771" s="257" t="s">
        <v>14413</v>
      </c>
      <c r="G771" s="258">
        <v>7.82</v>
      </c>
      <c r="I771" s="160">
        <f t="shared" si="11"/>
        <v>28439.609999999975</v>
      </c>
    </row>
    <row r="772" spans="2:9" ht="19.5" hidden="1" x14ac:dyDescent="0.25">
      <c r="B772" s="106"/>
      <c r="C772" s="148" t="s">
        <v>1242</v>
      </c>
      <c r="D772" s="150">
        <v>43849</v>
      </c>
      <c r="E772" s="113" t="s">
        <v>1241</v>
      </c>
      <c r="F772" s="257" t="s">
        <v>14413</v>
      </c>
      <c r="G772" s="258">
        <v>9.82</v>
      </c>
      <c r="I772" s="160">
        <f t="shared" si="11"/>
        <v>28449.429999999975</v>
      </c>
    </row>
    <row r="773" spans="2:9" hidden="1" x14ac:dyDescent="0.25">
      <c r="B773" s="106"/>
      <c r="C773" s="148" t="s">
        <v>1240</v>
      </c>
      <c r="D773" s="150">
        <v>43849</v>
      </c>
      <c r="E773" s="113" t="s">
        <v>1239</v>
      </c>
      <c r="F773" s="257" t="s">
        <v>14413</v>
      </c>
      <c r="G773" s="258">
        <v>1.68</v>
      </c>
      <c r="I773" s="160">
        <f t="shared" si="11"/>
        <v>28451.109999999975</v>
      </c>
    </row>
    <row r="774" spans="2:9" hidden="1" x14ac:dyDescent="0.25">
      <c r="B774" s="106"/>
      <c r="C774" s="148" t="s">
        <v>1238</v>
      </c>
      <c r="D774" s="150">
        <v>43849</v>
      </c>
      <c r="E774" s="113" t="s">
        <v>1237</v>
      </c>
      <c r="F774" s="257" t="s">
        <v>14413</v>
      </c>
      <c r="G774" s="258">
        <v>0.43</v>
      </c>
      <c r="I774" s="160">
        <f t="shared" si="11"/>
        <v>28451.539999999975</v>
      </c>
    </row>
    <row r="775" spans="2:9" hidden="1" x14ac:dyDescent="0.25">
      <c r="B775" s="106"/>
      <c r="C775" s="148" t="s">
        <v>1236</v>
      </c>
      <c r="D775" s="150">
        <v>43849</v>
      </c>
      <c r="E775" s="113" t="s">
        <v>1235</v>
      </c>
      <c r="F775" s="257" t="s">
        <v>14413</v>
      </c>
      <c r="G775" s="258">
        <v>8.18</v>
      </c>
      <c r="I775" s="160">
        <f t="shared" si="11"/>
        <v>28459.719999999976</v>
      </c>
    </row>
    <row r="776" spans="2:9" ht="19.5" hidden="1" x14ac:dyDescent="0.25">
      <c r="B776" s="106"/>
      <c r="C776" s="148" t="s">
        <v>1234</v>
      </c>
      <c r="D776" s="150">
        <v>43849</v>
      </c>
      <c r="E776" s="113" t="s">
        <v>1233</v>
      </c>
      <c r="F776" s="257" t="s">
        <v>14413</v>
      </c>
      <c r="G776" s="258">
        <v>5.16</v>
      </c>
      <c r="I776" s="160">
        <f t="shared" si="11"/>
        <v>28464.879999999976</v>
      </c>
    </row>
    <row r="777" spans="2:9" ht="19.5" hidden="1" x14ac:dyDescent="0.25">
      <c r="B777" s="148"/>
      <c r="C777" s="148" t="s">
        <v>1232</v>
      </c>
      <c r="D777" s="150">
        <v>43850</v>
      </c>
      <c r="E777" s="113" t="s">
        <v>1231</v>
      </c>
      <c r="F777" s="257" t="s">
        <v>14454</v>
      </c>
      <c r="G777" s="160">
        <v>100</v>
      </c>
      <c r="I777" s="160">
        <f t="shared" si="11"/>
        <v>28564.879999999976</v>
      </c>
    </row>
    <row r="778" spans="2:9" ht="19.5" hidden="1" x14ac:dyDescent="0.25">
      <c r="B778" s="106"/>
      <c r="C778" s="148" t="s">
        <v>1230</v>
      </c>
      <c r="D778" s="150">
        <v>43850</v>
      </c>
      <c r="E778" s="113" t="s">
        <v>1229</v>
      </c>
      <c r="F778" s="256">
        <v>13</v>
      </c>
      <c r="G778" s="255">
        <v>6.48</v>
      </c>
      <c r="I778" s="160">
        <f t="shared" si="11"/>
        <v>28571.359999999975</v>
      </c>
    </row>
    <row r="779" spans="2:9" ht="29.25" hidden="1" x14ac:dyDescent="0.25">
      <c r="B779" s="148">
        <v>3300</v>
      </c>
      <c r="C779" s="148" t="s">
        <v>1228</v>
      </c>
      <c r="D779" s="150">
        <v>43850</v>
      </c>
      <c r="E779" s="113" t="s">
        <v>1227</v>
      </c>
      <c r="F779" s="257" t="s">
        <v>14432</v>
      </c>
      <c r="H779" s="161">
        <v>106.26</v>
      </c>
      <c r="I779" s="160">
        <f t="shared" si="11"/>
        <v>28465.099999999977</v>
      </c>
    </row>
    <row r="780" spans="2:9" ht="29.25" hidden="1" x14ac:dyDescent="0.25">
      <c r="B780" s="148">
        <v>3301</v>
      </c>
      <c r="C780" s="148" t="s">
        <v>1226</v>
      </c>
      <c r="D780" s="150">
        <v>43850</v>
      </c>
      <c r="E780" s="113" t="s">
        <v>1225</v>
      </c>
      <c r="F780" s="257" t="s">
        <v>14432</v>
      </c>
      <c r="H780" s="161">
        <v>10.23</v>
      </c>
      <c r="I780" s="160">
        <f t="shared" si="11"/>
        <v>28454.869999999977</v>
      </c>
    </row>
    <row r="781" spans="2:9" ht="29.25" hidden="1" x14ac:dyDescent="0.25">
      <c r="B781" s="148">
        <v>3302</v>
      </c>
      <c r="C781" s="148" t="s">
        <v>1224</v>
      </c>
      <c r="D781" s="150">
        <v>43850</v>
      </c>
      <c r="E781" s="113" t="s">
        <v>1223</v>
      </c>
      <c r="F781" s="257" t="s">
        <v>14432</v>
      </c>
      <c r="H781" s="161">
        <v>9.66</v>
      </c>
      <c r="I781" s="160">
        <f t="shared" si="11"/>
        <v>28445.209999999977</v>
      </c>
    </row>
    <row r="782" spans="2:9" ht="19.5" hidden="1" x14ac:dyDescent="0.25">
      <c r="B782" s="148"/>
      <c r="C782" s="148" t="s">
        <v>1222</v>
      </c>
      <c r="D782" s="150">
        <v>43850</v>
      </c>
      <c r="E782" s="113" t="s">
        <v>1221</v>
      </c>
      <c r="F782" s="257" t="s">
        <v>14454</v>
      </c>
      <c r="G782" s="160">
        <v>20</v>
      </c>
      <c r="I782" s="160">
        <f t="shared" si="11"/>
        <v>28465.209999999977</v>
      </c>
    </row>
    <row r="783" spans="2:9" ht="19.5" hidden="1" x14ac:dyDescent="0.25">
      <c r="B783" s="148"/>
      <c r="C783" s="148" t="s">
        <v>1220</v>
      </c>
      <c r="D783" s="150">
        <v>43850</v>
      </c>
      <c r="E783" s="113" t="s">
        <v>1219</v>
      </c>
      <c r="F783" s="257" t="s">
        <v>14436</v>
      </c>
      <c r="G783" s="160">
        <v>45.2</v>
      </c>
      <c r="I783" s="160">
        <f t="shared" si="11"/>
        <v>28510.409999999978</v>
      </c>
    </row>
    <row r="784" spans="2:9" ht="19.5" hidden="1" x14ac:dyDescent="0.25">
      <c r="B784" s="148"/>
      <c r="C784" s="148" t="s">
        <v>1218</v>
      </c>
      <c r="D784" s="150">
        <v>43850</v>
      </c>
      <c r="E784" s="113" t="s">
        <v>1217</v>
      </c>
      <c r="F784" s="257" t="s">
        <v>14436</v>
      </c>
      <c r="G784" s="160">
        <v>32.1</v>
      </c>
      <c r="I784" s="160">
        <f t="shared" si="11"/>
        <v>28542.509999999977</v>
      </c>
    </row>
    <row r="785" spans="2:9" hidden="1" x14ac:dyDescent="0.25">
      <c r="B785" s="148"/>
      <c r="C785" s="148" t="s">
        <v>1216</v>
      </c>
      <c r="D785" s="150">
        <v>43850</v>
      </c>
      <c r="E785" s="113" t="s">
        <v>1215</v>
      </c>
      <c r="F785" s="257" t="s">
        <v>14454</v>
      </c>
      <c r="G785" s="160">
        <v>3.35</v>
      </c>
      <c r="I785" s="160">
        <f t="shared" si="11"/>
        <v>28545.859999999975</v>
      </c>
    </row>
    <row r="786" spans="2:9" ht="19.5" hidden="1" x14ac:dyDescent="0.25">
      <c r="B786" s="148"/>
      <c r="C786" s="148" t="s">
        <v>1214</v>
      </c>
      <c r="D786" s="150">
        <v>43850</v>
      </c>
      <c r="E786" s="113" t="s">
        <v>1213</v>
      </c>
      <c r="F786" s="257" t="s">
        <v>14436</v>
      </c>
      <c r="G786" s="160">
        <v>70.62</v>
      </c>
      <c r="I786" s="160">
        <f t="shared" si="11"/>
        <v>28616.479999999974</v>
      </c>
    </row>
    <row r="787" spans="2:9" ht="19.5" hidden="1" x14ac:dyDescent="0.25">
      <c r="B787" s="148"/>
      <c r="C787" s="148" t="s">
        <v>1212</v>
      </c>
      <c r="D787" s="150">
        <v>43850</v>
      </c>
      <c r="E787" s="113" t="s">
        <v>1211</v>
      </c>
      <c r="F787" s="257" t="s">
        <v>14454</v>
      </c>
      <c r="G787" s="160">
        <v>13.38</v>
      </c>
      <c r="I787" s="160">
        <f t="shared" si="11"/>
        <v>28629.859999999975</v>
      </c>
    </row>
    <row r="788" spans="2:9" ht="19.5" hidden="1" x14ac:dyDescent="0.25">
      <c r="B788" s="148"/>
      <c r="C788" s="148" t="s">
        <v>1210</v>
      </c>
      <c r="D788" s="150">
        <v>43850</v>
      </c>
      <c r="E788" s="113" t="s">
        <v>1209</v>
      </c>
      <c r="F788" s="257" t="s">
        <v>14454</v>
      </c>
      <c r="G788" s="160">
        <v>2.06</v>
      </c>
      <c r="I788" s="160">
        <f t="shared" ref="I788:I851" si="12">+I787+G788-H788</f>
        <v>28631.919999999976</v>
      </c>
    </row>
    <row r="789" spans="2:9" ht="19.5" hidden="1" x14ac:dyDescent="0.25">
      <c r="B789" s="148"/>
      <c r="C789" s="148" t="s">
        <v>1208</v>
      </c>
      <c r="D789" s="150">
        <v>43850</v>
      </c>
      <c r="E789" s="113" t="s">
        <v>1207</v>
      </c>
      <c r="F789" s="257" t="s">
        <v>14436</v>
      </c>
      <c r="G789" s="160">
        <v>655.74</v>
      </c>
      <c r="I789" s="160">
        <f t="shared" si="12"/>
        <v>29287.659999999978</v>
      </c>
    </row>
    <row r="790" spans="2:9" hidden="1" x14ac:dyDescent="0.25">
      <c r="B790" s="148"/>
      <c r="C790" s="148" t="s">
        <v>1206</v>
      </c>
      <c r="D790" s="150">
        <v>43850</v>
      </c>
      <c r="E790" s="113" t="s">
        <v>1205</v>
      </c>
      <c r="F790" s="257" t="s">
        <v>14454</v>
      </c>
      <c r="G790" s="160">
        <v>5</v>
      </c>
      <c r="I790" s="160">
        <f t="shared" si="12"/>
        <v>29292.659999999978</v>
      </c>
    </row>
    <row r="791" spans="2:9" ht="19.5" hidden="1" x14ac:dyDescent="0.25">
      <c r="B791" s="148"/>
      <c r="C791" s="148" t="s">
        <v>1204</v>
      </c>
      <c r="D791" s="150">
        <v>43850</v>
      </c>
      <c r="E791" s="113" t="s">
        <v>1203</v>
      </c>
      <c r="F791" s="257" t="s">
        <v>14454</v>
      </c>
      <c r="G791" s="160">
        <v>42.6</v>
      </c>
      <c r="I791" s="160">
        <f t="shared" si="12"/>
        <v>29335.259999999977</v>
      </c>
    </row>
    <row r="792" spans="2:9" ht="19.5" hidden="1" x14ac:dyDescent="0.25">
      <c r="B792" s="148"/>
      <c r="C792" s="148" t="s">
        <v>1202</v>
      </c>
      <c r="D792" s="150">
        <v>43850</v>
      </c>
      <c r="E792" s="113" t="s">
        <v>1201</v>
      </c>
      <c r="F792" s="257" t="s">
        <v>14436</v>
      </c>
      <c r="G792" s="160">
        <v>76.86</v>
      </c>
      <c r="I792" s="160">
        <f t="shared" si="12"/>
        <v>29412.119999999977</v>
      </c>
    </row>
    <row r="793" spans="2:9" ht="19.5" hidden="1" x14ac:dyDescent="0.25">
      <c r="B793" s="148"/>
      <c r="C793" s="148" t="s">
        <v>1200</v>
      </c>
      <c r="D793" s="150">
        <v>43850</v>
      </c>
      <c r="E793" s="113" t="s">
        <v>1199</v>
      </c>
      <c r="F793" s="257" t="s">
        <v>14436</v>
      </c>
      <c r="G793" s="160">
        <v>15.06</v>
      </c>
      <c r="I793" s="160">
        <f t="shared" si="12"/>
        <v>29427.179999999978</v>
      </c>
    </row>
    <row r="794" spans="2:9" ht="19.5" hidden="1" x14ac:dyDescent="0.25">
      <c r="B794" s="106"/>
      <c r="C794" s="148" t="s">
        <v>1198</v>
      </c>
      <c r="D794" s="150">
        <v>43850</v>
      </c>
      <c r="E794" s="113" t="s">
        <v>1197</v>
      </c>
      <c r="F794" s="256">
        <v>13</v>
      </c>
      <c r="G794" s="255">
        <v>1.8</v>
      </c>
      <c r="I794" s="160">
        <f t="shared" si="12"/>
        <v>29428.979999999978</v>
      </c>
    </row>
    <row r="795" spans="2:9" hidden="1" x14ac:dyDescent="0.25">
      <c r="B795" s="106"/>
      <c r="C795" s="148" t="s">
        <v>1196</v>
      </c>
      <c r="D795" s="150">
        <v>43850</v>
      </c>
      <c r="E795" s="113" t="s">
        <v>1195</v>
      </c>
      <c r="F795" s="256">
        <v>13</v>
      </c>
      <c r="G795" s="255">
        <v>8.3800000000000008</v>
      </c>
      <c r="I795" s="160">
        <f t="shared" si="12"/>
        <v>29437.359999999979</v>
      </c>
    </row>
    <row r="796" spans="2:9" hidden="1" x14ac:dyDescent="0.25">
      <c r="B796" s="106"/>
      <c r="C796" s="148" t="s">
        <v>1194</v>
      </c>
      <c r="D796" s="150">
        <v>43850</v>
      </c>
      <c r="E796" s="113" t="s">
        <v>1193</v>
      </c>
      <c r="F796" s="256">
        <v>13</v>
      </c>
      <c r="G796" s="255">
        <v>8.3800000000000008</v>
      </c>
      <c r="I796" s="160">
        <f t="shared" si="12"/>
        <v>29445.73999999998</v>
      </c>
    </row>
    <row r="797" spans="2:9" hidden="1" x14ac:dyDescent="0.25">
      <c r="B797" s="106"/>
      <c r="C797" s="148" t="s">
        <v>1192</v>
      </c>
      <c r="D797" s="150">
        <v>43850</v>
      </c>
      <c r="E797" s="113" t="s">
        <v>1191</v>
      </c>
      <c r="F797" s="256">
        <v>13</v>
      </c>
      <c r="G797" s="255">
        <v>10.48</v>
      </c>
      <c r="I797" s="160">
        <f t="shared" si="12"/>
        <v>29456.219999999979</v>
      </c>
    </row>
    <row r="798" spans="2:9" hidden="1" x14ac:dyDescent="0.25">
      <c r="B798" s="106"/>
      <c r="C798" s="148" t="s">
        <v>1190</v>
      </c>
      <c r="D798" s="150">
        <v>43850</v>
      </c>
      <c r="E798" s="113" t="s">
        <v>1189</v>
      </c>
      <c r="F798" s="256">
        <v>13</v>
      </c>
      <c r="G798" s="255">
        <v>12.71</v>
      </c>
      <c r="I798" s="160">
        <f t="shared" si="12"/>
        <v>29468.929999999978</v>
      </c>
    </row>
    <row r="799" spans="2:9" hidden="1" x14ac:dyDescent="0.25">
      <c r="B799" s="106"/>
      <c r="C799" s="148" t="s">
        <v>1188</v>
      </c>
      <c r="D799" s="150">
        <v>43850</v>
      </c>
      <c r="E799" s="113" t="s">
        <v>1187</v>
      </c>
      <c r="F799" s="256">
        <v>13</v>
      </c>
      <c r="G799" s="255">
        <v>9.7100000000000009</v>
      </c>
      <c r="I799" s="160">
        <f t="shared" si="12"/>
        <v>29478.639999999978</v>
      </c>
    </row>
    <row r="800" spans="2:9" ht="19.5" hidden="1" x14ac:dyDescent="0.25">
      <c r="B800" s="106"/>
      <c r="C800" s="148" t="s">
        <v>1186</v>
      </c>
      <c r="D800" s="150">
        <v>43850</v>
      </c>
      <c r="E800" s="113" t="s">
        <v>1185</v>
      </c>
      <c r="F800" s="256">
        <v>13</v>
      </c>
      <c r="G800" s="255">
        <v>36.86</v>
      </c>
      <c r="I800" s="160">
        <f t="shared" si="12"/>
        <v>29515.499999999978</v>
      </c>
    </row>
    <row r="801" spans="2:9" ht="19.5" hidden="1" x14ac:dyDescent="0.25">
      <c r="B801" s="106"/>
      <c r="C801" s="148" t="s">
        <v>1184</v>
      </c>
      <c r="D801" s="150">
        <v>43850</v>
      </c>
      <c r="E801" s="113" t="s">
        <v>1183</v>
      </c>
      <c r="F801" s="256">
        <v>13</v>
      </c>
      <c r="G801" s="255">
        <v>6.79</v>
      </c>
      <c r="I801" s="160">
        <f t="shared" si="12"/>
        <v>29522.289999999979</v>
      </c>
    </row>
    <row r="802" spans="2:9" hidden="1" x14ac:dyDescent="0.25">
      <c r="B802" s="106"/>
      <c r="C802" s="148" t="s">
        <v>1182</v>
      </c>
      <c r="D802" s="150">
        <v>43850</v>
      </c>
      <c r="E802" s="113" t="s">
        <v>1181</v>
      </c>
      <c r="F802" s="256">
        <v>13</v>
      </c>
      <c r="G802" s="255">
        <v>8.3800000000000008</v>
      </c>
      <c r="I802" s="160">
        <f t="shared" si="12"/>
        <v>29530.66999999998</v>
      </c>
    </row>
    <row r="803" spans="2:9" hidden="1" x14ac:dyDescent="0.25">
      <c r="B803" s="106"/>
      <c r="C803" s="148" t="s">
        <v>1180</v>
      </c>
      <c r="D803" s="150">
        <v>43850</v>
      </c>
      <c r="E803" s="113" t="s">
        <v>1179</v>
      </c>
      <c r="F803" s="256">
        <v>13</v>
      </c>
      <c r="G803" s="255">
        <v>54.34</v>
      </c>
      <c r="I803" s="160">
        <f t="shared" si="12"/>
        <v>29585.00999999998</v>
      </c>
    </row>
    <row r="804" spans="2:9" ht="19.5" hidden="1" x14ac:dyDescent="0.25">
      <c r="B804" s="106"/>
      <c r="C804" s="148" t="s">
        <v>1178</v>
      </c>
      <c r="D804" s="150">
        <v>43850</v>
      </c>
      <c r="E804" s="113" t="s">
        <v>1177</v>
      </c>
      <c r="F804" s="256">
        <v>13</v>
      </c>
      <c r="G804" s="255">
        <v>23.46</v>
      </c>
      <c r="I804" s="160">
        <f t="shared" si="12"/>
        <v>29608.469999999979</v>
      </c>
    </row>
    <row r="805" spans="2:9" ht="19.5" hidden="1" x14ac:dyDescent="0.25">
      <c r="B805" s="106"/>
      <c r="C805" s="148" t="s">
        <v>1176</v>
      </c>
      <c r="D805" s="150">
        <v>43850</v>
      </c>
      <c r="E805" s="113" t="s">
        <v>1175</v>
      </c>
      <c r="F805" s="256">
        <v>13</v>
      </c>
      <c r="G805" s="255">
        <v>0.91</v>
      </c>
      <c r="I805" s="160">
        <f t="shared" si="12"/>
        <v>29609.379999999979</v>
      </c>
    </row>
    <row r="806" spans="2:9" ht="19.5" hidden="1" x14ac:dyDescent="0.25">
      <c r="B806" s="148"/>
      <c r="C806" s="148" t="s">
        <v>1174</v>
      </c>
      <c r="D806" s="150">
        <v>43850</v>
      </c>
      <c r="E806" s="113" t="s">
        <v>1173</v>
      </c>
      <c r="F806" s="257" t="s">
        <v>14437</v>
      </c>
      <c r="G806" s="160">
        <v>17.059999999999999</v>
      </c>
      <c r="I806" s="160">
        <f t="shared" si="12"/>
        <v>29626.439999999981</v>
      </c>
    </row>
    <row r="807" spans="2:9" hidden="1" x14ac:dyDescent="0.25">
      <c r="B807" s="148"/>
      <c r="C807" s="148" t="s">
        <v>1172</v>
      </c>
      <c r="D807" s="150">
        <v>43850</v>
      </c>
      <c r="E807" s="113" t="s">
        <v>1171</v>
      </c>
      <c r="F807" s="257" t="s">
        <v>14437</v>
      </c>
      <c r="G807" s="160">
        <v>73.72</v>
      </c>
      <c r="I807" s="160">
        <f t="shared" si="12"/>
        <v>29700.159999999982</v>
      </c>
    </row>
    <row r="808" spans="2:9" hidden="1" x14ac:dyDescent="0.25">
      <c r="B808" s="148"/>
      <c r="C808" s="148" t="s">
        <v>1170</v>
      </c>
      <c r="D808" s="150">
        <v>43850</v>
      </c>
      <c r="E808" s="113" t="s">
        <v>1169</v>
      </c>
      <c r="F808" s="257" t="s">
        <v>14437</v>
      </c>
      <c r="G808" s="160">
        <v>50.44</v>
      </c>
      <c r="I808" s="160">
        <f t="shared" si="12"/>
        <v>29750.59999999998</v>
      </c>
    </row>
    <row r="809" spans="2:9" ht="19.5" hidden="1" x14ac:dyDescent="0.25">
      <c r="B809" s="106"/>
      <c r="C809" s="148" t="s">
        <v>1168</v>
      </c>
      <c r="D809" s="150">
        <v>43850</v>
      </c>
      <c r="E809" s="113" t="s">
        <v>1167</v>
      </c>
      <c r="F809" s="257" t="s">
        <v>14413</v>
      </c>
      <c r="G809" s="258">
        <v>1.68</v>
      </c>
      <c r="I809" s="160">
        <f t="shared" si="12"/>
        <v>29752.279999999981</v>
      </c>
    </row>
    <row r="810" spans="2:9" ht="19.5" hidden="1" x14ac:dyDescent="0.25">
      <c r="B810" s="106"/>
      <c r="C810" s="148" t="s">
        <v>1166</v>
      </c>
      <c r="D810" s="150">
        <v>43850</v>
      </c>
      <c r="E810" s="113" t="s">
        <v>1165</v>
      </c>
      <c r="F810" s="257" t="s">
        <v>14413</v>
      </c>
      <c r="G810" s="258">
        <v>0.23</v>
      </c>
      <c r="I810" s="160">
        <f t="shared" si="12"/>
        <v>29752.50999999998</v>
      </c>
    </row>
    <row r="811" spans="2:9" ht="19.5" hidden="1" x14ac:dyDescent="0.25">
      <c r="B811" s="106"/>
      <c r="C811" s="148" t="s">
        <v>1164</v>
      </c>
      <c r="D811" s="150">
        <v>43850</v>
      </c>
      <c r="E811" s="113" t="s">
        <v>1163</v>
      </c>
      <c r="F811" s="257" t="s">
        <v>14413</v>
      </c>
      <c r="G811" s="258">
        <v>5.04</v>
      </c>
      <c r="I811" s="160">
        <f t="shared" si="12"/>
        <v>29757.549999999981</v>
      </c>
    </row>
    <row r="812" spans="2:9" ht="19.5" hidden="1" x14ac:dyDescent="0.25">
      <c r="B812" s="106"/>
      <c r="C812" s="148" t="s">
        <v>1162</v>
      </c>
      <c r="D812" s="150">
        <v>43850</v>
      </c>
      <c r="E812" s="113" t="s">
        <v>1161</v>
      </c>
      <c r="F812" s="257" t="s">
        <v>14413</v>
      </c>
      <c r="G812" s="258">
        <v>16.32</v>
      </c>
      <c r="I812" s="160">
        <f t="shared" si="12"/>
        <v>29773.869999999981</v>
      </c>
    </row>
    <row r="813" spans="2:9" hidden="1" x14ac:dyDescent="0.25">
      <c r="B813" s="106"/>
      <c r="C813" s="148" t="s">
        <v>1160</v>
      </c>
      <c r="D813" s="150">
        <v>43850</v>
      </c>
      <c r="E813" s="113" t="s">
        <v>1159</v>
      </c>
      <c r="F813" s="257" t="s">
        <v>14413</v>
      </c>
      <c r="G813" s="258">
        <v>11.36</v>
      </c>
      <c r="I813" s="160">
        <f t="shared" si="12"/>
        <v>29785.229999999981</v>
      </c>
    </row>
    <row r="814" spans="2:9" hidden="1" x14ac:dyDescent="0.25">
      <c r="B814" s="106"/>
      <c r="C814" s="148" t="s">
        <v>1158</v>
      </c>
      <c r="D814" s="150">
        <v>43850</v>
      </c>
      <c r="E814" s="113" t="s">
        <v>1157</v>
      </c>
      <c r="F814" s="257" t="s">
        <v>14413</v>
      </c>
      <c r="G814" s="258">
        <v>2.99</v>
      </c>
      <c r="I814" s="160">
        <f t="shared" si="12"/>
        <v>29788.219999999983</v>
      </c>
    </row>
    <row r="815" spans="2:9" ht="19.5" hidden="1" x14ac:dyDescent="0.25">
      <c r="B815" s="106"/>
      <c r="C815" s="148" t="s">
        <v>1156</v>
      </c>
      <c r="D815" s="150">
        <v>43850</v>
      </c>
      <c r="E815" s="113" t="s">
        <v>1155</v>
      </c>
      <c r="F815" s="257" t="s">
        <v>14413</v>
      </c>
      <c r="G815" s="258">
        <v>3.98</v>
      </c>
      <c r="I815" s="160">
        <f t="shared" si="12"/>
        <v>29792.199999999983</v>
      </c>
    </row>
    <row r="816" spans="2:9" ht="19.5" hidden="1" x14ac:dyDescent="0.25">
      <c r="B816" s="106"/>
      <c r="C816" s="148" t="s">
        <v>1154</v>
      </c>
      <c r="D816" s="150">
        <v>43850</v>
      </c>
      <c r="E816" s="113" t="s">
        <v>1153</v>
      </c>
      <c r="F816" s="257" t="s">
        <v>14413</v>
      </c>
      <c r="G816" s="258">
        <v>0.17</v>
      </c>
      <c r="I816" s="160">
        <f t="shared" si="12"/>
        <v>29792.369999999981</v>
      </c>
    </row>
    <row r="817" spans="2:9" hidden="1" x14ac:dyDescent="0.25">
      <c r="B817" s="106"/>
      <c r="C817" s="148" t="s">
        <v>1152</v>
      </c>
      <c r="D817" s="150">
        <v>43850</v>
      </c>
      <c r="E817" s="113" t="s">
        <v>1151</v>
      </c>
      <c r="F817" s="257" t="s">
        <v>14413</v>
      </c>
      <c r="G817" s="258">
        <v>1.68</v>
      </c>
      <c r="I817" s="160">
        <f t="shared" si="12"/>
        <v>29794.049999999981</v>
      </c>
    </row>
    <row r="818" spans="2:9" ht="19.5" hidden="1" x14ac:dyDescent="0.25">
      <c r="B818" s="106"/>
      <c r="C818" s="148" t="s">
        <v>1150</v>
      </c>
      <c r="D818" s="150">
        <v>43850</v>
      </c>
      <c r="E818" s="113" t="s">
        <v>1149</v>
      </c>
      <c r="F818" s="257" t="s">
        <v>14413</v>
      </c>
      <c r="G818" s="258">
        <v>5.5</v>
      </c>
      <c r="I818" s="160">
        <f t="shared" si="12"/>
        <v>29799.549999999981</v>
      </c>
    </row>
    <row r="819" spans="2:9" hidden="1" x14ac:dyDescent="0.25">
      <c r="B819" s="106"/>
      <c r="C819" s="148" t="s">
        <v>1148</v>
      </c>
      <c r="D819" s="150">
        <v>43850</v>
      </c>
      <c r="E819" s="113" t="s">
        <v>1147</v>
      </c>
      <c r="F819" s="257" t="s">
        <v>14413</v>
      </c>
      <c r="G819" s="258">
        <v>4.5199999999999996</v>
      </c>
      <c r="I819" s="160">
        <f t="shared" si="12"/>
        <v>29804.069999999982</v>
      </c>
    </row>
    <row r="820" spans="2:9" ht="19.5" hidden="1" x14ac:dyDescent="0.25">
      <c r="B820" s="106"/>
      <c r="C820" s="148" t="s">
        <v>1146</v>
      </c>
      <c r="D820" s="150">
        <v>43850</v>
      </c>
      <c r="E820" s="113" t="s">
        <v>1145</v>
      </c>
      <c r="F820" s="257" t="s">
        <v>14413</v>
      </c>
      <c r="G820" s="258">
        <v>4.71</v>
      </c>
      <c r="I820" s="160">
        <f t="shared" si="12"/>
        <v>29808.779999999981</v>
      </c>
    </row>
    <row r="821" spans="2:9" ht="19.5" hidden="1" x14ac:dyDescent="0.25">
      <c r="B821" s="106"/>
      <c r="C821" s="148" t="s">
        <v>1144</v>
      </c>
      <c r="D821" s="150">
        <v>43850</v>
      </c>
      <c r="E821" s="113" t="s">
        <v>1143</v>
      </c>
      <c r="F821" s="257" t="s">
        <v>14413</v>
      </c>
      <c r="G821" s="258">
        <v>4.97</v>
      </c>
      <c r="I821" s="160">
        <f t="shared" si="12"/>
        <v>29813.749999999982</v>
      </c>
    </row>
    <row r="822" spans="2:9" ht="19.5" hidden="1" x14ac:dyDescent="0.25">
      <c r="B822" s="106"/>
      <c r="C822" s="148" t="s">
        <v>1142</v>
      </c>
      <c r="D822" s="150">
        <v>43850</v>
      </c>
      <c r="E822" s="113" t="s">
        <v>1141</v>
      </c>
      <c r="F822" s="257" t="s">
        <v>14413</v>
      </c>
      <c r="G822" s="258">
        <v>9.16</v>
      </c>
      <c r="I822" s="160">
        <f t="shared" si="12"/>
        <v>29822.909999999982</v>
      </c>
    </row>
    <row r="823" spans="2:9" ht="19.5" hidden="1" x14ac:dyDescent="0.25">
      <c r="B823" s="106"/>
      <c r="C823" s="148" t="s">
        <v>1140</v>
      </c>
      <c r="D823" s="150">
        <v>43850</v>
      </c>
      <c r="E823" s="113" t="s">
        <v>1139</v>
      </c>
      <c r="F823" s="257" t="s">
        <v>14413</v>
      </c>
      <c r="G823" s="258">
        <v>25.24</v>
      </c>
      <c r="I823" s="160">
        <f t="shared" si="12"/>
        <v>29848.149999999983</v>
      </c>
    </row>
    <row r="824" spans="2:9" ht="19.5" hidden="1" x14ac:dyDescent="0.25">
      <c r="B824" s="106"/>
      <c r="C824" s="148" t="s">
        <v>1138</v>
      </c>
      <c r="D824" s="150">
        <v>43850</v>
      </c>
      <c r="E824" s="113" t="s">
        <v>1137</v>
      </c>
      <c r="F824" s="257" t="s">
        <v>14413</v>
      </c>
      <c r="G824" s="258">
        <v>11.58</v>
      </c>
      <c r="I824" s="160">
        <f t="shared" si="12"/>
        <v>29859.729999999985</v>
      </c>
    </row>
    <row r="825" spans="2:9" ht="19.5" hidden="1" x14ac:dyDescent="0.25">
      <c r="B825" s="106"/>
      <c r="C825" s="148" t="s">
        <v>1136</v>
      </c>
      <c r="D825" s="150">
        <v>43850</v>
      </c>
      <c r="E825" s="113" t="s">
        <v>1135</v>
      </c>
      <c r="F825" s="257" t="s">
        <v>14413</v>
      </c>
      <c r="G825" s="258">
        <v>7.04</v>
      </c>
      <c r="I825" s="160">
        <f t="shared" si="12"/>
        <v>29866.769999999986</v>
      </c>
    </row>
    <row r="826" spans="2:9" hidden="1" x14ac:dyDescent="0.25">
      <c r="B826" s="106"/>
      <c r="C826" s="148" t="s">
        <v>1134</v>
      </c>
      <c r="D826" s="150">
        <v>43850</v>
      </c>
      <c r="E826" s="113" t="s">
        <v>1133</v>
      </c>
      <c r="F826" s="257" t="s">
        <v>14413</v>
      </c>
      <c r="G826" s="258">
        <v>8.3800000000000008</v>
      </c>
      <c r="I826" s="160">
        <f t="shared" si="12"/>
        <v>29875.149999999987</v>
      </c>
    </row>
    <row r="827" spans="2:9" hidden="1" x14ac:dyDescent="0.25">
      <c r="B827" s="106"/>
      <c r="C827" s="148" t="s">
        <v>1132</v>
      </c>
      <c r="D827" s="150">
        <v>43850</v>
      </c>
      <c r="E827" s="113" t="s">
        <v>1131</v>
      </c>
      <c r="F827" s="257" t="s">
        <v>14413</v>
      </c>
      <c r="G827" s="258">
        <v>15.64</v>
      </c>
      <c r="I827" s="160">
        <f t="shared" si="12"/>
        <v>29890.789999999986</v>
      </c>
    </row>
    <row r="828" spans="2:9" hidden="1" x14ac:dyDescent="0.25">
      <c r="B828" s="106"/>
      <c r="C828" s="148" t="s">
        <v>1130</v>
      </c>
      <c r="D828" s="150">
        <v>43850</v>
      </c>
      <c r="E828" s="113" t="s">
        <v>1129</v>
      </c>
      <c r="F828" s="257" t="s">
        <v>14413</v>
      </c>
      <c r="G828" s="258">
        <v>12.88</v>
      </c>
      <c r="I828" s="160">
        <f t="shared" si="12"/>
        <v>29903.669999999987</v>
      </c>
    </row>
    <row r="829" spans="2:9" hidden="1" x14ac:dyDescent="0.25">
      <c r="B829" s="106"/>
      <c r="C829" s="148" t="s">
        <v>1128</v>
      </c>
      <c r="D829" s="150">
        <v>43850</v>
      </c>
      <c r="E829" s="113" t="s">
        <v>1127</v>
      </c>
      <c r="F829" s="257" t="s">
        <v>14413</v>
      </c>
      <c r="G829" s="258">
        <v>22.1</v>
      </c>
      <c r="I829" s="160">
        <f t="shared" si="12"/>
        <v>29925.769999999986</v>
      </c>
    </row>
    <row r="830" spans="2:9" hidden="1" x14ac:dyDescent="0.25">
      <c r="B830" s="106"/>
      <c r="C830" s="148" t="s">
        <v>1126</v>
      </c>
      <c r="D830" s="150">
        <v>43850</v>
      </c>
      <c r="E830" s="113" t="s">
        <v>1125</v>
      </c>
      <c r="F830" s="257" t="s">
        <v>14413</v>
      </c>
      <c r="G830" s="258">
        <v>1.68</v>
      </c>
      <c r="I830" s="160">
        <f t="shared" si="12"/>
        <v>29927.449999999986</v>
      </c>
    </row>
    <row r="831" spans="2:9" hidden="1" x14ac:dyDescent="0.25">
      <c r="B831" s="106"/>
      <c r="C831" s="148" t="s">
        <v>1124</v>
      </c>
      <c r="D831" s="150">
        <v>43850</v>
      </c>
      <c r="E831" s="113" t="s">
        <v>1123</v>
      </c>
      <c r="F831" s="257" t="s">
        <v>14413</v>
      </c>
      <c r="G831" s="258">
        <v>183.25</v>
      </c>
      <c r="I831" s="160">
        <f t="shared" si="12"/>
        <v>30110.699999999986</v>
      </c>
    </row>
    <row r="832" spans="2:9" ht="19.5" hidden="1" x14ac:dyDescent="0.25">
      <c r="B832" s="106"/>
      <c r="C832" s="148" t="s">
        <v>1122</v>
      </c>
      <c r="D832" s="150">
        <v>43850</v>
      </c>
      <c r="E832" s="113" t="s">
        <v>1121</v>
      </c>
      <c r="F832" s="257" t="s">
        <v>14413</v>
      </c>
      <c r="G832" s="258">
        <v>12.77</v>
      </c>
      <c r="I832" s="160">
        <f t="shared" si="12"/>
        <v>30123.469999999987</v>
      </c>
    </row>
    <row r="833" spans="2:9" hidden="1" x14ac:dyDescent="0.25">
      <c r="B833" s="106"/>
      <c r="C833" s="148" t="s">
        <v>1120</v>
      </c>
      <c r="D833" s="150">
        <v>43850</v>
      </c>
      <c r="E833" s="113" t="s">
        <v>1119</v>
      </c>
      <c r="F833" s="257" t="s">
        <v>14413</v>
      </c>
      <c r="G833" s="258">
        <v>2.6</v>
      </c>
      <c r="I833" s="160">
        <f t="shared" si="12"/>
        <v>30126.069999999985</v>
      </c>
    </row>
    <row r="834" spans="2:9" hidden="1" x14ac:dyDescent="0.25">
      <c r="B834" s="106"/>
      <c r="C834" s="148" t="s">
        <v>1118</v>
      </c>
      <c r="D834" s="150">
        <v>43850</v>
      </c>
      <c r="E834" s="113" t="s">
        <v>1117</v>
      </c>
      <c r="F834" s="257" t="s">
        <v>14413</v>
      </c>
      <c r="G834" s="258">
        <v>3.3</v>
      </c>
      <c r="I834" s="160">
        <f t="shared" si="12"/>
        <v>30129.369999999984</v>
      </c>
    </row>
    <row r="835" spans="2:9" ht="19.5" hidden="1" x14ac:dyDescent="0.25">
      <c r="B835" s="106"/>
      <c r="C835" s="148" t="s">
        <v>1116</v>
      </c>
      <c r="D835" s="150">
        <v>43850</v>
      </c>
      <c r="E835" s="113" t="s">
        <v>1115</v>
      </c>
      <c r="F835" s="257" t="s">
        <v>14413</v>
      </c>
      <c r="G835" s="258">
        <v>11.39</v>
      </c>
      <c r="I835" s="160">
        <f t="shared" si="12"/>
        <v>30140.759999999984</v>
      </c>
    </row>
    <row r="836" spans="2:9" hidden="1" x14ac:dyDescent="0.25">
      <c r="B836" s="106"/>
      <c r="C836" s="148" t="s">
        <v>1114</v>
      </c>
      <c r="D836" s="150">
        <v>43850</v>
      </c>
      <c r="E836" s="113" t="s">
        <v>1113</v>
      </c>
      <c r="F836" s="257" t="s">
        <v>14413</v>
      </c>
      <c r="G836" s="258">
        <v>12.99</v>
      </c>
      <c r="I836" s="160">
        <f t="shared" si="12"/>
        <v>30153.749999999985</v>
      </c>
    </row>
    <row r="837" spans="2:9" hidden="1" x14ac:dyDescent="0.25">
      <c r="B837" s="106"/>
      <c r="C837" s="148" t="s">
        <v>1112</v>
      </c>
      <c r="D837" s="150">
        <v>43850</v>
      </c>
      <c r="E837" s="113" t="s">
        <v>1111</v>
      </c>
      <c r="F837" s="257" t="s">
        <v>14413</v>
      </c>
      <c r="G837" s="258">
        <v>2</v>
      </c>
      <c r="I837" s="160">
        <f t="shared" si="12"/>
        <v>30155.749999999985</v>
      </c>
    </row>
    <row r="838" spans="2:9" ht="19.5" hidden="1" x14ac:dyDescent="0.25">
      <c r="B838" s="106"/>
      <c r="C838" s="148" t="s">
        <v>1110</v>
      </c>
      <c r="D838" s="150">
        <v>43850</v>
      </c>
      <c r="E838" s="113" t="s">
        <v>1109</v>
      </c>
      <c r="F838" s="257" t="s">
        <v>14413</v>
      </c>
      <c r="G838" s="258">
        <v>6.87</v>
      </c>
      <c r="I838" s="160">
        <f t="shared" si="12"/>
        <v>30162.619999999984</v>
      </c>
    </row>
    <row r="839" spans="2:9" ht="19.5" hidden="1" x14ac:dyDescent="0.25">
      <c r="B839" s="106"/>
      <c r="C839" s="148" t="s">
        <v>1108</v>
      </c>
      <c r="D839" s="150">
        <v>43850</v>
      </c>
      <c r="E839" s="113" t="s">
        <v>1107</v>
      </c>
      <c r="F839" s="257" t="s">
        <v>14413</v>
      </c>
      <c r="G839" s="258">
        <v>4.38</v>
      </c>
      <c r="I839" s="160">
        <f t="shared" si="12"/>
        <v>30166.999999999985</v>
      </c>
    </row>
    <row r="840" spans="2:9" hidden="1" x14ac:dyDescent="0.25">
      <c r="B840" s="106"/>
      <c r="C840" s="148" t="s">
        <v>1106</v>
      </c>
      <c r="D840" s="150">
        <v>43850</v>
      </c>
      <c r="E840" s="113" t="s">
        <v>1105</v>
      </c>
      <c r="F840" s="257" t="s">
        <v>14413</v>
      </c>
      <c r="G840" s="258">
        <v>2.93</v>
      </c>
      <c r="I840" s="160">
        <f t="shared" si="12"/>
        <v>30169.929999999986</v>
      </c>
    </row>
    <row r="841" spans="2:9" hidden="1" x14ac:dyDescent="0.25">
      <c r="B841" s="148"/>
      <c r="C841" s="148" t="s">
        <v>1104</v>
      </c>
      <c r="D841" s="150">
        <v>43850</v>
      </c>
      <c r="E841" s="113" t="s">
        <v>1103</v>
      </c>
      <c r="F841" s="257" t="s">
        <v>14433</v>
      </c>
      <c r="H841" s="161">
        <v>93.36</v>
      </c>
      <c r="I841" s="160">
        <f t="shared" si="12"/>
        <v>30076.569999999985</v>
      </c>
    </row>
    <row r="842" spans="2:9" ht="19.5" hidden="1" x14ac:dyDescent="0.25">
      <c r="B842" s="148"/>
      <c r="C842" s="148" t="s">
        <v>1102</v>
      </c>
      <c r="D842" s="150">
        <v>43851</v>
      </c>
      <c r="E842" s="113" t="s">
        <v>1101</v>
      </c>
      <c r="F842" s="257" t="s">
        <v>14436</v>
      </c>
      <c r="G842" s="160">
        <v>2.82</v>
      </c>
      <c r="I842" s="160">
        <f t="shared" si="12"/>
        <v>30079.389999999985</v>
      </c>
    </row>
    <row r="843" spans="2:9" ht="19.5" hidden="1" x14ac:dyDescent="0.25">
      <c r="B843" s="148"/>
      <c r="C843" s="148" t="s">
        <v>1100</v>
      </c>
      <c r="D843" s="150">
        <v>43851</v>
      </c>
      <c r="E843" s="113" t="s">
        <v>1099</v>
      </c>
      <c r="F843" s="257" t="s">
        <v>14436</v>
      </c>
      <c r="G843" s="160">
        <v>69.27</v>
      </c>
      <c r="I843" s="160">
        <f t="shared" si="12"/>
        <v>30148.659999999985</v>
      </c>
    </row>
    <row r="844" spans="2:9" ht="19.5" hidden="1" x14ac:dyDescent="0.25">
      <c r="B844" s="148"/>
      <c r="C844" s="148" t="s">
        <v>1098</v>
      </c>
      <c r="D844" s="150">
        <v>43851</v>
      </c>
      <c r="E844" s="113" t="s">
        <v>1097</v>
      </c>
      <c r="F844" s="257" t="s">
        <v>14437</v>
      </c>
      <c r="G844" s="160">
        <v>20.82</v>
      </c>
      <c r="I844" s="160">
        <f t="shared" si="12"/>
        <v>30169.479999999985</v>
      </c>
    </row>
    <row r="845" spans="2:9" hidden="1" x14ac:dyDescent="0.25">
      <c r="B845" s="148"/>
      <c r="C845" s="148" t="s">
        <v>1096</v>
      </c>
      <c r="D845" s="150">
        <v>43851</v>
      </c>
      <c r="E845" s="113" t="s">
        <v>1095</v>
      </c>
      <c r="F845" s="257" t="s">
        <v>14436</v>
      </c>
      <c r="G845" s="160">
        <v>1.68</v>
      </c>
      <c r="I845" s="160">
        <f t="shared" si="12"/>
        <v>30171.159999999985</v>
      </c>
    </row>
    <row r="846" spans="2:9" ht="19.5" hidden="1" x14ac:dyDescent="0.25">
      <c r="B846" s="106"/>
      <c r="C846" s="148" t="s">
        <v>1094</v>
      </c>
      <c r="D846" s="150">
        <v>43851</v>
      </c>
      <c r="E846" s="113" t="s">
        <v>1093</v>
      </c>
      <c r="F846" s="257" t="s">
        <v>14413</v>
      </c>
      <c r="G846" s="258">
        <v>5.04</v>
      </c>
      <c r="I846" s="160">
        <f t="shared" si="12"/>
        <v>30176.199999999986</v>
      </c>
    </row>
    <row r="847" spans="2:9" hidden="1" x14ac:dyDescent="0.25">
      <c r="B847" s="106"/>
      <c r="C847" s="148" t="s">
        <v>1092</v>
      </c>
      <c r="D847" s="150">
        <v>43851</v>
      </c>
      <c r="E847" s="113" t="s">
        <v>1091</v>
      </c>
      <c r="F847" s="257" t="s">
        <v>14413</v>
      </c>
      <c r="G847" s="258">
        <v>1.87</v>
      </c>
      <c r="I847" s="160">
        <f t="shared" si="12"/>
        <v>30178.069999999985</v>
      </c>
    </row>
    <row r="848" spans="2:9" ht="19.5" hidden="1" x14ac:dyDescent="0.25">
      <c r="B848" s="106"/>
      <c r="C848" s="148" t="s">
        <v>1090</v>
      </c>
      <c r="D848" s="150">
        <v>43851</v>
      </c>
      <c r="E848" s="113" t="s">
        <v>1089</v>
      </c>
      <c r="F848" s="257" t="s">
        <v>14413</v>
      </c>
      <c r="G848" s="258">
        <v>33.11</v>
      </c>
      <c r="I848" s="160">
        <f t="shared" si="12"/>
        <v>30211.179999999986</v>
      </c>
    </row>
    <row r="849" spans="2:9" ht="19.5" hidden="1" x14ac:dyDescent="0.25">
      <c r="B849" s="106"/>
      <c r="C849" s="148" t="s">
        <v>1088</v>
      </c>
      <c r="D849" s="150">
        <v>43851</v>
      </c>
      <c r="E849" s="113" t="s">
        <v>1087</v>
      </c>
      <c r="F849" s="257" t="s">
        <v>14413</v>
      </c>
      <c r="G849" s="258">
        <v>10.62</v>
      </c>
      <c r="I849" s="160">
        <f t="shared" si="12"/>
        <v>30221.799999999985</v>
      </c>
    </row>
    <row r="850" spans="2:9" hidden="1" x14ac:dyDescent="0.25">
      <c r="B850" s="106"/>
      <c r="C850" s="148" t="s">
        <v>1086</v>
      </c>
      <c r="D850" s="150">
        <v>43851</v>
      </c>
      <c r="E850" s="113" t="s">
        <v>1085</v>
      </c>
      <c r="F850" s="257" t="s">
        <v>14413</v>
      </c>
      <c r="G850" s="258">
        <v>10.26</v>
      </c>
      <c r="I850" s="160">
        <f t="shared" si="12"/>
        <v>30232.059999999983</v>
      </c>
    </row>
    <row r="851" spans="2:9" hidden="1" x14ac:dyDescent="0.25">
      <c r="B851" s="106"/>
      <c r="C851" s="148" t="s">
        <v>1084</v>
      </c>
      <c r="D851" s="150">
        <v>43851</v>
      </c>
      <c r="E851" s="113" t="s">
        <v>1083</v>
      </c>
      <c r="F851" s="257" t="s">
        <v>14413</v>
      </c>
      <c r="G851" s="258">
        <v>8.3800000000000008</v>
      </c>
      <c r="I851" s="160">
        <f t="shared" si="12"/>
        <v>30240.439999999984</v>
      </c>
    </row>
    <row r="852" spans="2:9" hidden="1" x14ac:dyDescent="0.25">
      <c r="B852" s="106"/>
      <c r="C852" s="148" t="s">
        <v>1082</v>
      </c>
      <c r="D852" s="150">
        <v>43851</v>
      </c>
      <c r="E852" s="113" t="s">
        <v>1081</v>
      </c>
      <c r="F852" s="257" t="s">
        <v>14413</v>
      </c>
      <c r="G852" s="258">
        <v>2.6</v>
      </c>
      <c r="I852" s="160">
        <f t="shared" ref="I852:I915" si="13">+I851+G852-H852</f>
        <v>30243.039999999983</v>
      </c>
    </row>
    <row r="853" spans="2:9" hidden="1" x14ac:dyDescent="0.25">
      <c r="B853" s="106"/>
      <c r="C853" s="148" t="s">
        <v>1080</v>
      </c>
      <c r="D853" s="150">
        <v>43851</v>
      </c>
      <c r="E853" s="113" t="s">
        <v>1079</v>
      </c>
      <c r="F853" s="257" t="s">
        <v>14413</v>
      </c>
      <c r="G853" s="258">
        <v>3.76</v>
      </c>
      <c r="I853" s="160">
        <f t="shared" si="13"/>
        <v>30246.799999999981</v>
      </c>
    </row>
    <row r="854" spans="2:9" ht="19.5" hidden="1" x14ac:dyDescent="0.25">
      <c r="B854" s="106"/>
      <c r="C854" s="148" t="s">
        <v>1078</v>
      </c>
      <c r="D854" s="150">
        <v>43851</v>
      </c>
      <c r="E854" s="113" t="s">
        <v>1077</v>
      </c>
      <c r="F854" s="257" t="s">
        <v>14413</v>
      </c>
      <c r="G854" s="258">
        <v>3.14</v>
      </c>
      <c r="I854" s="160">
        <f t="shared" si="13"/>
        <v>30249.939999999981</v>
      </c>
    </row>
    <row r="855" spans="2:9" ht="19.5" hidden="1" x14ac:dyDescent="0.25">
      <c r="B855" s="106"/>
      <c r="C855" s="148" t="s">
        <v>1076</v>
      </c>
      <c r="D855" s="150">
        <v>43851</v>
      </c>
      <c r="E855" s="113" t="s">
        <v>1075</v>
      </c>
      <c r="F855" s="257" t="s">
        <v>14413</v>
      </c>
      <c r="G855" s="258">
        <v>8.3800000000000008</v>
      </c>
      <c r="I855" s="160">
        <f t="shared" si="13"/>
        <v>30258.319999999982</v>
      </c>
    </row>
    <row r="856" spans="2:9" ht="19.5" hidden="1" x14ac:dyDescent="0.25">
      <c r="B856" s="106"/>
      <c r="C856" s="148" t="s">
        <v>1074</v>
      </c>
      <c r="D856" s="150">
        <v>43851</v>
      </c>
      <c r="E856" s="113" t="s">
        <v>1073</v>
      </c>
      <c r="F856" s="257" t="s">
        <v>14413</v>
      </c>
      <c r="G856" s="258">
        <v>8.44</v>
      </c>
      <c r="I856" s="160">
        <f t="shared" si="13"/>
        <v>30266.75999999998</v>
      </c>
    </row>
    <row r="857" spans="2:9" hidden="1" x14ac:dyDescent="0.25">
      <c r="B857" s="106"/>
      <c r="C857" s="148" t="s">
        <v>1072</v>
      </c>
      <c r="D857" s="150">
        <v>43851</v>
      </c>
      <c r="E857" s="113" t="s">
        <v>1071</v>
      </c>
      <c r="F857" s="257" t="s">
        <v>14413</v>
      </c>
      <c r="G857" s="258">
        <v>1.71</v>
      </c>
      <c r="I857" s="160">
        <f t="shared" si="13"/>
        <v>30268.469999999979</v>
      </c>
    </row>
    <row r="858" spans="2:9" ht="19.5" hidden="1" x14ac:dyDescent="0.25">
      <c r="B858" s="106"/>
      <c r="C858" s="148" t="s">
        <v>1070</v>
      </c>
      <c r="D858" s="150">
        <v>43851</v>
      </c>
      <c r="E858" s="113" t="s">
        <v>1069</v>
      </c>
      <c r="F858" s="257" t="s">
        <v>14413</v>
      </c>
      <c r="G858" s="258">
        <v>8.33</v>
      </c>
      <c r="I858" s="160">
        <f t="shared" si="13"/>
        <v>30276.799999999981</v>
      </c>
    </row>
    <row r="859" spans="2:9" ht="19.5" hidden="1" x14ac:dyDescent="0.25">
      <c r="B859" s="106"/>
      <c r="C859" s="148" t="s">
        <v>1068</v>
      </c>
      <c r="D859" s="150">
        <v>43851</v>
      </c>
      <c r="E859" s="113" t="s">
        <v>1067</v>
      </c>
      <c r="F859" s="257" t="s">
        <v>14413</v>
      </c>
      <c r="G859" s="258">
        <v>1.77</v>
      </c>
      <c r="I859" s="160">
        <f t="shared" si="13"/>
        <v>30278.569999999982</v>
      </c>
    </row>
    <row r="860" spans="2:9" hidden="1" x14ac:dyDescent="0.25">
      <c r="B860" s="106"/>
      <c r="C860" s="148" t="s">
        <v>1066</v>
      </c>
      <c r="D860" s="150">
        <v>43851</v>
      </c>
      <c r="E860" s="113" t="s">
        <v>1065</v>
      </c>
      <c r="F860" s="257" t="s">
        <v>14413</v>
      </c>
      <c r="G860" s="258">
        <v>1.61</v>
      </c>
      <c r="I860" s="160">
        <f t="shared" si="13"/>
        <v>30280.179999999982</v>
      </c>
    </row>
    <row r="861" spans="2:9" hidden="1" x14ac:dyDescent="0.25">
      <c r="B861" s="106"/>
      <c r="C861" s="148" t="s">
        <v>1064</v>
      </c>
      <c r="D861" s="150">
        <v>43851</v>
      </c>
      <c r="E861" s="113" t="s">
        <v>1063</v>
      </c>
      <c r="F861" s="257" t="s">
        <v>14413</v>
      </c>
      <c r="G861" s="258">
        <v>1.68</v>
      </c>
      <c r="I861" s="160">
        <f t="shared" si="13"/>
        <v>30281.859999999982</v>
      </c>
    </row>
    <row r="862" spans="2:9" ht="19.5" hidden="1" x14ac:dyDescent="0.25">
      <c r="B862" s="106"/>
      <c r="C862" s="148" t="s">
        <v>1062</v>
      </c>
      <c r="D862" s="150">
        <v>43851</v>
      </c>
      <c r="E862" s="113" t="s">
        <v>1061</v>
      </c>
      <c r="F862" s="256">
        <v>14</v>
      </c>
      <c r="G862" s="255">
        <v>12.1</v>
      </c>
      <c r="I862" s="160">
        <f t="shared" si="13"/>
        <v>30293.959999999981</v>
      </c>
    </row>
    <row r="863" spans="2:9" ht="19.5" hidden="1" x14ac:dyDescent="0.25">
      <c r="B863" s="106"/>
      <c r="C863" s="148" t="s">
        <v>1060</v>
      </c>
      <c r="D863" s="150">
        <v>43851</v>
      </c>
      <c r="E863" s="113" t="s">
        <v>1059</v>
      </c>
      <c r="F863" s="256">
        <v>14</v>
      </c>
      <c r="G863" s="255">
        <v>18.2</v>
      </c>
      <c r="I863" s="160">
        <f t="shared" si="13"/>
        <v>30312.159999999982</v>
      </c>
    </row>
    <row r="864" spans="2:9" hidden="1" x14ac:dyDescent="0.25">
      <c r="B864" s="106"/>
      <c r="C864" s="148" t="s">
        <v>1058</v>
      </c>
      <c r="D864" s="150">
        <v>43851</v>
      </c>
      <c r="E864" s="113" t="s">
        <v>1057</v>
      </c>
      <c r="F864" s="256">
        <v>14</v>
      </c>
      <c r="G864" s="255">
        <v>8.66</v>
      </c>
      <c r="I864" s="160">
        <f t="shared" si="13"/>
        <v>30320.819999999982</v>
      </c>
    </row>
    <row r="865" spans="2:9" ht="19.5" hidden="1" x14ac:dyDescent="0.25">
      <c r="B865" s="106"/>
      <c r="C865" s="148" t="s">
        <v>1056</v>
      </c>
      <c r="D865" s="150">
        <v>43851</v>
      </c>
      <c r="E865" s="113" t="s">
        <v>1055</v>
      </c>
      <c r="F865" s="256">
        <v>14</v>
      </c>
      <c r="G865" s="255">
        <v>4.1900000000000004</v>
      </c>
      <c r="I865" s="160">
        <f t="shared" si="13"/>
        <v>30325.00999999998</v>
      </c>
    </row>
    <row r="866" spans="2:9" ht="19.5" hidden="1" x14ac:dyDescent="0.25">
      <c r="B866" s="106"/>
      <c r="C866" s="148" t="s">
        <v>1054</v>
      </c>
      <c r="D866" s="150">
        <v>43851</v>
      </c>
      <c r="E866" s="113" t="s">
        <v>1053</v>
      </c>
      <c r="F866" s="256">
        <v>14</v>
      </c>
      <c r="G866" s="255">
        <v>3.4</v>
      </c>
      <c r="I866" s="160">
        <f t="shared" si="13"/>
        <v>30328.409999999982</v>
      </c>
    </row>
    <row r="867" spans="2:9" hidden="1" x14ac:dyDescent="0.25">
      <c r="B867" s="148"/>
      <c r="C867" s="148" t="s">
        <v>1052</v>
      </c>
      <c r="D867" s="150">
        <v>43852</v>
      </c>
      <c r="E867" s="113" t="s">
        <v>1051</v>
      </c>
      <c r="F867" s="257" t="s">
        <v>14455</v>
      </c>
      <c r="G867" s="160">
        <v>19.93</v>
      </c>
      <c r="I867" s="160">
        <f t="shared" si="13"/>
        <v>30348.339999999982</v>
      </c>
    </row>
    <row r="868" spans="2:9" hidden="1" x14ac:dyDescent="0.25">
      <c r="B868" s="148"/>
      <c r="C868" s="148" t="s">
        <v>1050</v>
      </c>
      <c r="D868" s="150">
        <v>43852</v>
      </c>
      <c r="E868" s="113" t="s">
        <v>1049</v>
      </c>
      <c r="F868" s="257" t="s">
        <v>14455</v>
      </c>
      <c r="G868" s="160">
        <v>8.3699999999999992</v>
      </c>
      <c r="I868" s="160">
        <f t="shared" si="13"/>
        <v>30356.709999999981</v>
      </c>
    </row>
    <row r="869" spans="2:9" ht="19.5" hidden="1" x14ac:dyDescent="0.25">
      <c r="B869" s="148"/>
      <c r="C869" s="148" t="s">
        <v>1048</v>
      </c>
      <c r="D869" s="150">
        <v>43852</v>
      </c>
      <c r="E869" s="113" t="s">
        <v>1047</v>
      </c>
      <c r="F869" s="257" t="s">
        <v>14455</v>
      </c>
      <c r="G869" s="160">
        <v>3.5</v>
      </c>
      <c r="I869" s="160">
        <f t="shared" si="13"/>
        <v>30360.209999999981</v>
      </c>
    </row>
    <row r="870" spans="2:9" hidden="1" x14ac:dyDescent="0.25">
      <c r="B870" s="148"/>
      <c r="C870" s="148" t="s">
        <v>1046</v>
      </c>
      <c r="D870" s="150">
        <v>43852</v>
      </c>
      <c r="E870" s="113" t="s">
        <v>1045</v>
      </c>
      <c r="F870" s="257" t="s">
        <v>14455</v>
      </c>
      <c r="G870" s="160">
        <v>2.4</v>
      </c>
      <c r="I870" s="160">
        <f t="shared" si="13"/>
        <v>30362.609999999982</v>
      </c>
    </row>
    <row r="871" spans="2:9" ht="19.5" hidden="1" x14ac:dyDescent="0.25">
      <c r="B871" s="148"/>
      <c r="C871" s="148" t="s">
        <v>1044</v>
      </c>
      <c r="D871" s="150">
        <v>43852</v>
      </c>
      <c r="E871" s="113" t="s">
        <v>1043</v>
      </c>
      <c r="F871" s="257" t="s">
        <v>14455</v>
      </c>
      <c r="G871" s="160">
        <v>6.12</v>
      </c>
      <c r="I871" s="160">
        <f t="shared" si="13"/>
        <v>30368.729999999981</v>
      </c>
    </row>
    <row r="872" spans="2:9" ht="19.5" hidden="1" x14ac:dyDescent="0.25">
      <c r="B872" s="148"/>
      <c r="C872" s="148" t="s">
        <v>1042</v>
      </c>
      <c r="D872" s="150">
        <v>43852</v>
      </c>
      <c r="E872" s="113" t="s">
        <v>1041</v>
      </c>
      <c r="F872" s="257" t="s">
        <v>14455</v>
      </c>
      <c r="G872" s="160">
        <v>57.47</v>
      </c>
      <c r="I872" s="160">
        <f t="shared" si="13"/>
        <v>30426.199999999983</v>
      </c>
    </row>
    <row r="873" spans="2:9" ht="19.5" hidden="1" x14ac:dyDescent="0.25">
      <c r="B873" s="148"/>
      <c r="C873" s="148" t="s">
        <v>1040</v>
      </c>
      <c r="D873" s="150">
        <v>43852</v>
      </c>
      <c r="E873" s="113" t="s">
        <v>1039</v>
      </c>
      <c r="F873" s="257" t="s">
        <v>14455</v>
      </c>
      <c r="G873" s="160">
        <v>16.760000000000002</v>
      </c>
      <c r="I873" s="160">
        <f t="shared" si="13"/>
        <v>30442.959999999981</v>
      </c>
    </row>
    <row r="874" spans="2:9" ht="19.5" hidden="1" x14ac:dyDescent="0.25">
      <c r="B874" s="148"/>
      <c r="C874" s="148" t="s">
        <v>1038</v>
      </c>
      <c r="D874" s="150">
        <v>43852</v>
      </c>
      <c r="E874" s="113" t="s">
        <v>1037</v>
      </c>
      <c r="F874" s="257" t="s">
        <v>14455</v>
      </c>
      <c r="G874" s="160">
        <v>22.4</v>
      </c>
      <c r="I874" s="160">
        <f t="shared" si="13"/>
        <v>30465.359999999982</v>
      </c>
    </row>
    <row r="875" spans="2:9" ht="19.5" hidden="1" x14ac:dyDescent="0.25">
      <c r="B875" s="148"/>
      <c r="C875" s="148" t="s">
        <v>1036</v>
      </c>
      <c r="D875" s="150">
        <v>43852</v>
      </c>
      <c r="E875" s="113" t="s">
        <v>1035</v>
      </c>
      <c r="F875" s="257" t="s">
        <v>14455</v>
      </c>
      <c r="G875" s="160">
        <v>20</v>
      </c>
      <c r="I875" s="160">
        <f t="shared" si="13"/>
        <v>30485.359999999982</v>
      </c>
    </row>
    <row r="876" spans="2:9" ht="19.5" hidden="1" x14ac:dyDescent="0.25">
      <c r="B876" s="148"/>
      <c r="C876" s="148" t="s">
        <v>1034</v>
      </c>
      <c r="D876" s="150">
        <v>43852</v>
      </c>
      <c r="E876" s="113" t="s">
        <v>1033</v>
      </c>
      <c r="F876" s="257" t="s">
        <v>14455</v>
      </c>
      <c r="G876" s="160">
        <v>25.14</v>
      </c>
      <c r="I876" s="160">
        <f t="shared" si="13"/>
        <v>30510.499999999982</v>
      </c>
    </row>
    <row r="877" spans="2:9" ht="19.5" hidden="1" x14ac:dyDescent="0.25">
      <c r="B877" s="148"/>
      <c r="C877" s="148" t="s">
        <v>1032</v>
      </c>
      <c r="D877" s="150">
        <v>43852</v>
      </c>
      <c r="E877" s="113" t="s">
        <v>1031</v>
      </c>
      <c r="F877" s="257" t="s">
        <v>14455</v>
      </c>
      <c r="G877" s="160">
        <v>3.53</v>
      </c>
      <c r="I877" s="160">
        <f t="shared" si="13"/>
        <v>30514.029999999981</v>
      </c>
    </row>
    <row r="878" spans="2:9" hidden="1" x14ac:dyDescent="0.25">
      <c r="B878" s="148"/>
      <c r="C878" s="148" t="s">
        <v>1030</v>
      </c>
      <c r="D878" s="150">
        <v>43852</v>
      </c>
      <c r="E878" s="113" t="s">
        <v>1029</v>
      </c>
      <c r="F878" s="257" t="s">
        <v>14455</v>
      </c>
      <c r="G878" s="160">
        <v>16.39</v>
      </c>
      <c r="I878" s="160">
        <f t="shared" si="13"/>
        <v>30530.41999999998</v>
      </c>
    </row>
    <row r="879" spans="2:9" ht="19.5" hidden="1" x14ac:dyDescent="0.25">
      <c r="B879" s="106"/>
      <c r="C879" s="148" t="s">
        <v>1028</v>
      </c>
      <c r="D879" s="150">
        <v>43852</v>
      </c>
      <c r="E879" s="113" t="s">
        <v>1027</v>
      </c>
      <c r="F879" s="257" t="s">
        <v>14413</v>
      </c>
      <c r="G879" s="258">
        <v>14.5</v>
      </c>
      <c r="I879" s="160">
        <f t="shared" si="13"/>
        <v>30544.91999999998</v>
      </c>
    </row>
    <row r="880" spans="2:9" ht="19.5" hidden="1" x14ac:dyDescent="0.25">
      <c r="B880" s="106"/>
      <c r="C880" s="148" t="s">
        <v>1026</v>
      </c>
      <c r="D880" s="150">
        <v>43852</v>
      </c>
      <c r="E880" s="113" t="s">
        <v>1025</v>
      </c>
      <c r="F880" s="257" t="s">
        <v>14413</v>
      </c>
      <c r="G880" s="258">
        <v>2.67</v>
      </c>
      <c r="I880" s="160">
        <f t="shared" si="13"/>
        <v>30547.589999999978</v>
      </c>
    </row>
    <row r="881" spans="2:9" ht="19.5" hidden="1" x14ac:dyDescent="0.25">
      <c r="B881" s="106"/>
      <c r="C881" s="148" t="s">
        <v>1024</v>
      </c>
      <c r="D881" s="150">
        <v>43852</v>
      </c>
      <c r="E881" s="113" t="s">
        <v>1023</v>
      </c>
      <c r="F881" s="257" t="s">
        <v>14413</v>
      </c>
      <c r="G881" s="258">
        <v>8.16</v>
      </c>
      <c r="I881" s="160">
        <f t="shared" si="13"/>
        <v>30555.749999999978</v>
      </c>
    </row>
    <row r="882" spans="2:9" hidden="1" x14ac:dyDescent="0.25">
      <c r="B882" s="106"/>
      <c r="C882" s="148" t="s">
        <v>1022</v>
      </c>
      <c r="D882" s="150">
        <v>43852</v>
      </c>
      <c r="E882" s="113" t="s">
        <v>1021</v>
      </c>
      <c r="F882" s="257" t="s">
        <v>14413</v>
      </c>
      <c r="G882" s="258">
        <v>1.86</v>
      </c>
      <c r="I882" s="160">
        <f t="shared" si="13"/>
        <v>30557.609999999979</v>
      </c>
    </row>
    <row r="883" spans="2:9" ht="19.5" hidden="1" x14ac:dyDescent="0.25">
      <c r="B883" s="106"/>
      <c r="C883" s="148" t="s">
        <v>1020</v>
      </c>
      <c r="D883" s="150">
        <v>43852</v>
      </c>
      <c r="E883" s="113" t="s">
        <v>1019</v>
      </c>
      <c r="F883" s="257" t="s">
        <v>14413</v>
      </c>
      <c r="G883" s="258">
        <v>6.87</v>
      </c>
      <c r="I883" s="160">
        <f t="shared" si="13"/>
        <v>30564.479999999978</v>
      </c>
    </row>
    <row r="884" spans="2:9" hidden="1" x14ac:dyDescent="0.25">
      <c r="B884" s="106"/>
      <c r="C884" s="148" t="s">
        <v>1018</v>
      </c>
      <c r="D884" s="150">
        <v>43852</v>
      </c>
      <c r="E884" s="113" t="s">
        <v>1017</v>
      </c>
      <c r="F884" s="257" t="s">
        <v>14413</v>
      </c>
      <c r="G884" s="258">
        <v>23.26</v>
      </c>
      <c r="I884" s="160">
        <f t="shared" si="13"/>
        <v>30587.739999999976</v>
      </c>
    </row>
    <row r="885" spans="2:9" hidden="1" x14ac:dyDescent="0.25">
      <c r="B885" s="106"/>
      <c r="C885" s="148" t="s">
        <v>1016</v>
      </c>
      <c r="D885" s="150">
        <v>43852</v>
      </c>
      <c r="E885" s="113" t="s">
        <v>1015</v>
      </c>
      <c r="F885" s="257" t="s">
        <v>14413</v>
      </c>
      <c r="G885" s="258">
        <v>5.34</v>
      </c>
      <c r="I885" s="160">
        <f t="shared" si="13"/>
        <v>30593.079999999976</v>
      </c>
    </row>
    <row r="886" spans="2:9" ht="19.5" hidden="1" x14ac:dyDescent="0.25">
      <c r="B886" s="106"/>
      <c r="C886" s="148" t="s">
        <v>1014</v>
      </c>
      <c r="D886" s="150">
        <v>43852</v>
      </c>
      <c r="E886" s="113" t="s">
        <v>1013</v>
      </c>
      <c r="F886" s="257" t="s">
        <v>14413</v>
      </c>
      <c r="G886" s="258">
        <v>8.0399999999999991</v>
      </c>
      <c r="I886" s="160">
        <f t="shared" si="13"/>
        <v>30601.119999999977</v>
      </c>
    </row>
    <row r="887" spans="2:9" ht="19.5" hidden="1" x14ac:dyDescent="0.25">
      <c r="B887" s="106"/>
      <c r="C887" s="148" t="s">
        <v>1012</v>
      </c>
      <c r="D887" s="150">
        <v>43852</v>
      </c>
      <c r="E887" s="113" t="s">
        <v>1011</v>
      </c>
      <c r="F887" s="257" t="s">
        <v>14413</v>
      </c>
      <c r="G887" s="258">
        <v>16.760000000000002</v>
      </c>
      <c r="I887" s="160">
        <f t="shared" si="13"/>
        <v>30617.879999999976</v>
      </c>
    </row>
    <row r="888" spans="2:9" hidden="1" x14ac:dyDescent="0.25">
      <c r="B888" s="106"/>
      <c r="C888" s="148" t="s">
        <v>1010</v>
      </c>
      <c r="D888" s="150">
        <v>43852</v>
      </c>
      <c r="E888" s="113" t="s">
        <v>1009</v>
      </c>
      <c r="F888" s="257" t="s">
        <v>14413</v>
      </c>
      <c r="G888" s="258">
        <v>3.25</v>
      </c>
      <c r="I888" s="160">
        <f t="shared" si="13"/>
        <v>30621.129999999976</v>
      </c>
    </row>
    <row r="889" spans="2:9" hidden="1" x14ac:dyDescent="0.25">
      <c r="B889" s="106"/>
      <c r="C889" s="148" t="s">
        <v>1008</v>
      </c>
      <c r="D889" s="150">
        <v>43852</v>
      </c>
      <c r="E889" s="113" t="s">
        <v>1007</v>
      </c>
      <c r="F889" s="257" t="s">
        <v>14413</v>
      </c>
      <c r="G889" s="258">
        <v>11.29</v>
      </c>
      <c r="I889" s="160">
        <f t="shared" si="13"/>
        <v>30632.419999999976</v>
      </c>
    </row>
    <row r="890" spans="2:9" hidden="1" x14ac:dyDescent="0.25">
      <c r="B890" s="106"/>
      <c r="C890" s="148" t="s">
        <v>1006</v>
      </c>
      <c r="D890" s="150">
        <v>43852</v>
      </c>
      <c r="E890" s="113" t="s">
        <v>1005</v>
      </c>
      <c r="F890" s="257" t="s">
        <v>14413</v>
      </c>
      <c r="G890" s="258">
        <v>13.36</v>
      </c>
      <c r="I890" s="160">
        <f t="shared" si="13"/>
        <v>30645.779999999977</v>
      </c>
    </row>
    <row r="891" spans="2:9" ht="19.5" hidden="1" x14ac:dyDescent="0.25">
      <c r="B891" s="106"/>
      <c r="C891" s="148" t="s">
        <v>1004</v>
      </c>
      <c r="D891" s="150">
        <v>43852</v>
      </c>
      <c r="E891" s="113" t="s">
        <v>1003</v>
      </c>
      <c r="F891" s="257" t="s">
        <v>14413</v>
      </c>
      <c r="G891" s="258">
        <v>25.14</v>
      </c>
      <c r="I891" s="160">
        <f t="shared" si="13"/>
        <v>30670.919999999976</v>
      </c>
    </row>
    <row r="892" spans="2:9" hidden="1" x14ac:dyDescent="0.25">
      <c r="B892" s="106"/>
      <c r="C892" s="148" t="s">
        <v>1002</v>
      </c>
      <c r="D892" s="150">
        <v>43852</v>
      </c>
      <c r="E892" s="113" t="s">
        <v>1001</v>
      </c>
      <c r="F892" s="257" t="s">
        <v>14413</v>
      </c>
      <c r="G892" s="258">
        <v>4.51</v>
      </c>
      <c r="I892" s="160">
        <f t="shared" si="13"/>
        <v>30675.429999999975</v>
      </c>
    </row>
    <row r="893" spans="2:9" hidden="1" x14ac:dyDescent="0.25">
      <c r="B893" s="106"/>
      <c r="C893" s="148" t="s">
        <v>1000</v>
      </c>
      <c r="D893" s="150">
        <v>43852</v>
      </c>
      <c r="E893" s="113" t="s">
        <v>999</v>
      </c>
      <c r="F893" s="257" t="s">
        <v>14413</v>
      </c>
      <c r="G893" s="258">
        <v>5.96</v>
      </c>
      <c r="I893" s="160">
        <f t="shared" si="13"/>
        <v>30681.389999999974</v>
      </c>
    </row>
    <row r="894" spans="2:9" ht="19.5" hidden="1" x14ac:dyDescent="0.25">
      <c r="B894" s="106"/>
      <c r="C894" s="148" t="s">
        <v>998</v>
      </c>
      <c r="D894" s="150">
        <v>43852</v>
      </c>
      <c r="E894" s="113" t="s">
        <v>997</v>
      </c>
      <c r="F894" s="257" t="s">
        <v>14413</v>
      </c>
      <c r="G894" s="258">
        <v>11.09</v>
      </c>
      <c r="I894" s="160">
        <f t="shared" si="13"/>
        <v>30692.479999999974</v>
      </c>
    </row>
    <row r="895" spans="2:9" ht="19.5" hidden="1" x14ac:dyDescent="0.25">
      <c r="B895" s="106"/>
      <c r="C895" s="148" t="s">
        <v>996</v>
      </c>
      <c r="D895" s="150">
        <v>43852</v>
      </c>
      <c r="E895" s="113" t="s">
        <v>995</v>
      </c>
      <c r="F895" s="257" t="s">
        <v>14413</v>
      </c>
      <c r="G895" s="258">
        <v>2.19</v>
      </c>
      <c r="I895" s="160">
        <f t="shared" si="13"/>
        <v>30694.669999999973</v>
      </c>
    </row>
    <row r="896" spans="2:9" ht="19.5" hidden="1" x14ac:dyDescent="0.25">
      <c r="B896" s="106"/>
      <c r="C896" s="148" t="s">
        <v>994</v>
      </c>
      <c r="D896" s="150">
        <v>43852</v>
      </c>
      <c r="E896" s="113" t="s">
        <v>993</v>
      </c>
      <c r="F896" s="257" t="s">
        <v>14413</v>
      </c>
      <c r="G896" s="258">
        <v>0.82</v>
      </c>
      <c r="I896" s="160">
        <f t="shared" si="13"/>
        <v>30695.489999999972</v>
      </c>
    </row>
    <row r="897" spans="2:9" ht="19.5" hidden="1" x14ac:dyDescent="0.25">
      <c r="B897" s="106"/>
      <c r="C897" s="148" t="s">
        <v>992</v>
      </c>
      <c r="D897" s="150">
        <v>43852</v>
      </c>
      <c r="E897" s="113" t="s">
        <v>991</v>
      </c>
      <c r="F897" s="257" t="s">
        <v>14413</v>
      </c>
      <c r="G897" s="258">
        <v>3.36</v>
      </c>
      <c r="I897" s="160">
        <f t="shared" si="13"/>
        <v>30698.849999999973</v>
      </c>
    </row>
    <row r="898" spans="2:9" ht="19.5" hidden="1" x14ac:dyDescent="0.25">
      <c r="B898" s="106"/>
      <c r="C898" s="148" t="s">
        <v>990</v>
      </c>
      <c r="D898" s="150">
        <v>43852</v>
      </c>
      <c r="E898" s="113" t="s">
        <v>989</v>
      </c>
      <c r="F898" s="257" t="s">
        <v>14413</v>
      </c>
      <c r="G898" s="258">
        <v>1.93</v>
      </c>
      <c r="I898" s="160">
        <f t="shared" si="13"/>
        <v>30700.779999999973</v>
      </c>
    </row>
    <row r="899" spans="2:9" hidden="1" x14ac:dyDescent="0.25">
      <c r="B899" s="106"/>
      <c r="C899" s="148" t="s">
        <v>988</v>
      </c>
      <c r="D899" s="150">
        <v>43852</v>
      </c>
      <c r="E899" s="113" t="s">
        <v>987</v>
      </c>
      <c r="F899" s="257" t="s">
        <v>14413</v>
      </c>
      <c r="G899" s="258">
        <v>1.68</v>
      </c>
      <c r="I899" s="160">
        <f t="shared" si="13"/>
        <v>30702.459999999974</v>
      </c>
    </row>
    <row r="900" spans="2:9" ht="19.5" hidden="1" x14ac:dyDescent="0.25">
      <c r="B900" s="106"/>
      <c r="C900" s="148" t="s">
        <v>986</v>
      </c>
      <c r="D900" s="150">
        <v>43852</v>
      </c>
      <c r="E900" s="113" t="s">
        <v>985</v>
      </c>
      <c r="F900" s="256">
        <v>15</v>
      </c>
      <c r="G900" s="255">
        <v>6.38</v>
      </c>
      <c r="I900" s="160">
        <f t="shared" si="13"/>
        <v>30708.839999999975</v>
      </c>
    </row>
    <row r="901" spans="2:9" ht="19.5" hidden="1" x14ac:dyDescent="0.25">
      <c r="B901" s="106"/>
      <c r="C901" s="148" t="s">
        <v>984</v>
      </c>
      <c r="D901" s="150">
        <v>43852</v>
      </c>
      <c r="E901" s="113" t="s">
        <v>983</v>
      </c>
      <c r="F901" s="256">
        <v>15</v>
      </c>
      <c r="G901" s="255">
        <v>0.04</v>
      </c>
      <c r="I901" s="160">
        <f t="shared" si="13"/>
        <v>30708.879999999976</v>
      </c>
    </row>
    <row r="902" spans="2:9" hidden="1" x14ac:dyDescent="0.25">
      <c r="B902" s="106"/>
      <c r="C902" s="148" t="s">
        <v>982</v>
      </c>
      <c r="D902" s="150">
        <v>43852</v>
      </c>
      <c r="E902" s="113" t="s">
        <v>981</v>
      </c>
      <c r="F902" s="256">
        <v>15</v>
      </c>
      <c r="G902" s="255">
        <v>5.89</v>
      </c>
      <c r="I902" s="160">
        <f t="shared" si="13"/>
        <v>30714.769999999975</v>
      </c>
    </row>
    <row r="903" spans="2:9" hidden="1" x14ac:dyDescent="0.25">
      <c r="B903" s="106"/>
      <c r="C903" s="148" t="s">
        <v>980</v>
      </c>
      <c r="D903" s="150">
        <v>43852</v>
      </c>
      <c r="E903" s="113" t="s">
        <v>979</v>
      </c>
      <c r="F903" s="256">
        <v>15</v>
      </c>
      <c r="G903" s="255">
        <v>3.51</v>
      </c>
      <c r="I903" s="160">
        <f t="shared" si="13"/>
        <v>30718.279999999973</v>
      </c>
    </row>
    <row r="904" spans="2:9" ht="19.5" hidden="1" x14ac:dyDescent="0.25">
      <c r="B904" s="106"/>
      <c r="C904" s="148" t="s">
        <v>978</v>
      </c>
      <c r="D904" s="150">
        <v>43852</v>
      </c>
      <c r="E904" s="113" t="s">
        <v>977</v>
      </c>
      <c r="F904" s="256">
        <v>15</v>
      </c>
      <c r="G904" s="255">
        <v>0.32</v>
      </c>
      <c r="I904" s="160">
        <f t="shared" si="13"/>
        <v>30718.599999999973</v>
      </c>
    </row>
    <row r="905" spans="2:9" ht="19.5" hidden="1" x14ac:dyDescent="0.25">
      <c r="B905" s="106"/>
      <c r="C905" s="148" t="s">
        <v>976</v>
      </c>
      <c r="D905" s="150">
        <v>43852</v>
      </c>
      <c r="E905" s="113" t="s">
        <v>975</v>
      </c>
      <c r="F905" s="256">
        <v>15</v>
      </c>
      <c r="G905" s="255">
        <v>24.88</v>
      </c>
      <c r="I905" s="160">
        <f t="shared" si="13"/>
        <v>30743.479999999974</v>
      </c>
    </row>
    <row r="906" spans="2:9" ht="19.5" hidden="1" x14ac:dyDescent="0.25">
      <c r="B906" s="148"/>
      <c r="C906" s="148" t="s">
        <v>974</v>
      </c>
      <c r="D906" s="150">
        <v>43853</v>
      </c>
      <c r="E906" s="113" t="s">
        <v>973</v>
      </c>
      <c r="F906" s="257" t="s">
        <v>14451</v>
      </c>
      <c r="G906" s="160">
        <v>3.89</v>
      </c>
      <c r="I906" s="160">
        <f t="shared" si="13"/>
        <v>30747.369999999974</v>
      </c>
    </row>
    <row r="907" spans="2:9" ht="19.5" hidden="1" x14ac:dyDescent="0.25">
      <c r="B907" s="148"/>
      <c r="C907" s="148" t="s">
        <v>972</v>
      </c>
      <c r="D907" s="150">
        <v>43853</v>
      </c>
      <c r="E907" s="113" t="s">
        <v>971</v>
      </c>
      <c r="F907" s="257" t="s">
        <v>14451</v>
      </c>
      <c r="G907" s="160">
        <v>2.65</v>
      </c>
      <c r="I907" s="160">
        <f t="shared" si="13"/>
        <v>30750.019999999975</v>
      </c>
    </row>
    <row r="908" spans="2:9" ht="19.5" hidden="1" x14ac:dyDescent="0.25">
      <c r="B908" s="148"/>
      <c r="C908" s="148" t="s">
        <v>970</v>
      </c>
      <c r="D908" s="150">
        <v>43853</v>
      </c>
      <c r="E908" s="113" t="s">
        <v>969</v>
      </c>
      <c r="F908" s="257" t="s">
        <v>14451</v>
      </c>
      <c r="G908" s="160">
        <v>8.86</v>
      </c>
      <c r="I908" s="160">
        <f t="shared" si="13"/>
        <v>30758.879999999976</v>
      </c>
    </row>
    <row r="909" spans="2:9" ht="19.5" hidden="1" x14ac:dyDescent="0.25">
      <c r="B909" s="148"/>
      <c r="C909" s="148" t="s">
        <v>968</v>
      </c>
      <c r="D909" s="150">
        <v>43853</v>
      </c>
      <c r="E909" s="113" t="s">
        <v>967</v>
      </c>
      <c r="F909" s="257" t="s">
        <v>14451</v>
      </c>
      <c r="G909" s="160">
        <v>6.94</v>
      </c>
      <c r="I909" s="160">
        <f t="shared" si="13"/>
        <v>30765.819999999974</v>
      </c>
    </row>
    <row r="910" spans="2:9" ht="19.5" hidden="1" x14ac:dyDescent="0.25">
      <c r="B910" s="148"/>
      <c r="C910" s="148" t="s">
        <v>966</v>
      </c>
      <c r="D910" s="150">
        <v>43853</v>
      </c>
      <c r="E910" s="113" t="s">
        <v>965</v>
      </c>
      <c r="F910" s="257" t="s">
        <v>14436</v>
      </c>
      <c r="G910" s="160">
        <v>15.06</v>
      </c>
      <c r="I910" s="160">
        <f t="shared" si="13"/>
        <v>30780.879999999976</v>
      </c>
    </row>
    <row r="911" spans="2:9" ht="19.5" hidden="1" x14ac:dyDescent="0.25">
      <c r="B911" s="148"/>
      <c r="C911" s="148" t="s">
        <v>964</v>
      </c>
      <c r="D911" s="150">
        <v>43853</v>
      </c>
      <c r="E911" s="113" t="s">
        <v>963</v>
      </c>
      <c r="F911" s="257" t="s">
        <v>14451</v>
      </c>
      <c r="G911" s="160">
        <v>11.09</v>
      </c>
      <c r="I911" s="160">
        <f t="shared" si="13"/>
        <v>30791.969999999976</v>
      </c>
    </row>
    <row r="912" spans="2:9" hidden="1" x14ac:dyDescent="0.25">
      <c r="B912" s="148"/>
      <c r="C912" s="148" t="s">
        <v>962</v>
      </c>
      <c r="D912" s="150">
        <v>43853</v>
      </c>
      <c r="E912" s="113" t="s">
        <v>961</v>
      </c>
      <c r="F912" s="257" t="s">
        <v>14451</v>
      </c>
      <c r="G912" s="160">
        <v>8.3800000000000008</v>
      </c>
      <c r="I912" s="160">
        <f t="shared" si="13"/>
        <v>30800.349999999977</v>
      </c>
    </row>
    <row r="913" spans="2:9" ht="19.5" hidden="1" x14ac:dyDescent="0.25">
      <c r="B913" s="148"/>
      <c r="C913" s="148" t="s">
        <v>960</v>
      </c>
      <c r="D913" s="150">
        <v>43853</v>
      </c>
      <c r="E913" s="113" t="s">
        <v>959</v>
      </c>
      <c r="F913" s="257" t="s">
        <v>14451</v>
      </c>
      <c r="G913" s="160">
        <v>24.92</v>
      </c>
      <c r="I913" s="160">
        <f t="shared" si="13"/>
        <v>30825.269999999975</v>
      </c>
    </row>
    <row r="914" spans="2:9" ht="19.5" hidden="1" x14ac:dyDescent="0.25">
      <c r="B914" s="148"/>
      <c r="C914" s="148" t="s">
        <v>958</v>
      </c>
      <c r="D914" s="150">
        <v>43853</v>
      </c>
      <c r="E914" s="113" t="s">
        <v>957</v>
      </c>
      <c r="F914" s="257" t="s">
        <v>14451</v>
      </c>
      <c r="G914" s="160">
        <v>5.45</v>
      </c>
      <c r="I914" s="160">
        <f t="shared" si="13"/>
        <v>30830.719999999976</v>
      </c>
    </row>
    <row r="915" spans="2:9" hidden="1" x14ac:dyDescent="0.25">
      <c r="B915" s="148"/>
      <c r="C915" s="148" t="s">
        <v>956</v>
      </c>
      <c r="D915" s="150">
        <v>43853</v>
      </c>
      <c r="E915" s="113" t="s">
        <v>955</v>
      </c>
      <c r="F915" s="257" t="s">
        <v>14436</v>
      </c>
      <c r="G915" s="160">
        <v>11.2</v>
      </c>
      <c r="I915" s="160">
        <f t="shared" si="13"/>
        <v>30841.919999999976</v>
      </c>
    </row>
    <row r="916" spans="2:9" ht="19.5" hidden="1" x14ac:dyDescent="0.25">
      <c r="B916" s="106"/>
      <c r="C916" s="148" t="s">
        <v>954</v>
      </c>
      <c r="D916" s="150">
        <v>43853</v>
      </c>
      <c r="E916" s="113" t="s">
        <v>953</v>
      </c>
      <c r="F916" s="257" t="s">
        <v>14413</v>
      </c>
      <c r="G916" s="258">
        <v>5.0199999999999996</v>
      </c>
      <c r="I916" s="160">
        <f t="shared" ref="I916:I979" si="14">+I915+G916-H916</f>
        <v>30846.939999999977</v>
      </c>
    </row>
    <row r="917" spans="2:9" ht="19.5" hidden="1" x14ac:dyDescent="0.25">
      <c r="B917" s="106"/>
      <c r="C917" s="148" t="s">
        <v>952</v>
      </c>
      <c r="D917" s="150">
        <v>43853</v>
      </c>
      <c r="E917" s="113" t="s">
        <v>951</v>
      </c>
      <c r="F917" s="257" t="s">
        <v>14413</v>
      </c>
      <c r="G917" s="258">
        <v>12.64</v>
      </c>
      <c r="I917" s="160">
        <f t="shared" si="14"/>
        <v>30859.579999999976</v>
      </c>
    </row>
    <row r="918" spans="2:9" ht="19.5" hidden="1" x14ac:dyDescent="0.25">
      <c r="B918" s="106"/>
      <c r="C918" s="148" t="s">
        <v>950</v>
      </c>
      <c r="D918" s="150">
        <v>43853</v>
      </c>
      <c r="E918" s="113" t="s">
        <v>949</v>
      </c>
      <c r="F918" s="257" t="s">
        <v>14413</v>
      </c>
      <c r="G918" s="258">
        <v>9.14</v>
      </c>
      <c r="I918" s="160">
        <f t="shared" si="14"/>
        <v>30868.719999999976</v>
      </c>
    </row>
    <row r="919" spans="2:9" ht="19.5" hidden="1" x14ac:dyDescent="0.25">
      <c r="B919" s="106"/>
      <c r="C919" s="148" t="s">
        <v>948</v>
      </c>
      <c r="D919" s="150">
        <v>43853</v>
      </c>
      <c r="E919" s="113" t="s">
        <v>947</v>
      </c>
      <c r="F919" s="257" t="s">
        <v>14413</v>
      </c>
      <c r="G919" s="258">
        <v>15.54</v>
      </c>
      <c r="I919" s="160">
        <f t="shared" si="14"/>
        <v>30884.259999999977</v>
      </c>
    </row>
    <row r="920" spans="2:9" hidden="1" x14ac:dyDescent="0.25">
      <c r="B920" s="106"/>
      <c r="C920" s="148" t="s">
        <v>946</v>
      </c>
      <c r="D920" s="150">
        <v>43853</v>
      </c>
      <c r="E920" s="113" t="s">
        <v>945</v>
      </c>
      <c r="F920" s="257" t="s">
        <v>14413</v>
      </c>
      <c r="G920" s="258">
        <v>4.54</v>
      </c>
      <c r="I920" s="160">
        <f t="shared" si="14"/>
        <v>30888.799999999977</v>
      </c>
    </row>
    <row r="921" spans="2:9" hidden="1" x14ac:dyDescent="0.25">
      <c r="B921" s="106"/>
      <c r="C921" s="148" t="s">
        <v>944</v>
      </c>
      <c r="D921" s="150">
        <v>43853</v>
      </c>
      <c r="E921" s="113" t="s">
        <v>943</v>
      </c>
      <c r="F921" s="257" t="s">
        <v>14413</v>
      </c>
      <c r="G921" s="258">
        <v>5.47</v>
      </c>
      <c r="I921" s="160">
        <f t="shared" si="14"/>
        <v>30894.269999999979</v>
      </c>
    </row>
    <row r="922" spans="2:9" ht="19.5" hidden="1" x14ac:dyDescent="0.25">
      <c r="B922" s="106"/>
      <c r="C922" s="148" t="s">
        <v>942</v>
      </c>
      <c r="D922" s="150">
        <v>43853</v>
      </c>
      <c r="E922" s="113" t="s">
        <v>941</v>
      </c>
      <c r="F922" s="257" t="s">
        <v>14413</v>
      </c>
      <c r="G922" s="258">
        <v>2.11</v>
      </c>
      <c r="I922" s="160">
        <f t="shared" si="14"/>
        <v>30896.379999999979</v>
      </c>
    </row>
    <row r="923" spans="2:9" hidden="1" x14ac:dyDescent="0.25">
      <c r="B923" s="106"/>
      <c r="C923" s="148" t="s">
        <v>940</v>
      </c>
      <c r="D923" s="150">
        <v>43853</v>
      </c>
      <c r="E923" s="113" t="s">
        <v>939</v>
      </c>
      <c r="F923" s="257" t="s">
        <v>14413</v>
      </c>
      <c r="G923" s="258">
        <v>0.91</v>
      </c>
      <c r="I923" s="160">
        <f t="shared" si="14"/>
        <v>30897.289999999979</v>
      </c>
    </row>
    <row r="924" spans="2:9" ht="19.5" hidden="1" x14ac:dyDescent="0.25">
      <c r="B924" s="106"/>
      <c r="C924" s="148" t="s">
        <v>938</v>
      </c>
      <c r="D924" s="150">
        <v>43853</v>
      </c>
      <c r="E924" s="113" t="s">
        <v>937</v>
      </c>
      <c r="F924" s="257" t="s">
        <v>14413</v>
      </c>
      <c r="G924" s="258">
        <v>5.56</v>
      </c>
      <c r="I924" s="160">
        <f t="shared" si="14"/>
        <v>30902.84999999998</v>
      </c>
    </row>
    <row r="925" spans="2:9" ht="19.5" hidden="1" x14ac:dyDescent="0.25">
      <c r="B925" s="106"/>
      <c r="C925" s="148" t="s">
        <v>936</v>
      </c>
      <c r="D925" s="150">
        <v>43853</v>
      </c>
      <c r="E925" s="113" t="s">
        <v>935</v>
      </c>
      <c r="F925" s="257" t="s">
        <v>14413</v>
      </c>
      <c r="G925" s="258">
        <v>7.05</v>
      </c>
      <c r="I925" s="160">
        <f t="shared" si="14"/>
        <v>30909.89999999998</v>
      </c>
    </row>
    <row r="926" spans="2:9" ht="19.5" hidden="1" x14ac:dyDescent="0.25">
      <c r="B926" s="106"/>
      <c r="C926" s="148" t="s">
        <v>934</v>
      </c>
      <c r="D926" s="150">
        <v>43853</v>
      </c>
      <c r="E926" s="113" t="s">
        <v>933</v>
      </c>
      <c r="F926" s="257" t="s">
        <v>14413</v>
      </c>
      <c r="G926" s="258">
        <v>6.11</v>
      </c>
      <c r="I926" s="160">
        <f t="shared" si="14"/>
        <v>30916.00999999998</v>
      </c>
    </row>
    <row r="927" spans="2:9" ht="19.5" hidden="1" x14ac:dyDescent="0.25">
      <c r="B927" s="106"/>
      <c r="C927" s="148" t="s">
        <v>932</v>
      </c>
      <c r="D927" s="150">
        <v>43853</v>
      </c>
      <c r="E927" s="113" t="s">
        <v>931</v>
      </c>
      <c r="F927" s="257" t="s">
        <v>14413</v>
      </c>
      <c r="G927" s="258">
        <v>4.13</v>
      </c>
      <c r="I927" s="160">
        <f t="shared" si="14"/>
        <v>30920.139999999981</v>
      </c>
    </row>
    <row r="928" spans="2:9" hidden="1" x14ac:dyDescent="0.25">
      <c r="B928" s="106"/>
      <c r="C928" s="148" t="s">
        <v>930</v>
      </c>
      <c r="D928" s="150">
        <v>43853</v>
      </c>
      <c r="E928" s="113" t="s">
        <v>929</v>
      </c>
      <c r="F928" s="257" t="s">
        <v>14413</v>
      </c>
      <c r="G928" s="258">
        <v>1.79</v>
      </c>
      <c r="I928" s="160">
        <f t="shared" si="14"/>
        <v>30921.929999999982</v>
      </c>
    </row>
    <row r="929" spans="2:9" hidden="1" x14ac:dyDescent="0.25">
      <c r="B929" s="106"/>
      <c r="C929" s="148" t="s">
        <v>928</v>
      </c>
      <c r="D929" s="150">
        <v>43853</v>
      </c>
      <c r="E929" s="113" t="s">
        <v>927</v>
      </c>
      <c r="F929" s="257" t="s">
        <v>14413</v>
      </c>
      <c r="G929" s="258">
        <v>1.68</v>
      </c>
      <c r="I929" s="160">
        <f t="shared" si="14"/>
        <v>30923.609999999982</v>
      </c>
    </row>
    <row r="930" spans="2:9" ht="19.5" hidden="1" x14ac:dyDescent="0.25">
      <c r="B930" s="106"/>
      <c r="C930" s="148" t="s">
        <v>926</v>
      </c>
      <c r="D930" s="150">
        <v>43853</v>
      </c>
      <c r="E930" s="113" t="s">
        <v>925</v>
      </c>
      <c r="F930" s="257" t="s">
        <v>14413</v>
      </c>
      <c r="G930" s="258">
        <v>1.75</v>
      </c>
      <c r="I930" s="160">
        <f t="shared" si="14"/>
        <v>30925.359999999982</v>
      </c>
    </row>
    <row r="931" spans="2:9" ht="19.5" hidden="1" x14ac:dyDescent="0.25">
      <c r="B931" s="106"/>
      <c r="C931" s="148" t="s">
        <v>924</v>
      </c>
      <c r="D931" s="150">
        <v>43853</v>
      </c>
      <c r="E931" s="113" t="s">
        <v>923</v>
      </c>
      <c r="F931" s="257" t="s">
        <v>14413</v>
      </c>
      <c r="G931" s="258">
        <v>7.22</v>
      </c>
      <c r="I931" s="160">
        <f t="shared" si="14"/>
        <v>30932.579999999984</v>
      </c>
    </row>
    <row r="932" spans="2:9" ht="19.5" hidden="1" x14ac:dyDescent="0.25">
      <c r="B932" s="106"/>
      <c r="C932" s="148" t="s">
        <v>922</v>
      </c>
      <c r="D932" s="150">
        <v>43853</v>
      </c>
      <c r="E932" s="113" t="s">
        <v>921</v>
      </c>
      <c r="F932" s="257" t="s">
        <v>14413</v>
      </c>
      <c r="G932" s="258">
        <v>16.760000000000002</v>
      </c>
      <c r="I932" s="160">
        <f t="shared" si="14"/>
        <v>30949.339999999982</v>
      </c>
    </row>
    <row r="933" spans="2:9" hidden="1" x14ac:dyDescent="0.25">
      <c r="B933" s="106"/>
      <c r="C933" s="148" t="s">
        <v>920</v>
      </c>
      <c r="D933" s="150">
        <v>43853</v>
      </c>
      <c r="E933" s="113" t="s">
        <v>919</v>
      </c>
      <c r="F933" s="257" t="s">
        <v>14413</v>
      </c>
      <c r="G933" s="258">
        <v>3.82</v>
      </c>
      <c r="I933" s="160">
        <f t="shared" si="14"/>
        <v>30953.159999999982</v>
      </c>
    </row>
    <row r="934" spans="2:9" hidden="1" x14ac:dyDescent="0.25">
      <c r="B934" s="106"/>
      <c r="C934" s="148" t="s">
        <v>918</v>
      </c>
      <c r="D934" s="150">
        <v>43853</v>
      </c>
      <c r="E934" s="113" t="s">
        <v>917</v>
      </c>
      <c r="F934" s="257" t="s">
        <v>14413</v>
      </c>
      <c r="G934" s="258">
        <v>3.06</v>
      </c>
      <c r="I934" s="160">
        <f t="shared" si="14"/>
        <v>30956.219999999983</v>
      </c>
    </row>
    <row r="935" spans="2:9" hidden="1" x14ac:dyDescent="0.25">
      <c r="B935" s="106"/>
      <c r="C935" s="148" t="s">
        <v>916</v>
      </c>
      <c r="D935" s="150">
        <v>43853</v>
      </c>
      <c r="E935" s="113" t="s">
        <v>915</v>
      </c>
      <c r="F935" s="257" t="s">
        <v>14413</v>
      </c>
      <c r="G935" s="258">
        <v>1.89</v>
      </c>
      <c r="I935" s="160">
        <f t="shared" si="14"/>
        <v>30958.109999999982</v>
      </c>
    </row>
    <row r="936" spans="2:9" hidden="1" x14ac:dyDescent="0.25">
      <c r="B936" s="106"/>
      <c r="C936" s="148" t="s">
        <v>914</v>
      </c>
      <c r="D936" s="150">
        <v>43853</v>
      </c>
      <c r="E936" s="113" t="s">
        <v>913</v>
      </c>
      <c r="F936" s="257" t="s">
        <v>14413</v>
      </c>
      <c r="G936" s="258">
        <v>3.36</v>
      </c>
      <c r="I936" s="160">
        <f t="shared" si="14"/>
        <v>30961.469999999983</v>
      </c>
    </row>
    <row r="937" spans="2:9" hidden="1" x14ac:dyDescent="0.25">
      <c r="B937" s="106"/>
      <c r="C937" s="148" t="s">
        <v>912</v>
      </c>
      <c r="D937" s="150">
        <v>43853</v>
      </c>
      <c r="E937" s="113" t="s">
        <v>911</v>
      </c>
      <c r="F937" s="257" t="s">
        <v>14413</v>
      </c>
      <c r="G937" s="258">
        <v>4.6100000000000003</v>
      </c>
      <c r="I937" s="160">
        <f t="shared" si="14"/>
        <v>30966.079999999984</v>
      </c>
    </row>
    <row r="938" spans="2:9" hidden="1" x14ac:dyDescent="0.25">
      <c r="B938" s="106"/>
      <c r="C938" s="148" t="s">
        <v>910</v>
      </c>
      <c r="D938" s="150">
        <v>43853</v>
      </c>
      <c r="E938" s="113" t="s">
        <v>909</v>
      </c>
      <c r="F938" s="257" t="s">
        <v>14413</v>
      </c>
      <c r="G938" s="258">
        <v>9.69</v>
      </c>
      <c r="I938" s="160">
        <f t="shared" si="14"/>
        <v>30975.769999999982</v>
      </c>
    </row>
    <row r="939" spans="2:9" hidden="1" x14ac:dyDescent="0.25">
      <c r="B939" s="106"/>
      <c r="C939" s="148" t="s">
        <v>908</v>
      </c>
      <c r="D939" s="150">
        <v>43853</v>
      </c>
      <c r="E939" s="113" t="s">
        <v>907</v>
      </c>
      <c r="F939" s="257" t="s">
        <v>14413</v>
      </c>
      <c r="G939" s="258">
        <v>0.33</v>
      </c>
      <c r="I939" s="160">
        <f t="shared" si="14"/>
        <v>30976.099999999984</v>
      </c>
    </row>
    <row r="940" spans="2:9" hidden="1" x14ac:dyDescent="0.25">
      <c r="B940" s="106"/>
      <c r="C940" s="148" t="s">
        <v>906</v>
      </c>
      <c r="D940" s="150">
        <v>43853</v>
      </c>
      <c r="E940" s="113" t="s">
        <v>905</v>
      </c>
      <c r="F940" s="257" t="s">
        <v>14413</v>
      </c>
      <c r="G940" s="258">
        <v>2.21</v>
      </c>
      <c r="I940" s="160">
        <f t="shared" si="14"/>
        <v>30978.309999999983</v>
      </c>
    </row>
    <row r="941" spans="2:9" ht="19.5" hidden="1" x14ac:dyDescent="0.25">
      <c r="B941" s="106"/>
      <c r="C941" s="148" t="s">
        <v>904</v>
      </c>
      <c r="D941" s="150">
        <v>43853</v>
      </c>
      <c r="E941" s="113" t="s">
        <v>903</v>
      </c>
      <c r="F941" s="257" t="s">
        <v>14413</v>
      </c>
      <c r="G941" s="258">
        <v>12.17</v>
      </c>
      <c r="I941" s="160">
        <f t="shared" si="14"/>
        <v>30990.479999999981</v>
      </c>
    </row>
    <row r="942" spans="2:9" ht="19.5" hidden="1" x14ac:dyDescent="0.25">
      <c r="B942" s="106"/>
      <c r="C942" s="148" t="s">
        <v>902</v>
      </c>
      <c r="D942" s="150">
        <v>43853</v>
      </c>
      <c r="E942" s="113" t="s">
        <v>901</v>
      </c>
      <c r="F942" s="257" t="s">
        <v>14413</v>
      </c>
      <c r="G942" s="258">
        <v>11.67</v>
      </c>
      <c r="I942" s="160">
        <f t="shared" si="14"/>
        <v>31002.14999999998</v>
      </c>
    </row>
    <row r="943" spans="2:9" hidden="1" x14ac:dyDescent="0.25">
      <c r="B943" s="106"/>
      <c r="C943" s="148" t="s">
        <v>900</v>
      </c>
      <c r="D943" s="150">
        <v>43853</v>
      </c>
      <c r="E943" s="113" t="s">
        <v>899</v>
      </c>
      <c r="F943" s="257" t="s">
        <v>14413</v>
      </c>
      <c r="G943" s="258">
        <v>11.08</v>
      </c>
      <c r="I943" s="160">
        <f t="shared" si="14"/>
        <v>31013.229999999981</v>
      </c>
    </row>
    <row r="944" spans="2:9" ht="19.5" hidden="1" x14ac:dyDescent="0.25">
      <c r="B944" s="106"/>
      <c r="C944" s="148" t="s">
        <v>898</v>
      </c>
      <c r="D944" s="150">
        <v>43853</v>
      </c>
      <c r="E944" s="113" t="s">
        <v>897</v>
      </c>
      <c r="F944" s="257" t="s">
        <v>14413</v>
      </c>
      <c r="G944" s="258">
        <v>25.22</v>
      </c>
      <c r="I944" s="160">
        <f t="shared" si="14"/>
        <v>31038.449999999983</v>
      </c>
    </row>
    <row r="945" spans="2:9" ht="19.5" hidden="1" x14ac:dyDescent="0.25">
      <c r="B945" s="106"/>
      <c r="C945" s="148" t="s">
        <v>896</v>
      </c>
      <c r="D945" s="150">
        <v>43853</v>
      </c>
      <c r="E945" s="113" t="s">
        <v>895</v>
      </c>
      <c r="F945" s="257" t="s">
        <v>14413</v>
      </c>
      <c r="G945" s="258">
        <v>27.77</v>
      </c>
      <c r="I945" s="160">
        <f t="shared" si="14"/>
        <v>31066.219999999983</v>
      </c>
    </row>
    <row r="946" spans="2:9" hidden="1" x14ac:dyDescent="0.25">
      <c r="B946" s="106"/>
      <c r="C946" s="148" t="s">
        <v>894</v>
      </c>
      <c r="D946" s="150">
        <v>43853</v>
      </c>
      <c r="E946" s="113" t="s">
        <v>893</v>
      </c>
      <c r="F946" s="257" t="s">
        <v>14413</v>
      </c>
      <c r="G946" s="258">
        <v>4.4000000000000004</v>
      </c>
      <c r="I946" s="160">
        <f t="shared" si="14"/>
        <v>31070.619999999984</v>
      </c>
    </row>
    <row r="947" spans="2:9" ht="19.5" hidden="1" x14ac:dyDescent="0.25">
      <c r="B947" s="106"/>
      <c r="C947" s="148" t="s">
        <v>892</v>
      </c>
      <c r="D947" s="150">
        <v>43853</v>
      </c>
      <c r="E947" s="113" t="s">
        <v>891</v>
      </c>
      <c r="F947" s="257" t="s">
        <v>14413</v>
      </c>
      <c r="G947" s="258">
        <v>15.78</v>
      </c>
      <c r="I947" s="160">
        <f t="shared" si="14"/>
        <v>31086.399999999983</v>
      </c>
    </row>
    <row r="948" spans="2:9" ht="19.5" hidden="1" x14ac:dyDescent="0.25">
      <c r="B948" s="106"/>
      <c r="C948" s="148" t="s">
        <v>890</v>
      </c>
      <c r="D948" s="150">
        <v>43853</v>
      </c>
      <c r="E948" s="113" t="s">
        <v>889</v>
      </c>
      <c r="F948" s="257" t="s">
        <v>14413</v>
      </c>
      <c r="G948" s="258">
        <v>10.5</v>
      </c>
      <c r="I948" s="160">
        <f t="shared" si="14"/>
        <v>31096.899999999983</v>
      </c>
    </row>
    <row r="949" spans="2:9" ht="19.5" hidden="1" x14ac:dyDescent="0.25">
      <c r="B949" s="106"/>
      <c r="C949" s="148" t="s">
        <v>888</v>
      </c>
      <c r="D949" s="150">
        <v>43853</v>
      </c>
      <c r="E949" s="113" t="s">
        <v>887</v>
      </c>
      <c r="F949" s="257" t="s">
        <v>14413</v>
      </c>
      <c r="G949" s="258">
        <v>4.41</v>
      </c>
      <c r="I949" s="160">
        <f t="shared" si="14"/>
        <v>31101.309999999983</v>
      </c>
    </row>
    <row r="950" spans="2:9" ht="19.5" hidden="1" x14ac:dyDescent="0.25">
      <c r="B950" s="106"/>
      <c r="C950" s="148" t="s">
        <v>886</v>
      </c>
      <c r="D950" s="150">
        <v>43853</v>
      </c>
      <c r="E950" s="113" t="s">
        <v>885</v>
      </c>
      <c r="F950" s="257" t="s">
        <v>14413</v>
      </c>
      <c r="G950" s="258">
        <v>5.49</v>
      </c>
      <c r="I950" s="160">
        <f t="shared" si="14"/>
        <v>31106.799999999985</v>
      </c>
    </row>
    <row r="951" spans="2:9" ht="19.5" hidden="1" x14ac:dyDescent="0.25">
      <c r="B951" s="106"/>
      <c r="C951" s="148" t="s">
        <v>884</v>
      </c>
      <c r="D951" s="150">
        <v>43853</v>
      </c>
      <c r="E951" s="113" t="s">
        <v>883</v>
      </c>
      <c r="F951" s="257" t="s">
        <v>14413</v>
      </c>
      <c r="G951" s="258">
        <v>6.78</v>
      </c>
      <c r="I951" s="160">
        <f t="shared" si="14"/>
        <v>31113.579999999984</v>
      </c>
    </row>
    <row r="952" spans="2:9" ht="19.5" hidden="1" x14ac:dyDescent="0.25">
      <c r="B952" s="106"/>
      <c r="C952" s="148" t="s">
        <v>882</v>
      </c>
      <c r="D952" s="150">
        <v>43853</v>
      </c>
      <c r="E952" s="113" t="s">
        <v>881</v>
      </c>
      <c r="F952" s="256">
        <v>16</v>
      </c>
      <c r="G952" s="255">
        <v>3.56</v>
      </c>
      <c r="I952" s="160">
        <f t="shared" si="14"/>
        <v>31117.139999999985</v>
      </c>
    </row>
    <row r="953" spans="2:9" ht="19.5" hidden="1" x14ac:dyDescent="0.25">
      <c r="B953" s="106"/>
      <c r="C953" s="148" t="s">
        <v>880</v>
      </c>
      <c r="D953" s="150">
        <v>43853</v>
      </c>
      <c r="E953" s="113" t="s">
        <v>879</v>
      </c>
      <c r="F953" s="256">
        <v>16</v>
      </c>
      <c r="G953" s="255">
        <v>8.3800000000000008</v>
      </c>
      <c r="I953" s="160">
        <f t="shared" si="14"/>
        <v>31125.519999999986</v>
      </c>
    </row>
    <row r="954" spans="2:9" hidden="1" x14ac:dyDescent="0.25">
      <c r="B954" s="106"/>
      <c r="C954" s="148" t="s">
        <v>878</v>
      </c>
      <c r="D954" s="150">
        <v>43853</v>
      </c>
      <c r="E954" s="113" t="s">
        <v>877</v>
      </c>
      <c r="F954" s="256">
        <v>16</v>
      </c>
      <c r="G954" s="255">
        <v>2.04</v>
      </c>
      <c r="I954" s="160">
        <f t="shared" si="14"/>
        <v>31127.559999999987</v>
      </c>
    </row>
    <row r="955" spans="2:9" ht="19.5" hidden="1" x14ac:dyDescent="0.25">
      <c r="B955" s="106"/>
      <c r="C955" s="148" t="s">
        <v>876</v>
      </c>
      <c r="D955" s="150">
        <v>43853</v>
      </c>
      <c r="E955" s="113" t="s">
        <v>875</v>
      </c>
      <c r="F955" s="256">
        <v>16</v>
      </c>
      <c r="G955" s="255">
        <v>1.32</v>
      </c>
      <c r="I955" s="160">
        <f t="shared" si="14"/>
        <v>31128.879999999986</v>
      </c>
    </row>
    <row r="956" spans="2:9" hidden="1" x14ac:dyDescent="0.25">
      <c r="B956" s="106"/>
      <c r="C956" s="148" t="s">
        <v>874</v>
      </c>
      <c r="D956" s="150">
        <v>43853</v>
      </c>
      <c r="E956" s="113" t="s">
        <v>873</v>
      </c>
      <c r="F956" s="256">
        <v>16</v>
      </c>
      <c r="G956" s="255">
        <v>15.18</v>
      </c>
      <c r="I956" s="160">
        <f t="shared" si="14"/>
        <v>31144.059999999987</v>
      </c>
    </row>
    <row r="957" spans="2:9" ht="19.5" hidden="1" x14ac:dyDescent="0.25">
      <c r="B957" s="106"/>
      <c r="C957" s="148" t="s">
        <v>872</v>
      </c>
      <c r="D957" s="150">
        <v>43853</v>
      </c>
      <c r="E957" s="113" t="s">
        <v>871</v>
      </c>
      <c r="F957" s="256">
        <v>16</v>
      </c>
      <c r="G957" s="255">
        <v>8.32</v>
      </c>
      <c r="I957" s="160">
        <f t="shared" si="14"/>
        <v>31152.379999999986</v>
      </c>
    </row>
    <row r="958" spans="2:9" hidden="1" x14ac:dyDescent="0.25">
      <c r="B958" s="106"/>
      <c r="C958" s="148" t="s">
        <v>870</v>
      </c>
      <c r="D958" s="150">
        <v>43853</v>
      </c>
      <c r="E958" s="113" t="s">
        <v>869</v>
      </c>
      <c r="F958" s="256">
        <v>16</v>
      </c>
      <c r="G958" s="255">
        <v>24.28</v>
      </c>
      <c r="I958" s="160">
        <f t="shared" si="14"/>
        <v>31176.659999999985</v>
      </c>
    </row>
    <row r="959" spans="2:9" ht="19.5" hidden="1" x14ac:dyDescent="0.25">
      <c r="B959" s="148"/>
      <c r="C959" s="148" t="s">
        <v>868</v>
      </c>
      <c r="D959" s="150">
        <v>43853</v>
      </c>
      <c r="E959" s="113" t="s">
        <v>867</v>
      </c>
      <c r="F959" s="257" t="s">
        <v>14437</v>
      </c>
      <c r="G959" s="160">
        <v>114.05</v>
      </c>
      <c r="I959" s="160">
        <f t="shared" si="14"/>
        <v>31290.709999999985</v>
      </c>
    </row>
    <row r="960" spans="2:9" ht="19.5" hidden="1" x14ac:dyDescent="0.25">
      <c r="B960" s="148">
        <v>3303</v>
      </c>
      <c r="C960" s="148" t="s">
        <v>866</v>
      </c>
      <c r="D960" s="150">
        <v>43854</v>
      </c>
      <c r="E960" s="113" t="s">
        <v>652</v>
      </c>
      <c r="F960" s="257" t="s">
        <v>14450</v>
      </c>
      <c r="H960" s="161">
        <v>563.86</v>
      </c>
      <c r="I960" s="160">
        <f t="shared" si="14"/>
        <v>30726.849999999984</v>
      </c>
    </row>
    <row r="961" spans="2:9" ht="19.5" hidden="1" x14ac:dyDescent="0.25">
      <c r="B961" s="148">
        <v>3304</v>
      </c>
      <c r="C961" s="148" t="s">
        <v>865</v>
      </c>
      <c r="D961" s="150">
        <v>43854</v>
      </c>
      <c r="E961" s="113" t="s">
        <v>864</v>
      </c>
      <c r="F961" s="257" t="s">
        <v>14432</v>
      </c>
      <c r="H961" s="161">
        <v>1127.72</v>
      </c>
      <c r="I961" s="160">
        <f t="shared" si="14"/>
        <v>29599.129999999983</v>
      </c>
    </row>
    <row r="962" spans="2:9" ht="19.5" hidden="1" x14ac:dyDescent="0.25">
      <c r="B962" s="148"/>
      <c r="C962" s="148" t="s">
        <v>863</v>
      </c>
      <c r="D962" s="150">
        <v>43854</v>
      </c>
      <c r="E962" s="113" t="s">
        <v>862</v>
      </c>
      <c r="F962" s="257" t="s">
        <v>14436</v>
      </c>
      <c r="G962" s="160">
        <v>20.190000000000001</v>
      </c>
      <c r="I962" s="160">
        <f t="shared" si="14"/>
        <v>29619.319999999982</v>
      </c>
    </row>
    <row r="963" spans="2:9" hidden="1" x14ac:dyDescent="0.25">
      <c r="B963" s="148"/>
      <c r="C963" s="148" t="s">
        <v>861</v>
      </c>
      <c r="D963" s="150">
        <v>43854</v>
      </c>
      <c r="E963" s="113" t="s">
        <v>860</v>
      </c>
      <c r="F963" s="257" t="s">
        <v>14457</v>
      </c>
      <c r="G963" s="160">
        <v>27.78</v>
      </c>
      <c r="I963" s="160">
        <f t="shared" si="14"/>
        <v>29647.09999999998</v>
      </c>
    </row>
    <row r="964" spans="2:9" hidden="1" x14ac:dyDescent="0.25">
      <c r="B964" s="148"/>
      <c r="C964" s="148" t="s">
        <v>859</v>
      </c>
      <c r="D964" s="150">
        <v>43854</v>
      </c>
      <c r="E964" s="113" t="s">
        <v>858</v>
      </c>
      <c r="F964" s="257" t="s">
        <v>14457</v>
      </c>
      <c r="G964" s="160">
        <v>2.5299999999999998</v>
      </c>
      <c r="I964" s="160">
        <f t="shared" si="14"/>
        <v>29649.629999999979</v>
      </c>
    </row>
    <row r="965" spans="2:9" hidden="1" x14ac:dyDescent="0.25">
      <c r="B965" s="148"/>
      <c r="C965" s="148" t="s">
        <v>857</v>
      </c>
      <c r="D965" s="150">
        <v>43854</v>
      </c>
      <c r="E965" s="113" t="s">
        <v>856</v>
      </c>
      <c r="F965" s="257" t="s">
        <v>14457</v>
      </c>
      <c r="G965" s="160">
        <v>15.3</v>
      </c>
      <c r="I965" s="160">
        <f t="shared" si="14"/>
        <v>29664.929999999978</v>
      </c>
    </row>
    <row r="966" spans="2:9" hidden="1" x14ac:dyDescent="0.25">
      <c r="B966" s="148"/>
      <c r="C966" s="148" t="s">
        <v>855</v>
      </c>
      <c r="D966" s="150">
        <v>43854</v>
      </c>
      <c r="E966" s="113" t="s">
        <v>854</v>
      </c>
      <c r="F966" s="257" t="s">
        <v>14437</v>
      </c>
      <c r="G966" s="160">
        <v>3.9</v>
      </c>
      <c r="I966" s="160">
        <f t="shared" si="14"/>
        <v>29668.82999999998</v>
      </c>
    </row>
    <row r="967" spans="2:9" ht="29.25" hidden="1" x14ac:dyDescent="0.25">
      <c r="B967" s="148"/>
      <c r="C967" s="148" t="s">
        <v>853</v>
      </c>
      <c r="D967" s="150">
        <v>43854</v>
      </c>
      <c r="E967" s="113" t="s">
        <v>852</v>
      </c>
      <c r="F967" s="257" t="s">
        <v>14436</v>
      </c>
      <c r="G967" s="160">
        <v>3.93</v>
      </c>
      <c r="I967" s="160">
        <f t="shared" si="14"/>
        <v>29672.75999999998</v>
      </c>
    </row>
    <row r="968" spans="2:9" hidden="1" x14ac:dyDescent="0.25">
      <c r="B968" s="148"/>
      <c r="C968" s="148" t="s">
        <v>851</v>
      </c>
      <c r="D968" s="150">
        <v>43854</v>
      </c>
      <c r="E968" s="113" t="s">
        <v>850</v>
      </c>
      <c r="F968" s="257" t="s">
        <v>14457</v>
      </c>
      <c r="G968" s="160">
        <v>2.31</v>
      </c>
      <c r="I968" s="160">
        <f t="shared" si="14"/>
        <v>29675.069999999982</v>
      </c>
    </row>
    <row r="969" spans="2:9" ht="19.5" hidden="1" x14ac:dyDescent="0.25">
      <c r="B969" s="148"/>
      <c r="C969" s="148" t="s">
        <v>849</v>
      </c>
      <c r="D969" s="150">
        <v>43854</v>
      </c>
      <c r="E969" s="113" t="s">
        <v>848</v>
      </c>
      <c r="F969" s="257" t="s">
        <v>14436</v>
      </c>
      <c r="G969" s="160">
        <v>20.11</v>
      </c>
      <c r="I969" s="160">
        <f t="shared" si="14"/>
        <v>29695.179999999982</v>
      </c>
    </row>
    <row r="970" spans="2:9" ht="29.25" hidden="1" x14ac:dyDescent="0.25">
      <c r="B970" s="148"/>
      <c r="C970" s="148" t="s">
        <v>847</v>
      </c>
      <c r="D970" s="150">
        <v>43854</v>
      </c>
      <c r="E970" s="113" t="s">
        <v>846</v>
      </c>
      <c r="F970" s="257" t="s">
        <v>14436</v>
      </c>
      <c r="G970" s="160">
        <v>23.95</v>
      </c>
      <c r="I970" s="160">
        <f t="shared" si="14"/>
        <v>29719.129999999983</v>
      </c>
    </row>
    <row r="971" spans="2:9" ht="19.5" hidden="1" x14ac:dyDescent="0.25">
      <c r="B971" s="148"/>
      <c r="C971" s="148" t="s">
        <v>845</v>
      </c>
      <c r="D971" s="150">
        <v>43854</v>
      </c>
      <c r="E971" s="113" t="s">
        <v>844</v>
      </c>
      <c r="F971" s="257" t="s">
        <v>14457</v>
      </c>
      <c r="G971" s="160">
        <v>13.93</v>
      </c>
      <c r="I971" s="160">
        <f t="shared" si="14"/>
        <v>29733.059999999983</v>
      </c>
    </row>
    <row r="972" spans="2:9" ht="19.5" hidden="1" x14ac:dyDescent="0.25">
      <c r="B972" s="148"/>
      <c r="C972" s="148" t="s">
        <v>843</v>
      </c>
      <c r="D972" s="150">
        <v>43854</v>
      </c>
      <c r="E972" s="113" t="s">
        <v>842</v>
      </c>
      <c r="F972" s="257" t="s">
        <v>14457</v>
      </c>
      <c r="G972" s="160">
        <v>3.09</v>
      </c>
      <c r="I972" s="160">
        <f t="shared" si="14"/>
        <v>29736.149999999983</v>
      </c>
    </row>
    <row r="973" spans="2:9" ht="19.5" hidden="1" x14ac:dyDescent="0.25">
      <c r="B973" s="148"/>
      <c r="C973" s="148" t="s">
        <v>841</v>
      </c>
      <c r="D973" s="150">
        <v>43854</v>
      </c>
      <c r="E973" s="113" t="s">
        <v>840</v>
      </c>
      <c r="F973" s="257" t="s">
        <v>14457</v>
      </c>
      <c r="G973" s="160">
        <v>37.75</v>
      </c>
      <c r="I973" s="160">
        <f t="shared" si="14"/>
        <v>29773.899999999983</v>
      </c>
    </row>
    <row r="974" spans="2:9" ht="19.5" hidden="1" x14ac:dyDescent="0.25">
      <c r="B974" s="148"/>
      <c r="C974" s="148" t="s">
        <v>839</v>
      </c>
      <c r="D974" s="150">
        <v>43854</v>
      </c>
      <c r="E974" s="113" t="s">
        <v>838</v>
      </c>
      <c r="F974" s="257" t="s">
        <v>14457</v>
      </c>
      <c r="G974" s="160">
        <v>10</v>
      </c>
      <c r="I974" s="160">
        <f t="shared" si="14"/>
        <v>29783.899999999983</v>
      </c>
    </row>
    <row r="975" spans="2:9" ht="19.5" hidden="1" x14ac:dyDescent="0.25">
      <c r="B975" s="148"/>
      <c r="C975" s="148" t="s">
        <v>837</v>
      </c>
      <c r="D975" s="150">
        <v>43854</v>
      </c>
      <c r="E975" s="113" t="s">
        <v>836</v>
      </c>
      <c r="F975" s="257" t="s">
        <v>14436</v>
      </c>
      <c r="G975" s="160">
        <v>49.96</v>
      </c>
      <c r="I975" s="160">
        <f t="shared" si="14"/>
        <v>29833.859999999982</v>
      </c>
    </row>
    <row r="976" spans="2:9" ht="19.5" hidden="1" x14ac:dyDescent="0.25">
      <c r="B976" s="106"/>
      <c r="C976" s="148" t="s">
        <v>835</v>
      </c>
      <c r="D976" s="150">
        <v>43854</v>
      </c>
      <c r="E976" s="113" t="s">
        <v>834</v>
      </c>
      <c r="F976" s="257" t="s">
        <v>14414</v>
      </c>
      <c r="G976" s="258">
        <v>10.72</v>
      </c>
      <c r="I976" s="160">
        <f t="shared" si="14"/>
        <v>29844.579999999984</v>
      </c>
    </row>
    <row r="977" spans="2:9" ht="19.5" hidden="1" x14ac:dyDescent="0.25">
      <c r="B977" s="106"/>
      <c r="C977" s="148" t="s">
        <v>833</v>
      </c>
      <c r="D977" s="150">
        <v>43854</v>
      </c>
      <c r="E977" s="113" t="s">
        <v>832</v>
      </c>
      <c r="F977" s="257" t="s">
        <v>14414</v>
      </c>
      <c r="G977" s="258">
        <v>8.24</v>
      </c>
      <c r="I977" s="160">
        <f t="shared" si="14"/>
        <v>29852.819999999985</v>
      </c>
    </row>
    <row r="978" spans="2:9" ht="19.5" hidden="1" x14ac:dyDescent="0.25">
      <c r="B978" s="106"/>
      <c r="C978" s="148" t="s">
        <v>831</v>
      </c>
      <c r="D978" s="150">
        <v>43854</v>
      </c>
      <c r="E978" s="113" t="s">
        <v>830</v>
      </c>
      <c r="F978" s="257" t="s">
        <v>14414</v>
      </c>
      <c r="G978" s="258">
        <v>27.76</v>
      </c>
      <c r="I978" s="160">
        <f t="shared" si="14"/>
        <v>29880.579999999984</v>
      </c>
    </row>
    <row r="979" spans="2:9" ht="19.5" hidden="1" x14ac:dyDescent="0.25">
      <c r="B979" s="106"/>
      <c r="C979" s="148" t="s">
        <v>829</v>
      </c>
      <c r="D979" s="150">
        <v>43854</v>
      </c>
      <c r="E979" s="113" t="s">
        <v>828</v>
      </c>
      <c r="F979" s="257" t="s">
        <v>14414</v>
      </c>
      <c r="G979" s="258">
        <v>18.940000000000001</v>
      </c>
      <c r="I979" s="160">
        <f t="shared" si="14"/>
        <v>29899.519999999982</v>
      </c>
    </row>
    <row r="980" spans="2:9" hidden="1" x14ac:dyDescent="0.25">
      <c r="B980" s="106"/>
      <c r="C980" s="148" t="s">
        <v>827</v>
      </c>
      <c r="D980" s="150">
        <v>43854</v>
      </c>
      <c r="E980" s="113" t="s">
        <v>826</v>
      </c>
      <c r="F980" s="257" t="s">
        <v>14414</v>
      </c>
      <c r="G980" s="258">
        <v>8.3800000000000008</v>
      </c>
      <c r="I980" s="160">
        <f t="shared" ref="I980:I1043" si="15">+I979+G980-H980</f>
        <v>29907.899999999983</v>
      </c>
    </row>
    <row r="981" spans="2:9" hidden="1" x14ac:dyDescent="0.25">
      <c r="B981" s="106"/>
      <c r="C981" s="148" t="s">
        <v>825</v>
      </c>
      <c r="D981" s="150">
        <v>43854</v>
      </c>
      <c r="E981" s="113" t="s">
        <v>824</v>
      </c>
      <c r="F981" s="257" t="s">
        <v>14414</v>
      </c>
      <c r="G981" s="258">
        <v>23.64</v>
      </c>
      <c r="I981" s="160">
        <f t="shared" si="15"/>
        <v>29931.539999999983</v>
      </c>
    </row>
    <row r="982" spans="2:9" ht="19.5" hidden="1" x14ac:dyDescent="0.25">
      <c r="B982" s="106"/>
      <c r="C982" s="148" t="s">
        <v>823</v>
      </c>
      <c r="D982" s="150">
        <v>43854</v>
      </c>
      <c r="E982" s="113" t="s">
        <v>822</v>
      </c>
      <c r="F982" s="257" t="s">
        <v>14414</v>
      </c>
      <c r="G982" s="258">
        <v>24.84</v>
      </c>
      <c r="I982" s="160">
        <f t="shared" si="15"/>
        <v>29956.379999999983</v>
      </c>
    </row>
    <row r="983" spans="2:9" hidden="1" x14ac:dyDescent="0.25">
      <c r="B983" s="106"/>
      <c r="C983" s="148" t="s">
        <v>821</v>
      </c>
      <c r="D983" s="150">
        <v>43854</v>
      </c>
      <c r="E983" s="113" t="s">
        <v>820</v>
      </c>
      <c r="F983" s="257" t="s">
        <v>14414</v>
      </c>
      <c r="G983" s="258">
        <v>7.95</v>
      </c>
      <c r="I983" s="160">
        <f t="shared" si="15"/>
        <v>29964.329999999984</v>
      </c>
    </row>
    <row r="984" spans="2:9" ht="19.5" hidden="1" x14ac:dyDescent="0.25">
      <c r="B984" s="106"/>
      <c r="C984" s="148" t="s">
        <v>819</v>
      </c>
      <c r="D984" s="150">
        <v>43854</v>
      </c>
      <c r="E984" s="113" t="s">
        <v>818</v>
      </c>
      <c r="F984" s="257" t="s">
        <v>14414</v>
      </c>
      <c r="G984" s="258">
        <v>1.49</v>
      </c>
      <c r="I984" s="160">
        <f t="shared" si="15"/>
        <v>29965.819999999985</v>
      </c>
    </row>
    <row r="985" spans="2:9" hidden="1" x14ac:dyDescent="0.25">
      <c r="B985" s="106"/>
      <c r="C985" s="148" t="s">
        <v>817</v>
      </c>
      <c r="D985" s="150">
        <v>43854</v>
      </c>
      <c r="E985" s="113" t="s">
        <v>816</v>
      </c>
      <c r="F985" s="257" t="s">
        <v>14414</v>
      </c>
      <c r="G985" s="258">
        <v>4.24</v>
      </c>
      <c r="I985" s="160">
        <f t="shared" si="15"/>
        <v>29970.059999999987</v>
      </c>
    </row>
    <row r="986" spans="2:9" ht="19.5" hidden="1" x14ac:dyDescent="0.25">
      <c r="B986" s="106"/>
      <c r="C986" s="148" t="s">
        <v>815</v>
      </c>
      <c r="D986" s="150">
        <v>43854</v>
      </c>
      <c r="E986" s="113" t="s">
        <v>814</v>
      </c>
      <c r="F986" s="257" t="s">
        <v>14414</v>
      </c>
      <c r="G986" s="258">
        <v>7.58</v>
      </c>
      <c r="I986" s="160">
        <f t="shared" si="15"/>
        <v>29977.639999999989</v>
      </c>
    </row>
    <row r="987" spans="2:9" ht="19.5" hidden="1" x14ac:dyDescent="0.25">
      <c r="B987" s="106"/>
      <c r="C987" s="148" t="s">
        <v>813</v>
      </c>
      <c r="D987" s="150">
        <v>43854</v>
      </c>
      <c r="E987" s="113" t="s">
        <v>812</v>
      </c>
      <c r="F987" s="257" t="s">
        <v>14414</v>
      </c>
      <c r="G987" s="258">
        <v>6.24</v>
      </c>
      <c r="I987" s="160">
        <f t="shared" si="15"/>
        <v>29983.87999999999</v>
      </c>
    </row>
    <row r="988" spans="2:9" hidden="1" x14ac:dyDescent="0.25">
      <c r="B988" s="106"/>
      <c r="C988" s="148" t="s">
        <v>811</v>
      </c>
      <c r="D988" s="150">
        <v>43854</v>
      </c>
      <c r="E988" s="113" t="s">
        <v>810</v>
      </c>
      <c r="F988" s="257" t="s">
        <v>14414</v>
      </c>
      <c r="G988" s="258">
        <v>1.68</v>
      </c>
      <c r="I988" s="160">
        <f t="shared" si="15"/>
        <v>29985.55999999999</v>
      </c>
    </row>
    <row r="989" spans="2:9" hidden="1" x14ac:dyDescent="0.25">
      <c r="B989" s="106"/>
      <c r="C989" s="148" t="s">
        <v>809</v>
      </c>
      <c r="D989" s="150">
        <v>43854</v>
      </c>
      <c r="E989" s="113" t="s">
        <v>808</v>
      </c>
      <c r="F989" s="257" t="s">
        <v>14414</v>
      </c>
      <c r="G989" s="258">
        <v>3.47</v>
      </c>
      <c r="I989" s="160">
        <f t="shared" si="15"/>
        <v>29989.029999999992</v>
      </c>
    </row>
    <row r="990" spans="2:9" ht="19.5" hidden="1" x14ac:dyDescent="0.25">
      <c r="B990" s="106"/>
      <c r="C990" s="148" t="s">
        <v>807</v>
      </c>
      <c r="D990" s="150">
        <v>43854</v>
      </c>
      <c r="E990" s="113" t="s">
        <v>806</v>
      </c>
      <c r="F990" s="257" t="s">
        <v>14414</v>
      </c>
      <c r="G990" s="258">
        <v>16.8</v>
      </c>
      <c r="I990" s="160">
        <f t="shared" si="15"/>
        <v>30005.829999999991</v>
      </c>
    </row>
    <row r="991" spans="2:9" hidden="1" x14ac:dyDescent="0.25">
      <c r="B991" s="106"/>
      <c r="C991" s="148" t="s">
        <v>805</v>
      </c>
      <c r="D991" s="150">
        <v>43854</v>
      </c>
      <c r="E991" s="113" t="s">
        <v>804</v>
      </c>
      <c r="F991" s="257" t="s">
        <v>14414</v>
      </c>
      <c r="G991" s="258">
        <v>11.93</v>
      </c>
      <c r="I991" s="160">
        <f t="shared" si="15"/>
        <v>30017.759999999991</v>
      </c>
    </row>
    <row r="992" spans="2:9" ht="19.5" hidden="1" x14ac:dyDescent="0.25">
      <c r="B992" s="106"/>
      <c r="C992" s="148" t="s">
        <v>803</v>
      </c>
      <c r="D992" s="150">
        <v>43854</v>
      </c>
      <c r="E992" s="113" t="s">
        <v>802</v>
      </c>
      <c r="F992" s="257" t="s">
        <v>14414</v>
      </c>
      <c r="G992" s="258">
        <v>9.4</v>
      </c>
      <c r="I992" s="160">
        <f t="shared" si="15"/>
        <v>30027.159999999993</v>
      </c>
    </row>
    <row r="993" spans="2:9" hidden="1" x14ac:dyDescent="0.25">
      <c r="B993" s="106"/>
      <c r="C993" s="148" t="s">
        <v>801</v>
      </c>
      <c r="D993" s="150">
        <v>43854</v>
      </c>
      <c r="E993" s="113" t="s">
        <v>800</v>
      </c>
      <c r="F993" s="257" t="s">
        <v>14414</v>
      </c>
      <c r="G993" s="258">
        <v>2.23</v>
      </c>
      <c r="I993" s="160">
        <f t="shared" si="15"/>
        <v>30029.389999999992</v>
      </c>
    </row>
    <row r="994" spans="2:9" hidden="1" x14ac:dyDescent="0.25">
      <c r="B994" s="106"/>
      <c r="C994" s="148" t="s">
        <v>799</v>
      </c>
      <c r="D994" s="150">
        <v>43854</v>
      </c>
      <c r="E994" s="113" t="s">
        <v>798</v>
      </c>
      <c r="F994" s="257" t="s">
        <v>14414</v>
      </c>
      <c r="G994" s="258">
        <v>3.21</v>
      </c>
      <c r="I994" s="160">
        <f t="shared" si="15"/>
        <v>30032.599999999991</v>
      </c>
    </row>
    <row r="995" spans="2:9" hidden="1" x14ac:dyDescent="0.25">
      <c r="B995" s="106"/>
      <c r="C995" s="148" t="s">
        <v>797</v>
      </c>
      <c r="D995" s="150">
        <v>43854</v>
      </c>
      <c r="E995" s="113" t="s">
        <v>796</v>
      </c>
      <c r="F995" s="257" t="s">
        <v>14414</v>
      </c>
      <c r="G995" s="258">
        <v>1.8</v>
      </c>
      <c r="I995" s="160">
        <f t="shared" si="15"/>
        <v>30034.399999999991</v>
      </c>
    </row>
    <row r="996" spans="2:9" ht="19.5" hidden="1" x14ac:dyDescent="0.25">
      <c r="B996" s="106"/>
      <c r="C996" s="148" t="s">
        <v>795</v>
      </c>
      <c r="D996" s="150">
        <v>43854</v>
      </c>
      <c r="E996" s="113" t="s">
        <v>794</v>
      </c>
      <c r="F996" s="257" t="s">
        <v>14414</v>
      </c>
      <c r="G996" s="258">
        <v>6.94</v>
      </c>
      <c r="I996" s="160">
        <f t="shared" si="15"/>
        <v>30041.339999999989</v>
      </c>
    </row>
    <row r="997" spans="2:9" hidden="1" x14ac:dyDescent="0.25">
      <c r="B997" s="106"/>
      <c r="C997" s="148" t="s">
        <v>793</v>
      </c>
      <c r="D997" s="150">
        <v>43854</v>
      </c>
      <c r="E997" s="113" t="s">
        <v>792</v>
      </c>
      <c r="F997" s="257" t="s">
        <v>14414</v>
      </c>
      <c r="G997" s="258">
        <v>1</v>
      </c>
      <c r="I997" s="160">
        <f t="shared" si="15"/>
        <v>30042.339999999989</v>
      </c>
    </row>
    <row r="998" spans="2:9" ht="19.5" hidden="1" x14ac:dyDescent="0.25">
      <c r="B998" s="106"/>
      <c r="C998" s="148" t="s">
        <v>791</v>
      </c>
      <c r="D998" s="150">
        <v>43854</v>
      </c>
      <c r="E998" s="113" t="s">
        <v>790</v>
      </c>
      <c r="F998" s="257" t="s">
        <v>14414</v>
      </c>
      <c r="G998" s="258">
        <v>5.79</v>
      </c>
      <c r="I998" s="160">
        <f t="shared" si="15"/>
        <v>30048.12999999999</v>
      </c>
    </row>
    <row r="999" spans="2:9" hidden="1" x14ac:dyDescent="0.25">
      <c r="B999" s="106"/>
      <c r="C999" s="148" t="s">
        <v>789</v>
      </c>
      <c r="D999" s="150">
        <v>43854</v>
      </c>
      <c r="E999" s="113" t="s">
        <v>788</v>
      </c>
      <c r="F999" s="257" t="s">
        <v>14414</v>
      </c>
      <c r="G999" s="258">
        <v>1.99</v>
      </c>
      <c r="I999" s="160">
        <f t="shared" si="15"/>
        <v>30050.119999999992</v>
      </c>
    </row>
    <row r="1000" spans="2:9" ht="19.5" hidden="1" x14ac:dyDescent="0.25">
      <c r="B1000" s="106"/>
      <c r="C1000" s="148" t="s">
        <v>787</v>
      </c>
      <c r="D1000" s="150">
        <v>43854</v>
      </c>
      <c r="E1000" s="113" t="s">
        <v>786</v>
      </c>
      <c r="F1000" s="257" t="s">
        <v>14414</v>
      </c>
      <c r="G1000" s="258">
        <v>7.16</v>
      </c>
      <c r="I1000" s="160">
        <f t="shared" si="15"/>
        <v>30057.279999999992</v>
      </c>
    </row>
    <row r="1001" spans="2:9" hidden="1" x14ac:dyDescent="0.25">
      <c r="B1001" s="106"/>
      <c r="C1001" s="148" t="s">
        <v>785</v>
      </c>
      <c r="D1001" s="150">
        <v>43854</v>
      </c>
      <c r="E1001" s="113" t="s">
        <v>784</v>
      </c>
      <c r="F1001" s="256">
        <v>17</v>
      </c>
      <c r="G1001" s="255">
        <v>2.99</v>
      </c>
      <c r="I1001" s="160">
        <f t="shared" si="15"/>
        <v>30060.269999999993</v>
      </c>
    </row>
    <row r="1002" spans="2:9" hidden="1" x14ac:dyDescent="0.25">
      <c r="B1002" s="106"/>
      <c r="C1002" s="148" t="s">
        <v>783</v>
      </c>
      <c r="D1002" s="150">
        <v>43854</v>
      </c>
      <c r="E1002" s="113" t="s">
        <v>782</v>
      </c>
      <c r="F1002" s="256">
        <v>17</v>
      </c>
      <c r="G1002" s="255">
        <v>7.32</v>
      </c>
      <c r="I1002" s="160">
        <f t="shared" si="15"/>
        <v>30067.589999999993</v>
      </c>
    </row>
    <row r="1003" spans="2:9" ht="19.5" hidden="1" x14ac:dyDescent="0.25">
      <c r="B1003" s="106"/>
      <c r="C1003" s="148" t="s">
        <v>781</v>
      </c>
      <c r="D1003" s="150">
        <v>43854</v>
      </c>
      <c r="E1003" s="113" t="s">
        <v>780</v>
      </c>
      <c r="F1003" s="256">
        <v>17</v>
      </c>
      <c r="G1003" s="255">
        <v>16.760000000000002</v>
      </c>
      <c r="I1003" s="160">
        <f t="shared" si="15"/>
        <v>30084.349999999991</v>
      </c>
    </row>
    <row r="1004" spans="2:9" ht="19.5" hidden="1" x14ac:dyDescent="0.25">
      <c r="B1004" s="106"/>
      <c r="C1004" s="148" t="s">
        <v>779</v>
      </c>
      <c r="D1004" s="150">
        <v>43854</v>
      </c>
      <c r="E1004" s="113" t="s">
        <v>778</v>
      </c>
      <c r="F1004" s="256">
        <v>17</v>
      </c>
      <c r="G1004" s="255">
        <v>15.96</v>
      </c>
      <c r="I1004" s="160">
        <f t="shared" si="15"/>
        <v>30100.30999999999</v>
      </c>
    </row>
    <row r="1005" spans="2:9" ht="19.5" hidden="1" x14ac:dyDescent="0.25">
      <c r="B1005" s="106"/>
      <c r="C1005" s="148" t="s">
        <v>777</v>
      </c>
      <c r="D1005" s="150">
        <v>43854</v>
      </c>
      <c r="E1005" s="113" t="s">
        <v>776</v>
      </c>
      <c r="F1005" s="256">
        <v>17</v>
      </c>
      <c r="G1005" s="255">
        <v>3.62</v>
      </c>
      <c r="I1005" s="160">
        <f t="shared" si="15"/>
        <v>30103.929999999989</v>
      </c>
    </row>
    <row r="1006" spans="2:9" hidden="1" x14ac:dyDescent="0.25">
      <c r="B1006" s="106"/>
      <c r="C1006" s="148" t="s">
        <v>775</v>
      </c>
      <c r="D1006" s="150">
        <v>43854</v>
      </c>
      <c r="E1006" s="113" t="s">
        <v>774</v>
      </c>
      <c r="F1006" s="256">
        <v>17</v>
      </c>
      <c r="G1006" s="255">
        <v>11.51</v>
      </c>
      <c r="I1006" s="160">
        <f t="shared" si="15"/>
        <v>30115.439999999988</v>
      </c>
    </row>
    <row r="1007" spans="2:9" ht="19.5" hidden="1" x14ac:dyDescent="0.25">
      <c r="B1007" s="106"/>
      <c r="C1007" s="148" t="s">
        <v>773</v>
      </c>
      <c r="D1007" s="150">
        <v>43854</v>
      </c>
      <c r="E1007" s="113" t="s">
        <v>772</v>
      </c>
      <c r="F1007" s="256">
        <v>17</v>
      </c>
      <c r="G1007" s="255">
        <v>1.68</v>
      </c>
      <c r="I1007" s="160">
        <f t="shared" si="15"/>
        <v>30117.119999999988</v>
      </c>
    </row>
    <row r="1008" spans="2:9" hidden="1" x14ac:dyDescent="0.25">
      <c r="B1008" s="106"/>
      <c r="C1008" s="148" t="s">
        <v>771</v>
      </c>
      <c r="D1008" s="150">
        <v>43855</v>
      </c>
      <c r="E1008" s="113" t="s">
        <v>770</v>
      </c>
      <c r="F1008" s="257" t="s">
        <v>14414</v>
      </c>
      <c r="G1008" s="258">
        <v>1.75</v>
      </c>
      <c r="I1008" s="160">
        <f t="shared" si="15"/>
        <v>30118.869999999988</v>
      </c>
    </row>
    <row r="1009" spans="2:9" ht="19.5" hidden="1" x14ac:dyDescent="0.25">
      <c r="B1009" s="106"/>
      <c r="C1009" s="148" t="s">
        <v>769</v>
      </c>
      <c r="D1009" s="150">
        <v>43855</v>
      </c>
      <c r="E1009" s="113" t="s">
        <v>768</v>
      </c>
      <c r="F1009" s="257" t="s">
        <v>14414</v>
      </c>
      <c r="G1009" s="258">
        <v>5.15</v>
      </c>
      <c r="I1009" s="160">
        <f t="shared" si="15"/>
        <v>30124.01999999999</v>
      </c>
    </row>
    <row r="1010" spans="2:9" hidden="1" x14ac:dyDescent="0.25">
      <c r="B1010" s="106"/>
      <c r="C1010" s="148" t="s">
        <v>767</v>
      </c>
      <c r="D1010" s="150">
        <v>43855</v>
      </c>
      <c r="E1010" s="113" t="s">
        <v>766</v>
      </c>
      <c r="F1010" s="257" t="s">
        <v>14414</v>
      </c>
      <c r="G1010" s="258">
        <v>5.92</v>
      </c>
      <c r="I1010" s="160">
        <f t="shared" si="15"/>
        <v>30129.939999999988</v>
      </c>
    </row>
    <row r="1011" spans="2:9" hidden="1" x14ac:dyDescent="0.25">
      <c r="B1011" s="106"/>
      <c r="C1011" s="148" t="s">
        <v>765</v>
      </c>
      <c r="D1011" s="150">
        <v>43855</v>
      </c>
      <c r="E1011" s="113" t="s">
        <v>764</v>
      </c>
      <c r="F1011" s="257" t="s">
        <v>14414</v>
      </c>
      <c r="G1011" s="258">
        <v>6.47</v>
      </c>
      <c r="I1011" s="160">
        <f t="shared" si="15"/>
        <v>30136.409999999989</v>
      </c>
    </row>
    <row r="1012" spans="2:9" hidden="1" x14ac:dyDescent="0.25">
      <c r="B1012" s="106"/>
      <c r="C1012" s="148" t="s">
        <v>763</v>
      </c>
      <c r="D1012" s="150">
        <v>43855</v>
      </c>
      <c r="E1012" s="113" t="s">
        <v>762</v>
      </c>
      <c r="F1012" s="257" t="s">
        <v>14414</v>
      </c>
      <c r="G1012" s="258">
        <v>4.09</v>
      </c>
      <c r="I1012" s="160">
        <f t="shared" si="15"/>
        <v>30140.499999999989</v>
      </c>
    </row>
    <row r="1013" spans="2:9" ht="19.5" hidden="1" x14ac:dyDescent="0.25">
      <c r="B1013" s="106"/>
      <c r="C1013" s="148" t="s">
        <v>761</v>
      </c>
      <c r="D1013" s="150">
        <v>43855</v>
      </c>
      <c r="E1013" s="113" t="s">
        <v>760</v>
      </c>
      <c r="F1013" s="257" t="s">
        <v>14414</v>
      </c>
      <c r="G1013" s="258">
        <v>3.44</v>
      </c>
      <c r="I1013" s="160">
        <f t="shared" si="15"/>
        <v>30143.939999999988</v>
      </c>
    </row>
    <row r="1014" spans="2:9" hidden="1" x14ac:dyDescent="0.25">
      <c r="B1014" s="106"/>
      <c r="C1014" s="148" t="s">
        <v>759</v>
      </c>
      <c r="D1014" s="150">
        <v>43855</v>
      </c>
      <c r="E1014" s="113" t="s">
        <v>758</v>
      </c>
      <c r="F1014" s="257" t="s">
        <v>14414</v>
      </c>
      <c r="G1014" s="258">
        <v>3.37</v>
      </c>
      <c r="I1014" s="160">
        <f t="shared" si="15"/>
        <v>30147.309999999987</v>
      </c>
    </row>
    <row r="1015" spans="2:9" ht="19.5" hidden="1" x14ac:dyDescent="0.25">
      <c r="B1015" s="106"/>
      <c r="C1015" s="148" t="s">
        <v>757</v>
      </c>
      <c r="D1015" s="150">
        <v>43855</v>
      </c>
      <c r="E1015" s="113" t="s">
        <v>756</v>
      </c>
      <c r="F1015" s="257" t="s">
        <v>14414</v>
      </c>
      <c r="G1015" s="258">
        <v>2.86</v>
      </c>
      <c r="I1015" s="160">
        <f t="shared" si="15"/>
        <v>30150.169999999987</v>
      </c>
    </row>
    <row r="1016" spans="2:9" ht="19.5" hidden="1" x14ac:dyDescent="0.25">
      <c r="B1016" s="106"/>
      <c r="C1016" s="148" t="s">
        <v>755</v>
      </c>
      <c r="D1016" s="150">
        <v>43855</v>
      </c>
      <c r="E1016" s="113" t="s">
        <v>754</v>
      </c>
      <c r="F1016" s="257" t="s">
        <v>14414</v>
      </c>
      <c r="G1016" s="258">
        <v>7.78</v>
      </c>
      <c r="I1016" s="160">
        <f t="shared" si="15"/>
        <v>30157.949999999986</v>
      </c>
    </row>
    <row r="1017" spans="2:9" ht="19.5" hidden="1" x14ac:dyDescent="0.25">
      <c r="B1017" s="106"/>
      <c r="C1017" s="148" t="s">
        <v>753</v>
      </c>
      <c r="D1017" s="150">
        <v>43855</v>
      </c>
      <c r="E1017" s="113" t="s">
        <v>752</v>
      </c>
      <c r="F1017" s="257" t="s">
        <v>14414</v>
      </c>
      <c r="G1017" s="258">
        <v>3.73</v>
      </c>
      <c r="I1017" s="160">
        <f t="shared" si="15"/>
        <v>30161.679999999986</v>
      </c>
    </row>
    <row r="1018" spans="2:9" hidden="1" x14ac:dyDescent="0.25">
      <c r="B1018" s="106"/>
      <c r="C1018" s="148" t="s">
        <v>751</v>
      </c>
      <c r="D1018" s="150">
        <v>43856</v>
      </c>
      <c r="E1018" s="113" t="s">
        <v>750</v>
      </c>
      <c r="F1018" s="257" t="s">
        <v>14414</v>
      </c>
      <c r="G1018" s="258">
        <v>3.85</v>
      </c>
      <c r="I1018" s="160">
        <f t="shared" si="15"/>
        <v>30165.529999999984</v>
      </c>
    </row>
    <row r="1019" spans="2:9" hidden="1" x14ac:dyDescent="0.25">
      <c r="B1019" s="106"/>
      <c r="C1019" s="148" t="s">
        <v>749</v>
      </c>
      <c r="D1019" s="150">
        <v>43856</v>
      </c>
      <c r="E1019" s="113" t="s">
        <v>748</v>
      </c>
      <c r="F1019" s="257" t="s">
        <v>14414</v>
      </c>
      <c r="G1019" s="258">
        <v>2.14</v>
      </c>
      <c r="I1019" s="160">
        <f t="shared" si="15"/>
        <v>30167.669999999984</v>
      </c>
    </row>
    <row r="1020" spans="2:9" hidden="1" x14ac:dyDescent="0.25">
      <c r="B1020" s="106"/>
      <c r="C1020" s="148" t="s">
        <v>747</v>
      </c>
      <c r="D1020" s="150">
        <v>43856</v>
      </c>
      <c r="E1020" s="113" t="s">
        <v>746</v>
      </c>
      <c r="F1020" s="257" t="s">
        <v>14414</v>
      </c>
      <c r="G1020" s="258">
        <v>3.86</v>
      </c>
      <c r="I1020" s="160">
        <f t="shared" si="15"/>
        <v>30171.529999999984</v>
      </c>
    </row>
    <row r="1021" spans="2:9" hidden="1" x14ac:dyDescent="0.25">
      <c r="B1021" s="106"/>
      <c r="C1021" s="148" t="s">
        <v>745</v>
      </c>
      <c r="D1021" s="150">
        <v>43856</v>
      </c>
      <c r="E1021" s="113" t="s">
        <v>744</v>
      </c>
      <c r="F1021" s="257" t="s">
        <v>14414</v>
      </c>
      <c r="G1021" s="258">
        <v>1.98</v>
      </c>
      <c r="I1021" s="160">
        <f t="shared" si="15"/>
        <v>30173.509999999984</v>
      </c>
    </row>
    <row r="1022" spans="2:9" ht="19.5" hidden="1" x14ac:dyDescent="0.25">
      <c r="B1022" s="106"/>
      <c r="C1022" s="148" t="s">
        <v>743</v>
      </c>
      <c r="D1022" s="150">
        <v>43856</v>
      </c>
      <c r="E1022" s="113" t="s">
        <v>742</v>
      </c>
      <c r="F1022" s="257" t="s">
        <v>14414</v>
      </c>
      <c r="G1022" s="258">
        <v>0.42</v>
      </c>
      <c r="I1022" s="160">
        <f t="shared" si="15"/>
        <v>30173.929999999982</v>
      </c>
    </row>
    <row r="1023" spans="2:9" hidden="1" x14ac:dyDescent="0.25">
      <c r="B1023" s="106"/>
      <c r="C1023" s="148" t="s">
        <v>741</v>
      </c>
      <c r="D1023" s="150">
        <v>43856</v>
      </c>
      <c r="E1023" s="113" t="s">
        <v>740</v>
      </c>
      <c r="F1023" s="257" t="s">
        <v>14414</v>
      </c>
      <c r="G1023" s="258">
        <v>2.77</v>
      </c>
      <c r="I1023" s="160">
        <f t="shared" si="15"/>
        <v>30176.699999999983</v>
      </c>
    </row>
    <row r="1024" spans="2:9" hidden="1" x14ac:dyDescent="0.25">
      <c r="B1024" s="106"/>
      <c r="C1024" s="148" t="s">
        <v>739</v>
      </c>
      <c r="D1024" s="150">
        <v>43856</v>
      </c>
      <c r="E1024" s="113" t="s">
        <v>738</v>
      </c>
      <c r="F1024" s="257" t="s">
        <v>14414</v>
      </c>
      <c r="G1024" s="258">
        <v>3.3</v>
      </c>
      <c r="I1024" s="160">
        <f t="shared" si="15"/>
        <v>30179.999999999982</v>
      </c>
    </row>
    <row r="1025" spans="2:9" hidden="1" x14ac:dyDescent="0.25">
      <c r="B1025" s="106"/>
      <c r="C1025" s="148" t="s">
        <v>737</v>
      </c>
      <c r="D1025" s="150">
        <v>43856</v>
      </c>
      <c r="E1025" s="113" t="s">
        <v>736</v>
      </c>
      <c r="F1025" s="257" t="s">
        <v>14414</v>
      </c>
      <c r="G1025" s="258">
        <v>1.68</v>
      </c>
      <c r="I1025" s="160">
        <f t="shared" si="15"/>
        <v>30181.679999999982</v>
      </c>
    </row>
    <row r="1026" spans="2:9" hidden="1" x14ac:dyDescent="0.25">
      <c r="B1026" s="148"/>
      <c r="C1026" s="148" t="s">
        <v>735</v>
      </c>
      <c r="D1026" s="150">
        <v>43857</v>
      </c>
      <c r="E1026" s="113" t="s">
        <v>734</v>
      </c>
      <c r="F1026" s="257" t="s">
        <v>14456</v>
      </c>
      <c r="G1026" s="160">
        <v>3.91</v>
      </c>
      <c r="I1026" s="160">
        <f t="shared" si="15"/>
        <v>30185.589999999982</v>
      </c>
    </row>
    <row r="1027" spans="2:9" ht="19.5" hidden="1" x14ac:dyDescent="0.25">
      <c r="B1027" s="148"/>
      <c r="C1027" s="148" t="s">
        <v>733</v>
      </c>
      <c r="D1027" s="150">
        <v>43857</v>
      </c>
      <c r="E1027" s="113" t="s">
        <v>732</v>
      </c>
      <c r="F1027" s="257" t="s">
        <v>14456</v>
      </c>
      <c r="G1027" s="160">
        <v>0.54</v>
      </c>
      <c r="I1027" s="160">
        <f t="shared" si="15"/>
        <v>30186.129999999983</v>
      </c>
    </row>
    <row r="1028" spans="2:9" ht="19.5" hidden="1" x14ac:dyDescent="0.25">
      <c r="B1028" s="106"/>
      <c r="C1028" s="148" t="s">
        <v>731</v>
      </c>
      <c r="D1028" s="150">
        <v>43857</v>
      </c>
      <c r="E1028" s="113" t="s">
        <v>730</v>
      </c>
      <c r="F1028" s="257" t="s">
        <v>14414</v>
      </c>
      <c r="G1028" s="258">
        <v>10.32</v>
      </c>
      <c r="I1028" s="160">
        <f t="shared" si="15"/>
        <v>30196.449999999983</v>
      </c>
    </row>
    <row r="1029" spans="2:9" hidden="1" x14ac:dyDescent="0.25">
      <c r="B1029" s="106"/>
      <c r="C1029" s="148" t="s">
        <v>729</v>
      </c>
      <c r="D1029" s="150">
        <v>43857</v>
      </c>
      <c r="E1029" s="113" t="s">
        <v>728</v>
      </c>
      <c r="F1029" s="257" t="s">
        <v>14414</v>
      </c>
      <c r="G1029" s="258">
        <v>7.95</v>
      </c>
      <c r="I1029" s="160">
        <f t="shared" si="15"/>
        <v>30204.399999999983</v>
      </c>
    </row>
    <row r="1030" spans="2:9" ht="19.5" hidden="1" x14ac:dyDescent="0.25">
      <c r="B1030" s="106"/>
      <c r="C1030" s="148" t="s">
        <v>727</v>
      </c>
      <c r="D1030" s="150">
        <v>43857</v>
      </c>
      <c r="E1030" s="113" t="s">
        <v>726</v>
      </c>
      <c r="F1030" s="257" t="s">
        <v>14414</v>
      </c>
      <c r="G1030" s="258">
        <v>3.83</v>
      </c>
      <c r="I1030" s="160">
        <f t="shared" si="15"/>
        <v>30208.229999999985</v>
      </c>
    </row>
    <row r="1031" spans="2:9" hidden="1" x14ac:dyDescent="0.25">
      <c r="B1031" s="106"/>
      <c r="C1031" s="148" t="s">
        <v>725</v>
      </c>
      <c r="D1031" s="150">
        <v>43857</v>
      </c>
      <c r="E1031" s="113" t="s">
        <v>724</v>
      </c>
      <c r="F1031" s="257" t="s">
        <v>14414</v>
      </c>
      <c r="G1031" s="258">
        <v>1.92</v>
      </c>
      <c r="I1031" s="160">
        <f t="shared" si="15"/>
        <v>30210.149999999983</v>
      </c>
    </row>
    <row r="1032" spans="2:9" ht="19.5" hidden="1" x14ac:dyDescent="0.25">
      <c r="B1032" s="106"/>
      <c r="C1032" s="148" t="s">
        <v>723</v>
      </c>
      <c r="D1032" s="150">
        <v>43857</v>
      </c>
      <c r="E1032" s="113" t="s">
        <v>722</v>
      </c>
      <c r="F1032" s="257" t="s">
        <v>14414</v>
      </c>
      <c r="G1032" s="258">
        <v>36.04</v>
      </c>
      <c r="I1032" s="160">
        <f t="shared" si="15"/>
        <v>30246.189999999984</v>
      </c>
    </row>
    <row r="1033" spans="2:9" ht="19.5" hidden="1" x14ac:dyDescent="0.25">
      <c r="B1033" s="106"/>
      <c r="C1033" s="148" t="s">
        <v>721</v>
      </c>
      <c r="D1033" s="150">
        <v>43857</v>
      </c>
      <c r="E1033" s="113" t="s">
        <v>720</v>
      </c>
      <c r="F1033" s="257" t="s">
        <v>14414</v>
      </c>
      <c r="G1033" s="258">
        <v>9.52</v>
      </c>
      <c r="I1033" s="160">
        <f t="shared" si="15"/>
        <v>30255.709999999985</v>
      </c>
    </row>
    <row r="1034" spans="2:9" hidden="1" x14ac:dyDescent="0.25">
      <c r="B1034" s="106"/>
      <c r="C1034" s="148" t="s">
        <v>719</v>
      </c>
      <c r="D1034" s="150">
        <v>43857</v>
      </c>
      <c r="E1034" s="113" t="s">
        <v>718</v>
      </c>
      <c r="F1034" s="257" t="s">
        <v>14414</v>
      </c>
      <c r="G1034" s="258">
        <v>4.43</v>
      </c>
      <c r="I1034" s="160">
        <f t="shared" si="15"/>
        <v>30260.139999999985</v>
      </c>
    </row>
    <row r="1035" spans="2:9" ht="19.5" hidden="1" x14ac:dyDescent="0.25">
      <c r="B1035" s="106"/>
      <c r="C1035" s="148" t="s">
        <v>717</v>
      </c>
      <c r="D1035" s="150">
        <v>43857</v>
      </c>
      <c r="E1035" s="113" t="s">
        <v>716</v>
      </c>
      <c r="F1035" s="257" t="s">
        <v>14414</v>
      </c>
      <c r="G1035" s="258">
        <v>5.04</v>
      </c>
      <c r="I1035" s="160">
        <f t="shared" si="15"/>
        <v>30265.179999999986</v>
      </c>
    </row>
    <row r="1036" spans="2:9" ht="19.5" hidden="1" x14ac:dyDescent="0.25">
      <c r="B1036" s="106"/>
      <c r="C1036" s="148" t="s">
        <v>715</v>
      </c>
      <c r="D1036" s="150">
        <v>43857</v>
      </c>
      <c r="E1036" s="113" t="s">
        <v>714</v>
      </c>
      <c r="F1036" s="257" t="s">
        <v>14414</v>
      </c>
      <c r="G1036" s="258">
        <v>3.14</v>
      </c>
      <c r="I1036" s="160">
        <f t="shared" si="15"/>
        <v>30268.319999999985</v>
      </c>
    </row>
    <row r="1037" spans="2:9" hidden="1" x14ac:dyDescent="0.25">
      <c r="B1037" s="106"/>
      <c r="C1037" s="148" t="s">
        <v>713</v>
      </c>
      <c r="D1037" s="150">
        <v>43857</v>
      </c>
      <c r="E1037" s="113" t="s">
        <v>712</v>
      </c>
      <c r="F1037" s="257" t="s">
        <v>14414</v>
      </c>
      <c r="G1037" s="258">
        <v>8.3800000000000008</v>
      </c>
      <c r="I1037" s="160">
        <f t="shared" si="15"/>
        <v>30276.699999999986</v>
      </c>
    </row>
    <row r="1038" spans="2:9" ht="19.5" hidden="1" x14ac:dyDescent="0.25">
      <c r="B1038" s="106"/>
      <c r="C1038" s="148" t="s">
        <v>711</v>
      </c>
      <c r="D1038" s="150">
        <v>43857</v>
      </c>
      <c r="E1038" s="113" t="s">
        <v>710</v>
      </c>
      <c r="F1038" s="257" t="s">
        <v>14414</v>
      </c>
      <c r="G1038" s="258">
        <v>6.62</v>
      </c>
      <c r="I1038" s="160">
        <f t="shared" si="15"/>
        <v>30283.319999999985</v>
      </c>
    </row>
    <row r="1039" spans="2:9" ht="19.5" hidden="1" x14ac:dyDescent="0.25">
      <c r="B1039" s="106"/>
      <c r="C1039" s="148" t="s">
        <v>709</v>
      </c>
      <c r="D1039" s="150">
        <v>43857</v>
      </c>
      <c r="E1039" s="113" t="s">
        <v>708</v>
      </c>
      <c r="F1039" s="257" t="s">
        <v>14414</v>
      </c>
      <c r="G1039" s="258">
        <v>4.4400000000000004</v>
      </c>
      <c r="I1039" s="160">
        <f t="shared" si="15"/>
        <v>30287.759999999984</v>
      </c>
    </row>
    <row r="1040" spans="2:9" ht="19.5" hidden="1" x14ac:dyDescent="0.25">
      <c r="B1040" s="106"/>
      <c r="C1040" s="148" t="s">
        <v>707</v>
      </c>
      <c r="D1040" s="150">
        <v>43857</v>
      </c>
      <c r="E1040" s="113" t="s">
        <v>706</v>
      </c>
      <c r="F1040" s="257" t="s">
        <v>14414</v>
      </c>
      <c r="G1040" s="258">
        <v>2.5299999999999998</v>
      </c>
      <c r="I1040" s="160">
        <f t="shared" si="15"/>
        <v>30290.289999999983</v>
      </c>
    </row>
    <row r="1041" spans="2:9" ht="19.5" hidden="1" x14ac:dyDescent="0.25">
      <c r="B1041" s="106"/>
      <c r="C1041" s="148" t="s">
        <v>705</v>
      </c>
      <c r="D1041" s="150">
        <v>43857</v>
      </c>
      <c r="E1041" s="113" t="s">
        <v>704</v>
      </c>
      <c r="F1041" s="257" t="s">
        <v>14414</v>
      </c>
      <c r="G1041" s="258">
        <v>7.37</v>
      </c>
      <c r="I1041" s="160">
        <f t="shared" si="15"/>
        <v>30297.659999999982</v>
      </c>
    </row>
    <row r="1042" spans="2:9" ht="19.5" hidden="1" x14ac:dyDescent="0.25">
      <c r="B1042" s="106"/>
      <c r="C1042" s="148" t="s">
        <v>703</v>
      </c>
      <c r="D1042" s="150">
        <v>43857</v>
      </c>
      <c r="E1042" s="113" t="s">
        <v>702</v>
      </c>
      <c r="F1042" s="257" t="s">
        <v>14414</v>
      </c>
      <c r="G1042" s="258">
        <v>4.4800000000000004</v>
      </c>
      <c r="I1042" s="160">
        <f t="shared" si="15"/>
        <v>30302.139999999981</v>
      </c>
    </row>
    <row r="1043" spans="2:9" ht="19.5" hidden="1" x14ac:dyDescent="0.25">
      <c r="B1043" s="106"/>
      <c r="C1043" s="148" t="s">
        <v>701</v>
      </c>
      <c r="D1043" s="150">
        <v>43857</v>
      </c>
      <c r="E1043" s="113" t="s">
        <v>700</v>
      </c>
      <c r="F1043" s="257" t="s">
        <v>14414</v>
      </c>
      <c r="G1043" s="258">
        <v>7.88</v>
      </c>
      <c r="I1043" s="160">
        <f t="shared" si="15"/>
        <v>30310.019999999982</v>
      </c>
    </row>
    <row r="1044" spans="2:9" ht="19.5" hidden="1" x14ac:dyDescent="0.25">
      <c r="B1044" s="106"/>
      <c r="C1044" s="148" t="s">
        <v>699</v>
      </c>
      <c r="D1044" s="150">
        <v>43857</v>
      </c>
      <c r="E1044" s="113" t="s">
        <v>698</v>
      </c>
      <c r="F1044" s="257" t="s">
        <v>14414</v>
      </c>
      <c r="G1044" s="258">
        <v>5.04</v>
      </c>
      <c r="I1044" s="160">
        <f t="shared" ref="I1044:I1107" si="16">+I1043+G1044-H1044</f>
        <v>30315.059999999983</v>
      </c>
    </row>
    <row r="1045" spans="2:9" ht="19.5" hidden="1" x14ac:dyDescent="0.25">
      <c r="B1045" s="106"/>
      <c r="C1045" s="148" t="s">
        <v>697</v>
      </c>
      <c r="D1045" s="150">
        <v>43857</v>
      </c>
      <c r="E1045" s="113" t="s">
        <v>696</v>
      </c>
      <c r="F1045" s="257" t="s">
        <v>14414</v>
      </c>
      <c r="G1045" s="258">
        <v>5.43</v>
      </c>
      <c r="I1045" s="160">
        <f t="shared" si="16"/>
        <v>30320.489999999983</v>
      </c>
    </row>
    <row r="1046" spans="2:9" ht="19.5" hidden="1" x14ac:dyDescent="0.25">
      <c r="B1046" s="106"/>
      <c r="C1046" s="148" t="s">
        <v>695</v>
      </c>
      <c r="D1046" s="150">
        <v>43857</v>
      </c>
      <c r="E1046" s="113" t="s">
        <v>694</v>
      </c>
      <c r="F1046" s="257" t="s">
        <v>14414</v>
      </c>
      <c r="G1046" s="258">
        <v>11.01</v>
      </c>
      <c r="I1046" s="160">
        <f t="shared" si="16"/>
        <v>30331.499999999982</v>
      </c>
    </row>
    <row r="1047" spans="2:9" ht="19.5" hidden="1" x14ac:dyDescent="0.25">
      <c r="B1047" s="106"/>
      <c r="C1047" s="148" t="s">
        <v>693</v>
      </c>
      <c r="D1047" s="150">
        <v>43857</v>
      </c>
      <c r="E1047" s="113" t="s">
        <v>692</v>
      </c>
      <c r="F1047" s="257" t="s">
        <v>14414</v>
      </c>
      <c r="G1047" s="258">
        <v>4.8899999999999997</v>
      </c>
      <c r="I1047" s="160">
        <f t="shared" si="16"/>
        <v>30336.389999999981</v>
      </c>
    </row>
    <row r="1048" spans="2:9" ht="19.5" hidden="1" x14ac:dyDescent="0.25">
      <c r="B1048" s="106"/>
      <c r="C1048" s="148" t="s">
        <v>691</v>
      </c>
      <c r="D1048" s="150">
        <v>43857</v>
      </c>
      <c r="E1048" s="113" t="s">
        <v>690</v>
      </c>
      <c r="F1048" s="257" t="s">
        <v>14414</v>
      </c>
      <c r="G1048" s="258">
        <v>16.760000000000002</v>
      </c>
      <c r="I1048" s="160">
        <f t="shared" si="16"/>
        <v>30353.14999999998</v>
      </c>
    </row>
    <row r="1049" spans="2:9" ht="19.5" hidden="1" x14ac:dyDescent="0.25">
      <c r="B1049" s="106"/>
      <c r="C1049" s="148" t="s">
        <v>689</v>
      </c>
      <c r="D1049" s="150">
        <v>43857</v>
      </c>
      <c r="E1049" s="113" t="s">
        <v>688</v>
      </c>
      <c r="F1049" s="257" t="s">
        <v>14414</v>
      </c>
      <c r="G1049" s="258">
        <v>19.170000000000002</v>
      </c>
      <c r="I1049" s="160">
        <f t="shared" si="16"/>
        <v>30372.319999999978</v>
      </c>
    </row>
    <row r="1050" spans="2:9" hidden="1" x14ac:dyDescent="0.25">
      <c r="B1050" s="106"/>
      <c r="C1050" s="148" t="s">
        <v>687</v>
      </c>
      <c r="D1050" s="150">
        <v>43857</v>
      </c>
      <c r="E1050" s="113" t="s">
        <v>686</v>
      </c>
      <c r="F1050" s="256">
        <v>18</v>
      </c>
      <c r="G1050" s="255">
        <v>12.3</v>
      </c>
      <c r="I1050" s="160">
        <f t="shared" si="16"/>
        <v>30384.619999999977</v>
      </c>
    </row>
    <row r="1051" spans="2:9" hidden="1" x14ac:dyDescent="0.25">
      <c r="B1051" s="106"/>
      <c r="C1051" s="148" t="s">
        <v>685</v>
      </c>
      <c r="D1051" s="150">
        <v>43857</v>
      </c>
      <c r="E1051" s="113" t="s">
        <v>684</v>
      </c>
      <c r="F1051" s="256">
        <v>18</v>
      </c>
      <c r="G1051" s="255">
        <v>8.3800000000000008</v>
      </c>
      <c r="I1051" s="160">
        <f t="shared" si="16"/>
        <v>30392.999999999978</v>
      </c>
    </row>
    <row r="1052" spans="2:9" ht="19.5" hidden="1" x14ac:dyDescent="0.25">
      <c r="B1052" s="106"/>
      <c r="C1052" s="148" t="s">
        <v>683</v>
      </c>
      <c r="D1052" s="150">
        <v>43857</v>
      </c>
      <c r="E1052" s="113" t="s">
        <v>682</v>
      </c>
      <c r="F1052" s="256">
        <v>18</v>
      </c>
      <c r="G1052" s="255">
        <v>5.96</v>
      </c>
      <c r="I1052" s="160">
        <f t="shared" si="16"/>
        <v>30398.959999999977</v>
      </c>
    </row>
    <row r="1053" spans="2:9" hidden="1" x14ac:dyDescent="0.25">
      <c r="B1053" s="106"/>
      <c r="C1053" s="148" t="s">
        <v>681</v>
      </c>
      <c r="D1053" s="150">
        <v>43857</v>
      </c>
      <c r="E1053" s="113" t="s">
        <v>680</v>
      </c>
      <c r="F1053" s="256">
        <v>18</v>
      </c>
      <c r="G1053" s="255">
        <v>2.46</v>
      </c>
      <c r="I1053" s="160">
        <f t="shared" si="16"/>
        <v>30401.419999999976</v>
      </c>
    </row>
    <row r="1054" spans="2:9" ht="19.5" hidden="1" x14ac:dyDescent="0.25">
      <c r="B1054" s="106"/>
      <c r="C1054" s="148" t="s">
        <v>679</v>
      </c>
      <c r="D1054" s="150">
        <v>43857</v>
      </c>
      <c r="E1054" s="113" t="s">
        <v>678</v>
      </c>
      <c r="F1054" s="256">
        <v>18</v>
      </c>
      <c r="G1054" s="255">
        <v>6.89</v>
      </c>
      <c r="I1054" s="160">
        <f t="shared" si="16"/>
        <v>30408.309999999976</v>
      </c>
    </row>
    <row r="1055" spans="2:9" hidden="1" x14ac:dyDescent="0.25">
      <c r="B1055" s="106"/>
      <c r="C1055" s="148" t="s">
        <v>677</v>
      </c>
      <c r="D1055" s="150">
        <v>43857</v>
      </c>
      <c r="E1055" s="113" t="s">
        <v>676</v>
      </c>
      <c r="F1055" s="256">
        <v>18</v>
      </c>
      <c r="G1055" s="255">
        <v>26.62</v>
      </c>
      <c r="I1055" s="160">
        <f t="shared" si="16"/>
        <v>30434.929999999975</v>
      </c>
    </row>
    <row r="1056" spans="2:9" ht="19.5" hidden="1" x14ac:dyDescent="0.25">
      <c r="B1056" s="106"/>
      <c r="C1056" s="148" t="s">
        <v>675</v>
      </c>
      <c r="D1056" s="150">
        <v>43857</v>
      </c>
      <c r="E1056" s="113" t="s">
        <v>674</v>
      </c>
      <c r="F1056" s="256">
        <v>18</v>
      </c>
      <c r="G1056" s="255">
        <v>7.67</v>
      </c>
      <c r="I1056" s="160">
        <f t="shared" si="16"/>
        <v>30442.599999999973</v>
      </c>
    </row>
    <row r="1057" spans="2:9" ht="19.5" hidden="1" x14ac:dyDescent="0.25">
      <c r="B1057" s="106"/>
      <c r="C1057" s="148" t="s">
        <v>673</v>
      </c>
      <c r="D1057" s="150">
        <v>43857</v>
      </c>
      <c r="E1057" s="113" t="s">
        <v>672</v>
      </c>
      <c r="F1057" s="256">
        <v>18</v>
      </c>
      <c r="G1057" s="255">
        <v>5.4</v>
      </c>
      <c r="I1057" s="160">
        <f t="shared" si="16"/>
        <v>30447.999999999975</v>
      </c>
    </row>
    <row r="1058" spans="2:9" ht="19.5" hidden="1" x14ac:dyDescent="0.25">
      <c r="B1058" s="106"/>
      <c r="C1058" s="148" t="s">
        <v>671</v>
      </c>
      <c r="D1058" s="150">
        <v>43857</v>
      </c>
      <c r="E1058" s="113" t="s">
        <v>670</v>
      </c>
      <c r="F1058" s="256">
        <v>18</v>
      </c>
      <c r="G1058" s="255">
        <v>22.74</v>
      </c>
      <c r="I1058" s="160">
        <f t="shared" si="16"/>
        <v>30470.739999999976</v>
      </c>
    </row>
    <row r="1059" spans="2:9" ht="19.5" hidden="1" x14ac:dyDescent="0.25">
      <c r="B1059" s="106"/>
      <c r="C1059" s="148" t="s">
        <v>669</v>
      </c>
      <c r="D1059" s="150">
        <v>43857</v>
      </c>
      <c r="E1059" s="113" t="s">
        <v>668</v>
      </c>
      <c r="F1059" s="256">
        <v>18</v>
      </c>
      <c r="G1059" s="255">
        <v>12.3</v>
      </c>
      <c r="I1059" s="160">
        <f t="shared" si="16"/>
        <v>30483.039999999975</v>
      </c>
    </row>
    <row r="1060" spans="2:9" ht="19.5" hidden="1" x14ac:dyDescent="0.25">
      <c r="B1060" s="106"/>
      <c r="C1060" s="148" t="s">
        <v>667</v>
      </c>
      <c r="D1060" s="150">
        <v>43857</v>
      </c>
      <c r="E1060" s="113" t="s">
        <v>666</v>
      </c>
      <c r="F1060" s="256">
        <v>18</v>
      </c>
      <c r="G1060" s="255">
        <v>6.45</v>
      </c>
      <c r="I1060" s="160">
        <f t="shared" si="16"/>
        <v>30489.489999999976</v>
      </c>
    </row>
    <row r="1061" spans="2:9" ht="19.5" hidden="1" x14ac:dyDescent="0.25">
      <c r="B1061" s="106"/>
      <c r="C1061" s="148" t="s">
        <v>665</v>
      </c>
      <c r="D1061" s="150">
        <v>43857</v>
      </c>
      <c r="E1061" s="113" t="s">
        <v>664</v>
      </c>
      <c r="F1061" s="256">
        <v>18</v>
      </c>
      <c r="G1061" s="255">
        <v>5.73</v>
      </c>
      <c r="I1061" s="160">
        <f t="shared" si="16"/>
        <v>30495.219999999976</v>
      </c>
    </row>
    <row r="1062" spans="2:9" ht="19.5" hidden="1" x14ac:dyDescent="0.25">
      <c r="B1062" s="106"/>
      <c r="C1062" s="148" t="s">
        <v>663</v>
      </c>
      <c r="D1062" s="150">
        <v>43857</v>
      </c>
      <c r="E1062" s="113" t="s">
        <v>662</v>
      </c>
      <c r="F1062" s="256">
        <v>18</v>
      </c>
      <c r="G1062" s="255">
        <v>5.0999999999999996</v>
      </c>
      <c r="I1062" s="160">
        <f t="shared" si="16"/>
        <v>30500.319999999974</v>
      </c>
    </row>
    <row r="1063" spans="2:9" hidden="1" x14ac:dyDescent="0.25">
      <c r="B1063" s="148"/>
      <c r="C1063" s="148" t="s">
        <v>661</v>
      </c>
      <c r="D1063" s="150">
        <v>43857</v>
      </c>
      <c r="E1063" s="113" t="s">
        <v>660</v>
      </c>
      <c r="F1063" s="257" t="s">
        <v>14437</v>
      </c>
      <c r="G1063" s="160">
        <v>193.24</v>
      </c>
      <c r="I1063" s="160">
        <f t="shared" si="16"/>
        <v>30693.559999999976</v>
      </c>
    </row>
    <row r="1064" spans="2:9" hidden="1" x14ac:dyDescent="0.25">
      <c r="B1064" s="148"/>
      <c r="C1064" s="148" t="s">
        <v>659</v>
      </c>
      <c r="D1064" s="150">
        <v>43857</v>
      </c>
      <c r="E1064" s="113" t="s">
        <v>658</v>
      </c>
      <c r="F1064" s="257" t="s">
        <v>14437</v>
      </c>
      <c r="G1064" s="160">
        <v>1290.53</v>
      </c>
      <c r="I1064" s="160">
        <f t="shared" si="16"/>
        <v>31984.089999999975</v>
      </c>
    </row>
    <row r="1065" spans="2:9" ht="19.5" hidden="1" x14ac:dyDescent="0.25">
      <c r="B1065" s="148"/>
      <c r="C1065" s="148" t="s">
        <v>657</v>
      </c>
      <c r="D1065" s="150">
        <v>43858</v>
      </c>
      <c r="E1065" s="113" t="s">
        <v>656</v>
      </c>
      <c r="F1065" s="257" t="s">
        <v>14450</v>
      </c>
      <c r="G1065" s="160">
        <v>563.86</v>
      </c>
      <c r="I1065" s="160">
        <f t="shared" si="16"/>
        <v>32547.949999999975</v>
      </c>
    </row>
    <row r="1066" spans="2:9" ht="19.5" hidden="1" x14ac:dyDescent="0.25">
      <c r="B1066" s="106"/>
      <c r="C1066" s="148" t="s">
        <v>655</v>
      </c>
      <c r="D1066" s="150">
        <v>43858</v>
      </c>
      <c r="E1066" s="113" t="s">
        <v>654</v>
      </c>
      <c r="F1066" s="257" t="s">
        <v>14414</v>
      </c>
      <c r="G1066" s="258">
        <v>3.92</v>
      </c>
      <c r="I1066" s="160">
        <f t="shared" si="16"/>
        <v>32551.869999999974</v>
      </c>
    </row>
    <row r="1067" spans="2:9" ht="19.5" hidden="1" x14ac:dyDescent="0.25">
      <c r="B1067" s="148">
        <v>3305</v>
      </c>
      <c r="C1067" s="148" t="s">
        <v>653</v>
      </c>
      <c r="D1067" s="150">
        <v>43858</v>
      </c>
      <c r="E1067" s="113" t="s">
        <v>652</v>
      </c>
      <c r="F1067" s="257" t="s">
        <v>14432</v>
      </c>
      <c r="H1067" s="161">
        <v>559.76</v>
      </c>
      <c r="I1067" s="160">
        <f t="shared" si="16"/>
        <v>31992.109999999975</v>
      </c>
    </row>
    <row r="1068" spans="2:9" hidden="1" x14ac:dyDescent="0.25">
      <c r="B1068" s="148"/>
      <c r="C1068" s="148" t="s">
        <v>651</v>
      </c>
      <c r="D1068" s="150">
        <v>43858</v>
      </c>
      <c r="E1068" s="113" t="s">
        <v>650</v>
      </c>
      <c r="F1068" s="257" t="s">
        <v>14453</v>
      </c>
      <c r="G1068" s="160">
        <v>4.5999999999999996</v>
      </c>
      <c r="I1068" s="160">
        <f t="shared" si="16"/>
        <v>31996.709999999974</v>
      </c>
    </row>
    <row r="1069" spans="2:9" ht="19.5" hidden="1" x14ac:dyDescent="0.25">
      <c r="B1069" s="148"/>
      <c r="C1069" s="148" t="s">
        <v>649</v>
      </c>
      <c r="D1069" s="150">
        <v>43858</v>
      </c>
      <c r="E1069" s="113" t="s">
        <v>648</v>
      </c>
      <c r="F1069" s="257" t="s">
        <v>14453</v>
      </c>
      <c r="G1069" s="160">
        <v>10.45</v>
      </c>
      <c r="I1069" s="160">
        <f t="shared" si="16"/>
        <v>32007.159999999974</v>
      </c>
    </row>
    <row r="1070" spans="2:9" ht="19.5" hidden="1" x14ac:dyDescent="0.25">
      <c r="B1070" s="148"/>
      <c r="C1070" s="148" t="s">
        <v>647</v>
      </c>
      <c r="D1070" s="150">
        <v>43858</v>
      </c>
      <c r="E1070" s="113" t="s">
        <v>646</v>
      </c>
      <c r="F1070" s="257" t="s">
        <v>14453</v>
      </c>
      <c r="G1070" s="160">
        <v>4.1900000000000004</v>
      </c>
      <c r="I1070" s="160">
        <f t="shared" si="16"/>
        <v>32011.349999999973</v>
      </c>
    </row>
    <row r="1071" spans="2:9" ht="19.5" hidden="1" x14ac:dyDescent="0.25">
      <c r="B1071" s="148"/>
      <c r="C1071" s="148" t="s">
        <v>645</v>
      </c>
      <c r="D1071" s="150">
        <v>43858</v>
      </c>
      <c r="E1071" s="113" t="s">
        <v>644</v>
      </c>
      <c r="F1071" s="257" t="s">
        <v>14453</v>
      </c>
      <c r="G1071" s="160">
        <v>24.47</v>
      </c>
      <c r="I1071" s="160">
        <f t="shared" si="16"/>
        <v>32035.819999999974</v>
      </c>
    </row>
    <row r="1072" spans="2:9" hidden="1" x14ac:dyDescent="0.25">
      <c r="B1072" s="148"/>
      <c r="C1072" s="148" t="s">
        <v>643</v>
      </c>
      <c r="D1072" s="150">
        <v>43858</v>
      </c>
      <c r="E1072" s="113" t="s">
        <v>642</v>
      </c>
      <c r="F1072" s="257" t="s">
        <v>14437</v>
      </c>
      <c r="G1072" s="160">
        <v>2.54</v>
      </c>
      <c r="I1072" s="160">
        <f t="shared" si="16"/>
        <v>32038.359999999975</v>
      </c>
    </row>
    <row r="1073" spans="2:9" hidden="1" x14ac:dyDescent="0.25">
      <c r="B1073" s="148"/>
      <c r="C1073" s="148" t="s">
        <v>641</v>
      </c>
      <c r="D1073" s="150">
        <v>43858</v>
      </c>
      <c r="E1073" s="113" t="s">
        <v>640</v>
      </c>
      <c r="F1073" s="257" t="s">
        <v>14437</v>
      </c>
      <c r="G1073" s="160">
        <v>0.1</v>
      </c>
      <c r="I1073" s="160">
        <f t="shared" si="16"/>
        <v>32038.459999999974</v>
      </c>
    </row>
    <row r="1074" spans="2:9" hidden="1" x14ac:dyDescent="0.25">
      <c r="B1074" s="148"/>
      <c r="C1074" s="148" t="s">
        <v>639</v>
      </c>
      <c r="D1074" s="150">
        <v>43858</v>
      </c>
      <c r="E1074" s="113" t="s">
        <v>638</v>
      </c>
      <c r="F1074" s="257" t="s">
        <v>14437</v>
      </c>
      <c r="G1074" s="160">
        <v>6.94</v>
      </c>
      <c r="I1074" s="160">
        <f t="shared" si="16"/>
        <v>32045.399999999972</v>
      </c>
    </row>
    <row r="1075" spans="2:9" ht="19.5" hidden="1" x14ac:dyDescent="0.25">
      <c r="B1075" s="148"/>
      <c r="C1075" s="148" t="s">
        <v>637</v>
      </c>
      <c r="D1075" s="150">
        <v>43858</v>
      </c>
      <c r="E1075" s="113" t="s">
        <v>636</v>
      </c>
      <c r="F1075" s="257" t="s">
        <v>14436</v>
      </c>
      <c r="G1075" s="160">
        <v>4.26</v>
      </c>
      <c r="I1075" s="160">
        <f t="shared" si="16"/>
        <v>32049.659999999971</v>
      </c>
    </row>
    <row r="1076" spans="2:9" ht="19.5" hidden="1" x14ac:dyDescent="0.25">
      <c r="B1076" s="148"/>
      <c r="C1076" s="148" t="s">
        <v>635</v>
      </c>
      <c r="D1076" s="150">
        <v>43858</v>
      </c>
      <c r="E1076" s="113" t="s">
        <v>634</v>
      </c>
      <c r="F1076" s="257" t="s">
        <v>14453</v>
      </c>
      <c r="G1076" s="160">
        <v>9.6999999999999993</v>
      </c>
      <c r="I1076" s="160">
        <f t="shared" si="16"/>
        <v>32059.359999999971</v>
      </c>
    </row>
    <row r="1077" spans="2:9" ht="19.5" hidden="1" x14ac:dyDescent="0.25">
      <c r="B1077" s="106"/>
      <c r="C1077" s="148" t="s">
        <v>633</v>
      </c>
      <c r="D1077" s="150">
        <v>43858</v>
      </c>
      <c r="E1077" s="113" t="s">
        <v>632</v>
      </c>
      <c r="F1077" s="257" t="s">
        <v>14414</v>
      </c>
      <c r="G1077" s="258">
        <v>3.36</v>
      </c>
      <c r="I1077" s="160">
        <f t="shared" si="16"/>
        <v>32062.719999999972</v>
      </c>
    </row>
    <row r="1078" spans="2:9" ht="19.5" hidden="1" x14ac:dyDescent="0.25">
      <c r="B1078" s="106"/>
      <c r="C1078" s="148" t="s">
        <v>631</v>
      </c>
      <c r="D1078" s="150">
        <v>43858</v>
      </c>
      <c r="E1078" s="113" t="s">
        <v>630</v>
      </c>
      <c r="F1078" s="257" t="s">
        <v>14414</v>
      </c>
      <c r="G1078" s="258">
        <v>5.7</v>
      </c>
      <c r="I1078" s="160">
        <f t="shared" si="16"/>
        <v>32068.419999999973</v>
      </c>
    </row>
    <row r="1079" spans="2:9" hidden="1" x14ac:dyDescent="0.25">
      <c r="B1079" s="106"/>
      <c r="C1079" s="148" t="s">
        <v>629</v>
      </c>
      <c r="D1079" s="150">
        <v>43858</v>
      </c>
      <c r="E1079" s="113" t="s">
        <v>628</v>
      </c>
      <c r="F1079" s="257" t="s">
        <v>14414</v>
      </c>
      <c r="G1079" s="258">
        <v>3.01</v>
      </c>
      <c r="I1079" s="160">
        <f t="shared" si="16"/>
        <v>32071.429999999971</v>
      </c>
    </row>
    <row r="1080" spans="2:9" ht="19.5" hidden="1" x14ac:dyDescent="0.25">
      <c r="B1080" s="106"/>
      <c r="C1080" s="148" t="s">
        <v>627</v>
      </c>
      <c r="D1080" s="150">
        <v>43858</v>
      </c>
      <c r="E1080" s="113" t="s">
        <v>626</v>
      </c>
      <c r="F1080" s="257" t="s">
        <v>14414</v>
      </c>
      <c r="G1080" s="258">
        <v>5.5</v>
      </c>
      <c r="I1080" s="160">
        <f t="shared" si="16"/>
        <v>32076.929999999971</v>
      </c>
    </row>
    <row r="1081" spans="2:9" ht="19.5" hidden="1" x14ac:dyDescent="0.25">
      <c r="B1081" s="106"/>
      <c r="C1081" s="148" t="s">
        <v>625</v>
      </c>
      <c r="D1081" s="150">
        <v>43858</v>
      </c>
      <c r="E1081" s="113" t="s">
        <v>624</v>
      </c>
      <c r="F1081" s="257" t="s">
        <v>14414</v>
      </c>
      <c r="G1081" s="258">
        <v>6.73</v>
      </c>
      <c r="I1081" s="160">
        <f t="shared" si="16"/>
        <v>32083.659999999971</v>
      </c>
    </row>
    <row r="1082" spans="2:9" ht="19.5" hidden="1" x14ac:dyDescent="0.25">
      <c r="B1082" s="106"/>
      <c r="C1082" s="148" t="s">
        <v>623</v>
      </c>
      <c r="D1082" s="150">
        <v>43858</v>
      </c>
      <c r="E1082" s="113" t="s">
        <v>622</v>
      </c>
      <c r="F1082" s="257" t="s">
        <v>14414</v>
      </c>
      <c r="G1082" s="258">
        <v>3.54</v>
      </c>
      <c r="I1082" s="160">
        <f t="shared" si="16"/>
        <v>32087.199999999972</v>
      </c>
    </row>
    <row r="1083" spans="2:9" ht="19.5" hidden="1" x14ac:dyDescent="0.25">
      <c r="B1083" s="106"/>
      <c r="C1083" s="148" t="s">
        <v>621</v>
      </c>
      <c r="D1083" s="150">
        <v>43858</v>
      </c>
      <c r="E1083" s="113" t="s">
        <v>620</v>
      </c>
      <c r="F1083" s="257" t="s">
        <v>14414</v>
      </c>
      <c r="G1083" s="258">
        <v>7.47</v>
      </c>
      <c r="I1083" s="160">
        <f t="shared" si="16"/>
        <v>32094.669999999973</v>
      </c>
    </row>
    <row r="1084" spans="2:9" ht="19.5" hidden="1" x14ac:dyDescent="0.25">
      <c r="B1084" s="106"/>
      <c r="C1084" s="148" t="s">
        <v>619</v>
      </c>
      <c r="D1084" s="150">
        <v>43858</v>
      </c>
      <c r="E1084" s="113" t="s">
        <v>618</v>
      </c>
      <c r="F1084" s="257" t="s">
        <v>14414</v>
      </c>
      <c r="G1084" s="258">
        <v>9.8699999999999992</v>
      </c>
      <c r="I1084" s="160">
        <f t="shared" si="16"/>
        <v>32104.539999999972</v>
      </c>
    </row>
    <row r="1085" spans="2:9" ht="19.5" hidden="1" x14ac:dyDescent="0.25">
      <c r="B1085" s="106"/>
      <c r="C1085" s="148" t="s">
        <v>617</v>
      </c>
      <c r="D1085" s="150">
        <v>43858</v>
      </c>
      <c r="E1085" s="113" t="s">
        <v>616</v>
      </c>
      <c r="F1085" s="257" t="s">
        <v>14414</v>
      </c>
      <c r="G1085" s="258">
        <v>3.6</v>
      </c>
      <c r="I1085" s="160">
        <f t="shared" si="16"/>
        <v>32108.13999999997</v>
      </c>
    </row>
    <row r="1086" spans="2:9" hidden="1" x14ac:dyDescent="0.25">
      <c r="B1086" s="106"/>
      <c r="C1086" s="148" t="s">
        <v>615</v>
      </c>
      <c r="D1086" s="150">
        <v>43858</v>
      </c>
      <c r="E1086" s="113" t="s">
        <v>614</v>
      </c>
      <c r="F1086" s="257" t="s">
        <v>14414</v>
      </c>
      <c r="G1086" s="258">
        <v>1.68</v>
      </c>
      <c r="I1086" s="160">
        <f t="shared" si="16"/>
        <v>32109.819999999971</v>
      </c>
    </row>
    <row r="1087" spans="2:9" ht="19.5" hidden="1" x14ac:dyDescent="0.25">
      <c r="B1087" s="106"/>
      <c r="C1087" s="148" t="s">
        <v>613</v>
      </c>
      <c r="D1087" s="150">
        <v>43858</v>
      </c>
      <c r="E1087" s="113" t="s">
        <v>612</v>
      </c>
      <c r="F1087" s="257" t="s">
        <v>14414</v>
      </c>
      <c r="G1087" s="258">
        <v>4.24</v>
      </c>
      <c r="I1087" s="160">
        <f t="shared" si="16"/>
        <v>32114.059999999972</v>
      </c>
    </row>
    <row r="1088" spans="2:9" ht="19.5" hidden="1" x14ac:dyDescent="0.25">
      <c r="B1088" s="106"/>
      <c r="C1088" s="148" t="s">
        <v>611</v>
      </c>
      <c r="D1088" s="150">
        <v>43858</v>
      </c>
      <c r="E1088" s="113" t="s">
        <v>610</v>
      </c>
      <c r="F1088" s="257" t="s">
        <v>14414</v>
      </c>
      <c r="G1088" s="258">
        <v>4.76</v>
      </c>
      <c r="I1088" s="160">
        <f t="shared" si="16"/>
        <v>32118.819999999971</v>
      </c>
    </row>
    <row r="1089" spans="2:9" ht="19.5" hidden="1" x14ac:dyDescent="0.25">
      <c r="B1089" s="106"/>
      <c r="C1089" s="148" t="s">
        <v>609</v>
      </c>
      <c r="D1089" s="150">
        <v>43858</v>
      </c>
      <c r="E1089" s="113" t="s">
        <v>608</v>
      </c>
      <c r="F1089" s="257" t="s">
        <v>14414</v>
      </c>
      <c r="G1089" s="258">
        <v>3.62</v>
      </c>
      <c r="I1089" s="160">
        <f t="shared" si="16"/>
        <v>32122.43999999997</v>
      </c>
    </row>
    <row r="1090" spans="2:9" ht="19.5" hidden="1" x14ac:dyDescent="0.25">
      <c r="B1090" s="106"/>
      <c r="C1090" s="148" t="s">
        <v>607</v>
      </c>
      <c r="D1090" s="150">
        <v>43858</v>
      </c>
      <c r="E1090" s="113" t="s">
        <v>606</v>
      </c>
      <c r="F1090" s="257" t="s">
        <v>14414</v>
      </c>
      <c r="G1090" s="258">
        <v>2.2000000000000002</v>
      </c>
      <c r="I1090" s="160">
        <f t="shared" si="16"/>
        <v>32124.63999999997</v>
      </c>
    </row>
    <row r="1091" spans="2:9" ht="19.5" hidden="1" x14ac:dyDescent="0.25">
      <c r="B1091" s="106"/>
      <c r="C1091" s="148" t="s">
        <v>605</v>
      </c>
      <c r="D1091" s="150">
        <v>43858</v>
      </c>
      <c r="E1091" s="113" t="s">
        <v>604</v>
      </c>
      <c r="F1091" s="257" t="s">
        <v>14414</v>
      </c>
      <c r="G1091" s="258">
        <v>8.3800000000000008</v>
      </c>
      <c r="I1091" s="160">
        <f t="shared" si="16"/>
        <v>32133.019999999971</v>
      </c>
    </row>
    <row r="1092" spans="2:9" ht="19.5" hidden="1" x14ac:dyDescent="0.25">
      <c r="B1092" s="106"/>
      <c r="C1092" s="148" t="s">
        <v>603</v>
      </c>
      <c r="D1092" s="150">
        <v>43858</v>
      </c>
      <c r="E1092" s="113" t="s">
        <v>602</v>
      </c>
      <c r="F1092" s="257" t="s">
        <v>14414</v>
      </c>
      <c r="G1092" s="258">
        <v>8.5500000000000007</v>
      </c>
      <c r="I1092" s="160">
        <f t="shared" si="16"/>
        <v>32141.569999999971</v>
      </c>
    </row>
    <row r="1093" spans="2:9" hidden="1" x14ac:dyDescent="0.25">
      <c r="B1093" s="106"/>
      <c r="C1093" s="148" t="s">
        <v>601</v>
      </c>
      <c r="D1093" s="150">
        <v>43858</v>
      </c>
      <c r="E1093" s="113" t="s">
        <v>600</v>
      </c>
      <c r="F1093" s="257" t="s">
        <v>14414</v>
      </c>
      <c r="G1093" s="258">
        <v>2.44</v>
      </c>
      <c r="I1093" s="160">
        <f t="shared" si="16"/>
        <v>32144.009999999969</v>
      </c>
    </row>
    <row r="1094" spans="2:9" ht="19.5" hidden="1" x14ac:dyDescent="0.25">
      <c r="B1094" s="106"/>
      <c r="C1094" s="148" t="s">
        <v>599</v>
      </c>
      <c r="D1094" s="150">
        <v>43858</v>
      </c>
      <c r="E1094" s="113" t="s">
        <v>598</v>
      </c>
      <c r="F1094" s="257" t="s">
        <v>14414</v>
      </c>
      <c r="G1094" s="258">
        <v>5.0199999999999996</v>
      </c>
      <c r="I1094" s="160">
        <f t="shared" si="16"/>
        <v>32149.02999999997</v>
      </c>
    </row>
    <row r="1095" spans="2:9" hidden="1" x14ac:dyDescent="0.25">
      <c r="B1095" s="106"/>
      <c r="C1095" s="148" t="s">
        <v>597</v>
      </c>
      <c r="D1095" s="150">
        <v>43858</v>
      </c>
      <c r="E1095" s="113" t="s">
        <v>596</v>
      </c>
      <c r="F1095" s="257" t="s">
        <v>14414</v>
      </c>
      <c r="G1095" s="258">
        <v>4.88</v>
      </c>
      <c r="I1095" s="160">
        <f t="shared" si="16"/>
        <v>32153.909999999971</v>
      </c>
    </row>
    <row r="1096" spans="2:9" ht="19.5" hidden="1" x14ac:dyDescent="0.25">
      <c r="B1096" s="106"/>
      <c r="C1096" s="148" t="s">
        <v>595</v>
      </c>
      <c r="D1096" s="150">
        <v>43858</v>
      </c>
      <c r="E1096" s="113" t="s">
        <v>594</v>
      </c>
      <c r="F1096" s="257" t="s">
        <v>14414</v>
      </c>
      <c r="G1096" s="258">
        <v>3.7</v>
      </c>
      <c r="I1096" s="160">
        <f t="shared" si="16"/>
        <v>32157.609999999971</v>
      </c>
    </row>
    <row r="1097" spans="2:9" ht="19.5" hidden="1" x14ac:dyDescent="0.25">
      <c r="B1097" s="106"/>
      <c r="C1097" s="148" t="s">
        <v>593</v>
      </c>
      <c r="D1097" s="150">
        <v>43858</v>
      </c>
      <c r="E1097" s="113" t="s">
        <v>592</v>
      </c>
      <c r="F1097" s="257" t="s">
        <v>14414</v>
      </c>
      <c r="G1097" s="258">
        <v>7.56</v>
      </c>
      <c r="I1097" s="160">
        <f t="shared" si="16"/>
        <v>32165.169999999973</v>
      </c>
    </row>
    <row r="1098" spans="2:9" hidden="1" x14ac:dyDescent="0.25">
      <c r="B1098" s="106"/>
      <c r="C1098" s="148" t="s">
        <v>591</v>
      </c>
      <c r="D1098" s="150">
        <v>43858</v>
      </c>
      <c r="E1098" s="113" t="s">
        <v>590</v>
      </c>
      <c r="F1098" s="257" t="s">
        <v>14414</v>
      </c>
      <c r="G1098" s="258">
        <v>4.6100000000000003</v>
      </c>
      <c r="I1098" s="160">
        <f t="shared" si="16"/>
        <v>32169.779999999973</v>
      </c>
    </row>
    <row r="1099" spans="2:9" ht="19.5" hidden="1" x14ac:dyDescent="0.25">
      <c r="B1099" s="106"/>
      <c r="C1099" s="148" t="s">
        <v>589</v>
      </c>
      <c r="D1099" s="150">
        <v>43858</v>
      </c>
      <c r="E1099" s="113" t="s">
        <v>588</v>
      </c>
      <c r="F1099" s="257" t="s">
        <v>14414</v>
      </c>
      <c r="G1099" s="258">
        <v>5.96</v>
      </c>
      <c r="I1099" s="160">
        <f t="shared" si="16"/>
        <v>32175.739999999972</v>
      </c>
    </row>
    <row r="1100" spans="2:9" ht="19.5" hidden="1" x14ac:dyDescent="0.25">
      <c r="B1100" s="106"/>
      <c r="C1100" s="148" t="s">
        <v>587</v>
      </c>
      <c r="D1100" s="150">
        <v>43858</v>
      </c>
      <c r="E1100" s="113" t="s">
        <v>586</v>
      </c>
      <c r="F1100" s="257" t="s">
        <v>14414</v>
      </c>
      <c r="G1100" s="258">
        <v>10.32</v>
      </c>
      <c r="I1100" s="160">
        <f t="shared" si="16"/>
        <v>32186.059999999972</v>
      </c>
    </row>
    <row r="1101" spans="2:9" ht="19.5" hidden="1" x14ac:dyDescent="0.25">
      <c r="B1101" s="106"/>
      <c r="C1101" s="148" t="s">
        <v>585</v>
      </c>
      <c r="D1101" s="150">
        <v>43858</v>
      </c>
      <c r="E1101" s="113" t="s">
        <v>584</v>
      </c>
      <c r="F1101" s="257" t="s">
        <v>14414</v>
      </c>
      <c r="G1101" s="258">
        <v>5.48</v>
      </c>
      <c r="I1101" s="160">
        <f t="shared" si="16"/>
        <v>32191.539999999972</v>
      </c>
    </row>
    <row r="1102" spans="2:9" hidden="1" x14ac:dyDescent="0.25">
      <c r="B1102" s="106"/>
      <c r="C1102" s="148" t="s">
        <v>583</v>
      </c>
      <c r="D1102" s="150">
        <v>43858</v>
      </c>
      <c r="E1102" s="113" t="s">
        <v>582</v>
      </c>
      <c r="F1102" s="257" t="s">
        <v>14414</v>
      </c>
      <c r="G1102" s="258">
        <v>11.6</v>
      </c>
      <c r="I1102" s="160">
        <f t="shared" si="16"/>
        <v>32203.13999999997</v>
      </c>
    </row>
    <row r="1103" spans="2:9" hidden="1" x14ac:dyDescent="0.25">
      <c r="B1103" s="106"/>
      <c r="C1103" s="148" t="s">
        <v>581</v>
      </c>
      <c r="D1103" s="150">
        <v>43858</v>
      </c>
      <c r="E1103" s="113" t="s">
        <v>580</v>
      </c>
      <c r="F1103" s="256">
        <v>19</v>
      </c>
      <c r="G1103" s="255">
        <v>1.68</v>
      </c>
      <c r="I1103" s="160">
        <f t="shared" si="16"/>
        <v>32204.819999999971</v>
      </c>
    </row>
    <row r="1104" spans="2:9" hidden="1" x14ac:dyDescent="0.25">
      <c r="B1104" s="106"/>
      <c r="C1104" s="148" t="s">
        <v>579</v>
      </c>
      <c r="D1104" s="150">
        <v>43858</v>
      </c>
      <c r="E1104" s="113" t="s">
        <v>578</v>
      </c>
      <c r="F1104" s="256">
        <v>19</v>
      </c>
      <c r="G1104" s="255">
        <v>1.75</v>
      </c>
      <c r="I1104" s="160">
        <f t="shared" si="16"/>
        <v>32206.569999999971</v>
      </c>
    </row>
    <row r="1105" spans="2:9" hidden="1" x14ac:dyDescent="0.25">
      <c r="B1105" s="106"/>
      <c r="C1105" s="148" t="s">
        <v>577</v>
      </c>
      <c r="D1105" s="150">
        <v>43858</v>
      </c>
      <c r="E1105" s="113" t="s">
        <v>576</v>
      </c>
      <c r="F1105" s="256">
        <v>19</v>
      </c>
      <c r="G1105" s="255">
        <v>5.68</v>
      </c>
      <c r="I1105" s="160">
        <f t="shared" si="16"/>
        <v>32212.249999999971</v>
      </c>
    </row>
    <row r="1106" spans="2:9" hidden="1" x14ac:dyDescent="0.25">
      <c r="B1106" s="106"/>
      <c r="C1106" s="148" t="s">
        <v>575</v>
      </c>
      <c r="D1106" s="150">
        <v>43858</v>
      </c>
      <c r="E1106" s="113" t="s">
        <v>574</v>
      </c>
      <c r="F1106" s="256">
        <v>19</v>
      </c>
      <c r="G1106" s="255">
        <v>1.78</v>
      </c>
      <c r="I1106" s="160">
        <f t="shared" si="16"/>
        <v>32214.02999999997</v>
      </c>
    </row>
    <row r="1107" spans="2:9" hidden="1" x14ac:dyDescent="0.25">
      <c r="B1107" s="106"/>
      <c r="C1107" s="148" t="s">
        <v>573</v>
      </c>
      <c r="D1107" s="150">
        <v>43858</v>
      </c>
      <c r="E1107" s="113" t="s">
        <v>572</v>
      </c>
      <c r="F1107" s="256">
        <v>19</v>
      </c>
      <c r="G1107" s="255">
        <v>10.73</v>
      </c>
      <c r="I1107" s="160">
        <f t="shared" si="16"/>
        <v>32224.759999999969</v>
      </c>
    </row>
    <row r="1108" spans="2:9" hidden="1" x14ac:dyDescent="0.25">
      <c r="B1108" s="106"/>
      <c r="C1108" s="148" t="s">
        <v>571</v>
      </c>
      <c r="D1108" s="150">
        <v>43858</v>
      </c>
      <c r="E1108" s="113" t="s">
        <v>570</v>
      </c>
      <c r="F1108" s="256">
        <v>19</v>
      </c>
      <c r="G1108" s="255">
        <v>4.97</v>
      </c>
      <c r="I1108" s="160">
        <f t="shared" ref="I1108:I1171" si="17">+I1107+G1108-H1108</f>
        <v>32229.72999999997</v>
      </c>
    </row>
    <row r="1109" spans="2:9" hidden="1" x14ac:dyDescent="0.25">
      <c r="B1109" s="106"/>
      <c r="C1109" s="148" t="s">
        <v>569</v>
      </c>
      <c r="D1109" s="150">
        <v>43858</v>
      </c>
      <c r="E1109" s="113" t="s">
        <v>568</v>
      </c>
      <c r="F1109" s="256">
        <v>19</v>
      </c>
      <c r="G1109" s="255">
        <v>5.75</v>
      </c>
      <c r="I1109" s="160">
        <f t="shared" si="17"/>
        <v>32235.47999999997</v>
      </c>
    </row>
    <row r="1110" spans="2:9" ht="19.5" hidden="1" x14ac:dyDescent="0.25">
      <c r="B1110" s="106"/>
      <c r="C1110" s="148" t="s">
        <v>567</v>
      </c>
      <c r="D1110" s="150">
        <v>43858</v>
      </c>
      <c r="E1110" s="113" t="s">
        <v>566</v>
      </c>
      <c r="F1110" s="256">
        <v>19</v>
      </c>
      <c r="G1110" s="255">
        <v>14.85</v>
      </c>
      <c r="I1110" s="160">
        <f t="shared" si="17"/>
        <v>32250.329999999969</v>
      </c>
    </row>
    <row r="1111" spans="2:9" ht="19.5" hidden="1" x14ac:dyDescent="0.25">
      <c r="B1111" s="106"/>
      <c r="C1111" s="148" t="s">
        <v>565</v>
      </c>
      <c r="D1111" s="150">
        <v>43858</v>
      </c>
      <c r="E1111" s="113" t="s">
        <v>564</v>
      </c>
      <c r="F1111" s="256">
        <v>19</v>
      </c>
      <c r="G1111" s="255">
        <v>2</v>
      </c>
      <c r="I1111" s="160">
        <f t="shared" si="17"/>
        <v>32252.329999999969</v>
      </c>
    </row>
    <row r="1112" spans="2:9" ht="19.5" hidden="1" x14ac:dyDescent="0.25">
      <c r="B1112" s="106"/>
      <c r="C1112" s="148" t="s">
        <v>563</v>
      </c>
      <c r="D1112" s="150">
        <v>43858</v>
      </c>
      <c r="E1112" s="113" t="s">
        <v>562</v>
      </c>
      <c r="F1112" s="256">
        <v>19</v>
      </c>
      <c r="G1112" s="255">
        <v>7.06</v>
      </c>
      <c r="I1112" s="160">
        <f t="shared" si="17"/>
        <v>32259.38999999997</v>
      </c>
    </row>
    <row r="1113" spans="2:9" ht="19.5" hidden="1" x14ac:dyDescent="0.25">
      <c r="B1113" s="106"/>
      <c r="C1113" s="148" t="s">
        <v>561</v>
      </c>
      <c r="D1113" s="150">
        <v>43858</v>
      </c>
      <c r="E1113" s="113" t="s">
        <v>560</v>
      </c>
      <c r="F1113" s="256">
        <v>19</v>
      </c>
      <c r="G1113" s="255">
        <v>7.74</v>
      </c>
      <c r="I1113" s="160">
        <f t="shared" si="17"/>
        <v>32267.129999999972</v>
      </c>
    </row>
    <row r="1114" spans="2:9" hidden="1" x14ac:dyDescent="0.25">
      <c r="B1114" s="106"/>
      <c r="C1114" s="148" t="s">
        <v>559</v>
      </c>
      <c r="D1114" s="150">
        <v>43858</v>
      </c>
      <c r="E1114" s="113" t="s">
        <v>558</v>
      </c>
      <c r="F1114" s="256">
        <v>19</v>
      </c>
      <c r="G1114" s="255">
        <v>0.27</v>
      </c>
      <c r="I1114" s="160">
        <f t="shared" si="17"/>
        <v>32267.399999999972</v>
      </c>
    </row>
    <row r="1115" spans="2:9" ht="19.5" hidden="1" x14ac:dyDescent="0.25">
      <c r="B1115" s="106"/>
      <c r="C1115" s="148" t="s">
        <v>557</v>
      </c>
      <c r="D1115" s="150">
        <v>43858</v>
      </c>
      <c r="E1115" s="113" t="s">
        <v>556</v>
      </c>
      <c r="F1115" s="256">
        <v>19</v>
      </c>
      <c r="G1115" s="255">
        <v>5.2</v>
      </c>
      <c r="I1115" s="160">
        <f t="shared" si="17"/>
        <v>32272.599999999973</v>
      </c>
    </row>
    <row r="1116" spans="2:9" hidden="1" x14ac:dyDescent="0.25">
      <c r="B1116" s="106"/>
      <c r="C1116" s="148" t="s">
        <v>555</v>
      </c>
      <c r="D1116" s="150">
        <v>43858</v>
      </c>
      <c r="E1116" s="113" t="s">
        <v>554</v>
      </c>
      <c r="F1116" s="256">
        <v>19</v>
      </c>
      <c r="G1116" s="255">
        <v>1.94</v>
      </c>
      <c r="I1116" s="160">
        <f t="shared" si="17"/>
        <v>32274.539999999972</v>
      </c>
    </row>
    <row r="1117" spans="2:9" hidden="1" x14ac:dyDescent="0.25">
      <c r="B1117" s="148"/>
      <c r="C1117" s="148" t="s">
        <v>553</v>
      </c>
      <c r="D1117" s="150">
        <v>43859</v>
      </c>
      <c r="E1117" s="113" t="s">
        <v>552</v>
      </c>
      <c r="F1117" s="257" t="s">
        <v>14458</v>
      </c>
      <c r="G1117" s="160">
        <v>2.3199999999999998</v>
      </c>
      <c r="I1117" s="160">
        <f t="shared" si="17"/>
        <v>32276.859999999971</v>
      </c>
    </row>
    <row r="1118" spans="2:9" hidden="1" x14ac:dyDescent="0.25">
      <c r="B1118" s="148"/>
      <c r="C1118" s="148" t="s">
        <v>551</v>
      </c>
      <c r="D1118" s="150">
        <v>43859</v>
      </c>
      <c r="E1118" s="113" t="s">
        <v>550</v>
      </c>
      <c r="F1118" s="257" t="s">
        <v>14437</v>
      </c>
      <c r="G1118" s="160">
        <v>16.899999999999999</v>
      </c>
      <c r="I1118" s="160">
        <f t="shared" si="17"/>
        <v>32293.759999999973</v>
      </c>
    </row>
    <row r="1119" spans="2:9" ht="19.5" hidden="1" x14ac:dyDescent="0.25">
      <c r="B1119" s="148"/>
      <c r="C1119" s="148" t="s">
        <v>549</v>
      </c>
      <c r="D1119" s="150">
        <v>43859</v>
      </c>
      <c r="E1119" s="113" t="s">
        <v>548</v>
      </c>
      <c r="F1119" s="257" t="s">
        <v>14458</v>
      </c>
      <c r="G1119" s="160">
        <v>3.6</v>
      </c>
      <c r="I1119" s="160">
        <f t="shared" si="17"/>
        <v>32297.359999999971</v>
      </c>
    </row>
    <row r="1120" spans="2:9" ht="19.5" hidden="1" x14ac:dyDescent="0.25">
      <c r="B1120" s="148"/>
      <c r="C1120" s="148" t="s">
        <v>547</v>
      </c>
      <c r="D1120" s="150">
        <v>43859</v>
      </c>
      <c r="E1120" s="113" t="s">
        <v>546</v>
      </c>
      <c r="F1120" s="257" t="s">
        <v>14458</v>
      </c>
      <c r="G1120" s="160">
        <v>5.82</v>
      </c>
      <c r="I1120" s="160">
        <f t="shared" si="17"/>
        <v>32303.179999999971</v>
      </c>
    </row>
    <row r="1121" spans="2:9" ht="19.5" hidden="1" x14ac:dyDescent="0.25">
      <c r="B1121" s="148"/>
      <c r="C1121" s="148" t="s">
        <v>545</v>
      </c>
      <c r="D1121" s="150">
        <v>43859</v>
      </c>
      <c r="E1121" s="113" t="s">
        <v>544</v>
      </c>
      <c r="F1121" s="257" t="s">
        <v>14458</v>
      </c>
      <c r="G1121" s="160">
        <v>8.5500000000000007</v>
      </c>
      <c r="I1121" s="160">
        <f t="shared" si="17"/>
        <v>32311.72999999997</v>
      </c>
    </row>
    <row r="1122" spans="2:9" ht="19.5" hidden="1" x14ac:dyDescent="0.25">
      <c r="B1122" s="106"/>
      <c r="C1122" s="148" t="s">
        <v>543</v>
      </c>
      <c r="D1122" s="150">
        <v>43859</v>
      </c>
      <c r="E1122" s="113" t="s">
        <v>542</v>
      </c>
      <c r="F1122" s="256">
        <v>20</v>
      </c>
      <c r="G1122" s="255">
        <v>3.25</v>
      </c>
      <c r="I1122" s="160">
        <f t="shared" si="17"/>
        <v>32314.97999999997</v>
      </c>
    </row>
    <row r="1123" spans="2:9" hidden="1" x14ac:dyDescent="0.25">
      <c r="B1123" s="106"/>
      <c r="C1123" s="148" t="s">
        <v>541</v>
      </c>
      <c r="D1123" s="150">
        <v>43859</v>
      </c>
      <c r="E1123" s="113" t="s">
        <v>540</v>
      </c>
      <c r="F1123" s="256">
        <v>20</v>
      </c>
      <c r="G1123" s="255">
        <v>14.34</v>
      </c>
      <c r="I1123" s="160">
        <f t="shared" si="17"/>
        <v>32329.319999999971</v>
      </c>
    </row>
    <row r="1124" spans="2:9" hidden="1" x14ac:dyDescent="0.25">
      <c r="B1124" s="106"/>
      <c r="C1124" s="148" t="s">
        <v>539</v>
      </c>
      <c r="D1124" s="150">
        <v>43859</v>
      </c>
      <c r="E1124" s="113" t="s">
        <v>538</v>
      </c>
      <c r="F1124" s="256">
        <v>20</v>
      </c>
      <c r="G1124" s="255">
        <v>1.69</v>
      </c>
      <c r="I1124" s="160">
        <f t="shared" si="17"/>
        <v>32331.009999999969</v>
      </c>
    </row>
    <row r="1125" spans="2:9" ht="19.5" hidden="1" x14ac:dyDescent="0.25">
      <c r="B1125" s="106"/>
      <c r="C1125" s="148" t="s">
        <v>537</v>
      </c>
      <c r="D1125" s="150">
        <v>43859</v>
      </c>
      <c r="E1125" s="113" t="s">
        <v>536</v>
      </c>
      <c r="F1125" s="256">
        <v>20</v>
      </c>
      <c r="G1125" s="255">
        <v>5.12</v>
      </c>
      <c r="I1125" s="160">
        <f t="shared" si="17"/>
        <v>32336.129999999968</v>
      </c>
    </row>
    <row r="1126" spans="2:9" hidden="1" x14ac:dyDescent="0.25">
      <c r="B1126" s="106"/>
      <c r="C1126" s="148" t="s">
        <v>535</v>
      </c>
      <c r="D1126" s="150">
        <v>43859</v>
      </c>
      <c r="E1126" s="113" t="s">
        <v>534</v>
      </c>
      <c r="F1126" s="256">
        <v>20</v>
      </c>
      <c r="G1126" s="255">
        <v>3.29</v>
      </c>
      <c r="I1126" s="160">
        <f t="shared" si="17"/>
        <v>32339.419999999969</v>
      </c>
    </row>
    <row r="1127" spans="2:9" hidden="1" x14ac:dyDescent="0.25">
      <c r="B1127" s="106"/>
      <c r="C1127" s="148" t="s">
        <v>533</v>
      </c>
      <c r="D1127" s="150">
        <v>43859</v>
      </c>
      <c r="E1127" s="113" t="s">
        <v>532</v>
      </c>
      <c r="F1127" s="256">
        <v>20</v>
      </c>
      <c r="G1127" s="255">
        <v>27.54</v>
      </c>
      <c r="I1127" s="160">
        <f t="shared" si="17"/>
        <v>32366.95999999997</v>
      </c>
    </row>
    <row r="1128" spans="2:9" ht="19.5" hidden="1" x14ac:dyDescent="0.25">
      <c r="B1128" s="106"/>
      <c r="C1128" s="148" t="s">
        <v>531</v>
      </c>
      <c r="D1128" s="150">
        <v>43859</v>
      </c>
      <c r="E1128" s="113" t="s">
        <v>530</v>
      </c>
      <c r="F1128" s="256">
        <v>20</v>
      </c>
      <c r="G1128" s="255">
        <v>7.06</v>
      </c>
      <c r="I1128" s="160">
        <f t="shared" si="17"/>
        <v>32374.019999999971</v>
      </c>
    </row>
    <row r="1129" spans="2:9" hidden="1" x14ac:dyDescent="0.25">
      <c r="B1129" s="106"/>
      <c r="C1129" s="148" t="s">
        <v>529</v>
      </c>
      <c r="D1129" s="150">
        <v>43859</v>
      </c>
      <c r="E1129" s="113" t="s">
        <v>528</v>
      </c>
      <c r="F1129" s="256">
        <v>20</v>
      </c>
      <c r="G1129" s="255">
        <v>2.58</v>
      </c>
      <c r="I1129" s="160">
        <f t="shared" si="17"/>
        <v>32376.599999999973</v>
      </c>
    </row>
    <row r="1130" spans="2:9" hidden="1" x14ac:dyDescent="0.25">
      <c r="B1130" s="106"/>
      <c r="C1130" s="148" t="s">
        <v>527</v>
      </c>
      <c r="D1130" s="150">
        <v>43859</v>
      </c>
      <c r="E1130" s="113" t="s">
        <v>526</v>
      </c>
      <c r="F1130" s="257" t="s">
        <v>14414</v>
      </c>
      <c r="G1130" s="258">
        <v>1.68</v>
      </c>
      <c r="I1130" s="160">
        <f t="shared" si="17"/>
        <v>32378.279999999973</v>
      </c>
    </row>
    <row r="1131" spans="2:9" hidden="1" x14ac:dyDescent="0.25">
      <c r="B1131" s="106"/>
      <c r="C1131" s="148" t="s">
        <v>525</v>
      </c>
      <c r="D1131" s="150">
        <v>43859</v>
      </c>
      <c r="E1131" s="113" t="s">
        <v>524</v>
      </c>
      <c r="F1131" s="257" t="s">
        <v>14414</v>
      </c>
      <c r="G1131" s="258">
        <v>2.39</v>
      </c>
      <c r="I1131" s="160">
        <f t="shared" si="17"/>
        <v>32380.669999999973</v>
      </c>
    </row>
    <row r="1132" spans="2:9" hidden="1" x14ac:dyDescent="0.25">
      <c r="B1132" s="106"/>
      <c r="C1132" s="148" t="s">
        <v>523</v>
      </c>
      <c r="D1132" s="150">
        <v>43859</v>
      </c>
      <c r="E1132" s="113" t="s">
        <v>522</v>
      </c>
      <c r="F1132" s="257" t="s">
        <v>14414</v>
      </c>
      <c r="G1132" s="258">
        <v>1.78</v>
      </c>
      <c r="I1132" s="160">
        <f t="shared" si="17"/>
        <v>32382.449999999972</v>
      </c>
    </row>
    <row r="1133" spans="2:9" ht="19.5" hidden="1" x14ac:dyDescent="0.25">
      <c r="B1133" s="106"/>
      <c r="C1133" s="148" t="s">
        <v>521</v>
      </c>
      <c r="D1133" s="150">
        <v>43859</v>
      </c>
      <c r="E1133" s="113" t="s">
        <v>520</v>
      </c>
      <c r="F1133" s="257" t="s">
        <v>14414</v>
      </c>
      <c r="G1133" s="258">
        <v>1.1200000000000001</v>
      </c>
      <c r="I1133" s="160">
        <f t="shared" si="17"/>
        <v>32383.569999999971</v>
      </c>
    </row>
    <row r="1134" spans="2:9" ht="19.5" hidden="1" x14ac:dyDescent="0.25">
      <c r="B1134" s="106"/>
      <c r="C1134" s="148" t="s">
        <v>519</v>
      </c>
      <c r="D1134" s="150">
        <v>43859</v>
      </c>
      <c r="E1134" s="113" t="s">
        <v>518</v>
      </c>
      <c r="F1134" s="257" t="s">
        <v>14414</v>
      </c>
      <c r="G1134" s="258">
        <v>12.78</v>
      </c>
      <c r="I1134" s="160">
        <f t="shared" si="17"/>
        <v>32396.349999999969</v>
      </c>
    </row>
    <row r="1135" spans="2:9" hidden="1" x14ac:dyDescent="0.25">
      <c r="B1135" s="106"/>
      <c r="C1135" s="148" t="s">
        <v>517</v>
      </c>
      <c r="D1135" s="150">
        <v>43859</v>
      </c>
      <c r="E1135" s="113" t="s">
        <v>516</v>
      </c>
      <c r="F1135" s="257" t="s">
        <v>14414</v>
      </c>
      <c r="G1135" s="258">
        <v>2.58</v>
      </c>
      <c r="I1135" s="160">
        <f t="shared" si="17"/>
        <v>32398.929999999971</v>
      </c>
    </row>
    <row r="1136" spans="2:9" hidden="1" x14ac:dyDescent="0.25">
      <c r="B1136" s="106"/>
      <c r="C1136" s="148" t="s">
        <v>515</v>
      </c>
      <c r="D1136" s="150">
        <v>43859</v>
      </c>
      <c r="E1136" s="113" t="s">
        <v>514</v>
      </c>
      <c r="F1136" s="257" t="s">
        <v>14414</v>
      </c>
      <c r="G1136" s="258">
        <v>4.95</v>
      </c>
      <c r="I1136" s="160">
        <f t="shared" si="17"/>
        <v>32403.879999999972</v>
      </c>
    </row>
    <row r="1137" spans="2:9" hidden="1" x14ac:dyDescent="0.25">
      <c r="B1137" s="106"/>
      <c r="C1137" s="148" t="s">
        <v>513</v>
      </c>
      <c r="D1137" s="150">
        <v>43859</v>
      </c>
      <c r="E1137" s="113" t="s">
        <v>512</v>
      </c>
      <c r="F1137" s="257" t="s">
        <v>14414</v>
      </c>
      <c r="G1137" s="258">
        <v>20.66</v>
      </c>
      <c r="I1137" s="160">
        <f t="shared" si="17"/>
        <v>32424.539999999972</v>
      </c>
    </row>
    <row r="1138" spans="2:9" hidden="1" x14ac:dyDescent="0.25">
      <c r="B1138" s="106"/>
      <c r="C1138" s="148" t="s">
        <v>511</v>
      </c>
      <c r="D1138" s="150">
        <v>43859</v>
      </c>
      <c r="E1138" s="113" t="s">
        <v>510</v>
      </c>
      <c r="F1138" s="257" t="s">
        <v>14414</v>
      </c>
      <c r="G1138" s="258">
        <v>9.6300000000000008</v>
      </c>
      <c r="I1138" s="160">
        <f t="shared" si="17"/>
        <v>32434.169999999973</v>
      </c>
    </row>
    <row r="1139" spans="2:9" hidden="1" x14ac:dyDescent="0.25">
      <c r="B1139" s="106"/>
      <c r="C1139" s="148" t="s">
        <v>509</v>
      </c>
      <c r="D1139" s="150">
        <v>43859</v>
      </c>
      <c r="E1139" s="113" t="s">
        <v>508</v>
      </c>
      <c r="F1139" s="257" t="s">
        <v>14414</v>
      </c>
      <c r="G1139" s="258">
        <v>6.9</v>
      </c>
      <c r="I1139" s="160">
        <f t="shared" si="17"/>
        <v>32441.069999999974</v>
      </c>
    </row>
    <row r="1140" spans="2:9" ht="19.5" hidden="1" x14ac:dyDescent="0.25">
      <c r="B1140" s="106"/>
      <c r="C1140" s="148" t="s">
        <v>507</v>
      </c>
      <c r="D1140" s="150">
        <v>43859</v>
      </c>
      <c r="E1140" s="113" t="s">
        <v>506</v>
      </c>
      <c r="F1140" s="257" t="s">
        <v>14414</v>
      </c>
      <c r="G1140" s="258">
        <v>1.87</v>
      </c>
      <c r="I1140" s="160">
        <f t="shared" si="17"/>
        <v>32442.939999999973</v>
      </c>
    </row>
    <row r="1141" spans="2:9" ht="19.5" hidden="1" x14ac:dyDescent="0.25">
      <c r="B1141" s="106"/>
      <c r="C1141" s="148" t="s">
        <v>505</v>
      </c>
      <c r="D1141" s="150">
        <v>43859</v>
      </c>
      <c r="E1141" s="113" t="s">
        <v>504</v>
      </c>
      <c r="F1141" s="257" t="s">
        <v>14414</v>
      </c>
      <c r="G1141" s="258">
        <v>13.45</v>
      </c>
      <c r="I1141" s="160">
        <f t="shared" si="17"/>
        <v>32456.389999999974</v>
      </c>
    </row>
    <row r="1142" spans="2:9" ht="19.5" hidden="1" x14ac:dyDescent="0.25">
      <c r="B1142" s="106"/>
      <c r="C1142" s="148" t="s">
        <v>503</v>
      </c>
      <c r="D1142" s="150">
        <v>43859</v>
      </c>
      <c r="E1142" s="113" t="s">
        <v>502</v>
      </c>
      <c r="F1142" s="257" t="s">
        <v>14414</v>
      </c>
      <c r="G1142" s="258">
        <v>3.36</v>
      </c>
      <c r="I1142" s="160">
        <f t="shared" si="17"/>
        <v>32459.749999999975</v>
      </c>
    </row>
    <row r="1143" spans="2:9" hidden="1" x14ac:dyDescent="0.25">
      <c r="B1143" s="106"/>
      <c r="C1143" s="148" t="s">
        <v>501</v>
      </c>
      <c r="D1143" s="150">
        <v>43859</v>
      </c>
      <c r="E1143" s="113" t="s">
        <v>500</v>
      </c>
      <c r="F1143" s="257" t="s">
        <v>14414</v>
      </c>
      <c r="G1143" s="258">
        <v>1.68</v>
      </c>
      <c r="I1143" s="160">
        <f t="shared" si="17"/>
        <v>32461.429999999975</v>
      </c>
    </row>
    <row r="1144" spans="2:9" hidden="1" x14ac:dyDescent="0.25">
      <c r="B1144" s="106"/>
      <c r="C1144" s="148" t="s">
        <v>499</v>
      </c>
      <c r="D1144" s="150">
        <v>43859</v>
      </c>
      <c r="E1144" s="113" t="s">
        <v>498</v>
      </c>
      <c r="F1144" s="257" t="s">
        <v>14414</v>
      </c>
      <c r="G1144" s="258">
        <v>3.38</v>
      </c>
      <c r="I1144" s="160">
        <f t="shared" si="17"/>
        <v>32464.809999999976</v>
      </c>
    </row>
    <row r="1145" spans="2:9" ht="19.5" hidden="1" x14ac:dyDescent="0.25">
      <c r="B1145" s="106"/>
      <c r="C1145" s="148" t="s">
        <v>497</v>
      </c>
      <c r="D1145" s="150">
        <v>43859</v>
      </c>
      <c r="E1145" s="113" t="s">
        <v>496</v>
      </c>
      <c r="F1145" s="257" t="s">
        <v>14414</v>
      </c>
      <c r="G1145" s="258">
        <v>22.86</v>
      </c>
      <c r="I1145" s="160">
        <f t="shared" si="17"/>
        <v>32487.669999999976</v>
      </c>
    </row>
    <row r="1146" spans="2:9" hidden="1" x14ac:dyDescent="0.25">
      <c r="B1146" s="106"/>
      <c r="C1146" s="148" t="s">
        <v>495</v>
      </c>
      <c r="D1146" s="150">
        <v>43859</v>
      </c>
      <c r="E1146" s="113" t="s">
        <v>494</v>
      </c>
      <c r="F1146" s="257" t="s">
        <v>14414</v>
      </c>
      <c r="G1146" s="258">
        <v>0.56000000000000005</v>
      </c>
      <c r="I1146" s="160">
        <f t="shared" si="17"/>
        <v>32488.229999999978</v>
      </c>
    </row>
    <row r="1147" spans="2:9" ht="19.5" hidden="1" x14ac:dyDescent="0.25">
      <c r="B1147" s="106"/>
      <c r="C1147" s="148" t="s">
        <v>493</v>
      </c>
      <c r="D1147" s="150">
        <v>43859</v>
      </c>
      <c r="E1147" s="113" t="s">
        <v>492</v>
      </c>
      <c r="F1147" s="257" t="s">
        <v>14414</v>
      </c>
      <c r="G1147" s="258">
        <v>6.93</v>
      </c>
      <c r="I1147" s="160">
        <f t="shared" si="17"/>
        <v>32495.159999999978</v>
      </c>
    </row>
    <row r="1148" spans="2:9" ht="19.5" hidden="1" x14ac:dyDescent="0.25">
      <c r="B1148" s="106"/>
      <c r="C1148" s="148" t="s">
        <v>491</v>
      </c>
      <c r="D1148" s="150">
        <v>43859</v>
      </c>
      <c r="E1148" s="113" t="s">
        <v>490</v>
      </c>
      <c r="F1148" s="257" t="s">
        <v>14414</v>
      </c>
      <c r="G1148" s="258">
        <v>3.63</v>
      </c>
      <c r="I1148" s="160">
        <f t="shared" si="17"/>
        <v>32498.789999999979</v>
      </c>
    </row>
    <row r="1149" spans="2:9" hidden="1" x14ac:dyDescent="0.25">
      <c r="B1149" s="106"/>
      <c r="C1149" s="148" t="s">
        <v>489</v>
      </c>
      <c r="D1149" s="150">
        <v>43859</v>
      </c>
      <c r="E1149" s="113" t="s">
        <v>488</v>
      </c>
      <c r="F1149" s="257" t="s">
        <v>14414</v>
      </c>
      <c r="G1149" s="258">
        <v>3.35</v>
      </c>
      <c r="I1149" s="160">
        <f t="shared" si="17"/>
        <v>32502.139999999978</v>
      </c>
    </row>
    <row r="1150" spans="2:9" ht="19.5" hidden="1" x14ac:dyDescent="0.25">
      <c r="B1150" s="106"/>
      <c r="C1150" s="148" t="s">
        <v>487</v>
      </c>
      <c r="D1150" s="150">
        <v>43859</v>
      </c>
      <c r="E1150" s="113" t="s">
        <v>486</v>
      </c>
      <c r="F1150" s="257" t="s">
        <v>14414</v>
      </c>
      <c r="G1150" s="258">
        <v>29.84</v>
      </c>
      <c r="I1150" s="160">
        <f t="shared" si="17"/>
        <v>32531.979999999978</v>
      </c>
    </row>
    <row r="1151" spans="2:9" hidden="1" x14ac:dyDescent="0.25">
      <c r="B1151" s="106"/>
      <c r="C1151" s="148" t="s">
        <v>485</v>
      </c>
      <c r="D1151" s="150">
        <v>43859</v>
      </c>
      <c r="E1151" s="113" t="s">
        <v>484</v>
      </c>
      <c r="F1151" s="257" t="s">
        <v>14414</v>
      </c>
      <c r="G1151" s="258">
        <v>3.36</v>
      </c>
      <c r="I1151" s="160">
        <f t="shared" si="17"/>
        <v>32535.339999999978</v>
      </c>
    </row>
    <row r="1152" spans="2:9" ht="19.5" hidden="1" x14ac:dyDescent="0.25">
      <c r="B1152" s="106"/>
      <c r="C1152" s="148" t="s">
        <v>483</v>
      </c>
      <c r="D1152" s="150">
        <v>43859</v>
      </c>
      <c r="E1152" s="113" t="s">
        <v>482</v>
      </c>
      <c r="F1152" s="257" t="s">
        <v>14414</v>
      </c>
      <c r="G1152" s="258">
        <v>26.83</v>
      </c>
      <c r="I1152" s="160">
        <f t="shared" si="17"/>
        <v>32562.16999999998</v>
      </c>
    </row>
    <row r="1153" spans="2:9" hidden="1" x14ac:dyDescent="0.25">
      <c r="B1153" s="148"/>
      <c r="C1153" s="148" t="s">
        <v>481</v>
      </c>
      <c r="D1153" s="150">
        <v>43859</v>
      </c>
      <c r="E1153" s="113" t="s">
        <v>480</v>
      </c>
      <c r="F1153" s="257" t="s">
        <v>14436</v>
      </c>
      <c r="G1153" s="160">
        <v>5.94</v>
      </c>
      <c r="I1153" s="160">
        <f t="shared" si="17"/>
        <v>32568.109999999979</v>
      </c>
    </row>
    <row r="1154" spans="2:9" ht="19.5" hidden="1" x14ac:dyDescent="0.25">
      <c r="B1154" s="148"/>
      <c r="C1154" s="148" t="s">
        <v>479</v>
      </c>
      <c r="D1154" s="150">
        <v>43859</v>
      </c>
      <c r="E1154" s="113" t="s">
        <v>478</v>
      </c>
      <c r="F1154" s="257" t="s">
        <v>14437</v>
      </c>
      <c r="G1154" s="160">
        <v>708.17</v>
      </c>
      <c r="I1154" s="160">
        <f t="shared" si="17"/>
        <v>33276.279999999977</v>
      </c>
    </row>
    <row r="1155" spans="2:9" ht="19.5" hidden="1" x14ac:dyDescent="0.25">
      <c r="B1155" s="148"/>
      <c r="C1155" s="148" t="s">
        <v>477</v>
      </c>
      <c r="D1155" s="150">
        <v>43859</v>
      </c>
      <c r="E1155" s="113" t="s">
        <v>476</v>
      </c>
      <c r="F1155" s="257" t="s">
        <v>14436</v>
      </c>
      <c r="G1155" s="160">
        <v>2.35</v>
      </c>
      <c r="I1155" s="160">
        <f t="shared" si="17"/>
        <v>33278.629999999976</v>
      </c>
    </row>
    <row r="1156" spans="2:9" ht="19.5" hidden="1" x14ac:dyDescent="0.25">
      <c r="B1156" s="148"/>
      <c r="C1156" s="148" t="s">
        <v>475</v>
      </c>
      <c r="D1156" s="150">
        <v>43860</v>
      </c>
      <c r="E1156" s="113" t="s">
        <v>474</v>
      </c>
      <c r="F1156" s="257" t="s">
        <v>14459</v>
      </c>
      <c r="G1156" s="160">
        <v>3.36</v>
      </c>
      <c r="I1156" s="160">
        <f t="shared" si="17"/>
        <v>33281.989999999976</v>
      </c>
    </row>
    <row r="1157" spans="2:9" ht="19.5" hidden="1" x14ac:dyDescent="0.25">
      <c r="B1157" s="148"/>
      <c r="C1157" s="148" t="s">
        <v>473</v>
      </c>
      <c r="D1157" s="150">
        <v>43860</v>
      </c>
      <c r="E1157" s="113" t="s">
        <v>472</v>
      </c>
      <c r="F1157" s="257" t="s">
        <v>14459</v>
      </c>
      <c r="G1157" s="160">
        <v>3.37</v>
      </c>
      <c r="I1157" s="160">
        <f t="shared" si="17"/>
        <v>33285.359999999979</v>
      </c>
    </row>
    <row r="1158" spans="2:9" hidden="1" x14ac:dyDescent="0.25">
      <c r="B1158" s="148"/>
      <c r="C1158" s="148" t="s">
        <v>471</v>
      </c>
      <c r="D1158" s="150">
        <v>43860</v>
      </c>
      <c r="E1158" s="113" t="s">
        <v>470</v>
      </c>
      <c r="F1158" s="257" t="s">
        <v>14459</v>
      </c>
      <c r="G1158" s="160">
        <v>1.68</v>
      </c>
      <c r="I1158" s="160">
        <f t="shared" si="17"/>
        <v>33287.039999999979</v>
      </c>
    </row>
    <row r="1159" spans="2:9" ht="19.5" hidden="1" x14ac:dyDescent="0.25">
      <c r="B1159" s="148"/>
      <c r="C1159" s="148" t="s">
        <v>469</v>
      </c>
      <c r="D1159" s="150">
        <v>43860</v>
      </c>
      <c r="E1159" s="113" t="s">
        <v>468</v>
      </c>
      <c r="F1159" s="257" t="s">
        <v>14459</v>
      </c>
      <c r="G1159" s="160">
        <v>10</v>
      </c>
      <c r="I1159" s="160">
        <f t="shared" si="17"/>
        <v>33297.039999999979</v>
      </c>
    </row>
    <row r="1160" spans="2:9" hidden="1" x14ac:dyDescent="0.25">
      <c r="B1160" s="148"/>
      <c r="C1160" s="148" t="s">
        <v>467</v>
      </c>
      <c r="D1160" s="150">
        <v>43860</v>
      </c>
      <c r="E1160" s="113" t="s">
        <v>466</v>
      </c>
      <c r="F1160" s="257" t="s">
        <v>14459</v>
      </c>
      <c r="G1160" s="160">
        <v>0.74</v>
      </c>
      <c r="I1160" s="160">
        <f t="shared" si="17"/>
        <v>33297.779999999977</v>
      </c>
    </row>
    <row r="1161" spans="2:9" ht="19.5" hidden="1" x14ac:dyDescent="0.25">
      <c r="B1161" s="148"/>
      <c r="C1161" s="148" t="s">
        <v>465</v>
      </c>
      <c r="D1161" s="150">
        <v>43860</v>
      </c>
      <c r="E1161" s="113" t="s">
        <v>464</v>
      </c>
      <c r="F1161" s="257" t="s">
        <v>14459</v>
      </c>
      <c r="G1161" s="160">
        <v>6.94</v>
      </c>
      <c r="I1161" s="160">
        <f t="shared" si="17"/>
        <v>33304.719999999979</v>
      </c>
    </row>
    <row r="1162" spans="2:9" ht="19.5" hidden="1" x14ac:dyDescent="0.25">
      <c r="B1162" s="148"/>
      <c r="C1162" s="148" t="s">
        <v>463</v>
      </c>
      <c r="D1162" s="150">
        <v>43860</v>
      </c>
      <c r="E1162" s="113" t="s">
        <v>462</v>
      </c>
      <c r="F1162" s="257" t="s">
        <v>14459</v>
      </c>
      <c r="G1162" s="160">
        <v>0.5</v>
      </c>
      <c r="I1162" s="160">
        <f t="shared" si="17"/>
        <v>33305.219999999979</v>
      </c>
    </row>
    <row r="1163" spans="2:9" ht="19.5" hidden="1" x14ac:dyDescent="0.25">
      <c r="B1163" s="106"/>
      <c r="C1163" s="148" t="s">
        <v>461</v>
      </c>
      <c r="D1163" s="150">
        <v>43860</v>
      </c>
      <c r="E1163" s="113" t="s">
        <v>460</v>
      </c>
      <c r="F1163" s="257" t="s">
        <v>14414</v>
      </c>
      <c r="G1163" s="258">
        <v>13.06</v>
      </c>
      <c r="I1163" s="160">
        <f t="shared" si="17"/>
        <v>33318.279999999977</v>
      </c>
    </row>
    <row r="1164" spans="2:9" hidden="1" x14ac:dyDescent="0.25">
      <c r="B1164" s="106"/>
      <c r="C1164" s="148" t="s">
        <v>459</v>
      </c>
      <c r="D1164" s="150">
        <v>43860</v>
      </c>
      <c r="E1164" s="113" t="s">
        <v>458</v>
      </c>
      <c r="F1164" s="257" t="s">
        <v>14414</v>
      </c>
      <c r="G1164" s="258">
        <v>6.19</v>
      </c>
      <c r="I1164" s="160">
        <f t="shared" si="17"/>
        <v>33324.469999999979</v>
      </c>
    </row>
    <row r="1165" spans="2:9" hidden="1" x14ac:dyDescent="0.25">
      <c r="B1165" s="106"/>
      <c r="C1165" s="148" t="s">
        <v>457</v>
      </c>
      <c r="D1165" s="150">
        <v>43860</v>
      </c>
      <c r="E1165" s="113" t="s">
        <v>456</v>
      </c>
      <c r="F1165" s="257" t="s">
        <v>14414</v>
      </c>
      <c r="G1165" s="258">
        <v>5.13</v>
      </c>
      <c r="I1165" s="160">
        <f t="shared" si="17"/>
        <v>33329.599999999977</v>
      </c>
    </row>
    <row r="1166" spans="2:9" hidden="1" x14ac:dyDescent="0.25">
      <c r="B1166" s="106"/>
      <c r="C1166" s="148" t="s">
        <v>455</v>
      </c>
      <c r="D1166" s="150">
        <v>43860</v>
      </c>
      <c r="E1166" s="113" t="s">
        <v>454</v>
      </c>
      <c r="F1166" s="257" t="s">
        <v>14414</v>
      </c>
      <c r="G1166" s="258">
        <v>4.4800000000000004</v>
      </c>
      <c r="I1166" s="160">
        <f t="shared" si="17"/>
        <v>33334.07999999998</v>
      </c>
    </row>
    <row r="1167" spans="2:9" hidden="1" x14ac:dyDescent="0.25">
      <c r="B1167" s="106"/>
      <c r="C1167" s="148" t="s">
        <v>453</v>
      </c>
      <c r="D1167" s="150">
        <v>43860</v>
      </c>
      <c r="E1167" s="113" t="s">
        <v>452</v>
      </c>
      <c r="F1167" s="257" t="s">
        <v>14414</v>
      </c>
      <c r="G1167" s="258">
        <v>2.52</v>
      </c>
      <c r="I1167" s="160">
        <f t="shared" si="17"/>
        <v>33336.599999999977</v>
      </c>
    </row>
    <row r="1168" spans="2:9" hidden="1" x14ac:dyDescent="0.25">
      <c r="B1168" s="106"/>
      <c r="C1168" s="148" t="s">
        <v>451</v>
      </c>
      <c r="D1168" s="150">
        <v>43860</v>
      </c>
      <c r="E1168" s="113" t="s">
        <v>450</v>
      </c>
      <c r="F1168" s="257" t="s">
        <v>14414</v>
      </c>
      <c r="G1168" s="258">
        <v>5.48</v>
      </c>
      <c r="I1168" s="160">
        <f t="shared" si="17"/>
        <v>33342.07999999998</v>
      </c>
    </row>
    <row r="1169" spans="2:9" ht="19.5" hidden="1" x14ac:dyDescent="0.25">
      <c r="B1169" s="106"/>
      <c r="C1169" s="148" t="s">
        <v>449</v>
      </c>
      <c r="D1169" s="150">
        <v>43860</v>
      </c>
      <c r="E1169" s="113" t="s">
        <v>448</v>
      </c>
      <c r="F1169" s="257" t="s">
        <v>14414</v>
      </c>
      <c r="G1169" s="258">
        <v>3.38</v>
      </c>
      <c r="I1169" s="160">
        <f t="shared" si="17"/>
        <v>33345.459999999977</v>
      </c>
    </row>
    <row r="1170" spans="2:9" ht="19.5" hidden="1" x14ac:dyDescent="0.25">
      <c r="B1170" s="106"/>
      <c r="C1170" s="148" t="s">
        <v>447</v>
      </c>
      <c r="D1170" s="150">
        <v>43860</v>
      </c>
      <c r="E1170" s="113" t="s">
        <v>446</v>
      </c>
      <c r="F1170" s="257" t="s">
        <v>14414</v>
      </c>
      <c r="G1170" s="258">
        <v>12.56</v>
      </c>
      <c r="I1170" s="160">
        <f t="shared" si="17"/>
        <v>33358.019999999975</v>
      </c>
    </row>
    <row r="1171" spans="2:9" hidden="1" x14ac:dyDescent="0.25">
      <c r="B1171" s="106"/>
      <c r="C1171" s="148" t="s">
        <v>445</v>
      </c>
      <c r="D1171" s="150">
        <v>43860</v>
      </c>
      <c r="E1171" s="113" t="s">
        <v>444</v>
      </c>
      <c r="F1171" s="257" t="s">
        <v>14414</v>
      </c>
      <c r="G1171" s="258">
        <v>2.95</v>
      </c>
      <c r="I1171" s="160">
        <f t="shared" si="17"/>
        <v>33360.969999999972</v>
      </c>
    </row>
    <row r="1172" spans="2:9" hidden="1" x14ac:dyDescent="0.25">
      <c r="B1172" s="106"/>
      <c r="C1172" s="148" t="s">
        <v>443</v>
      </c>
      <c r="D1172" s="150">
        <v>43860</v>
      </c>
      <c r="E1172" s="113" t="s">
        <v>442</v>
      </c>
      <c r="F1172" s="257" t="s">
        <v>14414</v>
      </c>
      <c r="G1172" s="258">
        <v>2.23</v>
      </c>
      <c r="I1172" s="160">
        <f t="shared" ref="I1172:I1232" si="18">+I1171+G1172-H1172</f>
        <v>33363.199999999975</v>
      </c>
    </row>
    <row r="1173" spans="2:9" ht="19.5" hidden="1" x14ac:dyDescent="0.25">
      <c r="B1173" s="106"/>
      <c r="C1173" s="148" t="s">
        <v>441</v>
      </c>
      <c r="D1173" s="150">
        <v>43860</v>
      </c>
      <c r="E1173" s="113" t="s">
        <v>440</v>
      </c>
      <c r="F1173" s="257" t="s">
        <v>14414</v>
      </c>
      <c r="G1173" s="258">
        <v>5.54</v>
      </c>
      <c r="I1173" s="160">
        <f t="shared" si="18"/>
        <v>33368.739999999976</v>
      </c>
    </row>
    <row r="1174" spans="2:9" ht="19.5" hidden="1" x14ac:dyDescent="0.25">
      <c r="B1174" s="106"/>
      <c r="C1174" s="148" t="s">
        <v>439</v>
      </c>
      <c r="D1174" s="150">
        <v>43860</v>
      </c>
      <c r="E1174" s="113" t="s">
        <v>438</v>
      </c>
      <c r="F1174" s="257" t="s">
        <v>14414</v>
      </c>
      <c r="G1174" s="258">
        <v>11.33</v>
      </c>
      <c r="I1174" s="160">
        <f t="shared" si="18"/>
        <v>33380.069999999978</v>
      </c>
    </row>
    <row r="1175" spans="2:9" ht="19.5" hidden="1" x14ac:dyDescent="0.25">
      <c r="B1175" s="106"/>
      <c r="C1175" s="148" t="s">
        <v>437</v>
      </c>
      <c r="D1175" s="150">
        <v>43860</v>
      </c>
      <c r="E1175" s="113" t="s">
        <v>436</v>
      </c>
      <c r="F1175" s="257" t="s">
        <v>14414</v>
      </c>
      <c r="G1175" s="258">
        <v>5.68</v>
      </c>
      <c r="I1175" s="160">
        <f t="shared" si="18"/>
        <v>33385.749999999978</v>
      </c>
    </row>
    <row r="1176" spans="2:9" hidden="1" x14ac:dyDescent="0.25">
      <c r="B1176" s="106"/>
      <c r="C1176" s="148" t="s">
        <v>435</v>
      </c>
      <c r="D1176" s="150">
        <v>43860</v>
      </c>
      <c r="E1176" s="113" t="s">
        <v>434</v>
      </c>
      <c r="F1176" s="257" t="s">
        <v>14414</v>
      </c>
      <c r="G1176" s="258">
        <v>2.8</v>
      </c>
      <c r="I1176" s="160">
        <f t="shared" si="18"/>
        <v>33388.549999999981</v>
      </c>
    </row>
    <row r="1177" spans="2:9" ht="19.5" hidden="1" x14ac:dyDescent="0.25">
      <c r="B1177" s="106"/>
      <c r="C1177" s="148" t="s">
        <v>433</v>
      </c>
      <c r="D1177" s="150">
        <v>43860</v>
      </c>
      <c r="E1177" s="113" t="s">
        <v>432</v>
      </c>
      <c r="F1177" s="257" t="s">
        <v>14414</v>
      </c>
      <c r="G1177" s="258">
        <v>1.9</v>
      </c>
      <c r="I1177" s="160">
        <f t="shared" si="18"/>
        <v>33390.449999999983</v>
      </c>
    </row>
    <row r="1178" spans="2:9" hidden="1" x14ac:dyDescent="0.25">
      <c r="B1178" s="106"/>
      <c r="C1178" s="148" t="s">
        <v>431</v>
      </c>
      <c r="D1178" s="150">
        <v>43860</v>
      </c>
      <c r="E1178" s="113" t="s">
        <v>430</v>
      </c>
      <c r="F1178" s="257" t="s">
        <v>14414</v>
      </c>
      <c r="G1178" s="258">
        <v>3.23</v>
      </c>
      <c r="I1178" s="160">
        <f t="shared" si="18"/>
        <v>33393.679999999986</v>
      </c>
    </row>
    <row r="1179" spans="2:9" ht="19.5" hidden="1" x14ac:dyDescent="0.25">
      <c r="B1179" s="106"/>
      <c r="C1179" s="148" t="s">
        <v>429</v>
      </c>
      <c r="D1179" s="150">
        <v>43860</v>
      </c>
      <c r="E1179" s="113" t="s">
        <v>428</v>
      </c>
      <c r="F1179" s="257" t="s">
        <v>14414</v>
      </c>
      <c r="G1179" s="258">
        <v>29.81</v>
      </c>
      <c r="I1179" s="160">
        <f t="shared" si="18"/>
        <v>33423.489999999983</v>
      </c>
    </row>
    <row r="1180" spans="2:9" ht="19.5" hidden="1" x14ac:dyDescent="0.25">
      <c r="B1180" s="106"/>
      <c r="C1180" s="148" t="s">
        <v>427</v>
      </c>
      <c r="D1180" s="150">
        <v>43860</v>
      </c>
      <c r="E1180" s="113" t="s">
        <v>426</v>
      </c>
      <c r="F1180" s="257" t="s">
        <v>14414</v>
      </c>
      <c r="G1180" s="258">
        <v>3.37</v>
      </c>
      <c r="I1180" s="160">
        <f t="shared" si="18"/>
        <v>33426.859999999986</v>
      </c>
    </row>
    <row r="1181" spans="2:9" ht="19.5" hidden="1" x14ac:dyDescent="0.25">
      <c r="B1181" s="106"/>
      <c r="C1181" s="148" t="s">
        <v>425</v>
      </c>
      <c r="D1181" s="150">
        <v>43860</v>
      </c>
      <c r="E1181" s="113" t="s">
        <v>424</v>
      </c>
      <c r="F1181" s="257" t="s">
        <v>14414</v>
      </c>
      <c r="G1181" s="258">
        <v>2.72</v>
      </c>
      <c r="I1181" s="160">
        <f t="shared" si="18"/>
        <v>33429.579999999987</v>
      </c>
    </row>
    <row r="1182" spans="2:9" ht="19.5" hidden="1" x14ac:dyDescent="0.25">
      <c r="B1182" s="106"/>
      <c r="C1182" s="148" t="s">
        <v>423</v>
      </c>
      <c r="D1182" s="150">
        <v>43860</v>
      </c>
      <c r="E1182" s="113" t="s">
        <v>422</v>
      </c>
      <c r="F1182" s="257" t="s">
        <v>14414</v>
      </c>
      <c r="G1182" s="258">
        <v>5.05</v>
      </c>
      <c r="I1182" s="160">
        <f t="shared" si="18"/>
        <v>33434.62999999999</v>
      </c>
    </row>
    <row r="1183" spans="2:9" ht="19.5" hidden="1" x14ac:dyDescent="0.25">
      <c r="B1183" s="148"/>
      <c r="C1183" s="148" t="s">
        <v>421</v>
      </c>
      <c r="D1183" s="150">
        <v>43860</v>
      </c>
      <c r="E1183" s="113" t="s">
        <v>420</v>
      </c>
      <c r="F1183" s="257" t="s">
        <v>14437</v>
      </c>
      <c r="G1183" s="160">
        <v>203.3</v>
      </c>
      <c r="I1183" s="160">
        <f t="shared" si="18"/>
        <v>33637.929999999993</v>
      </c>
    </row>
    <row r="1184" spans="2:9" hidden="1" x14ac:dyDescent="0.25">
      <c r="B1184" s="106"/>
      <c r="C1184" s="148" t="s">
        <v>419</v>
      </c>
      <c r="D1184" s="150">
        <v>43860</v>
      </c>
      <c r="E1184" s="113" t="s">
        <v>418</v>
      </c>
      <c r="F1184" s="256">
        <v>21</v>
      </c>
      <c r="G1184" s="255">
        <v>1.83</v>
      </c>
      <c r="I1184" s="160">
        <f t="shared" si="18"/>
        <v>33639.759999999995</v>
      </c>
    </row>
    <row r="1185" spans="2:9" ht="19.5" hidden="1" x14ac:dyDescent="0.25">
      <c r="B1185" s="106"/>
      <c r="C1185" s="148" t="s">
        <v>417</v>
      </c>
      <c r="D1185" s="150">
        <v>43860</v>
      </c>
      <c r="E1185" s="113" t="s">
        <v>416</v>
      </c>
      <c r="F1185" s="256">
        <v>21</v>
      </c>
      <c r="G1185" s="255">
        <v>7.55</v>
      </c>
      <c r="I1185" s="160">
        <f t="shared" si="18"/>
        <v>33647.31</v>
      </c>
    </row>
    <row r="1186" spans="2:9" hidden="1" x14ac:dyDescent="0.25">
      <c r="B1186" s="106"/>
      <c r="C1186" s="148" t="s">
        <v>415</v>
      </c>
      <c r="D1186" s="150">
        <v>43860</v>
      </c>
      <c r="E1186" s="113" t="s">
        <v>414</v>
      </c>
      <c r="F1186" s="256">
        <v>21</v>
      </c>
      <c r="G1186" s="255">
        <v>2.44</v>
      </c>
      <c r="I1186" s="160">
        <f t="shared" si="18"/>
        <v>33649.75</v>
      </c>
    </row>
    <row r="1187" spans="2:9" hidden="1" x14ac:dyDescent="0.25">
      <c r="B1187" s="106"/>
      <c r="C1187" s="148" t="s">
        <v>413</v>
      </c>
      <c r="D1187" s="150">
        <v>43860</v>
      </c>
      <c r="E1187" s="113" t="s">
        <v>412</v>
      </c>
      <c r="F1187" s="256">
        <v>21</v>
      </c>
      <c r="G1187" s="255">
        <v>15.39</v>
      </c>
      <c r="I1187" s="160">
        <f t="shared" si="18"/>
        <v>33665.14</v>
      </c>
    </row>
    <row r="1188" spans="2:9" hidden="1" x14ac:dyDescent="0.25">
      <c r="B1188" s="106"/>
      <c r="C1188" s="148" t="s">
        <v>411</v>
      </c>
      <c r="D1188" s="150">
        <v>43860</v>
      </c>
      <c r="E1188" s="113" t="s">
        <v>410</v>
      </c>
      <c r="F1188" s="256">
        <v>21</v>
      </c>
      <c r="G1188" s="255">
        <v>13.51</v>
      </c>
      <c r="I1188" s="160">
        <f t="shared" si="18"/>
        <v>33678.65</v>
      </c>
    </row>
    <row r="1189" spans="2:9" hidden="1" x14ac:dyDescent="0.25">
      <c r="B1189" s="148"/>
      <c r="C1189" s="148" t="s">
        <v>409</v>
      </c>
      <c r="D1189" s="150">
        <v>43860</v>
      </c>
      <c r="E1189" s="113" t="s">
        <v>408</v>
      </c>
      <c r="F1189" s="257" t="s">
        <v>14436</v>
      </c>
      <c r="G1189" s="160">
        <v>11.61</v>
      </c>
      <c r="I1189" s="160">
        <f t="shared" si="18"/>
        <v>33690.26</v>
      </c>
    </row>
    <row r="1190" spans="2:9" ht="29.25" hidden="1" x14ac:dyDescent="0.25">
      <c r="B1190" s="148"/>
      <c r="C1190" s="148" t="s">
        <v>407</v>
      </c>
      <c r="D1190" s="150">
        <v>43860</v>
      </c>
      <c r="E1190" s="113" t="s">
        <v>406</v>
      </c>
      <c r="F1190" s="257" t="s">
        <v>14433</v>
      </c>
      <c r="H1190" s="161">
        <v>1663.42</v>
      </c>
      <c r="I1190" s="160">
        <f t="shared" si="18"/>
        <v>32026.840000000004</v>
      </c>
    </row>
    <row r="1191" spans="2:9" ht="19.5" hidden="1" x14ac:dyDescent="0.25">
      <c r="B1191" s="148"/>
      <c r="C1191" s="148" t="s">
        <v>405</v>
      </c>
      <c r="D1191" s="150">
        <v>43860</v>
      </c>
      <c r="E1191" s="113" t="s">
        <v>404</v>
      </c>
      <c r="F1191" s="257" t="s">
        <v>14433</v>
      </c>
      <c r="H1191" s="161">
        <v>2735.75</v>
      </c>
      <c r="I1191" s="160">
        <f t="shared" si="18"/>
        <v>29291.090000000004</v>
      </c>
    </row>
    <row r="1192" spans="2:9" ht="19.5" hidden="1" x14ac:dyDescent="0.25">
      <c r="B1192" s="148"/>
      <c r="C1192" s="261" t="s">
        <v>14434</v>
      </c>
      <c r="D1192" s="150">
        <v>43861</v>
      </c>
      <c r="E1192" s="269" t="s">
        <v>14435</v>
      </c>
      <c r="F1192" s="257" t="s">
        <v>14433</v>
      </c>
      <c r="H1192" s="161">
        <v>8650</v>
      </c>
      <c r="I1192" s="160">
        <f t="shared" si="18"/>
        <v>20641.090000000004</v>
      </c>
    </row>
    <row r="1193" spans="2:9" ht="19.5" x14ac:dyDescent="0.25">
      <c r="B1193" s="148"/>
      <c r="C1193" s="148" t="s">
        <v>403</v>
      </c>
      <c r="D1193" s="150">
        <v>43861</v>
      </c>
      <c r="E1193" s="113" t="s">
        <v>402</v>
      </c>
      <c r="G1193" s="160">
        <v>2</v>
      </c>
      <c r="I1193" s="160">
        <f t="shared" si="18"/>
        <v>20643.090000000004</v>
      </c>
    </row>
    <row r="1194" spans="2:9" x14ac:dyDescent="0.25">
      <c r="B1194" s="148"/>
      <c r="C1194" s="148" t="s">
        <v>401</v>
      </c>
      <c r="D1194" s="150">
        <v>43861</v>
      </c>
      <c r="E1194" s="113" t="s">
        <v>400</v>
      </c>
      <c r="G1194" s="160">
        <v>0.15</v>
      </c>
      <c r="I1194" s="160">
        <f t="shared" si="18"/>
        <v>20643.240000000005</v>
      </c>
    </row>
    <row r="1195" spans="2:9" ht="19.5" x14ac:dyDescent="0.25">
      <c r="B1195" s="148"/>
      <c r="C1195" s="148" t="s">
        <v>399</v>
      </c>
      <c r="D1195" s="150">
        <v>43861</v>
      </c>
      <c r="E1195" s="113" t="s">
        <v>398</v>
      </c>
      <c r="G1195" s="160">
        <v>0.6</v>
      </c>
      <c r="I1195" s="160">
        <f t="shared" si="18"/>
        <v>20643.840000000004</v>
      </c>
    </row>
    <row r="1196" spans="2:9" hidden="1" x14ac:dyDescent="0.25">
      <c r="B1196" s="148"/>
      <c r="C1196" s="148" t="s">
        <v>397</v>
      </c>
      <c r="D1196" s="150">
        <v>43861</v>
      </c>
      <c r="E1196" s="113" t="s">
        <v>396</v>
      </c>
      <c r="F1196" s="257" t="s">
        <v>14437</v>
      </c>
      <c r="G1196" s="160">
        <v>3.28</v>
      </c>
      <c r="I1196" s="160">
        <f t="shared" si="18"/>
        <v>20647.120000000003</v>
      </c>
    </row>
    <row r="1197" spans="2:9" hidden="1" x14ac:dyDescent="0.25">
      <c r="B1197" s="148"/>
      <c r="C1197" s="148" t="s">
        <v>395</v>
      </c>
      <c r="D1197" s="150">
        <v>43861</v>
      </c>
      <c r="E1197" s="113" t="s">
        <v>394</v>
      </c>
      <c r="F1197" s="257" t="s">
        <v>14437</v>
      </c>
      <c r="G1197" s="160">
        <v>2.67</v>
      </c>
      <c r="I1197" s="160">
        <f t="shared" si="18"/>
        <v>20649.79</v>
      </c>
    </row>
    <row r="1198" spans="2:9" ht="19.5" x14ac:dyDescent="0.25">
      <c r="B1198" s="148"/>
      <c r="C1198" s="148" t="s">
        <v>393</v>
      </c>
      <c r="D1198" s="150">
        <v>43861</v>
      </c>
      <c r="E1198" s="113" t="s">
        <v>392</v>
      </c>
      <c r="G1198" s="160">
        <v>57.57</v>
      </c>
      <c r="I1198" s="160">
        <f t="shared" si="18"/>
        <v>20707.36</v>
      </c>
    </row>
    <row r="1199" spans="2:9" ht="19.5" x14ac:dyDescent="0.25">
      <c r="B1199" s="148"/>
      <c r="C1199" s="148" t="s">
        <v>391</v>
      </c>
      <c r="D1199" s="150">
        <v>43861</v>
      </c>
      <c r="E1199" s="113" t="s">
        <v>390</v>
      </c>
      <c r="G1199" s="160">
        <v>12.99</v>
      </c>
      <c r="I1199" s="160">
        <f t="shared" si="18"/>
        <v>20720.350000000002</v>
      </c>
    </row>
    <row r="1200" spans="2:9" ht="19.5" x14ac:dyDescent="0.25">
      <c r="B1200" s="148"/>
      <c r="C1200" s="148" t="s">
        <v>389</v>
      </c>
      <c r="D1200" s="150">
        <v>43861</v>
      </c>
      <c r="E1200" s="113" t="s">
        <v>388</v>
      </c>
      <c r="G1200" s="160">
        <v>5.62</v>
      </c>
      <c r="I1200" s="160">
        <f t="shared" si="18"/>
        <v>20725.97</v>
      </c>
    </row>
    <row r="1201" spans="2:9" ht="19.5" x14ac:dyDescent="0.25">
      <c r="B1201" s="148"/>
      <c r="C1201" s="148" t="s">
        <v>387</v>
      </c>
      <c r="D1201" s="150">
        <v>43861</v>
      </c>
      <c r="E1201" s="113" t="s">
        <v>386</v>
      </c>
      <c r="G1201" s="160">
        <v>1.4</v>
      </c>
      <c r="I1201" s="160">
        <f t="shared" si="18"/>
        <v>20727.370000000003</v>
      </c>
    </row>
    <row r="1202" spans="2:9" s="268" customFormat="1" x14ac:dyDescent="0.25">
      <c r="B1202" s="262" t="s">
        <v>14415</v>
      </c>
      <c r="C1202" s="262" t="s">
        <v>385</v>
      </c>
      <c r="D1202" s="263">
        <v>43861</v>
      </c>
      <c r="E1202" s="264" t="s">
        <v>384</v>
      </c>
      <c r="F1202" s="265"/>
      <c r="G1202" s="266">
        <v>11.98</v>
      </c>
      <c r="H1202" s="267"/>
      <c r="I1202" s="160">
        <f t="shared" si="18"/>
        <v>20739.350000000002</v>
      </c>
    </row>
    <row r="1203" spans="2:9" s="268" customFormat="1" ht="19.5" x14ac:dyDescent="0.25">
      <c r="B1203" s="262" t="s">
        <v>14415</v>
      </c>
      <c r="C1203" s="262" t="s">
        <v>383</v>
      </c>
      <c r="D1203" s="263">
        <v>43861</v>
      </c>
      <c r="E1203" s="264" t="s">
        <v>382</v>
      </c>
      <c r="F1203" s="265"/>
      <c r="G1203" s="266">
        <v>5.2</v>
      </c>
      <c r="H1203" s="267"/>
      <c r="I1203" s="160">
        <f t="shared" si="18"/>
        <v>20744.550000000003</v>
      </c>
    </row>
    <row r="1204" spans="2:9" s="268" customFormat="1" ht="19.5" x14ac:dyDescent="0.25">
      <c r="B1204" s="262" t="s">
        <v>14415</v>
      </c>
      <c r="C1204" s="262" t="s">
        <v>381</v>
      </c>
      <c r="D1204" s="263">
        <v>43861</v>
      </c>
      <c r="E1204" s="264" t="s">
        <v>380</v>
      </c>
      <c r="F1204" s="265"/>
      <c r="G1204" s="266">
        <v>5.44</v>
      </c>
      <c r="H1204" s="267"/>
      <c r="I1204" s="160">
        <f t="shared" si="18"/>
        <v>20749.990000000002</v>
      </c>
    </row>
    <row r="1205" spans="2:9" s="268" customFormat="1" ht="19.5" x14ac:dyDescent="0.25">
      <c r="B1205" s="262" t="s">
        <v>14415</v>
      </c>
      <c r="C1205" s="262" t="s">
        <v>379</v>
      </c>
      <c r="D1205" s="263">
        <v>43861</v>
      </c>
      <c r="E1205" s="264" t="s">
        <v>378</v>
      </c>
      <c r="F1205" s="265"/>
      <c r="G1205" s="266">
        <v>4.6900000000000004</v>
      </c>
      <c r="H1205" s="267"/>
      <c r="I1205" s="160">
        <f t="shared" si="18"/>
        <v>20754.68</v>
      </c>
    </row>
    <row r="1206" spans="2:9" s="268" customFormat="1" x14ac:dyDescent="0.25">
      <c r="B1206" s="262" t="s">
        <v>14415</v>
      </c>
      <c r="C1206" s="262" t="s">
        <v>377</v>
      </c>
      <c r="D1206" s="263">
        <v>43861</v>
      </c>
      <c r="E1206" s="264" t="s">
        <v>376</v>
      </c>
      <c r="F1206" s="265"/>
      <c r="G1206" s="266">
        <v>3.74</v>
      </c>
      <c r="H1206" s="267"/>
      <c r="I1206" s="160">
        <f t="shared" si="18"/>
        <v>20758.420000000002</v>
      </c>
    </row>
    <row r="1207" spans="2:9" s="268" customFormat="1" ht="19.5" x14ac:dyDescent="0.25">
      <c r="B1207" s="262" t="s">
        <v>14415</v>
      </c>
      <c r="C1207" s="262" t="s">
        <v>375</v>
      </c>
      <c r="D1207" s="263">
        <v>43861</v>
      </c>
      <c r="E1207" s="264" t="s">
        <v>374</v>
      </c>
      <c r="F1207" s="265"/>
      <c r="G1207" s="266">
        <v>10.039999999999999</v>
      </c>
      <c r="H1207" s="267"/>
      <c r="I1207" s="160">
        <f t="shared" si="18"/>
        <v>20768.460000000003</v>
      </c>
    </row>
    <row r="1208" spans="2:9" s="268" customFormat="1" ht="19.5" x14ac:dyDescent="0.25">
      <c r="B1208" s="262" t="s">
        <v>14415</v>
      </c>
      <c r="C1208" s="262" t="s">
        <v>373</v>
      </c>
      <c r="D1208" s="263">
        <v>43861</v>
      </c>
      <c r="E1208" s="264" t="s">
        <v>372</v>
      </c>
      <c r="F1208" s="265"/>
      <c r="G1208" s="266">
        <v>10.75</v>
      </c>
      <c r="H1208" s="267"/>
      <c r="I1208" s="160">
        <f t="shared" si="18"/>
        <v>20779.210000000003</v>
      </c>
    </row>
    <row r="1209" spans="2:9" s="268" customFormat="1" x14ac:dyDescent="0.25">
      <c r="B1209" s="262" t="s">
        <v>14415</v>
      </c>
      <c r="C1209" s="262" t="s">
        <v>371</v>
      </c>
      <c r="D1209" s="263">
        <v>43861</v>
      </c>
      <c r="E1209" s="264" t="s">
        <v>370</v>
      </c>
      <c r="F1209" s="265"/>
      <c r="G1209" s="266">
        <v>1.68</v>
      </c>
      <c r="H1209" s="267"/>
      <c r="I1209" s="160">
        <f t="shared" si="18"/>
        <v>20780.890000000003</v>
      </c>
    </row>
    <row r="1210" spans="2:9" s="268" customFormat="1" ht="19.5" x14ac:dyDescent="0.25">
      <c r="B1210" s="262" t="s">
        <v>14415</v>
      </c>
      <c r="C1210" s="262" t="s">
        <v>369</v>
      </c>
      <c r="D1210" s="263">
        <v>43861</v>
      </c>
      <c r="E1210" s="264" t="s">
        <v>368</v>
      </c>
      <c r="F1210" s="265"/>
      <c r="G1210" s="266">
        <v>7.52</v>
      </c>
      <c r="H1210" s="267"/>
      <c r="I1210" s="160">
        <f t="shared" si="18"/>
        <v>20788.410000000003</v>
      </c>
    </row>
    <row r="1211" spans="2:9" s="268" customFormat="1" ht="19.5" x14ac:dyDescent="0.25">
      <c r="B1211" s="262" t="s">
        <v>14415</v>
      </c>
      <c r="C1211" s="262" t="s">
        <v>367</v>
      </c>
      <c r="D1211" s="263">
        <v>43861</v>
      </c>
      <c r="E1211" s="264" t="s">
        <v>366</v>
      </c>
      <c r="F1211" s="265"/>
      <c r="G1211" s="266">
        <v>0.72</v>
      </c>
      <c r="H1211" s="267"/>
      <c r="I1211" s="160">
        <f t="shared" si="18"/>
        <v>20789.130000000005</v>
      </c>
    </row>
    <row r="1212" spans="2:9" s="268" customFormat="1" ht="19.5" x14ac:dyDescent="0.25">
      <c r="B1212" s="262" t="s">
        <v>14415</v>
      </c>
      <c r="C1212" s="262" t="s">
        <v>365</v>
      </c>
      <c r="D1212" s="263">
        <v>43861</v>
      </c>
      <c r="E1212" s="264" t="s">
        <v>364</v>
      </c>
      <c r="F1212" s="265"/>
      <c r="G1212" s="266">
        <v>2.09</v>
      </c>
      <c r="H1212" s="267"/>
      <c r="I1212" s="160">
        <f t="shared" si="18"/>
        <v>20791.220000000005</v>
      </c>
    </row>
    <row r="1213" spans="2:9" s="268" customFormat="1" ht="19.5" x14ac:dyDescent="0.25">
      <c r="B1213" s="262" t="s">
        <v>14415</v>
      </c>
      <c r="C1213" s="262" t="s">
        <v>363</v>
      </c>
      <c r="D1213" s="263">
        <v>43861</v>
      </c>
      <c r="E1213" s="264" t="s">
        <v>362</v>
      </c>
      <c r="F1213" s="265"/>
      <c r="G1213" s="266">
        <v>10.09</v>
      </c>
      <c r="H1213" s="267"/>
      <c r="I1213" s="160">
        <f t="shared" si="18"/>
        <v>20801.310000000005</v>
      </c>
    </row>
    <row r="1214" spans="2:9" s="268" customFormat="1" ht="19.5" x14ac:dyDescent="0.25">
      <c r="B1214" s="262" t="s">
        <v>14415</v>
      </c>
      <c r="C1214" s="262" t="s">
        <v>361</v>
      </c>
      <c r="D1214" s="263">
        <v>43861</v>
      </c>
      <c r="E1214" s="264" t="s">
        <v>360</v>
      </c>
      <c r="F1214" s="265"/>
      <c r="G1214" s="266">
        <v>5.04</v>
      </c>
      <c r="H1214" s="267"/>
      <c r="I1214" s="160">
        <f t="shared" si="18"/>
        <v>20806.350000000006</v>
      </c>
    </row>
    <row r="1215" spans="2:9" s="268" customFormat="1" x14ac:dyDescent="0.25">
      <c r="B1215" s="262" t="s">
        <v>14415</v>
      </c>
      <c r="C1215" s="262" t="s">
        <v>359</v>
      </c>
      <c r="D1215" s="263">
        <v>43861</v>
      </c>
      <c r="E1215" s="264" t="s">
        <v>358</v>
      </c>
      <c r="F1215" s="265"/>
      <c r="G1215" s="266">
        <v>2.4500000000000002</v>
      </c>
      <c r="H1215" s="267"/>
      <c r="I1215" s="160">
        <f t="shared" si="18"/>
        <v>20808.800000000007</v>
      </c>
    </row>
    <row r="1216" spans="2:9" s="268" customFormat="1" x14ac:dyDescent="0.25">
      <c r="B1216" s="262" t="s">
        <v>14415</v>
      </c>
      <c r="C1216" s="262" t="s">
        <v>357</v>
      </c>
      <c r="D1216" s="263">
        <v>43861</v>
      </c>
      <c r="E1216" s="264" t="s">
        <v>356</v>
      </c>
      <c r="F1216" s="265"/>
      <c r="G1216" s="266">
        <v>7.93</v>
      </c>
      <c r="H1216" s="267"/>
      <c r="I1216" s="160">
        <f t="shared" si="18"/>
        <v>20816.730000000007</v>
      </c>
    </row>
    <row r="1217" spans="2:9" s="268" customFormat="1" x14ac:dyDescent="0.25">
      <c r="B1217" s="262" t="s">
        <v>14415</v>
      </c>
      <c r="C1217" s="262" t="s">
        <v>355</v>
      </c>
      <c r="D1217" s="263">
        <v>43861</v>
      </c>
      <c r="E1217" s="264" t="s">
        <v>354</v>
      </c>
      <c r="F1217" s="265"/>
      <c r="G1217" s="266">
        <v>11.93</v>
      </c>
      <c r="H1217" s="267"/>
      <c r="I1217" s="160">
        <f t="shared" si="18"/>
        <v>20828.660000000007</v>
      </c>
    </row>
    <row r="1218" spans="2:9" s="268" customFormat="1" x14ac:dyDescent="0.25">
      <c r="B1218" s="262" t="s">
        <v>14415</v>
      </c>
      <c r="C1218" s="262" t="s">
        <v>353</v>
      </c>
      <c r="D1218" s="263">
        <v>43861</v>
      </c>
      <c r="E1218" s="264" t="s">
        <v>352</v>
      </c>
      <c r="F1218" s="265"/>
      <c r="G1218" s="266">
        <v>6.05</v>
      </c>
      <c r="H1218" s="267"/>
      <c r="I1218" s="160">
        <f t="shared" si="18"/>
        <v>20834.710000000006</v>
      </c>
    </row>
    <row r="1219" spans="2:9" s="268" customFormat="1" x14ac:dyDescent="0.25">
      <c r="B1219" s="262" t="s">
        <v>14415</v>
      </c>
      <c r="C1219" s="262" t="s">
        <v>351</v>
      </c>
      <c r="D1219" s="263">
        <v>43861</v>
      </c>
      <c r="E1219" s="264" t="s">
        <v>350</v>
      </c>
      <c r="F1219" s="265"/>
      <c r="G1219" s="266">
        <v>0.62</v>
      </c>
      <c r="H1219" s="267"/>
      <c r="I1219" s="160">
        <f t="shared" si="18"/>
        <v>20835.330000000005</v>
      </c>
    </row>
    <row r="1220" spans="2:9" s="268" customFormat="1" x14ac:dyDescent="0.25">
      <c r="B1220" s="262" t="s">
        <v>14415</v>
      </c>
      <c r="C1220" s="262" t="s">
        <v>349</v>
      </c>
      <c r="D1220" s="263">
        <v>43861</v>
      </c>
      <c r="E1220" s="264" t="s">
        <v>348</v>
      </c>
      <c r="F1220" s="265"/>
      <c r="G1220" s="266">
        <v>3.38</v>
      </c>
      <c r="H1220" s="267"/>
      <c r="I1220" s="160">
        <f t="shared" si="18"/>
        <v>20838.710000000006</v>
      </c>
    </row>
    <row r="1221" spans="2:9" s="268" customFormat="1" x14ac:dyDescent="0.25">
      <c r="B1221" s="262" t="s">
        <v>14415</v>
      </c>
      <c r="C1221" s="262" t="s">
        <v>347</v>
      </c>
      <c r="D1221" s="263">
        <v>43861</v>
      </c>
      <c r="E1221" s="264" t="s">
        <v>346</v>
      </c>
      <c r="F1221" s="265"/>
      <c r="G1221" s="266">
        <v>2.59</v>
      </c>
      <c r="H1221" s="267"/>
      <c r="I1221" s="160">
        <f t="shared" si="18"/>
        <v>20841.300000000007</v>
      </c>
    </row>
    <row r="1222" spans="2:9" s="268" customFormat="1" ht="19.5" x14ac:dyDescent="0.25">
      <c r="B1222" s="262" t="s">
        <v>14415</v>
      </c>
      <c r="C1222" s="262" t="s">
        <v>345</v>
      </c>
      <c r="D1222" s="263">
        <v>43861</v>
      </c>
      <c r="E1222" s="264" t="s">
        <v>344</v>
      </c>
      <c r="F1222" s="265"/>
      <c r="G1222" s="266">
        <v>4.16</v>
      </c>
      <c r="H1222" s="267"/>
      <c r="I1222" s="160">
        <f t="shared" si="18"/>
        <v>20845.460000000006</v>
      </c>
    </row>
    <row r="1223" spans="2:9" s="268" customFormat="1" ht="19.5" x14ac:dyDescent="0.25">
      <c r="B1223" s="262" t="s">
        <v>14415</v>
      </c>
      <c r="C1223" s="262" t="s">
        <v>343</v>
      </c>
      <c r="D1223" s="263">
        <v>43861</v>
      </c>
      <c r="E1223" s="264" t="s">
        <v>342</v>
      </c>
      <c r="F1223" s="265"/>
      <c r="G1223" s="266">
        <v>5.46</v>
      </c>
      <c r="H1223" s="267"/>
      <c r="I1223" s="160">
        <f t="shared" si="18"/>
        <v>20850.920000000006</v>
      </c>
    </row>
    <row r="1224" spans="2:9" s="268" customFormat="1" x14ac:dyDescent="0.25">
      <c r="B1224" s="262" t="s">
        <v>14415</v>
      </c>
      <c r="C1224" s="262" t="s">
        <v>341</v>
      </c>
      <c r="D1224" s="263">
        <v>43861</v>
      </c>
      <c r="E1224" s="264" t="s">
        <v>340</v>
      </c>
      <c r="F1224" s="265"/>
      <c r="G1224" s="266">
        <v>1.78</v>
      </c>
      <c r="H1224" s="267"/>
      <c r="I1224" s="160">
        <f t="shared" si="18"/>
        <v>20852.700000000004</v>
      </c>
    </row>
    <row r="1225" spans="2:9" hidden="1" x14ac:dyDescent="0.25">
      <c r="B1225" s="106"/>
      <c r="C1225" s="148" t="s">
        <v>339</v>
      </c>
      <c r="D1225" s="150">
        <v>43861</v>
      </c>
      <c r="E1225" s="113" t="s">
        <v>338</v>
      </c>
      <c r="F1225" s="256">
        <v>22</v>
      </c>
      <c r="G1225" s="255">
        <v>1.98</v>
      </c>
      <c r="I1225" s="160">
        <f t="shared" si="18"/>
        <v>20854.680000000004</v>
      </c>
    </row>
    <row r="1226" spans="2:9" hidden="1" x14ac:dyDescent="0.25">
      <c r="B1226" s="106"/>
      <c r="C1226" s="148" t="s">
        <v>337</v>
      </c>
      <c r="D1226" s="150">
        <v>43861</v>
      </c>
      <c r="E1226" s="113" t="s">
        <v>336</v>
      </c>
      <c r="F1226" s="256">
        <v>22</v>
      </c>
      <c r="G1226" s="255">
        <v>1.68</v>
      </c>
      <c r="I1226" s="160">
        <f t="shared" si="18"/>
        <v>20856.360000000004</v>
      </c>
    </row>
    <row r="1227" spans="2:9" ht="19.5" hidden="1" x14ac:dyDescent="0.25">
      <c r="B1227" s="106"/>
      <c r="C1227" s="148" t="s">
        <v>335</v>
      </c>
      <c r="D1227" s="150">
        <v>43861</v>
      </c>
      <c r="E1227" s="113" t="s">
        <v>334</v>
      </c>
      <c r="F1227" s="256">
        <v>22</v>
      </c>
      <c r="G1227" s="255">
        <v>13.56</v>
      </c>
      <c r="I1227" s="160">
        <f t="shared" si="18"/>
        <v>20869.920000000006</v>
      </c>
    </row>
    <row r="1228" spans="2:9" ht="19.5" hidden="1" x14ac:dyDescent="0.25">
      <c r="B1228" s="106"/>
      <c r="C1228" s="148" t="s">
        <v>333</v>
      </c>
      <c r="D1228" s="150">
        <v>43861</v>
      </c>
      <c r="E1228" s="113" t="s">
        <v>332</v>
      </c>
      <c r="F1228" s="256">
        <v>22</v>
      </c>
      <c r="G1228" s="255">
        <v>1.88</v>
      </c>
      <c r="I1228" s="160">
        <f t="shared" si="18"/>
        <v>20871.800000000007</v>
      </c>
    </row>
    <row r="1229" spans="2:9" ht="19.5" hidden="1" x14ac:dyDescent="0.25">
      <c r="B1229" s="106"/>
      <c r="C1229" s="148" t="s">
        <v>331</v>
      </c>
      <c r="D1229" s="150">
        <v>43861</v>
      </c>
      <c r="E1229" s="113" t="s">
        <v>330</v>
      </c>
      <c r="F1229" s="256">
        <v>22</v>
      </c>
      <c r="G1229" s="255">
        <v>9.67</v>
      </c>
      <c r="I1229" s="160">
        <f t="shared" si="18"/>
        <v>20881.470000000005</v>
      </c>
    </row>
    <row r="1230" spans="2:9" hidden="1" x14ac:dyDescent="0.25">
      <c r="B1230" s="106"/>
      <c r="C1230" s="148" t="s">
        <v>329</v>
      </c>
      <c r="D1230" s="150">
        <v>43861</v>
      </c>
      <c r="E1230" s="113" t="s">
        <v>328</v>
      </c>
      <c r="F1230" s="256">
        <v>22</v>
      </c>
      <c r="G1230" s="255">
        <v>8.3800000000000008</v>
      </c>
      <c r="I1230" s="160">
        <f t="shared" si="18"/>
        <v>20889.850000000006</v>
      </c>
    </row>
    <row r="1231" spans="2:9" ht="19.5" hidden="1" x14ac:dyDescent="0.25">
      <c r="B1231" s="106"/>
      <c r="C1231" s="148" t="s">
        <v>327</v>
      </c>
      <c r="D1231" s="150">
        <v>43861</v>
      </c>
      <c r="E1231" s="113" t="s">
        <v>326</v>
      </c>
      <c r="F1231" s="256">
        <v>22</v>
      </c>
      <c r="G1231" s="255">
        <v>10.52</v>
      </c>
      <c r="I1231" s="160">
        <f t="shared" si="18"/>
        <v>20900.370000000006</v>
      </c>
    </row>
    <row r="1232" spans="2:9" hidden="1" x14ac:dyDescent="0.25">
      <c r="B1232" s="106"/>
      <c r="C1232" s="148" t="s">
        <v>325</v>
      </c>
      <c r="D1232" s="150">
        <v>43861</v>
      </c>
      <c r="E1232" s="113" t="s">
        <v>324</v>
      </c>
      <c r="F1232" s="256">
        <v>22</v>
      </c>
      <c r="G1232" s="255">
        <v>8.64</v>
      </c>
      <c r="I1232" s="160">
        <f t="shared" si="18"/>
        <v>20909.010000000006</v>
      </c>
    </row>
    <row r="1233" spans="1:9" x14ac:dyDescent="0.25">
      <c r="A1233" s="104" t="s">
        <v>323</v>
      </c>
      <c r="B1233" s="149">
        <v>31078.87</v>
      </c>
      <c r="C1233" s="149" t="s">
        <v>322</v>
      </c>
      <c r="D1233" s="151">
        <v>15647.55</v>
      </c>
      <c r="E1233" s="104" t="s">
        <v>321</v>
      </c>
      <c r="H1233" s="153" t="s">
        <v>320</v>
      </c>
      <c r="I1233" s="162">
        <v>20909.009999999998</v>
      </c>
    </row>
    <row r="1234" spans="1:9" x14ac:dyDescent="0.25">
      <c r="E1234" s="105">
        <v>17167.41</v>
      </c>
    </row>
    <row r="1236" spans="1:9" x14ac:dyDescent="0.25">
      <c r="E1236" s="114" t="s">
        <v>319</v>
      </c>
      <c r="I1236" s="158" t="s">
        <v>318</v>
      </c>
    </row>
  </sheetData>
  <autoFilter ref="A17:K1234" xr:uid="{36E4D5CC-C59D-40E2-98F0-8C5D9F8B356A}">
    <filterColumn colId="5">
      <filters blank="1"/>
    </filterColumn>
  </autoFilter>
  <pageMargins left="0.75" right="0.75" top="1" bottom="1" header="0" footer="0"/>
  <pageSetup orientation="portrait" errors="NA" horizontalDpi="0" verticalDpi="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1A19-7748-4908-A01A-E06D0504DEBE}">
  <dimension ref="A1:F302"/>
  <sheetViews>
    <sheetView topLeftCell="A243" zoomScaleNormal="100" workbookViewId="0">
      <selection activeCell="A256" sqref="A256:XFD257"/>
    </sheetView>
  </sheetViews>
  <sheetFormatPr baseColWidth="10" defaultRowHeight="15" x14ac:dyDescent="0.25"/>
  <cols>
    <col min="1" max="1" width="11.5703125" style="122"/>
    <col min="2" max="2" width="45.42578125" customWidth="1"/>
    <col min="3" max="3" width="8.85546875" style="169" customWidth="1"/>
    <col min="4" max="4" width="12" style="122" customWidth="1"/>
    <col min="5" max="5" width="15.7109375" bestFit="1" customWidth="1"/>
    <col min="6" max="6" width="10.28515625" bestFit="1" customWidth="1"/>
    <col min="7" max="7" width="10.7109375" customWidth="1"/>
    <col min="258" max="258" width="45.42578125" customWidth="1"/>
    <col min="259" max="259" width="7.7109375" customWidth="1"/>
    <col min="260" max="260" width="12" customWidth="1"/>
    <col min="261" max="261" width="15.7109375" bestFit="1" customWidth="1"/>
    <col min="262" max="262" width="10.28515625" bestFit="1" customWidth="1"/>
    <col min="263" max="263" width="10.7109375" customWidth="1"/>
    <col min="514" max="514" width="45.42578125" customWidth="1"/>
    <col min="515" max="515" width="7.7109375" customWidth="1"/>
    <col min="516" max="516" width="12" customWidth="1"/>
    <col min="517" max="517" width="15.7109375" bestFit="1" customWidth="1"/>
    <col min="518" max="518" width="10.28515625" bestFit="1" customWidth="1"/>
    <col min="519" max="519" width="10.7109375" customWidth="1"/>
    <col min="770" max="770" width="45.42578125" customWidth="1"/>
    <col min="771" max="771" width="7.7109375" customWidth="1"/>
    <col min="772" max="772" width="12" customWidth="1"/>
    <col min="773" max="773" width="15.7109375" bestFit="1" customWidth="1"/>
    <col min="774" max="774" width="10.28515625" bestFit="1" customWidth="1"/>
    <col min="775" max="775" width="10.7109375" customWidth="1"/>
    <col min="1026" max="1026" width="45.42578125" customWidth="1"/>
    <col min="1027" max="1027" width="7.7109375" customWidth="1"/>
    <col min="1028" max="1028" width="12" customWidth="1"/>
    <col min="1029" max="1029" width="15.7109375" bestFit="1" customWidth="1"/>
    <col min="1030" max="1030" width="10.28515625" bestFit="1" customWidth="1"/>
    <col min="1031" max="1031" width="10.7109375" customWidth="1"/>
    <col min="1282" max="1282" width="45.42578125" customWidth="1"/>
    <col min="1283" max="1283" width="7.7109375" customWidth="1"/>
    <col min="1284" max="1284" width="12" customWidth="1"/>
    <col min="1285" max="1285" width="15.7109375" bestFit="1" customWidth="1"/>
    <col min="1286" max="1286" width="10.28515625" bestFit="1" customWidth="1"/>
    <col min="1287" max="1287" width="10.7109375" customWidth="1"/>
    <col min="1538" max="1538" width="45.42578125" customWidth="1"/>
    <col min="1539" max="1539" width="7.7109375" customWidth="1"/>
    <col min="1540" max="1540" width="12" customWidth="1"/>
    <col min="1541" max="1541" width="15.7109375" bestFit="1" customWidth="1"/>
    <col min="1542" max="1542" width="10.28515625" bestFit="1" customWidth="1"/>
    <col min="1543" max="1543" width="10.7109375" customWidth="1"/>
    <col min="1794" max="1794" width="45.42578125" customWidth="1"/>
    <col min="1795" max="1795" width="7.7109375" customWidth="1"/>
    <col min="1796" max="1796" width="12" customWidth="1"/>
    <col min="1797" max="1797" width="15.7109375" bestFit="1" customWidth="1"/>
    <col min="1798" max="1798" width="10.28515625" bestFit="1" customWidth="1"/>
    <col min="1799" max="1799" width="10.7109375" customWidth="1"/>
    <col min="2050" max="2050" width="45.42578125" customWidth="1"/>
    <col min="2051" max="2051" width="7.7109375" customWidth="1"/>
    <col min="2052" max="2052" width="12" customWidth="1"/>
    <col min="2053" max="2053" width="15.7109375" bestFit="1" customWidth="1"/>
    <col min="2054" max="2054" width="10.28515625" bestFit="1" customWidth="1"/>
    <col min="2055" max="2055" width="10.7109375" customWidth="1"/>
    <col min="2306" max="2306" width="45.42578125" customWidth="1"/>
    <col min="2307" max="2307" width="7.7109375" customWidth="1"/>
    <col min="2308" max="2308" width="12" customWidth="1"/>
    <col min="2309" max="2309" width="15.7109375" bestFit="1" customWidth="1"/>
    <col min="2310" max="2310" width="10.28515625" bestFit="1" customWidth="1"/>
    <col min="2311" max="2311" width="10.7109375" customWidth="1"/>
    <col min="2562" max="2562" width="45.42578125" customWidth="1"/>
    <col min="2563" max="2563" width="7.7109375" customWidth="1"/>
    <col min="2564" max="2564" width="12" customWidth="1"/>
    <col min="2565" max="2565" width="15.7109375" bestFit="1" customWidth="1"/>
    <col min="2566" max="2566" width="10.28515625" bestFit="1" customWidth="1"/>
    <col min="2567" max="2567" width="10.7109375" customWidth="1"/>
    <col min="2818" max="2818" width="45.42578125" customWidth="1"/>
    <col min="2819" max="2819" width="7.7109375" customWidth="1"/>
    <col min="2820" max="2820" width="12" customWidth="1"/>
    <col min="2821" max="2821" width="15.7109375" bestFit="1" customWidth="1"/>
    <col min="2822" max="2822" width="10.28515625" bestFit="1" customWidth="1"/>
    <col min="2823" max="2823" width="10.7109375" customWidth="1"/>
    <col min="3074" max="3074" width="45.42578125" customWidth="1"/>
    <col min="3075" max="3075" width="7.7109375" customWidth="1"/>
    <col min="3076" max="3076" width="12" customWidth="1"/>
    <col min="3077" max="3077" width="15.7109375" bestFit="1" customWidth="1"/>
    <col min="3078" max="3078" width="10.28515625" bestFit="1" customWidth="1"/>
    <col min="3079" max="3079" width="10.7109375" customWidth="1"/>
    <col min="3330" max="3330" width="45.42578125" customWidth="1"/>
    <col min="3331" max="3331" width="7.7109375" customWidth="1"/>
    <col min="3332" max="3332" width="12" customWidth="1"/>
    <col min="3333" max="3333" width="15.7109375" bestFit="1" customWidth="1"/>
    <col min="3334" max="3334" width="10.28515625" bestFit="1" customWidth="1"/>
    <col min="3335" max="3335" width="10.7109375" customWidth="1"/>
    <col min="3586" max="3586" width="45.42578125" customWidth="1"/>
    <col min="3587" max="3587" width="7.7109375" customWidth="1"/>
    <col min="3588" max="3588" width="12" customWidth="1"/>
    <col min="3589" max="3589" width="15.7109375" bestFit="1" customWidth="1"/>
    <col min="3590" max="3590" width="10.28515625" bestFit="1" customWidth="1"/>
    <col min="3591" max="3591" width="10.7109375" customWidth="1"/>
    <col min="3842" max="3842" width="45.42578125" customWidth="1"/>
    <col min="3843" max="3843" width="7.7109375" customWidth="1"/>
    <col min="3844" max="3844" width="12" customWidth="1"/>
    <col min="3845" max="3845" width="15.7109375" bestFit="1" customWidth="1"/>
    <col min="3846" max="3846" width="10.28515625" bestFit="1" customWidth="1"/>
    <col min="3847" max="3847" width="10.7109375" customWidth="1"/>
    <col min="4098" max="4098" width="45.42578125" customWidth="1"/>
    <col min="4099" max="4099" width="7.7109375" customWidth="1"/>
    <col min="4100" max="4100" width="12" customWidth="1"/>
    <col min="4101" max="4101" width="15.7109375" bestFit="1" customWidth="1"/>
    <col min="4102" max="4102" width="10.28515625" bestFit="1" customWidth="1"/>
    <col min="4103" max="4103" width="10.7109375" customWidth="1"/>
    <col min="4354" max="4354" width="45.42578125" customWidth="1"/>
    <col min="4355" max="4355" width="7.7109375" customWidth="1"/>
    <col min="4356" max="4356" width="12" customWidth="1"/>
    <col min="4357" max="4357" width="15.7109375" bestFit="1" customWidth="1"/>
    <col min="4358" max="4358" width="10.28515625" bestFit="1" customWidth="1"/>
    <col min="4359" max="4359" width="10.7109375" customWidth="1"/>
    <col min="4610" max="4610" width="45.42578125" customWidth="1"/>
    <col min="4611" max="4611" width="7.7109375" customWidth="1"/>
    <col min="4612" max="4612" width="12" customWidth="1"/>
    <col min="4613" max="4613" width="15.7109375" bestFit="1" customWidth="1"/>
    <col min="4614" max="4614" width="10.28515625" bestFit="1" customWidth="1"/>
    <col min="4615" max="4615" width="10.7109375" customWidth="1"/>
    <col min="4866" max="4866" width="45.42578125" customWidth="1"/>
    <col min="4867" max="4867" width="7.7109375" customWidth="1"/>
    <col min="4868" max="4868" width="12" customWidth="1"/>
    <col min="4869" max="4869" width="15.7109375" bestFit="1" customWidth="1"/>
    <col min="4870" max="4870" width="10.28515625" bestFit="1" customWidth="1"/>
    <col min="4871" max="4871" width="10.7109375" customWidth="1"/>
    <col min="5122" max="5122" width="45.42578125" customWidth="1"/>
    <col min="5123" max="5123" width="7.7109375" customWidth="1"/>
    <col min="5124" max="5124" width="12" customWidth="1"/>
    <col min="5125" max="5125" width="15.7109375" bestFit="1" customWidth="1"/>
    <col min="5126" max="5126" width="10.28515625" bestFit="1" customWidth="1"/>
    <col min="5127" max="5127" width="10.7109375" customWidth="1"/>
    <col min="5378" max="5378" width="45.42578125" customWidth="1"/>
    <col min="5379" max="5379" width="7.7109375" customWidth="1"/>
    <col min="5380" max="5380" width="12" customWidth="1"/>
    <col min="5381" max="5381" width="15.7109375" bestFit="1" customWidth="1"/>
    <col min="5382" max="5382" width="10.28515625" bestFit="1" customWidth="1"/>
    <col min="5383" max="5383" width="10.7109375" customWidth="1"/>
    <col min="5634" max="5634" width="45.42578125" customWidth="1"/>
    <col min="5635" max="5635" width="7.7109375" customWidth="1"/>
    <col min="5636" max="5636" width="12" customWidth="1"/>
    <col min="5637" max="5637" width="15.7109375" bestFit="1" customWidth="1"/>
    <col min="5638" max="5638" width="10.28515625" bestFit="1" customWidth="1"/>
    <col min="5639" max="5639" width="10.7109375" customWidth="1"/>
    <col min="5890" max="5890" width="45.42578125" customWidth="1"/>
    <col min="5891" max="5891" width="7.7109375" customWidth="1"/>
    <col min="5892" max="5892" width="12" customWidth="1"/>
    <col min="5893" max="5893" width="15.7109375" bestFit="1" customWidth="1"/>
    <col min="5894" max="5894" width="10.28515625" bestFit="1" customWidth="1"/>
    <col min="5895" max="5895" width="10.7109375" customWidth="1"/>
    <col min="6146" max="6146" width="45.42578125" customWidth="1"/>
    <col min="6147" max="6147" width="7.7109375" customWidth="1"/>
    <col min="6148" max="6148" width="12" customWidth="1"/>
    <col min="6149" max="6149" width="15.7109375" bestFit="1" customWidth="1"/>
    <col min="6150" max="6150" width="10.28515625" bestFit="1" customWidth="1"/>
    <col min="6151" max="6151" width="10.7109375" customWidth="1"/>
    <col min="6402" max="6402" width="45.42578125" customWidth="1"/>
    <col min="6403" max="6403" width="7.7109375" customWidth="1"/>
    <col min="6404" max="6404" width="12" customWidth="1"/>
    <col min="6405" max="6405" width="15.7109375" bestFit="1" customWidth="1"/>
    <col min="6406" max="6406" width="10.28515625" bestFit="1" customWidth="1"/>
    <col min="6407" max="6407" width="10.7109375" customWidth="1"/>
    <col min="6658" max="6658" width="45.42578125" customWidth="1"/>
    <col min="6659" max="6659" width="7.7109375" customWidth="1"/>
    <col min="6660" max="6660" width="12" customWidth="1"/>
    <col min="6661" max="6661" width="15.7109375" bestFit="1" customWidth="1"/>
    <col min="6662" max="6662" width="10.28515625" bestFit="1" customWidth="1"/>
    <col min="6663" max="6663" width="10.7109375" customWidth="1"/>
    <col min="6914" max="6914" width="45.42578125" customWidth="1"/>
    <col min="6915" max="6915" width="7.7109375" customWidth="1"/>
    <col min="6916" max="6916" width="12" customWidth="1"/>
    <col min="6917" max="6917" width="15.7109375" bestFit="1" customWidth="1"/>
    <col min="6918" max="6918" width="10.28515625" bestFit="1" customWidth="1"/>
    <col min="6919" max="6919" width="10.7109375" customWidth="1"/>
    <col min="7170" max="7170" width="45.42578125" customWidth="1"/>
    <col min="7171" max="7171" width="7.7109375" customWidth="1"/>
    <col min="7172" max="7172" width="12" customWidth="1"/>
    <col min="7173" max="7173" width="15.7109375" bestFit="1" customWidth="1"/>
    <col min="7174" max="7174" width="10.28515625" bestFit="1" customWidth="1"/>
    <col min="7175" max="7175" width="10.7109375" customWidth="1"/>
    <col min="7426" max="7426" width="45.42578125" customWidth="1"/>
    <col min="7427" max="7427" width="7.7109375" customWidth="1"/>
    <col min="7428" max="7428" width="12" customWidth="1"/>
    <col min="7429" max="7429" width="15.7109375" bestFit="1" customWidth="1"/>
    <col min="7430" max="7430" width="10.28515625" bestFit="1" customWidth="1"/>
    <col min="7431" max="7431" width="10.7109375" customWidth="1"/>
    <col min="7682" max="7682" width="45.42578125" customWidth="1"/>
    <col min="7683" max="7683" width="7.7109375" customWidth="1"/>
    <col min="7684" max="7684" width="12" customWidth="1"/>
    <col min="7685" max="7685" width="15.7109375" bestFit="1" customWidth="1"/>
    <col min="7686" max="7686" width="10.28515625" bestFit="1" customWidth="1"/>
    <col min="7687" max="7687" width="10.7109375" customWidth="1"/>
    <col min="7938" max="7938" width="45.42578125" customWidth="1"/>
    <col min="7939" max="7939" width="7.7109375" customWidth="1"/>
    <col min="7940" max="7940" width="12" customWidth="1"/>
    <col min="7941" max="7941" width="15.7109375" bestFit="1" customWidth="1"/>
    <col min="7942" max="7942" width="10.28515625" bestFit="1" customWidth="1"/>
    <col min="7943" max="7943" width="10.7109375" customWidth="1"/>
    <col min="8194" max="8194" width="45.42578125" customWidth="1"/>
    <col min="8195" max="8195" width="7.7109375" customWidth="1"/>
    <col min="8196" max="8196" width="12" customWidth="1"/>
    <col min="8197" max="8197" width="15.7109375" bestFit="1" customWidth="1"/>
    <col min="8198" max="8198" width="10.28515625" bestFit="1" customWidth="1"/>
    <col min="8199" max="8199" width="10.7109375" customWidth="1"/>
    <col min="8450" max="8450" width="45.42578125" customWidth="1"/>
    <col min="8451" max="8451" width="7.7109375" customWidth="1"/>
    <col min="8452" max="8452" width="12" customWidth="1"/>
    <col min="8453" max="8453" width="15.7109375" bestFit="1" customWidth="1"/>
    <col min="8454" max="8454" width="10.28515625" bestFit="1" customWidth="1"/>
    <col min="8455" max="8455" width="10.7109375" customWidth="1"/>
    <col min="8706" max="8706" width="45.42578125" customWidth="1"/>
    <col min="8707" max="8707" width="7.7109375" customWidth="1"/>
    <col min="8708" max="8708" width="12" customWidth="1"/>
    <col min="8709" max="8709" width="15.7109375" bestFit="1" customWidth="1"/>
    <col min="8710" max="8710" width="10.28515625" bestFit="1" customWidth="1"/>
    <col min="8711" max="8711" width="10.7109375" customWidth="1"/>
    <col min="8962" max="8962" width="45.42578125" customWidth="1"/>
    <col min="8963" max="8963" width="7.7109375" customWidth="1"/>
    <col min="8964" max="8964" width="12" customWidth="1"/>
    <col min="8965" max="8965" width="15.7109375" bestFit="1" customWidth="1"/>
    <col min="8966" max="8966" width="10.28515625" bestFit="1" customWidth="1"/>
    <col min="8967" max="8967" width="10.7109375" customWidth="1"/>
    <col min="9218" max="9218" width="45.42578125" customWidth="1"/>
    <col min="9219" max="9219" width="7.7109375" customWidth="1"/>
    <col min="9220" max="9220" width="12" customWidth="1"/>
    <col min="9221" max="9221" width="15.7109375" bestFit="1" customWidth="1"/>
    <col min="9222" max="9222" width="10.28515625" bestFit="1" customWidth="1"/>
    <col min="9223" max="9223" width="10.7109375" customWidth="1"/>
    <col min="9474" max="9474" width="45.42578125" customWidth="1"/>
    <col min="9475" max="9475" width="7.7109375" customWidth="1"/>
    <col min="9476" max="9476" width="12" customWidth="1"/>
    <col min="9477" max="9477" width="15.7109375" bestFit="1" customWidth="1"/>
    <col min="9478" max="9478" width="10.28515625" bestFit="1" customWidth="1"/>
    <col min="9479" max="9479" width="10.7109375" customWidth="1"/>
    <col min="9730" max="9730" width="45.42578125" customWidth="1"/>
    <col min="9731" max="9731" width="7.7109375" customWidth="1"/>
    <col min="9732" max="9732" width="12" customWidth="1"/>
    <col min="9733" max="9733" width="15.7109375" bestFit="1" customWidth="1"/>
    <col min="9734" max="9734" width="10.28515625" bestFit="1" customWidth="1"/>
    <col min="9735" max="9735" width="10.7109375" customWidth="1"/>
    <col min="9986" max="9986" width="45.42578125" customWidth="1"/>
    <col min="9987" max="9987" width="7.7109375" customWidth="1"/>
    <col min="9988" max="9988" width="12" customWidth="1"/>
    <col min="9989" max="9989" width="15.7109375" bestFit="1" customWidth="1"/>
    <col min="9990" max="9990" width="10.28515625" bestFit="1" customWidth="1"/>
    <col min="9991" max="9991" width="10.7109375" customWidth="1"/>
    <col min="10242" max="10242" width="45.42578125" customWidth="1"/>
    <col min="10243" max="10243" width="7.7109375" customWidth="1"/>
    <col min="10244" max="10244" width="12" customWidth="1"/>
    <col min="10245" max="10245" width="15.7109375" bestFit="1" customWidth="1"/>
    <col min="10246" max="10246" width="10.28515625" bestFit="1" customWidth="1"/>
    <col min="10247" max="10247" width="10.7109375" customWidth="1"/>
    <col min="10498" max="10498" width="45.42578125" customWidth="1"/>
    <col min="10499" max="10499" width="7.7109375" customWidth="1"/>
    <col min="10500" max="10500" width="12" customWidth="1"/>
    <col min="10501" max="10501" width="15.7109375" bestFit="1" customWidth="1"/>
    <col min="10502" max="10502" width="10.28515625" bestFit="1" customWidth="1"/>
    <col min="10503" max="10503" width="10.7109375" customWidth="1"/>
    <col min="10754" max="10754" width="45.42578125" customWidth="1"/>
    <col min="10755" max="10755" width="7.7109375" customWidth="1"/>
    <col min="10756" max="10756" width="12" customWidth="1"/>
    <col min="10757" max="10757" width="15.7109375" bestFit="1" customWidth="1"/>
    <col min="10758" max="10758" width="10.28515625" bestFit="1" customWidth="1"/>
    <col min="10759" max="10759" width="10.7109375" customWidth="1"/>
    <col min="11010" max="11010" width="45.42578125" customWidth="1"/>
    <col min="11011" max="11011" width="7.7109375" customWidth="1"/>
    <col min="11012" max="11012" width="12" customWidth="1"/>
    <col min="11013" max="11013" width="15.7109375" bestFit="1" customWidth="1"/>
    <col min="11014" max="11014" width="10.28515625" bestFit="1" customWidth="1"/>
    <col min="11015" max="11015" width="10.7109375" customWidth="1"/>
    <col min="11266" max="11266" width="45.42578125" customWidth="1"/>
    <col min="11267" max="11267" width="7.7109375" customWidth="1"/>
    <col min="11268" max="11268" width="12" customWidth="1"/>
    <col min="11269" max="11269" width="15.7109375" bestFit="1" customWidth="1"/>
    <col min="11270" max="11270" width="10.28515625" bestFit="1" customWidth="1"/>
    <col min="11271" max="11271" width="10.7109375" customWidth="1"/>
    <col min="11522" max="11522" width="45.42578125" customWidth="1"/>
    <col min="11523" max="11523" width="7.7109375" customWidth="1"/>
    <col min="11524" max="11524" width="12" customWidth="1"/>
    <col min="11525" max="11525" width="15.7109375" bestFit="1" customWidth="1"/>
    <col min="11526" max="11526" width="10.28515625" bestFit="1" customWidth="1"/>
    <col min="11527" max="11527" width="10.7109375" customWidth="1"/>
    <col min="11778" max="11778" width="45.42578125" customWidth="1"/>
    <col min="11779" max="11779" width="7.7109375" customWidth="1"/>
    <col min="11780" max="11780" width="12" customWidth="1"/>
    <col min="11781" max="11781" width="15.7109375" bestFit="1" customWidth="1"/>
    <col min="11782" max="11782" width="10.28515625" bestFit="1" customWidth="1"/>
    <col min="11783" max="11783" width="10.7109375" customWidth="1"/>
    <col min="12034" max="12034" width="45.42578125" customWidth="1"/>
    <col min="12035" max="12035" width="7.7109375" customWidth="1"/>
    <col min="12036" max="12036" width="12" customWidth="1"/>
    <col min="12037" max="12037" width="15.7109375" bestFit="1" customWidth="1"/>
    <col min="12038" max="12038" width="10.28515625" bestFit="1" customWidth="1"/>
    <col min="12039" max="12039" width="10.7109375" customWidth="1"/>
    <col min="12290" max="12290" width="45.42578125" customWidth="1"/>
    <col min="12291" max="12291" width="7.7109375" customWidth="1"/>
    <col min="12292" max="12292" width="12" customWidth="1"/>
    <col min="12293" max="12293" width="15.7109375" bestFit="1" customWidth="1"/>
    <col min="12294" max="12294" width="10.28515625" bestFit="1" customWidth="1"/>
    <col min="12295" max="12295" width="10.7109375" customWidth="1"/>
    <col min="12546" max="12546" width="45.42578125" customWidth="1"/>
    <col min="12547" max="12547" width="7.7109375" customWidth="1"/>
    <col min="12548" max="12548" width="12" customWidth="1"/>
    <col min="12549" max="12549" width="15.7109375" bestFit="1" customWidth="1"/>
    <col min="12550" max="12550" width="10.28515625" bestFit="1" customWidth="1"/>
    <col min="12551" max="12551" width="10.7109375" customWidth="1"/>
    <col min="12802" max="12802" width="45.42578125" customWidth="1"/>
    <col min="12803" max="12803" width="7.7109375" customWidth="1"/>
    <col min="12804" max="12804" width="12" customWidth="1"/>
    <col min="12805" max="12805" width="15.7109375" bestFit="1" customWidth="1"/>
    <col min="12806" max="12806" width="10.28515625" bestFit="1" customWidth="1"/>
    <col min="12807" max="12807" width="10.7109375" customWidth="1"/>
    <col min="13058" max="13058" width="45.42578125" customWidth="1"/>
    <col min="13059" max="13059" width="7.7109375" customWidth="1"/>
    <col min="13060" max="13060" width="12" customWidth="1"/>
    <col min="13061" max="13061" width="15.7109375" bestFit="1" customWidth="1"/>
    <col min="13062" max="13062" width="10.28515625" bestFit="1" customWidth="1"/>
    <col min="13063" max="13063" width="10.7109375" customWidth="1"/>
    <col min="13314" max="13314" width="45.42578125" customWidth="1"/>
    <col min="13315" max="13315" width="7.7109375" customWidth="1"/>
    <col min="13316" max="13316" width="12" customWidth="1"/>
    <col min="13317" max="13317" width="15.7109375" bestFit="1" customWidth="1"/>
    <col min="13318" max="13318" width="10.28515625" bestFit="1" customWidth="1"/>
    <col min="13319" max="13319" width="10.7109375" customWidth="1"/>
    <col min="13570" max="13570" width="45.42578125" customWidth="1"/>
    <col min="13571" max="13571" width="7.7109375" customWidth="1"/>
    <col min="13572" max="13572" width="12" customWidth="1"/>
    <col min="13573" max="13573" width="15.7109375" bestFit="1" customWidth="1"/>
    <col min="13574" max="13574" width="10.28515625" bestFit="1" customWidth="1"/>
    <col min="13575" max="13575" width="10.7109375" customWidth="1"/>
    <col min="13826" max="13826" width="45.42578125" customWidth="1"/>
    <col min="13827" max="13827" width="7.7109375" customWidth="1"/>
    <col min="13828" max="13828" width="12" customWidth="1"/>
    <col min="13829" max="13829" width="15.7109375" bestFit="1" customWidth="1"/>
    <col min="13830" max="13830" width="10.28515625" bestFit="1" customWidth="1"/>
    <col min="13831" max="13831" width="10.7109375" customWidth="1"/>
    <col min="14082" max="14082" width="45.42578125" customWidth="1"/>
    <col min="14083" max="14083" width="7.7109375" customWidth="1"/>
    <col min="14084" max="14084" width="12" customWidth="1"/>
    <col min="14085" max="14085" width="15.7109375" bestFit="1" customWidth="1"/>
    <col min="14086" max="14086" width="10.28515625" bestFit="1" customWidth="1"/>
    <col min="14087" max="14087" width="10.7109375" customWidth="1"/>
    <col min="14338" max="14338" width="45.42578125" customWidth="1"/>
    <col min="14339" max="14339" width="7.7109375" customWidth="1"/>
    <col min="14340" max="14340" width="12" customWidth="1"/>
    <col min="14341" max="14341" width="15.7109375" bestFit="1" customWidth="1"/>
    <col min="14342" max="14342" width="10.28515625" bestFit="1" customWidth="1"/>
    <col min="14343" max="14343" width="10.7109375" customWidth="1"/>
    <col min="14594" max="14594" width="45.42578125" customWidth="1"/>
    <col min="14595" max="14595" width="7.7109375" customWidth="1"/>
    <col min="14596" max="14596" width="12" customWidth="1"/>
    <col min="14597" max="14597" width="15.7109375" bestFit="1" customWidth="1"/>
    <col min="14598" max="14598" width="10.28515625" bestFit="1" customWidth="1"/>
    <col min="14599" max="14599" width="10.7109375" customWidth="1"/>
    <col min="14850" max="14850" width="45.42578125" customWidth="1"/>
    <col min="14851" max="14851" width="7.7109375" customWidth="1"/>
    <col min="14852" max="14852" width="12" customWidth="1"/>
    <col min="14853" max="14853" width="15.7109375" bestFit="1" customWidth="1"/>
    <col min="14854" max="14854" width="10.28515625" bestFit="1" customWidth="1"/>
    <col min="14855" max="14855" width="10.7109375" customWidth="1"/>
    <col min="15106" max="15106" width="45.42578125" customWidth="1"/>
    <col min="15107" max="15107" width="7.7109375" customWidth="1"/>
    <col min="15108" max="15108" width="12" customWidth="1"/>
    <col min="15109" max="15109" width="15.7109375" bestFit="1" customWidth="1"/>
    <col min="15110" max="15110" width="10.28515625" bestFit="1" customWidth="1"/>
    <col min="15111" max="15111" width="10.7109375" customWidth="1"/>
    <col min="15362" max="15362" width="45.42578125" customWidth="1"/>
    <col min="15363" max="15363" width="7.7109375" customWidth="1"/>
    <col min="15364" max="15364" width="12" customWidth="1"/>
    <col min="15365" max="15365" width="15.7109375" bestFit="1" customWidth="1"/>
    <col min="15366" max="15366" width="10.28515625" bestFit="1" customWidth="1"/>
    <col min="15367" max="15367" width="10.7109375" customWidth="1"/>
    <col min="15618" max="15618" width="45.42578125" customWidth="1"/>
    <col min="15619" max="15619" width="7.7109375" customWidth="1"/>
    <col min="15620" max="15620" width="12" customWidth="1"/>
    <col min="15621" max="15621" width="15.7109375" bestFit="1" customWidth="1"/>
    <col min="15622" max="15622" width="10.28515625" bestFit="1" customWidth="1"/>
    <col min="15623" max="15623" width="10.7109375" customWidth="1"/>
    <col min="15874" max="15874" width="45.42578125" customWidth="1"/>
    <col min="15875" max="15875" width="7.7109375" customWidth="1"/>
    <col min="15876" max="15876" width="12" customWidth="1"/>
    <col min="15877" max="15877" width="15.7109375" bestFit="1" customWidth="1"/>
    <col min="15878" max="15878" width="10.28515625" bestFit="1" customWidth="1"/>
    <col min="15879" max="15879" width="10.7109375" customWidth="1"/>
    <col min="16130" max="16130" width="45.42578125" customWidth="1"/>
    <col min="16131" max="16131" width="7.7109375" customWidth="1"/>
    <col min="16132" max="16132" width="12" customWidth="1"/>
    <col min="16133" max="16133" width="15.7109375" bestFit="1" customWidth="1"/>
    <col min="16134" max="16134" width="10.28515625" bestFit="1" customWidth="1"/>
    <col min="16135" max="16135" width="10.7109375" customWidth="1"/>
  </cols>
  <sheetData>
    <row r="1" spans="1:6" x14ac:dyDescent="0.25">
      <c r="A1" s="379" t="s">
        <v>5693</v>
      </c>
      <c r="B1" s="379"/>
      <c r="C1" s="379"/>
      <c r="D1" s="379"/>
      <c r="E1" s="379"/>
      <c r="F1" s="379"/>
    </row>
    <row r="2" spans="1:6" x14ac:dyDescent="0.25">
      <c r="A2" s="115" t="s">
        <v>2772</v>
      </c>
      <c r="B2" s="115" t="s">
        <v>2773</v>
      </c>
      <c r="C2" s="165" t="s">
        <v>11</v>
      </c>
      <c r="D2" s="115" t="s">
        <v>2774</v>
      </c>
      <c r="E2" s="115" t="s">
        <v>7</v>
      </c>
      <c r="F2" s="115" t="s">
        <v>2775</v>
      </c>
    </row>
    <row r="3" spans="1:6" x14ac:dyDescent="0.25">
      <c r="A3" s="118" t="str">
        <f>"3903548"</f>
        <v>3903548</v>
      </c>
      <c r="B3" s="116" t="s">
        <v>2776</v>
      </c>
      <c r="C3" s="166">
        <v>1.68</v>
      </c>
      <c r="D3" s="118">
        <v>315378</v>
      </c>
      <c r="E3" s="117">
        <v>43832.56517361111</v>
      </c>
      <c r="F3" s="118">
        <v>66</v>
      </c>
    </row>
    <row r="4" spans="1:6" x14ac:dyDescent="0.25">
      <c r="A4" s="118" t="str">
        <f>"3901359"</f>
        <v>3901359</v>
      </c>
      <c r="B4" s="116" t="s">
        <v>2777</v>
      </c>
      <c r="C4" s="166">
        <v>3.98</v>
      </c>
      <c r="D4" s="118">
        <v>316121</v>
      </c>
      <c r="E4" s="117">
        <v>43832.706504629627</v>
      </c>
      <c r="F4" s="118">
        <v>67</v>
      </c>
    </row>
    <row r="5" spans="1:6" x14ac:dyDescent="0.25">
      <c r="A5" s="118" t="str">
        <f>"3900695"</f>
        <v>3900695</v>
      </c>
      <c r="B5" s="116" t="s">
        <v>2778</v>
      </c>
      <c r="C5" s="166">
        <v>1.68</v>
      </c>
      <c r="D5" s="118">
        <v>316103</v>
      </c>
      <c r="E5" s="117">
        <v>43832.378055555557</v>
      </c>
      <c r="F5" s="118">
        <v>68</v>
      </c>
    </row>
    <row r="6" spans="1:6" x14ac:dyDescent="0.25">
      <c r="A6" s="118" t="str">
        <f>"3901940"</f>
        <v>3901940</v>
      </c>
      <c r="B6" s="116" t="s">
        <v>2779</v>
      </c>
      <c r="C6" s="166">
        <v>4.8499999999999996</v>
      </c>
      <c r="D6" s="118">
        <v>314889</v>
      </c>
      <c r="E6" s="117">
        <v>43832.380844907406</v>
      </c>
      <c r="F6" s="118">
        <v>69</v>
      </c>
    </row>
    <row r="7" spans="1:6" x14ac:dyDescent="0.25">
      <c r="A7" s="118" t="str">
        <f>"3909157"</f>
        <v>3909157</v>
      </c>
      <c r="B7" s="116" t="s">
        <v>2780</v>
      </c>
      <c r="C7" s="166">
        <v>7.82</v>
      </c>
      <c r="D7" s="118">
        <v>315626</v>
      </c>
      <c r="E7" s="117">
        <v>43832.381030092591</v>
      </c>
      <c r="F7" s="118">
        <v>70</v>
      </c>
    </row>
    <row r="8" spans="1:6" x14ac:dyDescent="0.25">
      <c r="A8" s="118" t="str">
        <f>"3907615"</f>
        <v>3907615</v>
      </c>
      <c r="B8" s="116" t="s">
        <v>2781</v>
      </c>
      <c r="C8" s="166">
        <v>4.17</v>
      </c>
      <c r="D8" s="118">
        <v>314995</v>
      </c>
      <c r="E8" s="117">
        <v>43832.403368055559</v>
      </c>
      <c r="F8" s="118">
        <v>71</v>
      </c>
    </row>
    <row r="9" spans="1:6" x14ac:dyDescent="0.25">
      <c r="A9" s="118" t="str">
        <f>"3945304"</f>
        <v>3945304</v>
      </c>
      <c r="B9" s="116" t="s">
        <v>2782</v>
      </c>
      <c r="C9" s="166">
        <v>32.28</v>
      </c>
      <c r="D9" s="118">
        <v>314734</v>
      </c>
      <c r="E9" s="117">
        <v>43832.421793981484</v>
      </c>
      <c r="F9" s="118">
        <v>72</v>
      </c>
    </row>
    <row r="10" spans="1:6" x14ac:dyDescent="0.25">
      <c r="A10" s="118" t="str">
        <f>"3907618"</f>
        <v>3907618</v>
      </c>
      <c r="B10" s="116" t="s">
        <v>2783</v>
      </c>
      <c r="C10" s="166">
        <v>0.41</v>
      </c>
      <c r="D10" s="118">
        <v>316533</v>
      </c>
      <c r="E10" s="117">
        <v>43832.424722222226</v>
      </c>
      <c r="F10" s="118">
        <v>73</v>
      </c>
    </row>
    <row r="11" spans="1:6" x14ac:dyDescent="0.25">
      <c r="A11" s="118" t="str">
        <f>"3909794"</f>
        <v>3909794</v>
      </c>
      <c r="B11" s="116" t="s">
        <v>2784</v>
      </c>
      <c r="C11" s="166">
        <v>1.84</v>
      </c>
      <c r="D11" s="118">
        <v>314306</v>
      </c>
      <c r="E11" s="117">
        <v>43832.427673611113</v>
      </c>
      <c r="F11" s="118">
        <v>74</v>
      </c>
    </row>
    <row r="12" spans="1:6" x14ac:dyDescent="0.25">
      <c r="A12" s="118" t="str">
        <f>"3903516"</f>
        <v>3903516</v>
      </c>
      <c r="B12" s="116" t="s">
        <v>2785</v>
      </c>
      <c r="C12" s="166">
        <v>8.68</v>
      </c>
      <c r="D12" s="118">
        <v>315632</v>
      </c>
      <c r="E12" s="117">
        <v>43832.497696759259</v>
      </c>
      <c r="F12" s="118">
        <v>75</v>
      </c>
    </row>
    <row r="13" spans="1:6" x14ac:dyDescent="0.25">
      <c r="A13" s="118" t="str">
        <f>"3950049"</f>
        <v>3950049</v>
      </c>
      <c r="B13" s="116" t="s">
        <v>2786</v>
      </c>
      <c r="C13" s="166">
        <v>7.82</v>
      </c>
      <c r="D13" s="118">
        <v>314475</v>
      </c>
      <c r="E13" s="117">
        <v>43832.529305555552</v>
      </c>
      <c r="F13" s="118">
        <v>76</v>
      </c>
    </row>
    <row r="14" spans="1:6" x14ac:dyDescent="0.25">
      <c r="A14" s="118" t="str">
        <f>"3906830"</f>
        <v>3906830</v>
      </c>
      <c r="B14" s="116" t="s">
        <v>2789</v>
      </c>
      <c r="C14" s="166">
        <v>3.38</v>
      </c>
      <c r="D14" s="118">
        <v>315605</v>
      </c>
      <c r="E14" s="117">
        <v>43832.571168981478</v>
      </c>
      <c r="F14" s="118">
        <v>77</v>
      </c>
    </row>
    <row r="15" spans="1:6" x14ac:dyDescent="0.25">
      <c r="A15" s="118" t="str">
        <f>"3945113"</f>
        <v>3945113</v>
      </c>
      <c r="B15" s="116" t="s">
        <v>2790</v>
      </c>
      <c r="C15" s="166">
        <v>8.3800000000000008</v>
      </c>
      <c r="D15" s="118">
        <v>314559</v>
      </c>
      <c r="E15" s="117">
        <v>43832.573587962965</v>
      </c>
      <c r="F15" s="118">
        <v>78</v>
      </c>
    </row>
    <row r="16" spans="1:6" x14ac:dyDescent="0.25">
      <c r="A16" s="118" t="str">
        <f>"3901396"</f>
        <v>3901396</v>
      </c>
      <c r="B16" s="116" t="s">
        <v>2788</v>
      </c>
      <c r="C16" s="166">
        <v>1.44</v>
      </c>
      <c r="D16" s="118">
        <v>308026</v>
      </c>
      <c r="E16" s="117">
        <v>43832.561481481483</v>
      </c>
      <c r="F16" s="118">
        <v>79</v>
      </c>
    </row>
    <row r="17" spans="1:6" x14ac:dyDescent="0.25">
      <c r="A17" s="118" t="str">
        <f>"3907873"</f>
        <v>3907873</v>
      </c>
      <c r="B17" s="116" t="s">
        <v>2787</v>
      </c>
      <c r="C17" s="166">
        <v>5.04</v>
      </c>
      <c r="D17" s="118">
        <v>301622</v>
      </c>
      <c r="E17" s="117">
        <v>43832.55810185185</v>
      </c>
      <c r="F17" s="118">
        <v>81</v>
      </c>
    </row>
    <row r="18" spans="1:6" x14ac:dyDescent="0.25">
      <c r="A18" s="118" t="str">
        <f>"3907867"</f>
        <v>3907867</v>
      </c>
      <c r="B18" s="116" t="s">
        <v>2791</v>
      </c>
      <c r="C18" s="166">
        <v>1.69</v>
      </c>
      <c r="D18" s="118">
        <v>315296</v>
      </c>
      <c r="E18" s="117">
        <v>43832.576168981483</v>
      </c>
      <c r="F18" s="118">
        <v>82</v>
      </c>
    </row>
    <row r="19" spans="1:6" x14ac:dyDescent="0.25">
      <c r="A19" s="118" t="str">
        <f>"3900588"</f>
        <v>3900588</v>
      </c>
      <c r="B19" s="116" t="s">
        <v>2792</v>
      </c>
      <c r="C19" s="166">
        <v>4.8099999999999996</v>
      </c>
      <c r="D19" s="118">
        <v>316052</v>
      </c>
      <c r="E19" s="117">
        <v>43832.605555555558</v>
      </c>
      <c r="F19" s="118">
        <v>83</v>
      </c>
    </row>
    <row r="20" spans="1:6" x14ac:dyDescent="0.25">
      <c r="A20" s="118" t="str">
        <f>"3909177"</f>
        <v>3909177</v>
      </c>
      <c r="B20" s="116" t="s">
        <v>2793</v>
      </c>
      <c r="C20" s="166">
        <v>1.96</v>
      </c>
      <c r="D20" s="118">
        <v>315642</v>
      </c>
      <c r="E20" s="117">
        <v>43832.631724537037</v>
      </c>
      <c r="F20" s="118">
        <v>84</v>
      </c>
    </row>
    <row r="21" spans="1:6" x14ac:dyDescent="0.25">
      <c r="A21" s="118" t="str">
        <f>"3903497"</f>
        <v>3903497</v>
      </c>
      <c r="B21" s="116" t="s">
        <v>2795</v>
      </c>
      <c r="C21" s="166">
        <v>2.54</v>
      </c>
      <c r="D21" s="118">
        <v>315365</v>
      </c>
      <c r="E21" s="117">
        <v>43832.709803240738</v>
      </c>
      <c r="F21" s="118">
        <v>85</v>
      </c>
    </row>
    <row r="22" spans="1:6" x14ac:dyDescent="0.25">
      <c r="A22" s="118" t="str">
        <f>"3903524"</f>
        <v>3903524</v>
      </c>
      <c r="B22" s="116" t="s">
        <v>2796</v>
      </c>
      <c r="C22" s="166">
        <v>8.64</v>
      </c>
      <c r="D22" s="118">
        <v>315360</v>
      </c>
      <c r="E22" s="117">
        <v>43832.733124999999</v>
      </c>
      <c r="F22" s="118">
        <v>86</v>
      </c>
    </row>
    <row r="23" spans="1:6" x14ac:dyDescent="0.25">
      <c r="A23" s="118" t="str">
        <f>"3900593"</f>
        <v>3900593</v>
      </c>
      <c r="B23" s="116" t="s">
        <v>2797</v>
      </c>
      <c r="C23" s="166">
        <v>1.68</v>
      </c>
      <c r="D23" s="118">
        <v>316054</v>
      </c>
      <c r="E23" s="117">
        <v>43832.759444444448</v>
      </c>
      <c r="F23" s="118">
        <v>87</v>
      </c>
    </row>
    <row r="24" spans="1:6" x14ac:dyDescent="0.25">
      <c r="A24" s="118" t="str">
        <f>"3903121"</f>
        <v>3903121</v>
      </c>
      <c r="B24" s="116" t="s">
        <v>2794</v>
      </c>
      <c r="C24" s="166">
        <v>6.18</v>
      </c>
      <c r="D24" s="118">
        <v>309383</v>
      </c>
      <c r="E24" s="117">
        <v>43832.652465277781</v>
      </c>
      <c r="F24" s="118">
        <v>88</v>
      </c>
    </row>
    <row r="25" spans="1:6" s="164" customFormat="1" x14ac:dyDescent="0.25">
      <c r="A25" s="115"/>
      <c r="B25" s="115" t="s">
        <v>5691</v>
      </c>
      <c r="C25" s="167">
        <f>SUM(C3:C24)</f>
        <v>120.95000000000002</v>
      </c>
      <c r="D25" s="115">
        <v>1</v>
      </c>
      <c r="E25" s="163"/>
      <c r="F25" s="115"/>
    </row>
    <row r="26" spans="1:6" x14ac:dyDescent="0.25">
      <c r="A26" s="118"/>
      <c r="B26" s="116"/>
      <c r="C26" s="166"/>
      <c r="D26" s="118"/>
      <c r="E26" s="117"/>
      <c r="F26" s="118"/>
    </row>
    <row r="27" spans="1:6" x14ac:dyDescent="0.25">
      <c r="A27" s="118" t="str">
        <f>"3960274"</f>
        <v>3960274</v>
      </c>
      <c r="B27" s="116" t="s">
        <v>2798</v>
      </c>
      <c r="C27" s="166">
        <v>6.48</v>
      </c>
      <c r="D27" s="118">
        <v>314464</v>
      </c>
      <c r="E27" s="117">
        <v>43833.452372685184</v>
      </c>
      <c r="F27" s="118">
        <v>211</v>
      </c>
    </row>
    <row r="28" spans="1:6" x14ac:dyDescent="0.25">
      <c r="A28" s="118" t="str">
        <f>"3960016"</f>
        <v>3960016</v>
      </c>
      <c r="B28" s="116" t="s">
        <v>2800</v>
      </c>
      <c r="C28" s="166">
        <v>12.3</v>
      </c>
      <c r="D28" s="118">
        <v>314499</v>
      </c>
      <c r="E28" s="117">
        <v>43833.511631944442</v>
      </c>
      <c r="F28" s="118">
        <v>212</v>
      </c>
    </row>
    <row r="29" spans="1:6" x14ac:dyDescent="0.25">
      <c r="A29" s="118" t="str">
        <f>"3930371"</f>
        <v>3930371</v>
      </c>
      <c r="B29" s="116" t="s">
        <v>2801</v>
      </c>
      <c r="C29" s="166">
        <v>20.41</v>
      </c>
      <c r="D29" s="118">
        <v>314258</v>
      </c>
      <c r="E29" s="117">
        <v>43833.550949074073</v>
      </c>
      <c r="F29" s="118">
        <v>213</v>
      </c>
    </row>
    <row r="30" spans="1:6" x14ac:dyDescent="0.25">
      <c r="A30" s="118" t="str">
        <f>"3903544"</f>
        <v>3903544</v>
      </c>
      <c r="B30" s="116" t="s">
        <v>2802</v>
      </c>
      <c r="C30" s="166">
        <v>11.45</v>
      </c>
      <c r="D30" s="118">
        <v>315374</v>
      </c>
      <c r="E30" s="117">
        <v>43833.551701388889</v>
      </c>
      <c r="F30" s="118">
        <v>214</v>
      </c>
    </row>
    <row r="31" spans="1:6" x14ac:dyDescent="0.25">
      <c r="A31" s="118" t="str">
        <f>"3909950"</f>
        <v>3909950</v>
      </c>
      <c r="B31" s="116" t="s">
        <v>2799</v>
      </c>
      <c r="C31" s="166">
        <v>5.04</v>
      </c>
      <c r="D31" s="118">
        <v>298663</v>
      </c>
      <c r="E31" s="117">
        <v>43833.483564814815</v>
      </c>
      <c r="F31" s="118">
        <v>215</v>
      </c>
    </row>
    <row r="32" spans="1:6" x14ac:dyDescent="0.25">
      <c r="A32" s="118" t="str">
        <f>"3945204"</f>
        <v>3945204</v>
      </c>
      <c r="B32" s="116" t="s">
        <v>2803</v>
      </c>
      <c r="C32" s="166">
        <v>8.3800000000000008</v>
      </c>
      <c r="D32" s="118">
        <v>314659</v>
      </c>
      <c r="E32" s="117">
        <v>43833.551863425928</v>
      </c>
      <c r="F32" s="118">
        <v>216</v>
      </c>
    </row>
    <row r="33" spans="1:6" x14ac:dyDescent="0.25">
      <c r="A33" s="118" t="str">
        <f>"3903320"</f>
        <v>3903320</v>
      </c>
      <c r="B33" s="116" t="s">
        <v>2804</v>
      </c>
      <c r="C33" s="166">
        <v>5.47</v>
      </c>
      <c r="D33" s="118">
        <v>315074</v>
      </c>
      <c r="E33" s="117">
        <v>43833.568773148145</v>
      </c>
      <c r="F33" s="118">
        <v>217</v>
      </c>
    </row>
    <row r="34" spans="1:6" x14ac:dyDescent="0.25">
      <c r="A34" s="118" t="str">
        <f>"3930100"</f>
        <v>3930100</v>
      </c>
      <c r="B34" s="116" t="s">
        <v>2805</v>
      </c>
      <c r="C34" s="166">
        <v>9.7899999999999991</v>
      </c>
      <c r="D34" s="118">
        <v>315201</v>
      </c>
      <c r="E34" s="117">
        <v>43833.600127314814</v>
      </c>
      <c r="F34" s="118">
        <v>218</v>
      </c>
    </row>
    <row r="35" spans="1:6" x14ac:dyDescent="0.25">
      <c r="A35" s="118" t="str">
        <f>"3907920"</f>
        <v>3907920</v>
      </c>
      <c r="B35" s="116" t="s">
        <v>2806</v>
      </c>
      <c r="C35" s="166">
        <v>5.55</v>
      </c>
      <c r="D35" s="118">
        <v>315447</v>
      </c>
      <c r="E35" s="117">
        <v>43833.605833333335</v>
      </c>
      <c r="F35" s="118">
        <v>219</v>
      </c>
    </row>
    <row r="36" spans="1:6" s="164" customFormat="1" x14ac:dyDescent="0.25">
      <c r="A36" s="115"/>
      <c r="B36" s="115" t="s">
        <v>5691</v>
      </c>
      <c r="C36" s="167">
        <f>SUM(C27:C35)</f>
        <v>84.86999999999999</v>
      </c>
      <c r="D36" s="115">
        <v>2</v>
      </c>
      <c r="E36" s="163"/>
      <c r="F36" s="115"/>
    </row>
    <row r="37" spans="1:6" x14ac:dyDescent="0.25">
      <c r="A37" s="118"/>
      <c r="B37" s="116"/>
      <c r="C37" s="166"/>
      <c r="D37" s="118"/>
      <c r="E37" s="117"/>
      <c r="F37" s="118"/>
    </row>
    <row r="38" spans="1:6" x14ac:dyDescent="0.25">
      <c r="A38" s="118" t="str">
        <f>"3901267"</f>
        <v>3901267</v>
      </c>
      <c r="B38" s="116" t="s">
        <v>2807</v>
      </c>
      <c r="C38" s="166">
        <v>0.85</v>
      </c>
      <c r="D38" s="118">
        <v>316115</v>
      </c>
      <c r="E38" s="117">
        <v>43836.384872685187</v>
      </c>
      <c r="F38" s="118">
        <v>384</v>
      </c>
    </row>
    <row r="39" spans="1:6" x14ac:dyDescent="0.25">
      <c r="A39" s="118" t="str">
        <f>"3901478"</f>
        <v>3901478</v>
      </c>
      <c r="B39" s="116" t="s">
        <v>2808</v>
      </c>
      <c r="C39" s="166">
        <v>1.78</v>
      </c>
      <c r="D39" s="118">
        <v>317025</v>
      </c>
      <c r="E39" s="117">
        <v>43836.461122685185</v>
      </c>
      <c r="F39" s="118">
        <v>385</v>
      </c>
    </row>
    <row r="40" spans="1:6" x14ac:dyDescent="0.25">
      <c r="A40" s="118" t="str">
        <f>"3909808"</f>
        <v>3909808</v>
      </c>
      <c r="B40" s="116" t="s">
        <v>2809</v>
      </c>
      <c r="C40" s="166">
        <v>2.1800000000000002</v>
      </c>
      <c r="D40" s="118">
        <v>315836</v>
      </c>
      <c r="E40" s="117">
        <v>43836.48673611111</v>
      </c>
      <c r="F40" s="118">
        <v>386</v>
      </c>
    </row>
    <row r="41" spans="1:6" x14ac:dyDescent="0.25">
      <c r="A41" s="118" t="str">
        <f>"3930053"</f>
        <v>3930053</v>
      </c>
      <c r="B41" s="116" t="s">
        <v>2810</v>
      </c>
      <c r="C41" s="166">
        <v>16.27</v>
      </c>
      <c r="D41" s="118">
        <v>316774</v>
      </c>
      <c r="E41" s="117">
        <v>43836.505069444444</v>
      </c>
      <c r="F41" s="118">
        <v>387</v>
      </c>
    </row>
    <row r="42" spans="1:6" x14ac:dyDescent="0.25">
      <c r="A42" s="118" t="str">
        <f>"3903507"</f>
        <v>3903507</v>
      </c>
      <c r="B42" s="116" t="s">
        <v>2811</v>
      </c>
      <c r="C42" s="166">
        <v>4.4000000000000004</v>
      </c>
      <c r="D42" s="118">
        <v>316848</v>
      </c>
      <c r="E42" s="117">
        <v>43836.697442129633</v>
      </c>
      <c r="F42" s="118">
        <v>388</v>
      </c>
    </row>
    <row r="43" spans="1:6" x14ac:dyDescent="0.25">
      <c r="A43" s="118" t="str">
        <f>"3909033"</f>
        <v>3909033</v>
      </c>
      <c r="B43" s="116" t="s">
        <v>2812</v>
      </c>
      <c r="C43" s="166">
        <v>2.11</v>
      </c>
      <c r="D43" s="118">
        <v>315637</v>
      </c>
      <c r="E43" s="117">
        <v>43836.568981481483</v>
      </c>
      <c r="F43" s="118">
        <v>392</v>
      </c>
    </row>
    <row r="44" spans="1:6" x14ac:dyDescent="0.25">
      <c r="A44" s="118" t="str">
        <f>"3930394"</f>
        <v>3930394</v>
      </c>
      <c r="B44" s="116" t="s">
        <v>2813</v>
      </c>
      <c r="C44" s="166">
        <v>6.01</v>
      </c>
      <c r="D44" s="118">
        <v>315686</v>
      </c>
      <c r="E44" s="117">
        <v>43836.356365740743</v>
      </c>
      <c r="F44" s="118">
        <v>393</v>
      </c>
    </row>
    <row r="45" spans="1:6" x14ac:dyDescent="0.25">
      <c r="A45" s="118" t="str">
        <f>"3960306"</f>
        <v>3960306</v>
      </c>
      <c r="B45" s="116" t="s">
        <v>2815</v>
      </c>
      <c r="C45" s="166">
        <v>10.11</v>
      </c>
      <c r="D45" s="118">
        <v>314607</v>
      </c>
      <c r="E45" s="117">
        <v>43836.375543981485</v>
      </c>
      <c r="F45" s="118">
        <v>394</v>
      </c>
    </row>
    <row r="46" spans="1:6" x14ac:dyDescent="0.25">
      <c r="A46" s="118" t="str">
        <f>"3945037"</f>
        <v>3945037</v>
      </c>
      <c r="B46" s="116" t="s">
        <v>2816</v>
      </c>
      <c r="C46" s="166">
        <v>4.46</v>
      </c>
      <c r="D46" s="118">
        <v>314495</v>
      </c>
      <c r="E46" s="117">
        <v>43836.481134259258</v>
      </c>
      <c r="F46" s="118">
        <v>395</v>
      </c>
    </row>
    <row r="47" spans="1:6" x14ac:dyDescent="0.25">
      <c r="A47" s="118" t="str">
        <f>"3900509"</f>
        <v>3900509</v>
      </c>
      <c r="B47" s="116" t="s">
        <v>2818</v>
      </c>
      <c r="C47" s="166">
        <v>6.3</v>
      </c>
      <c r="D47" s="118">
        <v>316021</v>
      </c>
      <c r="E47" s="117">
        <v>43836.635555555556</v>
      </c>
      <c r="F47" s="118">
        <v>396</v>
      </c>
    </row>
    <row r="48" spans="1:6" x14ac:dyDescent="0.25">
      <c r="A48" s="118" t="str">
        <f>"3907425"</f>
        <v>3907425</v>
      </c>
      <c r="B48" s="116" t="s">
        <v>2819</v>
      </c>
      <c r="C48" s="166">
        <v>8.5</v>
      </c>
      <c r="D48" s="118">
        <v>316490</v>
      </c>
      <c r="E48" s="117">
        <v>43836.73746527778</v>
      </c>
      <c r="F48" s="118">
        <v>397</v>
      </c>
    </row>
    <row r="49" spans="1:6" x14ac:dyDescent="0.25">
      <c r="A49" s="118" t="str">
        <f>"3903549"</f>
        <v>3903549</v>
      </c>
      <c r="B49" s="116" t="s">
        <v>2814</v>
      </c>
      <c r="C49" s="166">
        <v>5.58</v>
      </c>
      <c r="D49" s="118">
        <v>315392</v>
      </c>
      <c r="E49" s="117">
        <v>43836.357754629629</v>
      </c>
      <c r="F49" s="118">
        <v>398</v>
      </c>
    </row>
    <row r="50" spans="1:6" x14ac:dyDescent="0.25">
      <c r="A50" s="118" t="str">
        <f>"3900559"</f>
        <v>3900559</v>
      </c>
      <c r="B50" s="116" t="s">
        <v>2817</v>
      </c>
      <c r="C50" s="166">
        <v>9.31</v>
      </c>
      <c r="D50" s="118">
        <v>313825</v>
      </c>
      <c r="E50" s="117">
        <v>43836.530682870369</v>
      </c>
      <c r="F50" s="118">
        <v>401</v>
      </c>
    </row>
    <row r="51" spans="1:6" x14ac:dyDescent="0.25">
      <c r="A51" s="118" t="str">
        <f>"3909936"</f>
        <v>3909936</v>
      </c>
      <c r="B51" s="116" t="s">
        <v>2820</v>
      </c>
      <c r="C51" s="166">
        <v>5.69</v>
      </c>
      <c r="D51" s="118">
        <v>315026</v>
      </c>
      <c r="E51" s="117">
        <v>43836.201550925929</v>
      </c>
      <c r="F51" s="118">
        <v>402</v>
      </c>
    </row>
    <row r="52" spans="1:6" x14ac:dyDescent="0.25">
      <c r="A52" s="118" t="str">
        <f>"3902419"</f>
        <v>3902419</v>
      </c>
      <c r="B52" s="116" t="s">
        <v>2821</v>
      </c>
      <c r="C52" s="166">
        <v>4.92</v>
      </c>
      <c r="D52" s="118">
        <v>315719</v>
      </c>
      <c r="E52" s="117">
        <v>43836.201550925929</v>
      </c>
      <c r="F52" s="118">
        <v>403</v>
      </c>
    </row>
    <row r="53" spans="1:6" x14ac:dyDescent="0.25">
      <c r="A53" s="118" t="str">
        <f>"3906802"</f>
        <v>3906802</v>
      </c>
      <c r="B53" s="116" t="s">
        <v>2822</v>
      </c>
      <c r="C53" s="166">
        <v>3.42</v>
      </c>
      <c r="D53" s="118">
        <v>315584</v>
      </c>
      <c r="E53" s="117">
        <v>43836.201550925929</v>
      </c>
      <c r="F53" s="118">
        <v>404</v>
      </c>
    </row>
    <row r="54" spans="1:6" x14ac:dyDescent="0.25">
      <c r="A54" s="118" t="str">
        <f>"3903467"</f>
        <v>3903467</v>
      </c>
      <c r="B54" s="116" t="s">
        <v>2823</v>
      </c>
      <c r="C54" s="166">
        <v>2.35</v>
      </c>
      <c r="D54" s="118">
        <v>315107</v>
      </c>
      <c r="E54" s="117">
        <v>43836.201550925929</v>
      </c>
      <c r="F54" s="118">
        <v>405</v>
      </c>
    </row>
    <row r="55" spans="1:6" x14ac:dyDescent="0.25">
      <c r="A55" s="118" t="str">
        <f>"3945230"</f>
        <v>3945230</v>
      </c>
      <c r="B55" s="116" t="s">
        <v>2824</v>
      </c>
      <c r="C55" s="166">
        <v>8.3800000000000008</v>
      </c>
      <c r="D55" s="118">
        <v>314679</v>
      </c>
      <c r="E55" s="117">
        <v>43836.201550925929</v>
      </c>
      <c r="F55" s="118">
        <v>406</v>
      </c>
    </row>
    <row r="56" spans="1:6" x14ac:dyDescent="0.25">
      <c r="A56" s="118" t="str">
        <f>"3903364"</f>
        <v>3903364</v>
      </c>
      <c r="B56" s="116" t="s">
        <v>2825</v>
      </c>
      <c r="C56" s="166">
        <v>5.51</v>
      </c>
      <c r="D56" s="118">
        <v>315156</v>
      </c>
      <c r="E56" s="117">
        <v>43836.201550925929</v>
      </c>
      <c r="F56" s="118">
        <v>407</v>
      </c>
    </row>
    <row r="57" spans="1:6" x14ac:dyDescent="0.25">
      <c r="A57" s="118" t="str">
        <f>"3960315"</f>
        <v>3960315</v>
      </c>
      <c r="B57" s="116" t="s">
        <v>2826</v>
      </c>
      <c r="C57" s="166">
        <v>4.1900000000000004</v>
      </c>
      <c r="D57" s="118">
        <v>314620</v>
      </c>
      <c r="E57" s="117">
        <v>43836.201550925929</v>
      </c>
      <c r="F57" s="118">
        <v>408</v>
      </c>
    </row>
    <row r="58" spans="1:6" x14ac:dyDescent="0.25">
      <c r="A58" s="118" t="str">
        <f>"3900349"</f>
        <v>3900349</v>
      </c>
      <c r="B58" s="116" t="s">
        <v>2827</v>
      </c>
      <c r="C58" s="166">
        <v>4.12</v>
      </c>
      <c r="D58" s="118">
        <v>315959</v>
      </c>
      <c r="E58" s="117">
        <v>43836.201550925929</v>
      </c>
      <c r="F58" s="118">
        <v>409</v>
      </c>
    </row>
    <row r="59" spans="1:6" x14ac:dyDescent="0.25">
      <c r="A59" s="118" t="str">
        <f>"3950033"</f>
        <v>3950033</v>
      </c>
      <c r="B59" s="116" t="s">
        <v>2828</v>
      </c>
      <c r="C59" s="166">
        <v>8.3800000000000008</v>
      </c>
      <c r="D59" s="118">
        <v>314473</v>
      </c>
      <c r="E59" s="117">
        <v>43836.201550925929</v>
      </c>
      <c r="F59" s="118">
        <v>410</v>
      </c>
    </row>
    <row r="60" spans="1:6" x14ac:dyDescent="0.25">
      <c r="A60" s="118" t="str">
        <f>"3901398"</f>
        <v>3901398</v>
      </c>
      <c r="B60" s="116" t="s">
        <v>2829</v>
      </c>
      <c r="C60" s="166">
        <v>4.46</v>
      </c>
      <c r="D60" s="118">
        <v>316129</v>
      </c>
      <c r="E60" s="117">
        <v>43836.201550925929</v>
      </c>
      <c r="F60" s="118">
        <v>411</v>
      </c>
    </row>
    <row r="61" spans="1:6" x14ac:dyDescent="0.25">
      <c r="A61" s="118" t="str">
        <f>"3903781"</f>
        <v>3903781</v>
      </c>
      <c r="B61" s="116" t="s">
        <v>2830</v>
      </c>
      <c r="C61" s="166">
        <v>7.82</v>
      </c>
      <c r="D61" s="118">
        <v>314690</v>
      </c>
      <c r="E61" s="117">
        <v>43836.201550925929</v>
      </c>
      <c r="F61" s="118">
        <v>412</v>
      </c>
    </row>
    <row r="62" spans="1:6" x14ac:dyDescent="0.25">
      <c r="A62" s="118" t="str">
        <f>"3909984"</f>
        <v>3909984</v>
      </c>
      <c r="B62" s="116" t="s">
        <v>2831</v>
      </c>
      <c r="C62" s="166">
        <v>19.82</v>
      </c>
      <c r="D62" s="118">
        <v>315034</v>
      </c>
      <c r="E62" s="117">
        <v>43836.201550925929</v>
      </c>
      <c r="F62" s="118">
        <v>413</v>
      </c>
    </row>
    <row r="63" spans="1:6" x14ac:dyDescent="0.25">
      <c r="A63" s="118" t="str">
        <f>"3903061"</f>
        <v>3903061</v>
      </c>
      <c r="B63" s="116" t="s">
        <v>2832</v>
      </c>
      <c r="C63" s="166">
        <v>6.94</v>
      </c>
      <c r="D63" s="118">
        <v>314803</v>
      </c>
      <c r="E63" s="117">
        <v>43836.201550925929</v>
      </c>
      <c r="F63" s="118">
        <v>414</v>
      </c>
    </row>
    <row r="64" spans="1:6" x14ac:dyDescent="0.25">
      <c r="A64" s="118" t="str">
        <f>"3909039"</f>
        <v>3909039</v>
      </c>
      <c r="B64" s="116" t="s">
        <v>2833</v>
      </c>
      <c r="C64" s="166">
        <v>2.36</v>
      </c>
      <c r="D64" s="118">
        <v>315467</v>
      </c>
      <c r="E64" s="117">
        <v>43836.201550925929</v>
      </c>
      <c r="F64" s="118">
        <v>415</v>
      </c>
    </row>
    <row r="65" spans="1:6" x14ac:dyDescent="0.25">
      <c r="A65" s="118" t="str">
        <f>"3945435"</f>
        <v>3945435</v>
      </c>
      <c r="B65" s="116" t="s">
        <v>2834</v>
      </c>
      <c r="C65" s="166">
        <v>8.3800000000000008</v>
      </c>
      <c r="D65" s="118">
        <v>314590</v>
      </c>
      <c r="E65" s="117">
        <v>43836.201550925929</v>
      </c>
      <c r="F65" s="118">
        <v>416</v>
      </c>
    </row>
    <row r="66" spans="1:6" x14ac:dyDescent="0.25">
      <c r="A66" s="118" t="str">
        <f>"3945102"</f>
        <v>3945102</v>
      </c>
      <c r="B66" s="116" t="s">
        <v>2835</v>
      </c>
      <c r="C66" s="166">
        <v>8.3800000000000008</v>
      </c>
      <c r="D66" s="118">
        <v>314542</v>
      </c>
      <c r="E66" s="117">
        <v>43836.201550925929</v>
      </c>
      <c r="F66" s="118">
        <v>417</v>
      </c>
    </row>
    <row r="67" spans="1:6" x14ac:dyDescent="0.25">
      <c r="A67" s="118" t="str">
        <f>"3907239"</f>
        <v>3907239</v>
      </c>
      <c r="B67" s="116" t="s">
        <v>2836</v>
      </c>
      <c r="C67" s="166">
        <v>6.94</v>
      </c>
      <c r="D67" s="118">
        <v>314789</v>
      </c>
      <c r="E67" s="117">
        <v>43836.201550925929</v>
      </c>
      <c r="F67" s="118">
        <v>418</v>
      </c>
    </row>
    <row r="68" spans="1:6" x14ac:dyDescent="0.25">
      <c r="A68" s="118" t="str">
        <f>"3960212"</f>
        <v>3960212</v>
      </c>
      <c r="B68" s="116" t="s">
        <v>2837</v>
      </c>
      <c r="C68" s="166">
        <v>8.9</v>
      </c>
      <c r="D68" s="118">
        <v>314501</v>
      </c>
      <c r="E68" s="117">
        <v>43836.201550925929</v>
      </c>
      <c r="F68" s="118">
        <v>419</v>
      </c>
    </row>
    <row r="69" spans="1:6" x14ac:dyDescent="0.25">
      <c r="A69" s="118" t="str">
        <f>"3960277"</f>
        <v>3960277</v>
      </c>
      <c r="B69" s="116" t="s">
        <v>2838</v>
      </c>
      <c r="C69" s="166">
        <v>7.82</v>
      </c>
      <c r="D69" s="118">
        <v>314487</v>
      </c>
      <c r="E69" s="117">
        <v>43836.201550925929</v>
      </c>
      <c r="F69" s="118">
        <v>420</v>
      </c>
    </row>
    <row r="70" spans="1:6" x14ac:dyDescent="0.25">
      <c r="A70" s="118" t="str">
        <f>"3960364"</f>
        <v>3960364</v>
      </c>
      <c r="B70" s="116" t="s">
        <v>2839</v>
      </c>
      <c r="C70" s="166">
        <v>10.28</v>
      </c>
      <c r="D70" s="118">
        <v>314557</v>
      </c>
      <c r="E70" s="117">
        <v>43836.201550925929</v>
      </c>
      <c r="F70" s="118">
        <v>421</v>
      </c>
    </row>
    <row r="71" spans="1:6" x14ac:dyDescent="0.25">
      <c r="A71" s="118" t="str">
        <f>"3903127"</f>
        <v>3903127</v>
      </c>
      <c r="B71" s="116" t="s">
        <v>2840</v>
      </c>
      <c r="C71" s="166">
        <v>1.68</v>
      </c>
      <c r="D71" s="118">
        <v>314878</v>
      </c>
      <c r="E71" s="117">
        <v>43836.201550925929</v>
      </c>
      <c r="F71" s="118">
        <v>422</v>
      </c>
    </row>
    <row r="72" spans="1:6" x14ac:dyDescent="0.25">
      <c r="A72" s="118" t="str">
        <f>"3907541"</f>
        <v>3907541</v>
      </c>
      <c r="B72" s="116" t="s">
        <v>2841</v>
      </c>
      <c r="C72" s="166">
        <v>3.24</v>
      </c>
      <c r="D72" s="118">
        <v>314896</v>
      </c>
      <c r="E72" s="117">
        <v>43836.201550925929</v>
      </c>
      <c r="F72" s="118">
        <v>423</v>
      </c>
    </row>
    <row r="73" spans="1:6" x14ac:dyDescent="0.25">
      <c r="A73" s="118" t="str">
        <f>"3945284"</f>
        <v>3945284</v>
      </c>
      <c r="B73" s="116" t="s">
        <v>2842</v>
      </c>
      <c r="C73" s="166">
        <v>27.1</v>
      </c>
      <c r="D73" s="118">
        <v>314697</v>
      </c>
      <c r="E73" s="117">
        <v>43836.201550925929</v>
      </c>
      <c r="F73" s="118">
        <v>424</v>
      </c>
    </row>
    <row r="74" spans="1:6" x14ac:dyDescent="0.25">
      <c r="A74" s="118" t="str">
        <f>"3960256"</f>
        <v>3960256</v>
      </c>
      <c r="B74" s="116" t="s">
        <v>2843</v>
      </c>
      <c r="C74" s="166">
        <v>17.899999999999999</v>
      </c>
      <c r="D74" s="118">
        <v>314468</v>
      </c>
      <c r="E74" s="117">
        <v>43836.201550925929</v>
      </c>
      <c r="F74" s="118">
        <v>425</v>
      </c>
    </row>
    <row r="75" spans="1:6" x14ac:dyDescent="0.25">
      <c r="A75" s="118" t="str">
        <f>"3900389"</f>
        <v>3900389</v>
      </c>
      <c r="B75" s="116" t="s">
        <v>2844</v>
      </c>
      <c r="C75" s="166">
        <v>1.68</v>
      </c>
      <c r="D75" s="118">
        <v>315976</v>
      </c>
      <c r="E75" s="117">
        <v>43836.201550925929</v>
      </c>
      <c r="F75" s="118">
        <v>426</v>
      </c>
    </row>
    <row r="76" spans="1:6" x14ac:dyDescent="0.25">
      <c r="A76" s="118" t="str">
        <f>"3909981"</f>
        <v>3909981</v>
      </c>
      <c r="B76" s="116" t="s">
        <v>2845</v>
      </c>
      <c r="C76" s="166">
        <v>8.34</v>
      </c>
      <c r="D76" s="118">
        <v>314961</v>
      </c>
      <c r="E76" s="117">
        <v>43836.201550925929</v>
      </c>
      <c r="F76" s="118">
        <v>427</v>
      </c>
    </row>
    <row r="77" spans="1:6" x14ac:dyDescent="0.25">
      <c r="A77" s="118" t="str">
        <f>"3909223"</f>
        <v>3909223</v>
      </c>
      <c r="B77" s="116" t="s">
        <v>2846</v>
      </c>
      <c r="C77" s="166">
        <v>2.0699999999999998</v>
      </c>
      <c r="D77" s="118">
        <v>315790</v>
      </c>
      <c r="E77" s="117">
        <v>43836.201550925929</v>
      </c>
      <c r="F77" s="118">
        <v>428</v>
      </c>
    </row>
    <row r="78" spans="1:6" x14ac:dyDescent="0.25">
      <c r="A78" s="118" t="str">
        <f>"3903282"</f>
        <v>3903282</v>
      </c>
      <c r="B78" s="116" t="s">
        <v>2847</v>
      </c>
      <c r="C78" s="166">
        <v>1.68</v>
      </c>
      <c r="D78" s="118">
        <v>316313</v>
      </c>
      <c r="E78" s="117">
        <v>43836.201550925929</v>
      </c>
      <c r="F78" s="118">
        <v>429</v>
      </c>
    </row>
    <row r="79" spans="1:6" x14ac:dyDescent="0.25">
      <c r="A79" s="118" t="str">
        <f>"3950328"</f>
        <v>3950328</v>
      </c>
      <c r="B79" s="116" t="s">
        <v>2848</v>
      </c>
      <c r="C79" s="166">
        <v>10.32</v>
      </c>
      <c r="D79" s="118">
        <v>314625</v>
      </c>
      <c r="E79" s="117">
        <v>43836.201550925929</v>
      </c>
      <c r="F79" s="118">
        <v>430</v>
      </c>
    </row>
    <row r="80" spans="1:6" x14ac:dyDescent="0.25">
      <c r="A80" s="118" t="str">
        <f>"3903098"</f>
        <v>3903098</v>
      </c>
      <c r="B80" s="116" t="s">
        <v>2849</v>
      </c>
      <c r="C80" s="166">
        <v>3.47</v>
      </c>
      <c r="D80" s="118">
        <v>314812</v>
      </c>
      <c r="E80" s="117">
        <v>43836.201550925929</v>
      </c>
      <c r="F80" s="118">
        <v>431</v>
      </c>
    </row>
    <row r="81" spans="1:6" x14ac:dyDescent="0.25">
      <c r="A81" s="118" t="str">
        <f>"3950041"</f>
        <v>3950041</v>
      </c>
      <c r="B81" s="116" t="s">
        <v>2850</v>
      </c>
      <c r="C81" s="166">
        <v>4.1900000000000004</v>
      </c>
      <c r="D81" s="118">
        <v>314472</v>
      </c>
      <c r="E81" s="117">
        <v>43836.201550925929</v>
      </c>
      <c r="F81" s="118">
        <v>432</v>
      </c>
    </row>
    <row r="82" spans="1:6" x14ac:dyDescent="0.25">
      <c r="A82" s="118" t="str">
        <f>"3920281"</f>
        <v>3920281</v>
      </c>
      <c r="B82" s="116" t="s">
        <v>2851</v>
      </c>
      <c r="C82" s="166">
        <v>7.82</v>
      </c>
      <c r="D82" s="118">
        <v>314447</v>
      </c>
      <c r="E82" s="117">
        <v>43836.201550925929</v>
      </c>
      <c r="F82" s="118">
        <v>433</v>
      </c>
    </row>
    <row r="83" spans="1:6" x14ac:dyDescent="0.25">
      <c r="A83" s="118" t="str">
        <f>"3908927"</f>
        <v>3908927</v>
      </c>
      <c r="B83" s="116" t="s">
        <v>2852</v>
      </c>
      <c r="C83" s="166">
        <v>1.76</v>
      </c>
      <c r="D83" s="118">
        <v>315193</v>
      </c>
      <c r="E83" s="117">
        <v>43836.201550925929</v>
      </c>
      <c r="F83" s="118">
        <v>434</v>
      </c>
    </row>
    <row r="84" spans="1:6" x14ac:dyDescent="0.25">
      <c r="A84" s="118" t="str">
        <f>"3945272"</f>
        <v>3945272</v>
      </c>
      <c r="B84" s="116" t="s">
        <v>2853</v>
      </c>
      <c r="C84" s="166">
        <v>4.1900000000000004</v>
      </c>
      <c r="D84" s="118">
        <v>314695</v>
      </c>
      <c r="E84" s="117">
        <v>43836.201550925929</v>
      </c>
      <c r="F84" s="118">
        <v>435</v>
      </c>
    </row>
    <row r="85" spans="1:6" x14ac:dyDescent="0.25">
      <c r="A85" s="118" t="str">
        <f>"3940013"</f>
        <v>3940013</v>
      </c>
      <c r="B85" s="116" t="s">
        <v>2854</v>
      </c>
      <c r="C85" s="166">
        <v>8.3800000000000008</v>
      </c>
      <c r="D85" s="118">
        <v>314450</v>
      </c>
      <c r="E85" s="117">
        <v>43836.201550925929</v>
      </c>
      <c r="F85" s="118">
        <v>436</v>
      </c>
    </row>
    <row r="86" spans="1:6" x14ac:dyDescent="0.25">
      <c r="A86" s="118" t="str">
        <f>"3906324"</f>
        <v>3906324</v>
      </c>
      <c r="B86" s="116" t="s">
        <v>2855</v>
      </c>
      <c r="C86" s="166">
        <v>4.1900000000000004</v>
      </c>
      <c r="D86" s="118">
        <v>314718</v>
      </c>
      <c r="E86" s="117">
        <v>43836.201550925929</v>
      </c>
      <c r="F86" s="118">
        <v>437</v>
      </c>
    </row>
    <row r="87" spans="1:6" x14ac:dyDescent="0.25">
      <c r="A87" s="118" t="str">
        <f>"3901113"</f>
        <v>3901113</v>
      </c>
      <c r="B87" s="116" t="s">
        <v>2856</v>
      </c>
      <c r="C87" s="166">
        <v>2.35</v>
      </c>
      <c r="D87" s="118">
        <v>315220</v>
      </c>
      <c r="E87" s="117">
        <v>43836.201550925929</v>
      </c>
      <c r="F87" s="118">
        <v>438</v>
      </c>
    </row>
    <row r="88" spans="1:6" x14ac:dyDescent="0.25">
      <c r="A88" s="118" t="str">
        <f>"3945262"</f>
        <v>3945262</v>
      </c>
      <c r="B88" s="116" t="s">
        <v>2857</v>
      </c>
      <c r="C88" s="166">
        <v>3.36</v>
      </c>
      <c r="D88" s="118">
        <v>314698</v>
      </c>
      <c r="E88" s="117">
        <v>43836.201550925929</v>
      </c>
      <c r="F88" s="118">
        <v>439</v>
      </c>
    </row>
    <row r="89" spans="1:6" x14ac:dyDescent="0.25">
      <c r="A89" s="118" t="str">
        <f>"3960264"</f>
        <v>3960264</v>
      </c>
      <c r="B89" s="116" t="s">
        <v>2858</v>
      </c>
      <c r="C89" s="166">
        <v>8.4</v>
      </c>
      <c r="D89" s="118">
        <v>314455</v>
      </c>
      <c r="E89" s="117">
        <v>43836.201550925929</v>
      </c>
      <c r="F89" s="118">
        <v>440</v>
      </c>
    </row>
    <row r="90" spans="1:6" x14ac:dyDescent="0.25">
      <c r="A90" s="118" t="str">
        <f>"3960232"</f>
        <v>3960232</v>
      </c>
      <c r="B90" s="116" t="s">
        <v>2859</v>
      </c>
      <c r="C90" s="166">
        <v>24.6</v>
      </c>
      <c r="D90" s="118">
        <v>314543</v>
      </c>
      <c r="E90" s="117">
        <v>43836.201550925929</v>
      </c>
      <c r="F90" s="118">
        <v>441</v>
      </c>
    </row>
    <row r="91" spans="1:6" x14ac:dyDescent="0.25">
      <c r="A91" s="118" t="str">
        <f>"3907922"</f>
        <v>3907922</v>
      </c>
      <c r="B91" s="116" t="s">
        <v>2860</v>
      </c>
      <c r="C91" s="166">
        <v>1.68</v>
      </c>
      <c r="D91" s="118">
        <v>316869</v>
      </c>
      <c r="E91" s="117">
        <v>43836.201550925929</v>
      </c>
      <c r="F91" s="118">
        <v>442</v>
      </c>
    </row>
    <row r="92" spans="1:6" x14ac:dyDescent="0.25">
      <c r="A92" s="118" t="str">
        <f>"3906796"</f>
        <v>3906796</v>
      </c>
      <c r="B92" s="116" t="s">
        <v>2861</v>
      </c>
      <c r="C92" s="166">
        <v>11.76</v>
      </c>
      <c r="D92" s="118">
        <v>316885</v>
      </c>
      <c r="E92" s="117">
        <v>43836.201550925929</v>
      </c>
      <c r="F92" s="118">
        <v>443</v>
      </c>
    </row>
    <row r="93" spans="1:6" x14ac:dyDescent="0.25">
      <c r="A93" s="118" t="str">
        <f>"3908716"</f>
        <v>3908716</v>
      </c>
      <c r="B93" s="116" t="s">
        <v>2862</v>
      </c>
      <c r="C93" s="166">
        <v>32.97</v>
      </c>
      <c r="D93" s="118">
        <v>316752</v>
      </c>
      <c r="E93" s="117">
        <v>43836.201550925929</v>
      </c>
      <c r="F93" s="118">
        <v>444</v>
      </c>
    </row>
    <row r="94" spans="1:6" x14ac:dyDescent="0.25">
      <c r="A94" s="118" t="str">
        <f>"3908672"</f>
        <v>3908672</v>
      </c>
      <c r="B94" s="116" t="s">
        <v>2863</v>
      </c>
      <c r="C94" s="166">
        <v>3.01</v>
      </c>
      <c r="D94" s="118">
        <v>316743</v>
      </c>
      <c r="E94" s="117">
        <v>43836.201550925929</v>
      </c>
      <c r="F94" s="118">
        <v>445</v>
      </c>
    </row>
    <row r="95" spans="1:6" x14ac:dyDescent="0.25">
      <c r="A95" s="118" t="str">
        <f>"3909054"</f>
        <v>3909054</v>
      </c>
      <c r="B95" s="116" t="s">
        <v>2864</v>
      </c>
      <c r="C95" s="166">
        <v>1.68</v>
      </c>
      <c r="D95" s="118">
        <v>316873</v>
      </c>
      <c r="E95" s="117">
        <v>43836.201550925929</v>
      </c>
      <c r="F95" s="118">
        <v>446</v>
      </c>
    </row>
    <row r="96" spans="1:6" x14ac:dyDescent="0.25">
      <c r="A96" s="118" t="str">
        <f>"3900340"</f>
        <v>3900340</v>
      </c>
      <c r="B96" s="116" t="s">
        <v>2865</v>
      </c>
      <c r="C96" s="166">
        <v>15.3</v>
      </c>
      <c r="D96" s="118">
        <v>316618</v>
      </c>
      <c r="E96" s="117">
        <v>43836.201550925929</v>
      </c>
      <c r="F96" s="118">
        <v>447</v>
      </c>
    </row>
    <row r="97" spans="1:6" x14ac:dyDescent="0.25">
      <c r="A97" s="118" t="str">
        <f>"3900344"</f>
        <v>3900344</v>
      </c>
      <c r="B97" s="116" t="s">
        <v>2865</v>
      </c>
      <c r="C97" s="166">
        <v>15.3</v>
      </c>
      <c r="D97" s="118">
        <v>316619</v>
      </c>
      <c r="E97" s="117">
        <v>43836.201550925929</v>
      </c>
      <c r="F97" s="118">
        <v>448</v>
      </c>
    </row>
    <row r="98" spans="1:6" x14ac:dyDescent="0.25">
      <c r="A98" s="118" t="str">
        <f>"3900657"</f>
        <v>3900657</v>
      </c>
      <c r="B98" s="116" t="s">
        <v>2865</v>
      </c>
      <c r="C98" s="166">
        <v>15.3</v>
      </c>
      <c r="D98" s="118">
        <v>316617</v>
      </c>
      <c r="E98" s="117">
        <v>43836.201550925929</v>
      </c>
      <c r="F98" s="118">
        <v>449</v>
      </c>
    </row>
    <row r="99" spans="1:6" x14ac:dyDescent="0.25">
      <c r="A99" s="118" t="str">
        <f>"3909007"</f>
        <v>3909007</v>
      </c>
      <c r="B99" s="116" t="s">
        <v>2866</v>
      </c>
      <c r="C99" s="166">
        <v>6.62</v>
      </c>
      <c r="D99" s="118">
        <v>316831</v>
      </c>
      <c r="E99" s="117">
        <v>43836.201550925929</v>
      </c>
      <c r="F99" s="118">
        <v>450</v>
      </c>
    </row>
    <row r="100" spans="1:6" x14ac:dyDescent="0.25">
      <c r="A100" s="118" t="str">
        <f>"3945038"</f>
        <v>3945038</v>
      </c>
      <c r="B100" s="116" t="s">
        <v>2867</v>
      </c>
      <c r="C100" s="166">
        <v>15.3</v>
      </c>
      <c r="D100" s="118">
        <v>316622</v>
      </c>
      <c r="E100" s="117">
        <v>43836.201550925929</v>
      </c>
      <c r="F100" s="118">
        <v>451</v>
      </c>
    </row>
    <row r="101" spans="1:6" x14ac:dyDescent="0.25">
      <c r="A101" s="118" t="str">
        <f>"3901033"</f>
        <v>3901033</v>
      </c>
      <c r="B101" s="116" t="s">
        <v>2868</v>
      </c>
      <c r="C101" s="166">
        <v>46.36</v>
      </c>
      <c r="D101" s="118">
        <v>316627</v>
      </c>
      <c r="E101" s="117">
        <v>43836.201550925929</v>
      </c>
      <c r="F101" s="118">
        <v>452</v>
      </c>
    </row>
    <row r="102" spans="1:6" x14ac:dyDescent="0.25">
      <c r="A102" s="118" t="str">
        <f>"3903292"</f>
        <v>3903292</v>
      </c>
      <c r="B102" s="116" t="s">
        <v>2869</v>
      </c>
      <c r="C102" s="166">
        <v>29.04</v>
      </c>
      <c r="D102" s="118">
        <v>315058</v>
      </c>
      <c r="E102" s="117">
        <v>43836.753495370373</v>
      </c>
      <c r="F102" s="118">
        <v>453</v>
      </c>
    </row>
    <row r="103" spans="1:6" s="164" customFormat="1" x14ac:dyDescent="0.25">
      <c r="A103" s="115"/>
      <c r="B103" s="115" t="s">
        <v>5691</v>
      </c>
      <c r="C103" s="167">
        <f>SUM(C38:C102)</f>
        <v>557.95999999999992</v>
      </c>
      <c r="D103" s="115">
        <v>3</v>
      </c>
      <c r="E103" s="163"/>
      <c r="F103" s="115"/>
    </row>
    <row r="104" spans="1:6" x14ac:dyDescent="0.25">
      <c r="A104" s="118"/>
      <c r="B104" s="116"/>
      <c r="C104" s="166"/>
      <c r="D104" s="118"/>
      <c r="E104" s="117"/>
      <c r="F104" s="118"/>
    </row>
    <row r="105" spans="1:6" x14ac:dyDescent="0.25">
      <c r="A105" s="118" t="str">
        <f>"3960310"</f>
        <v>3960310</v>
      </c>
      <c r="B105" s="116" t="s">
        <v>2870</v>
      </c>
      <c r="C105" s="166">
        <v>8.3800000000000008</v>
      </c>
      <c r="D105" s="118">
        <v>8.3800000000000008</v>
      </c>
      <c r="E105" s="117">
        <v>43837.380914351852</v>
      </c>
      <c r="F105" s="118">
        <v>519</v>
      </c>
    </row>
    <row r="106" spans="1:6" x14ac:dyDescent="0.25">
      <c r="A106" s="118" t="str">
        <f>"3960392"</f>
        <v>3960392</v>
      </c>
      <c r="B106" s="116" t="s">
        <v>2872</v>
      </c>
      <c r="C106" s="166">
        <v>17.88</v>
      </c>
      <c r="D106" s="118">
        <v>17.88</v>
      </c>
      <c r="E106" s="117">
        <v>43837.538472222222</v>
      </c>
      <c r="F106" s="118">
        <v>520</v>
      </c>
    </row>
    <row r="107" spans="1:6" x14ac:dyDescent="0.25">
      <c r="A107" s="118" t="str">
        <f>"3903173"</f>
        <v>3903173</v>
      </c>
      <c r="B107" s="116" t="s">
        <v>2873</v>
      </c>
      <c r="C107" s="166">
        <v>12.69</v>
      </c>
      <c r="D107" s="118">
        <v>12.69</v>
      </c>
      <c r="E107" s="117">
        <v>43837.568344907406</v>
      </c>
      <c r="F107" s="118">
        <v>521</v>
      </c>
    </row>
    <row r="108" spans="1:6" x14ac:dyDescent="0.25">
      <c r="A108" s="118" t="str">
        <f>"3960327"</f>
        <v>3960327</v>
      </c>
      <c r="B108" s="116" t="s">
        <v>2875</v>
      </c>
      <c r="C108" s="166">
        <v>3.55</v>
      </c>
      <c r="D108" s="118">
        <v>3.55</v>
      </c>
      <c r="E108" s="117">
        <v>43837.611250000002</v>
      </c>
      <c r="F108" s="118">
        <v>522</v>
      </c>
    </row>
    <row r="109" spans="1:6" x14ac:dyDescent="0.25">
      <c r="A109" s="118" t="str">
        <f>"3907841"</f>
        <v>3907841</v>
      </c>
      <c r="B109" s="116" t="s">
        <v>2876</v>
      </c>
      <c r="C109" s="166">
        <v>40.270000000000003</v>
      </c>
      <c r="D109" s="118">
        <v>40.270000000000003</v>
      </c>
      <c r="E109" s="117">
        <v>43837.732997685183</v>
      </c>
      <c r="F109" s="118">
        <v>523</v>
      </c>
    </row>
    <row r="110" spans="1:6" x14ac:dyDescent="0.25">
      <c r="A110" s="118" t="str">
        <f>"3960361"</f>
        <v>3960361</v>
      </c>
      <c r="B110" s="116" t="s">
        <v>2871</v>
      </c>
      <c r="C110" s="166">
        <v>25.14</v>
      </c>
      <c r="D110" s="118">
        <v>25.14</v>
      </c>
      <c r="E110" s="117">
        <v>43837.381365740737</v>
      </c>
      <c r="F110" s="118">
        <v>526</v>
      </c>
    </row>
    <row r="111" spans="1:6" x14ac:dyDescent="0.25">
      <c r="A111" s="118" t="str">
        <f>"3907631"</f>
        <v>3907631</v>
      </c>
      <c r="B111" s="116" t="s">
        <v>2874</v>
      </c>
      <c r="C111" s="166">
        <v>6.24</v>
      </c>
      <c r="D111" s="118">
        <v>6.24</v>
      </c>
      <c r="E111" s="117">
        <v>43837.569803240738</v>
      </c>
      <c r="F111" s="118">
        <v>527</v>
      </c>
    </row>
    <row r="112" spans="1:6" s="164" customFormat="1" x14ac:dyDescent="0.25">
      <c r="A112" s="115"/>
      <c r="B112" s="115" t="s">
        <v>5691</v>
      </c>
      <c r="C112" s="167">
        <f>SUM(C105:C111)</f>
        <v>114.14999999999999</v>
      </c>
      <c r="D112" s="115">
        <v>4</v>
      </c>
      <c r="E112" s="163"/>
      <c r="F112" s="115"/>
    </row>
    <row r="113" spans="1:6" x14ac:dyDescent="0.25">
      <c r="A113" s="118"/>
      <c r="B113" s="116"/>
      <c r="C113" s="166"/>
      <c r="D113" s="118"/>
      <c r="E113" s="117"/>
      <c r="F113" s="118"/>
    </row>
    <row r="114" spans="1:6" x14ac:dyDescent="0.25">
      <c r="A114" s="118" t="str">
        <f>"3903545"</f>
        <v>3903545</v>
      </c>
      <c r="B114" s="116" t="s">
        <v>2877</v>
      </c>
      <c r="C114" s="166">
        <v>3.11</v>
      </c>
      <c r="D114" s="118">
        <v>315390</v>
      </c>
      <c r="E114" s="117">
        <v>43838.315023148149</v>
      </c>
      <c r="F114" s="118">
        <v>625</v>
      </c>
    </row>
    <row r="115" spans="1:6" x14ac:dyDescent="0.25">
      <c r="A115" s="118" t="str">
        <f>"3909789"</f>
        <v>3909789</v>
      </c>
      <c r="B115" s="116" t="s">
        <v>2878</v>
      </c>
      <c r="C115" s="166">
        <v>3.36</v>
      </c>
      <c r="D115" s="118">
        <v>315831</v>
      </c>
      <c r="E115" s="117">
        <v>43838.37091435185</v>
      </c>
      <c r="F115" s="118">
        <v>626</v>
      </c>
    </row>
    <row r="116" spans="1:6" x14ac:dyDescent="0.25">
      <c r="A116" s="118" t="str">
        <f>"3960284"</f>
        <v>3960284</v>
      </c>
      <c r="B116" s="116" t="s">
        <v>2879</v>
      </c>
      <c r="C116" s="166">
        <v>8.3800000000000008</v>
      </c>
      <c r="D116" s="118">
        <v>314523</v>
      </c>
      <c r="E116" s="117">
        <v>43838.412395833337</v>
      </c>
      <c r="F116" s="118">
        <v>627</v>
      </c>
    </row>
    <row r="117" spans="1:6" x14ac:dyDescent="0.25">
      <c r="A117" s="118" t="str">
        <f>"3960257"</f>
        <v>3960257</v>
      </c>
      <c r="B117" s="116" t="s">
        <v>2880</v>
      </c>
      <c r="C117" s="166">
        <v>16.3</v>
      </c>
      <c r="D117" s="118">
        <v>316614</v>
      </c>
      <c r="E117" s="117">
        <v>43838.500185185185</v>
      </c>
      <c r="F117" s="118">
        <v>628</v>
      </c>
    </row>
    <row r="118" spans="1:6" x14ac:dyDescent="0.25">
      <c r="A118" s="118" t="str">
        <f>"3960275"</f>
        <v>3960275</v>
      </c>
      <c r="B118" s="116" t="s">
        <v>2880</v>
      </c>
      <c r="C118" s="166">
        <v>15.3</v>
      </c>
      <c r="D118" s="118">
        <v>316621</v>
      </c>
      <c r="E118" s="117">
        <v>43838.500798611109</v>
      </c>
      <c r="F118" s="118">
        <v>629</v>
      </c>
    </row>
    <row r="119" spans="1:6" x14ac:dyDescent="0.25">
      <c r="A119" s="118" t="str">
        <f>"3900325"</f>
        <v>3900325</v>
      </c>
      <c r="B119" s="116" t="s">
        <v>2881</v>
      </c>
      <c r="C119" s="166">
        <v>4.25</v>
      </c>
      <c r="D119" s="118">
        <v>315947</v>
      </c>
      <c r="E119" s="117">
        <v>43838.714236111111</v>
      </c>
      <c r="F119" s="118">
        <v>630</v>
      </c>
    </row>
    <row r="120" spans="1:6" x14ac:dyDescent="0.25">
      <c r="A120" s="118" t="str">
        <f>"3900328"</f>
        <v>3900328</v>
      </c>
      <c r="B120" s="116" t="s">
        <v>2881</v>
      </c>
      <c r="C120" s="166">
        <v>6.67</v>
      </c>
      <c r="D120" s="118">
        <v>315948</v>
      </c>
      <c r="E120" s="117">
        <v>43838.714895833335</v>
      </c>
      <c r="F120" s="118">
        <v>631</v>
      </c>
    </row>
    <row r="121" spans="1:6" s="164" customFormat="1" x14ac:dyDescent="0.25">
      <c r="A121" s="115"/>
      <c r="B121" s="115" t="s">
        <v>5691</v>
      </c>
      <c r="C121" s="167">
        <f>SUM(C114:C120)</f>
        <v>57.370000000000005</v>
      </c>
      <c r="D121" s="115">
        <v>5</v>
      </c>
      <c r="E121" s="163"/>
      <c r="F121" s="115"/>
    </row>
    <row r="122" spans="1:6" x14ac:dyDescent="0.25">
      <c r="A122" s="118"/>
      <c r="B122" s="116"/>
      <c r="C122" s="166"/>
      <c r="D122" s="118"/>
      <c r="E122" s="117"/>
      <c r="F122" s="118"/>
    </row>
    <row r="123" spans="1:6" x14ac:dyDescent="0.25">
      <c r="A123" s="118" t="str">
        <f>"3902190"</f>
        <v>3902190</v>
      </c>
      <c r="B123" s="116" t="s">
        <v>2882</v>
      </c>
      <c r="C123" s="166">
        <v>19.14</v>
      </c>
      <c r="D123" s="118">
        <v>316956</v>
      </c>
      <c r="E123" s="117">
        <v>43839.428020833337</v>
      </c>
      <c r="F123" s="118">
        <v>693</v>
      </c>
    </row>
    <row r="124" spans="1:6" x14ac:dyDescent="0.25">
      <c r="A124" s="118" t="str">
        <f>"3907622"</f>
        <v>3907622</v>
      </c>
      <c r="B124" s="116" t="s">
        <v>2883</v>
      </c>
      <c r="C124" s="166">
        <v>47.99</v>
      </c>
      <c r="D124" s="118">
        <v>317083</v>
      </c>
      <c r="E124" s="117">
        <v>43839.458923611113</v>
      </c>
      <c r="F124" s="118">
        <v>694</v>
      </c>
    </row>
    <row r="125" spans="1:6" x14ac:dyDescent="0.25">
      <c r="A125" s="118" t="str">
        <f>"3960282"</f>
        <v>3960282</v>
      </c>
      <c r="B125" s="116" t="s">
        <v>2884</v>
      </c>
      <c r="C125" s="166">
        <v>18.39</v>
      </c>
      <c r="D125" s="118">
        <v>314504</v>
      </c>
      <c r="E125" s="117">
        <v>43839.480428240742</v>
      </c>
      <c r="F125" s="118">
        <v>695</v>
      </c>
    </row>
    <row r="126" spans="1:6" x14ac:dyDescent="0.25">
      <c r="A126" s="118" t="str">
        <f>"3930126"</f>
        <v>3930126</v>
      </c>
      <c r="B126" s="116" t="s">
        <v>2885</v>
      </c>
      <c r="C126" s="166">
        <v>6.02</v>
      </c>
      <c r="D126" s="118">
        <v>315209</v>
      </c>
      <c r="E126" s="117">
        <v>43839.565254629626</v>
      </c>
      <c r="F126" s="118">
        <v>696</v>
      </c>
    </row>
    <row r="127" spans="1:6" s="164" customFormat="1" x14ac:dyDescent="0.25">
      <c r="A127" s="115"/>
      <c r="B127" s="115" t="s">
        <v>5691</v>
      </c>
      <c r="C127" s="167">
        <f>SUM(C123:C126)</f>
        <v>91.539999999999992</v>
      </c>
      <c r="D127" s="115">
        <v>6</v>
      </c>
      <c r="E127" s="163"/>
      <c r="F127" s="115"/>
    </row>
    <row r="128" spans="1:6" x14ac:dyDescent="0.25">
      <c r="A128" s="118"/>
      <c r="B128" s="116"/>
      <c r="C128" s="166"/>
      <c r="D128" s="118"/>
      <c r="E128" s="117"/>
      <c r="F128" s="118"/>
    </row>
    <row r="129" spans="1:6" x14ac:dyDescent="0.25">
      <c r="A129" s="118" t="str">
        <f>"23923021"</f>
        <v>23923021</v>
      </c>
      <c r="B129" s="116" t="s">
        <v>2886</v>
      </c>
      <c r="C129" s="166">
        <v>8.0299999999999994</v>
      </c>
      <c r="D129" s="118">
        <v>818</v>
      </c>
      <c r="E129" s="117">
        <v>43840.364189814813</v>
      </c>
      <c r="F129" s="118">
        <v>768</v>
      </c>
    </row>
    <row r="130" spans="1:6" x14ac:dyDescent="0.25">
      <c r="A130" s="118" t="str">
        <f>"3908035"</f>
        <v>3908035</v>
      </c>
      <c r="B130" s="116" t="s">
        <v>2887</v>
      </c>
      <c r="C130" s="166">
        <v>2.67</v>
      </c>
      <c r="D130" s="118">
        <v>316944</v>
      </c>
      <c r="E130" s="117">
        <v>43840.390879629631</v>
      </c>
      <c r="F130" s="118">
        <v>769</v>
      </c>
    </row>
    <row r="131" spans="1:6" x14ac:dyDescent="0.25">
      <c r="A131" s="118" t="str">
        <f>"3908084"</f>
        <v>3908084</v>
      </c>
      <c r="B131" s="116" t="s">
        <v>2888</v>
      </c>
      <c r="C131" s="166">
        <v>8.74</v>
      </c>
      <c r="D131" s="118">
        <v>315761</v>
      </c>
      <c r="E131" s="117">
        <v>43840.436863425923</v>
      </c>
      <c r="F131" s="118">
        <v>770</v>
      </c>
    </row>
    <row r="132" spans="1:6" x14ac:dyDescent="0.25">
      <c r="A132" s="118" t="str">
        <f>"3900938"</f>
        <v>3900938</v>
      </c>
      <c r="B132" s="116" t="s">
        <v>2889</v>
      </c>
      <c r="C132" s="166">
        <v>1.68</v>
      </c>
      <c r="D132" s="118">
        <v>316106</v>
      </c>
      <c r="E132" s="117">
        <v>43840.454699074071</v>
      </c>
      <c r="F132" s="118">
        <v>771</v>
      </c>
    </row>
    <row r="133" spans="1:6" x14ac:dyDescent="0.25">
      <c r="A133" s="118" t="str">
        <f>"3902009"</f>
        <v>3902009</v>
      </c>
      <c r="B133" s="116" t="s">
        <v>2890</v>
      </c>
      <c r="C133" s="166">
        <v>3.36</v>
      </c>
      <c r="D133" s="118">
        <v>316790</v>
      </c>
      <c r="E133" s="117">
        <v>43840.511018518519</v>
      </c>
      <c r="F133" s="118">
        <v>772</v>
      </c>
    </row>
    <row r="134" spans="1:6" x14ac:dyDescent="0.25">
      <c r="A134" s="118" t="str">
        <f>"3901426"</f>
        <v>3901426</v>
      </c>
      <c r="B134" s="116" t="s">
        <v>2891</v>
      </c>
      <c r="C134" s="166">
        <v>7.01</v>
      </c>
      <c r="D134" s="118">
        <v>316223</v>
      </c>
      <c r="E134" s="117">
        <v>43840.526979166665</v>
      </c>
      <c r="F134" s="118">
        <v>773</v>
      </c>
    </row>
    <row r="135" spans="1:6" x14ac:dyDescent="0.25">
      <c r="A135" s="118" t="str">
        <f>"3945048"</f>
        <v>3945048</v>
      </c>
      <c r="B135" s="116" t="s">
        <v>2892</v>
      </c>
      <c r="C135" s="166">
        <v>8.3800000000000008</v>
      </c>
      <c r="D135" s="118">
        <v>314511</v>
      </c>
      <c r="E135" s="117">
        <v>43840.614432870374</v>
      </c>
      <c r="F135" s="118">
        <v>774</v>
      </c>
    </row>
    <row r="136" spans="1:6" x14ac:dyDescent="0.25">
      <c r="A136" s="118" t="str">
        <f>"3960276"</f>
        <v>3960276</v>
      </c>
      <c r="B136" s="116" t="s">
        <v>2894</v>
      </c>
      <c r="C136" s="166">
        <v>12.3</v>
      </c>
      <c r="D136" s="118">
        <v>314486</v>
      </c>
      <c r="E136" s="117">
        <v>43840.653229166666</v>
      </c>
      <c r="F136" s="118">
        <v>775</v>
      </c>
    </row>
    <row r="137" spans="1:6" x14ac:dyDescent="0.25">
      <c r="A137" s="118" t="str">
        <f>"3920065"</f>
        <v>3920065</v>
      </c>
      <c r="B137" s="116" t="s">
        <v>2895</v>
      </c>
      <c r="C137" s="166">
        <v>15.3</v>
      </c>
      <c r="D137" s="118">
        <v>316613</v>
      </c>
      <c r="E137" s="117">
        <v>43840.671539351853</v>
      </c>
      <c r="F137" s="118">
        <v>776</v>
      </c>
    </row>
    <row r="138" spans="1:6" x14ac:dyDescent="0.25">
      <c r="A138" s="118" t="str">
        <f>"3945424"</f>
        <v>3945424</v>
      </c>
      <c r="B138" s="116" t="s">
        <v>2897</v>
      </c>
      <c r="C138" s="166">
        <v>8.3800000000000008</v>
      </c>
      <c r="D138" s="118">
        <v>314588</v>
      </c>
      <c r="E138" s="117">
        <v>43840.742280092592</v>
      </c>
      <c r="F138" s="118">
        <v>777</v>
      </c>
    </row>
    <row r="139" spans="1:6" x14ac:dyDescent="0.25">
      <c r="A139" s="118" t="str">
        <f>"3902041"</f>
        <v>3902041</v>
      </c>
      <c r="B139" s="116" t="s">
        <v>2898</v>
      </c>
      <c r="C139" s="166">
        <v>8.3800000000000008</v>
      </c>
      <c r="D139" s="118">
        <v>314643</v>
      </c>
      <c r="E139" s="117">
        <v>43840.777916666666</v>
      </c>
      <c r="F139" s="118">
        <v>778</v>
      </c>
    </row>
    <row r="140" spans="1:6" x14ac:dyDescent="0.25">
      <c r="A140" s="118" t="str">
        <f>"3907330"</f>
        <v>3907330</v>
      </c>
      <c r="B140" s="116" t="s">
        <v>2899</v>
      </c>
      <c r="C140" s="166">
        <v>8.52</v>
      </c>
      <c r="D140" s="118">
        <v>314739</v>
      </c>
      <c r="E140" s="117">
        <v>43840.778599537036</v>
      </c>
      <c r="F140" s="118">
        <v>779</v>
      </c>
    </row>
    <row r="141" spans="1:6" x14ac:dyDescent="0.25">
      <c r="A141" s="118" t="str">
        <f>"3907169"</f>
        <v>3907169</v>
      </c>
      <c r="B141" s="116" t="s">
        <v>2893</v>
      </c>
      <c r="C141" s="166">
        <v>23.79</v>
      </c>
      <c r="D141" s="118">
        <v>309298</v>
      </c>
      <c r="E141" s="117">
        <v>43840.636666666665</v>
      </c>
      <c r="F141" s="118">
        <v>780</v>
      </c>
    </row>
    <row r="142" spans="1:6" x14ac:dyDescent="0.25">
      <c r="A142" s="118" t="str">
        <f>"3903831"</f>
        <v>3903831</v>
      </c>
      <c r="B142" s="116" t="s">
        <v>2896</v>
      </c>
      <c r="C142" s="166">
        <v>0.57999999999999996</v>
      </c>
      <c r="D142" s="118">
        <v>311670</v>
      </c>
      <c r="E142" s="117">
        <v>43840.674768518518</v>
      </c>
      <c r="F142" s="118">
        <v>781</v>
      </c>
    </row>
    <row r="143" spans="1:6" x14ac:dyDescent="0.25">
      <c r="A143" s="118" t="str">
        <f>"3903832"</f>
        <v>3903832</v>
      </c>
      <c r="B143" s="116" t="s">
        <v>2896</v>
      </c>
      <c r="C143" s="166">
        <v>0.15</v>
      </c>
      <c r="D143" s="118">
        <v>311671</v>
      </c>
      <c r="E143" s="117">
        <v>43840.674837962964</v>
      </c>
      <c r="F143" s="118">
        <v>782</v>
      </c>
    </row>
    <row r="144" spans="1:6" s="164" customFormat="1" x14ac:dyDescent="0.25">
      <c r="A144" s="115"/>
      <c r="B144" s="115" t="s">
        <v>5691</v>
      </c>
      <c r="C144" s="167">
        <f>SUM(C129:C143)</f>
        <v>117.27</v>
      </c>
      <c r="D144" s="115">
        <v>7</v>
      </c>
      <c r="E144" s="163"/>
      <c r="F144" s="115"/>
    </row>
    <row r="145" spans="1:6" x14ac:dyDescent="0.25">
      <c r="A145" s="118"/>
      <c r="B145" s="116"/>
      <c r="C145" s="166"/>
      <c r="D145" s="118"/>
      <c r="E145" s="117"/>
      <c r="F145" s="118"/>
    </row>
    <row r="146" spans="1:6" x14ac:dyDescent="0.25">
      <c r="A146" s="118" t="str">
        <f>"3908631"</f>
        <v>3908631</v>
      </c>
      <c r="B146" s="116" t="s">
        <v>2900</v>
      </c>
      <c r="C146" s="166">
        <v>4.92</v>
      </c>
      <c r="D146" s="118">
        <v>314829</v>
      </c>
      <c r="E146" s="117">
        <v>43843.538576388892</v>
      </c>
      <c r="F146" s="118">
        <v>876</v>
      </c>
    </row>
    <row r="147" spans="1:6" x14ac:dyDescent="0.25">
      <c r="A147" s="118" t="str">
        <f>"3930203"</f>
        <v>3930203</v>
      </c>
      <c r="B147" s="116" t="s">
        <v>2902</v>
      </c>
      <c r="C147" s="166">
        <v>3.7</v>
      </c>
      <c r="D147" s="118">
        <v>315319</v>
      </c>
      <c r="E147" s="117">
        <v>43843.458113425928</v>
      </c>
      <c r="F147" s="118">
        <v>877</v>
      </c>
    </row>
    <row r="148" spans="1:6" x14ac:dyDescent="0.25">
      <c r="A148" s="118" t="str">
        <f>"3903105"</f>
        <v>3903105</v>
      </c>
      <c r="B148" s="116" t="s">
        <v>2903</v>
      </c>
      <c r="C148" s="166">
        <v>1.94</v>
      </c>
      <c r="D148" s="118">
        <v>316964</v>
      </c>
      <c r="E148" s="117">
        <v>43843.475243055553</v>
      </c>
      <c r="F148" s="118">
        <v>878</v>
      </c>
    </row>
    <row r="149" spans="1:6" x14ac:dyDescent="0.25">
      <c r="A149" s="118" t="str">
        <f>"3901913"</f>
        <v>3901913</v>
      </c>
      <c r="B149" s="116" t="s">
        <v>2904</v>
      </c>
      <c r="C149" s="166">
        <v>6</v>
      </c>
      <c r="D149" s="118">
        <v>316970</v>
      </c>
      <c r="E149" s="117">
        <v>43843.485810185186</v>
      </c>
      <c r="F149" s="118">
        <v>879</v>
      </c>
    </row>
    <row r="150" spans="1:6" x14ac:dyDescent="0.25">
      <c r="A150" s="118" t="str">
        <f>"3902951"</f>
        <v>3902951</v>
      </c>
      <c r="B150" s="116" t="s">
        <v>2904</v>
      </c>
      <c r="C150" s="166">
        <v>1.85</v>
      </c>
      <c r="D150" s="118">
        <v>316979</v>
      </c>
      <c r="E150" s="117">
        <v>43843.485937500001</v>
      </c>
      <c r="F150" s="118">
        <v>880</v>
      </c>
    </row>
    <row r="151" spans="1:6" x14ac:dyDescent="0.25">
      <c r="A151" s="118" t="str">
        <f>"3907525"</f>
        <v>3907525</v>
      </c>
      <c r="B151" s="116" t="s">
        <v>2905</v>
      </c>
      <c r="C151" s="166">
        <v>1.94</v>
      </c>
      <c r="D151" s="118">
        <v>316746</v>
      </c>
      <c r="E151" s="117">
        <v>43843.548750000002</v>
      </c>
      <c r="F151" s="118">
        <v>881</v>
      </c>
    </row>
    <row r="152" spans="1:6" x14ac:dyDescent="0.25">
      <c r="A152" s="118" t="str">
        <f>"3901543"</f>
        <v>3901543</v>
      </c>
      <c r="B152" s="116" t="s">
        <v>2901</v>
      </c>
      <c r="C152" s="166">
        <v>8.66</v>
      </c>
      <c r="D152" s="118">
        <v>316157</v>
      </c>
      <c r="E152" s="117">
        <v>43843.595902777779</v>
      </c>
      <c r="F152" s="118">
        <v>882</v>
      </c>
    </row>
    <row r="153" spans="1:6" x14ac:dyDescent="0.25">
      <c r="A153" s="118" t="str">
        <f>"3908639"</f>
        <v>3908639</v>
      </c>
      <c r="B153" s="116" t="s">
        <v>2906</v>
      </c>
      <c r="C153" s="166">
        <v>1.94</v>
      </c>
      <c r="D153" s="118">
        <v>316962</v>
      </c>
      <c r="E153" s="117">
        <v>43843.608530092592</v>
      </c>
      <c r="F153" s="118">
        <v>883</v>
      </c>
    </row>
    <row r="154" spans="1:6" x14ac:dyDescent="0.25">
      <c r="A154" s="118" t="str">
        <f>"3906658"</f>
        <v>3906658</v>
      </c>
      <c r="B154" s="116" t="s">
        <v>2907</v>
      </c>
      <c r="C154" s="166">
        <v>12.19</v>
      </c>
      <c r="D154" s="118">
        <v>316812</v>
      </c>
      <c r="E154" s="117">
        <v>43843.627627314818</v>
      </c>
      <c r="F154" s="118">
        <v>884</v>
      </c>
    </row>
    <row r="155" spans="1:6" x14ac:dyDescent="0.25">
      <c r="A155" s="118" t="str">
        <f>"3901121"</f>
        <v>3901121</v>
      </c>
      <c r="B155" s="116" t="s">
        <v>2908</v>
      </c>
      <c r="C155" s="166">
        <v>2.16</v>
      </c>
      <c r="D155" s="118">
        <v>315221</v>
      </c>
      <c r="E155" s="117">
        <v>43843.627974537034</v>
      </c>
      <c r="F155" s="118">
        <v>885</v>
      </c>
    </row>
    <row r="156" spans="1:6" x14ac:dyDescent="0.25">
      <c r="A156" s="118" t="str">
        <f>"3902396"</f>
        <v>3902396</v>
      </c>
      <c r="B156" s="116" t="s">
        <v>2909</v>
      </c>
      <c r="C156" s="166">
        <v>3.88</v>
      </c>
      <c r="D156" s="118">
        <v>316894</v>
      </c>
      <c r="E156" s="117">
        <v>43843.63212962963</v>
      </c>
      <c r="F156" s="118">
        <v>886</v>
      </c>
    </row>
    <row r="157" spans="1:6" x14ac:dyDescent="0.25">
      <c r="A157" s="118" t="str">
        <f>"3907530"</f>
        <v>3907530</v>
      </c>
      <c r="B157" s="116" t="s">
        <v>2910</v>
      </c>
      <c r="C157" s="166">
        <v>2.46</v>
      </c>
      <c r="D157" s="118">
        <v>317082</v>
      </c>
      <c r="E157" s="117">
        <v>43843.649224537039</v>
      </c>
      <c r="F157" s="118">
        <v>887</v>
      </c>
    </row>
    <row r="158" spans="1:6" x14ac:dyDescent="0.25">
      <c r="A158" s="118" t="str">
        <f>"3906750"</f>
        <v>3906750</v>
      </c>
      <c r="B158" s="116" t="s">
        <v>2911</v>
      </c>
      <c r="C158" s="166">
        <v>5.0199999999999996</v>
      </c>
      <c r="D158" s="118">
        <v>315417</v>
      </c>
      <c r="E158" s="117">
        <v>43843.72079861111</v>
      </c>
      <c r="F158" s="118">
        <v>888</v>
      </c>
    </row>
    <row r="159" spans="1:6" s="164" customFormat="1" x14ac:dyDescent="0.25">
      <c r="A159" s="115"/>
      <c r="B159" s="115" t="s">
        <v>5691</v>
      </c>
      <c r="C159" s="167">
        <f>SUM(C146:C158)</f>
        <v>56.660000000000011</v>
      </c>
      <c r="D159" s="115">
        <v>8</v>
      </c>
      <c r="E159" s="163"/>
      <c r="F159" s="115"/>
    </row>
    <row r="160" spans="1:6" x14ac:dyDescent="0.25">
      <c r="A160" s="118"/>
      <c r="B160" s="116"/>
      <c r="C160" s="166"/>
      <c r="D160" s="118"/>
      <c r="E160" s="117"/>
      <c r="F160" s="118"/>
    </row>
    <row r="161" spans="1:6" x14ac:dyDescent="0.25">
      <c r="A161" s="118" t="str">
        <f>"3908621"</f>
        <v>3908621</v>
      </c>
      <c r="B161" s="116" t="s">
        <v>2912</v>
      </c>
      <c r="C161" s="166">
        <v>2.65</v>
      </c>
      <c r="D161" s="118">
        <v>314849</v>
      </c>
      <c r="E161" s="117">
        <v>43844.433159722219</v>
      </c>
      <c r="F161" s="118">
        <v>900</v>
      </c>
    </row>
    <row r="162" spans="1:6" x14ac:dyDescent="0.25">
      <c r="A162" s="118" t="str">
        <f>"3906741"</f>
        <v>3906741</v>
      </c>
      <c r="B162" s="116" t="s">
        <v>2913</v>
      </c>
      <c r="C162" s="166">
        <v>1.92</v>
      </c>
      <c r="D162" s="118">
        <v>315421</v>
      </c>
      <c r="E162" s="117">
        <v>43844.448993055557</v>
      </c>
      <c r="F162" s="118">
        <v>901</v>
      </c>
    </row>
    <row r="163" spans="1:6" x14ac:dyDescent="0.25">
      <c r="A163" s="118" t="str">
        <f>"3901153"</f>
        <v>3901153</v>
      </c>
      <c r="B163" s="116" t="s">
        <v>2915</v>
      </c>
      <c r="C163" s="166">
        <v>2.77</v>
      </c>
      <c r="D163" s="118">
        <v>316761</v>
      </c>
      <c r="E163" s="117">
        <v>43844.502847222226</v>
      </c>
      <c r="F163" s="118">
        <v>902</v>
      </c>
    </row>
    <row r="164" spans="1:6" x14ac:dyDescent="0.25">
      <c r="A164" s="118" t="str">
        <f>"3907960"</f>
        <v>3907960</v>
      </c>
      <c r="B164" s="116" t="s">
        <v>2916</v>
      </c>
      <c r="C164" s="166">
        <v>6.14</v>
      </c>
      <c r="D164" s="118">
        <v>315697</v>
      </c>
      <c r="E164" s="117">
        <v>43844.52103009259</v>
      </c>
      <c r="F164" s="118">
        <v>903</v>
      </c>
    </row>
    <row r="165" spans="1:6" x14ac:dyDescent="0.25">
      <c r="A165" s="118" t="str">
        <f>"3901214"</f>
        <v>3901214</v>
      </c>
      <c r="B165" s="116" t="s">
        <v>2917</v>
      </c>
      <c r="C165" s="166">
        <v>4.8099999999999996</v>
      </c>
      <c r="D165" s="118">
        <v>316113</v>
      </c>
      <c r="E165" s="117">
        <v>43844.548692129632</v>
      </c>
      <c r="F165" s="118">
        <v>904</v>
      </c>
    </row>
    <row r="166" spans="1:6" x14ac:dyDescent="0.25">
      <c r="A166" s="118" t="str">
        <f>"3903531"</f>
        <v>3903531</v>
      </c>
      <c r="B166" s="116" t="s">
        <v>2918</v>
      </c>
      <c r="C166" s="166">
        <v>1.68</v>
      </c>
      <c r="D166" s="118">
        <v>315372</v>
      </c>
      <c r="E166" s="117">
        <v>43844.62023148148</v>
      </c>
      <c r="F166" s="118">
        <v>905</v>
      </c>
    </row>
    <row r="167" spans="1:6" x14ac:dyDescent="0.25">
      <c r="A167" s="118" t="str">
        <f>"3930218"</f>
        <v>3930218</v>
      </c>
      <c r="B167" s="116" t="s">
        <v>2914</v>
      </c>
      <c r="C167" s="166">
        <v>8.1</v>
      </c>
      <c r="D167" s="118">
        <v>304340</v>
      </c>
      <c r="E167" s="117">
        <v>43844.478692129633</v>
      </c>
      <c r="F167" s="118">
        <v>906</v>
      </c>
    </row>
    <row r="168" spans="1:6" s="164" customFormat="1" x14ac:dyDescent="0.25">
      <c r="A168" s="115"/>
      <c r="B168" s="115" t="s">
        <v>5691</v>
      </c>
      <c r="C168" s="167">
        <f>SUM(C161:C167)</f>
        <v>28.07</v>
      </c>
      <c r="D168" s="115">
        <v>9</v>
      </c>
      <c r="E168" s="163"/>
      <c r="F168" s="115"/>
    </row>
    <row r="169" spans="1:6" x14ac:dyDescent="0.25">
      <c r="A169" s="118"/>
      <c r="B169" s="116"/>
      <c r="C169" s="166"/>
      <c r="D169" s="118"/>
      <c r="E169" s="117"/>
      <c r="F169" s="118"/>
    </row>
    <row r="170" spans="1:6" x14ac:dyDescent="0.25">
      <c r="A170" s="118" t="str">
        <f>"3920523"</f>
        <v>3920523</v>
      </c>
      <c r="B170" s="116" t="s">
        <v>2919</v>
      </c>
      <c r="C170" s="166">
        <v>8.3800000000000008</v>
      </c>
      <c r="D170" s="118">
        <v>314531</v>
      </c>
      <c r="E170" s="117">
        <v>43845.418113425927</v>
      </c>
      <c r="F170" s="118">
        <v>985</v>
      </c>
    </row>
    <row r="171" spans="1:6" x14ac:dyDescent="0.25">
      <c r="A171" s="118" t="str">
        <f>"3902047"</f>
        <v>3902047</v>
      </c>
      <c r="B171" s="116" t="s">
        <v>2920</v>
      </c>
      <c r="C171" s="166">
        <v>8.3800000000000008</v>
      </c>
      <c r="D171" s="118">
        <v>314644</v>
      </c>
      <c r="E171" s="117">
        <v>43845.423217592594</v>
      </c>
      <c r="F171" s="118">
        <v>986</v>
      </c>
    </row>
    <row r="172" spans="1:6" x14ac:dyDescent="0.25">
      <c r="A172" s="118" t="str">
        <f>"3950128"</f>
        <v>3950128</v>
      </c>
      <c r="B172" s="116" t="s">
        <v>2921</v>
      </c>
      <c r="C172" s="166">
        <v>12.3</v>
      </c>
      <c r="D172" s="118">
        <v>314479</v>
      </c>
      <c r="E172" s="117">
        <v>43845.543692129628</v>
      </c>
      <c r="F172" s="118">
        <v>987</v>
      </c>
    </row>
    <row r="173" spans="1:6" x14ac:dyDescent="0.25">
      <c r="A173" s="118" t="str">
        <f>"3950107"</f>
        <v>3950107</v>
      </c>
      <c r="B173" s="116" t="s">
        <v>2922</v>
      </c>
      <c r="C173" s="166">
        <v>12.3</v>
      </c>
      <c r="D173" s="118">
        <v>314469</v>
      </c>
      <c r="E173" s="117">
        <v>43845.544872685183</v>
      </c>
      <c r="F173" s="118">
        <v>988</v>
      </c>
    </row>
    <row r="174" spans="1:6" x14ac:dyDescent="0.25">
      <c r="A174" s="118" t="str">
        <f>"3903017"</f>
        <v>3903017</v>
      </c>
      <c r="B174" s="116" t="s">
        <v>2923</v>
      </c>
      <c r="C174" s="166">
        <v>1.68</v>
      </c>
      <c r="D174" s="118">
        <v>316760</v>
      </c>
      <c r="E174" s="117">
        <v>43845.661898148152</v>
      </c>
      <c r="F174" s="118">
        <v>989</v>
      </c>
    </row>
    <row r="175" spans="1:6" s="164" customFormat="1" x14ac:dyDescent="0.25">
      <c r="A175" s="115"/>
      <c r="B175" s="115" t="s">
        <v>5691</v>
      </c>
      <c r="C175" s="167">
        <f>SUM(C170:C174)</f>
        <v>43.04</v>
      </c>
      <c r="D175" s="115">
        <v>10</v>
      </c>
      <c r="E175" s="163"/>
      <c r="F175" s="115"/>
    </row>
    <row r="176" spans="1:6" x14ac:dyDescent="0.25">
      <c r="A176" s="118"/>
      <c r="B176" s="116"/>
      <c r="C176" s="166"/>
      <c r="D176" s="118"/>
      <c r="E176" s="117"/>
      <c r="F176" s="118"/>
    </row>
    <row r="177" spans="1:6" x14ac:dyDescent="0.25">
      <c r="A177" s="118" t="str">
        <f>"3903124"</f>
        <v>3903124</v>
      </c>
      <c r="B177" s="116" t="s">
        <v>2924</v>
      </c>
      <c r="C177" s="166">
        <v>4.2300000000000004</v>
      </c>
      <c r="D177" s="118">
        <v>315866</v>
      </c>
      <c r="E177" s="117">
        <v>43846.483946759261</v>
      </c>
      <c r="F177" s="118">
        <v>1040</v>
      </c>
    </row>
    <row r="178" spans="1:6" x14ac:dyDescent="0.25">
      <c r="A178" s="118" t="str">
        <f>"3905110"</f>
        <v>3905110</v>
      </c>
      <c r="B178" s="116" t="s">
        <v>2925</v>
      </c>
      <c r="C178" s="166">
        <v>8.3800000000000008</v>
      </c>
      <c r="D178" s="118">
        <v>314699</v>
      </c>
      <c r="E178" s="117">
        <v>43846.496979166666</v>
      </c>
      <c r="F178" s="118">
        <v>1041</v>
      </c>
    </row>
    <row r="179" spans="1:6" x14ac:dyDescent="0.25">
      <c r="A179" s="118" t="str">
        <f>"3900244"</f>
        <v>3900244</v>
      </c>
      <c r="B179" s="116" t="s">
        <v>2926</v>
      </c>
      <c r="C179" s="166">
        <v>8.61</v>
      </c>
      <c r="D179" s="118">
        <v>316988</v>
      </c>
      <c r="E179" s="117">
        <v>43846.629421296297</v>
      </c>
      <c r="F179" s="118">
        <v>1042</v>
      </c>
    </row>
    <row r="180" spans="1:6" x14ac:dyDescent="0.25">
      <c r="A180" s="118" t="str">
        <f>"3960269"</f>
        <v>3960269</v>
      </c>
      <c r="B180" s="116" t="s">
        <v>2927</v>
      </c>
      <c r="C180" s="166">
        <v>12.3</v>
      </c>
      <c r="D180" s="118">
        <v>314461</v>
      </c>
      <c r="E180" s="117">
        <v>43846.691967592589</v>
      </c>
      <c r="F180" s="118">
        <v>1043</v>
      </c>
    </row>
    <row r="181" spans="1:6" x14ac:dyDescent="0.25">
      <c r="A181" s="118" t="str">
        <f>"3908034"</f>
        <v>3908034</v>
      </c>
      <c r="B181" s="116" t="s">
        <v>2928</v>
      </c>
      <c r="C181" s="166">
        <v>3.35</v>
      </c>
      <c r="D181" s="118">
        <v>316943</v>
      </c>
      <c r="E181" s="117">
        <v>43846.696932870371</v>
      </c>
      <c r="F181" s="118">
        <v>1044</v>
      </c>
    </row>
    <row r="182" spans="1:6" x14ac:dyDescent="0.25">
      <c r="A182" s="118" t="str">
        <f>"3930042"</f>
        <v>3930042</v>
      </c>
      <c r="B182" s="116" t="s">
        <v>2929</v>
      </c>
      <c r="C182" s="166">
        <v>6.75</v>
      </c>
      <c r="D182" s="118">
        <v>316770</v>
      </c>
      <c r="E182" s="117">
        <v>43846.787141203706</v>
      </c>
      <c r="F182" s="118">
        <v>1045</v>
      </c>
    </row>
    <row r="183" spans="1:6" s="164" customFormat="1" x14ac:dyDescent="0.25">
      <c r="A183" s="115"/>
      <c r="B183" s="115" t="s">
        <v>5691</v>
      </c>
      <c r="C183" s="167">
        <f>SUM(C177:C182)</f>
        <v>43.62</v>
      </c>
      <c r="D183" s="115">
        <v>11</v>
      </c>
      <c r="E183" s="163"/>
      <c r="F183" s="115"/>
    </row>
    <row r="184" spans="1:6" x14ac:dyDescent="0.25">
      <c r="A184" s="118"/>
      <c r="B184" s="116"/>
      <c r="C184" s="166"/>
      <c r="D184" s="118"/>
      <c r="E184" s="117"/>
      <c r="F184" s="118"/>
    </row>
    <row r="185" spans="1:6" x14ac:dyDescent="0.25">
      <c r="A185" s="118" t="str">
        <f>"23923029"</f>
        <v>23923029</v>
      </c>
      <c r="B185" s="116" t="s">
        <v>2930</v>
      </c>
      <c r="C185" s="166">
        <v>4.5599999999999996</v>
      </c>
      <c r="D185" s="118">
        <v>822</v>
      </c>
      <c r="E185" s="117">
        <v>43847.421956018516</v>
      </c>
      <c r="F185" s="118">
        <v>1124</v>
      </c>
    </row>
    <row r="186" spans="1:6" x14ac:dyDescent="0.25">
      <c r="A186" s="118" t="str">
        <f>"3901461"</f>
        <v>3901461</v>
      </c>
      <c r="B186" s="116" t="s">
        <v>2931</v>
      </c>
      <c r="C186" s="166">
        <v>15.3</v>
      </c>
      <c r="D186" s="118">
        <v>316634</v>
      </c>
      <c r="E186" s="117">
        <v>43847.477997685186</v>
      </c>
      <c r="F186" s="118">
        <v>1125</v>
      </c>
    </row>
    <row r="187" spans="1:6" x14ac:dyDescent="0.25">
      <c r="A187" s="118" t="str">
        <f>"23923145"</f>
        <v>23923145</v>
      </c>
      <c r="B187" s="116" t="s">
        <v>2932</v>
      </c>
      <c r="C187" s="166">
        <v>1.08</v>
      </c>
      <c r="D187" s="118">
        <v>882</v>
      </c>
      <c r="E187" s="117">
        <v>43847.487870370373</v>
      </c>
      <c r="F187" s="118">
        <v>1126</v>
      </c>
    </row>
    <row r="188" spans="1:6" x14ac:dyDescent="0.25">
      <c r="A188" s="118" t="str">
        <f>"3940887"</f>
        <v>3940887</v>
      </c>
      <c r="B188" s="116" t="s">
        <v>2933</v>
      </c>
      <c r="C188" s="166">
        <v>17.899999999999999</v>
      </c>
      <c r="D188" s="118">
        <v>314492</v>
      </c>
      <c r="E188" s="117">
        <v>43847.596724537034</v>
      </c>
      <c r="F188" s="118">
        <v>1127</v>
      </c>
    </row>
    <row r="189" spans="1:6" x14ac:dyDescent="0.25">
      <c r="A189" s="118" t="str">
        <f>"3902744"</f>
        <v>3902744</v>
      </c>
      <c r="B189" s="116" t="s">
        <v>2934</v>
      </c>
      <c r="C189" s="166">
        <v>5.7</v>
      </c>
      <c r="D189" s="118">
        <v>316283</v>
      </c>
      <c r="E189" s="117">
        <v>43847.605034722219</v>
      </c>
      <c r="F189" s="118">
        <v>1128</v>
      </c>
    </row>
    <row r="190" spans="1:6" x14ac:dyDescent="0.25">
      <c r="A190" s="118" t="str">
        <f>"3960375"</f>
        <v>3960375</v>
      </c>
      <c r="B190" s="116" t="s">
        <v>2936</v>
      </c>
      <c r="C190" s="166">
        <v>5.25</v>
      </c>
      <c r="D190" s="118">
        <v>314581</v>
      </c>
      <c r="E190" s="117">
        <v>43847.702013888891</v>
      </c>
      <c r="F190" s="118">
        <v>1129</v>
      </c>
    </row>
    <row r="191" spans="1:6" x14ac:dyDescent="0.25">
      <c r="A191" s="118" t="str">
        <f>"3960369"</f>
        <v>3960369</v>
      </c>
      <c r="B191" s="116" t="s">
        <v>2937</v>
      </c>
      <c r="C191" s="166">
        <v>8.56</v>
      </c>
      <c r="D191" s="118">
        <v>314565</v>
      </c>
      <c r="E191" s="117">
        <v>43847.762662037036</v>
      </c>
      <c r="F191" s="118">
        <v>1130</v>
      </c>
    </row>
    <row r="192" spans="1:6" x14ac:dyDescent="0.25">
      <c r="A192" s="118" t="str">
        <f>"3920348"</f>
        <v>3920348</v>
      </c>
      <c r="B192" s="116" t="s">
        <v>2935</v>
      </c>
      <c r="C192" s="166">
        <v>25.14</v>
      </c>
      <c r="D192" s="118">
        <v>314496</v>
      </c>
      <c r="E192" s="117">
        <v>43847.643923611111</v>
      </c>
      <c r="F192" s="118">
        <v>1131</v>
      </c>
    </row>
    <row r="193" spans="1:6" s="164" customFormat="1" x14ac:dyDescent="0.25">
      <c r="A193" s="115"/>
      <c r="B193" s="115" t="s">
        <v>5691</v>
      </c>
      <c r="C193" s="167">
        <f>SUM(C185:C192)</f>
        <v>83.490000000000009</v>
      </c>
      <c r="D193" s="115">
        <v>12</v>
      </c>
      <c r="E193" s="163"/>
      <c r="F193" s="115"/>
    </row>
    <row r="194" spans="1:6" x14ac:dyDescent="0.25">
      <c r="A194" s="118"/>
      <c r="B194" s="116"/>
      <c r="C194" s="166"/>
      <c r="D194" s="118"/>
      <c r="E194" s="117"/>
      <c r="F194" s="118"/>
    </row>
    <row r="195" spans="1:6" x14ac:dyDescent="0.25">
      <c r="A195" s="118" t="str">
        <f>"3909013"</f>
        <v>3909013</v>
      </c>
      <c r="B195" s="116" t="s">
        <v>2938</v>
      </c>
      <c r="C195" s="166">
        <v>1.8</v>
      </c>
      <c r="D195" s="118">
        <v>315308</v>
      </c>
      <c r="E195" s="117">
        <v>43850.436643518522</v>
      </c>
      <c r="F195" s="118">
        <v>1151</v>
      </c>
    </row>
    <row r="196" spans="1:6" x14ac:dyDescent="0.25">
      <c r="A196" s="118" t="str">
        <f>"3906692"</f>
        <v>3906692</v>
      </c>
      <c r="B196" s="116" t="s">
        <v>2939</v>
      </c>
      <c r="C196" s="166">
        <v>8.3800000000000008</v>
      </c>
      <c r="D196" s="118">
        <v>314752</v>
      </c>
      <c r="E196" s="117">
        <v>43850.528622685182</v>
      </c>
      <c r="F196" s="118">
        <v>1152</v>
      </c>
    </row>
    <row r="197" spans="1:6" x14ac:dyDescent="0.25">
      <c r="A197" s="118" t="str">
        <f>"3906693"</f>
        <v>3906693</v>
      </c>
      <c r="B197" s="116" t="s">
        <v>2939</v>
      </c>
      <c r="C197" s="166">
        <v>8.3800000000000008</v>
      </c>
      <c r="D197" s="118">
        <v>314753</v>
      </c>
      <c r="E197" s="117">
        <v>43850.529317129629</v>
      </c>
      <c r="F197" s="118">
        <v>1153</v>
      </c>
    </row>
    <row r="198" spans="1:6" x14ac:dyDescent="0.25">
      <c r="A198" s="118" t="str">
        <f>"3960373"</f>
        <v>3960373</v>
      </c>
      <c r="B198" s="116" t="s">
        <v>2940</v>
      </c>
      <c r="C198" s="166">
        <v>10.48</v>
      </c>
      <c r="D198" s="118">
        <v>314577</v>
      </c>
      <c r="E198" s="117">
        <v>43850.551678240743</v>
      </c>
      <c r="F198" s="118">
        <v>1154</v>
      </c>
    </row>
    <row r="199" spans="1:6" x14ac:dyDescent="0.25">
      <c r="A199" s="118" t="str">
        <f>"3906747"</f>
        <v>3906747</v>
      </c>
      <c r="B199" s="116" t="s">
        <v>2942</v>
      </c>
      <c r="C199" s="166">
        <v>12.71</v>
      </c>
      <c r="D199" s="118">
        <v>316864</v>
      </c>
      <c r="E199" s="117">
        <v>43850.375532407408</v>
      </c>
      <c r="F199" s="118">
        <v>1155</v>
      </c>
    </row>
    <row r="200" spans="1:6" x14ac:dyDescent="0.25">
      <c r="A200" s="118" t="str">
        <f>"3945114"</f>
        <v>3945114</v>
      </c>
      <c r="B200" s="116" t="s">
        <v>2943</v>
      </c>
      <c r="C200" s="166">
        <v>9.7100000000000009</v>
      </c>
      <c r="D200" s="118">
        <v>314558</v>
      </c>
      <c r="E200" s="117">
        <v>43850.421226851853</v>
      </c>
      <c r="F200" s="118">
        <v>1156</v>
      </c>
    </row>
    <row r="201" spans="1:6" x14ac:dyDescent="0.25">
      <c r="A201" s="118" t="str">
        <f>"3906995"</f>
        <v>3906995</v>
      </c>
      <c r="B201" s="116" t="s">
        <v>2945</v>
      </c>
      <c r="C201" s="166">
        <v>36.86</v>
      </c>
      <c r="D201" s="118">
        <v>316700</v>
      </c>
      <c r="E201" s="117">
        <v>43850.520358796297</v>
      </c>
      <c r="F201" s="118">
        <v>1157</v>
      </c>
    </row>
    <row r="202" spans="1:6" x14ac:dyDescent="0.25">
      <c r="A202" s="118" t="str">
        <f>"3900666"</f>
        <v>3900666</v>
      </c>
      <c r="B202" s="116" t="s">
        <v>2947</v>
      </c>
      <c r="C202" s="166">
        <v>6.79</v>
      </c>
      <c r="D202" s="118">
        <v>316092</v>
      </c>
      <c r="E202" s="117">
        <v>43850.587395833332</v>
      </c>
      <c r="F202" s="118">
        <v>1158</v>
      </c>
    </row>
    <row r="203" spans="1:6" x14ac:dyDescent="0.25">
      <c r="A203" s="118" t="str">
        <f>"3920514"</f>
        <v>3920514</v>
      </c>
      <c r="B203" s="116" t="s">
        <v>2948</v>
      </c>
      <c r="C203" s="166">
        <v>8.3800000000000008</v>
      </c>
      <c r="D203" s="118">
        <v>314519</v>
      </c>
      <c r="E203" s="117">
        <v>43850.590069444443</v>
      </c>
      <c r="F203" s="118">
        <v>1159</v>
      </c>
    </row>
    <row r="204" spans="1:6" x14ac:dyDescent="0.25">
      <c r="A204" s="118" t="str">
        <f>"3900275"</f>
        <v>3900275</v>
      </c>
      <c r="B204" s="116" t="s">
        <v>2949</v>
      </c>
      <c r="C204" s="166">
        <v>54.34</v>
      </c>
      <c r="D204" s="118">
        <v>315930</v>
      </c>
      <c r="E204" s="117">
        <v>43850.698229166665</v>
      </c>
      <c r="F204" s="118">
        <v>1160</v>
      </c>
    </row>
    <row r="205" spans="1:6" x14ac:dyDescent="0.25">
      <c r="A205" s="118" t="str">
        <f>"3960313"</f>
        <v>3960313</v>
      </c>
      <c r="B205" s="116" t="s">
        <v>2944</v>
      </c>
      <c r="C205" s="166">
        <v>23.46</v>
      </c>
      <c r="D205" s="118">
        <v>314621</v>
      </c>
      <c r="E205" s="117">
        <v>43850.51798611111</v>
      </c>
      <c r="F205" s="118">
        <v>1161</v>
      </c>
    </row>
    <row r="206" spans="1:6" x14ac:dyDescent="0.25">
      <c r="A206" s="118" t="str">
        <f>"3906099"</f>
        <v>3906099</v>
      </c>
      <c r="B206" s="116" t="s">
        <v>2946</v>
      </c>
      <c r="C206" s="166">
        <v>0.91</v>
      </c>
      <c r="D206" s="118">
        <v>313783</v>
      </c>
      <c r="E206" s="117">
        <v>43850.555601851855</v>
      </c>
      <c r="F206" s="118">
        <v>1162</v>
      </c>
    </row>
    <row r="207" spans="1:6" x14ac:dyDescent="0.25">
      <c r="A207" s="118" t="str">
        <f>"3960274"</f>
        <v>3960274</v>
      </c>
      <c r="B207" s="116" t="s">
        <v>2798</v>
      </c>
      <c r="C207" s="166">
        <v>6.48</v>
      </c>
      <c r="D207" s="118">
        <v>314464</v>
      </c>
      <c r="E207" s="117">
        <v>43850.468923611108</v>
      </c>
      <c r="F207" s="118" t="s">
        <v>2941</v>
      </c>
    </row>
    <row r="208" spans="1:6" s="164" customFormat="1" x14ac:dyDescent="0.25">
      <c r="A208" s="115"/>
      <c r="B208" s="115" t="s">
        <v>5691</v>
      </c>
      <c r="C208" s="167">
        <f>SUM(C195:C207)</f>
        <v>188.67999999999998</v>
      </c>
      <c r="D208" s="115">
        <v>13</v>
      </c>
      <c r="E208" s="163"/>
      <c r="F208" s="115"/>
    </row>
    <row r="209" spans="1:6" x14ac:dyDescent="0.25">
      <c r="A209" s="118"/>
      <c r="B209" s="116"/>
      <c r="C209" s="166"/>
      <c r="D209" s="118"/>
      <c r="E209" s="117"/>
      <c r="F209" s="118"/>
    </row>
    <row r="210" spans="1:6" x14ac:dyDescent="0.25">
      <c r="A210" s="118" t="str">
        <f>"3906821"</f>
        <v>3906821</v>
      </c>
      <c r="B210" s="116" t="s">
        <v>2950</v>
      </c>
      <c r="C210" s="166">
        <v>12.1</v>
      </c>
      <c r="D210" s="118">
        <v>315595</v>
      </c>
      <c r="E210" s="117">
        <v>43851.387523148151</v>
      </c>
      <c r="F210" s="118">
        <v>1392</v>
      </c>
    </row>
    <row r="211" spans="1:6" x14ac:dyDescent="0.25">
      <c r="A211" s="118" t="str">
        <f>"3903931"</f>
        <v>3903931</v>
      </c>
      <c r="B211" s="116" t="s">
        <v>2952</v>
      </c>
      <c r="C211" s="166">
        <v>18.2</v>
      </c>
      <c r="D211" s="118">
        <v>314691</v>
      </c>
      <c r="E211" s="117">
        <v>43851.448888888888</v>
      </c>
      <c r="F211" s="118">
        <v>1393</v>
      </c>
    </row>
    <row r="212" spans="1:6" x14ac:dyDescent="0.25">
      <c r="A212" s="118" t="str">
        <f>"3960344"</f>
        <v>3960344</v>
      </c>
      <c r="B212" s="116" t="s">
        <v>2953</v>
      </c>
      <c r="C212" s="166">
        <v>8.66</v>
      </c>
      <c r="D212" s="118">
        <v>314551</v>
      </c>
      <c r="E212" s="117">
        <v>43851.509363425925</v>
      </c>
      <c r="F212" s="118">
        <v>1394</v>
      </c>
    </row>
    <row r="213" spans="1:6" x14ac:dyDescent="0.25">
      <c r="A213" s="118" t="str">
        <f>"3920083"</f>
        <v>3920083</v>
      </c>
      <c r="B213" s="116" t="s">
        <v>2954</v>
      </c>
      <c r="C213" s="166">
        <v>4.1900000000000004</v>
      </c>
      <c r="D213" s="118">
        <v>314494</v>
      </c>
      <c r="E213" s="117">
        <v>43851.525983796295</v>
      </c>
      <c r="F213" s="118">
        <v>1395</v>
      </c>
    </row>
    <row r="214" spans="1:6" x14ac:dyDescent="0.25">
      <c r="A214" s="118" t="str">
        <f>"3900620"</f>
        <v>3900620</v>
      </c>
      <c r="B214" s="116" t="s">
        <v>2951</v>
      </c>
      <c r="C214" s="166">
        <v>3.4</v>
      </c>
      <c r="D214" s="118">
        <v>313439</v>
      </c>
      <c r="E214" s="117">
        <v>43851.402754629627</v>
      </c>
      <c r="F214" s="118">
        <v>1396</v>
      </c>
    </row>
    <row r="215" spans="1:6" s="164" customFormat="1" x14ac:dyDescent="0.25">
      <c r="A215" s="115"/>
      <c r="B215" s="115" t="s">
        <v>5691</v>
      </c>
      <c r="C215" s="167">
        <f>SUM(C210:C214)</f>
        <v>46.54999999999999</v>
      </c>
      <c r="D215" s="115">
        <v>14</v>
      </c>
      <c r="E215" s="163"/>
      <c r="F215" s="115"/>
    </row>
    <row r="216" spans="1:6" x14ac:dyDescent="0.25">
      <c r="A216" s="118"/>
      <c r="B216" s="116"/>
      <c r="C216" s="166"/>
      <c r="D216" s="118"/>
      <c r="E216" s="117"/>
      <c r="F216" s="118"/>
    </row>
    <row r="217" spans="1:6" x14ac:dyDescent="0.25">
      <c r="A217" s="118" t="str">
        <f>"3900431"</f>
        <v>3900431</v>
      </c>
      <c r="B217" s="116" t="s">
        <v>2955</v>
      </c>
      <c r="C217" s="166">
        <v>6.38</v>
      </c>
      <c r="D217" s="118">
        <v>315994</v>
      </c>
      <c r="E217" s="117">
        <v>43852.362638888888</v>
      </c>
      <c r="F217" s="118">
        <v>1324</v>
      </c>
    </row>
    <row r="218" spans="1:6" x14ac:dyDescent="0.25">
      <c r="A218" s="118" t="str">
        <f>"3907257"</f>
        <v>3907257</v>
      </c>
      <c r="B218" s="116" t="s">
        <v>2956</v>
      </c>
      <c r="C218" s="166">
        <v>0.04</v>
      </c>
      <c r="D218" s="118">
        <v>314793</v>
      </c>
      <c r="E218" s="117">
        <v>43852.527511574073</v>
      </c>
      <c r="F218" s="118">
        <v>1325</v>
      </c>
    </row>
    <row r="219" spans="1:6" x14ac:dyDescent="0.25">
      <c r="A219" s="118" t="str">
        <f>"3902381"</f>
        <v>3902381</v>
      </c>
      <c r="B219" s="116" t="s">
        <v>2958</v>
      </c>
      <c r="C219" s="166">
        <v>5.89</v>
      </c>
      <c r="D219" s="118">
        <v>316308</v>
      </c>
      <c r="E219" s="117">
        <v>43852.556608796294</v>
      </c>
      <c r="F219" s="118">
        <v>1326</v>
      </c>
    </row>
    <row r="220" spans="1:6" x14ac:dyDescent="0.25">
      <c r="A220" s="118" t="str">
        <f>"3909048"</f>
        <v>3909048</v>
      </c>
      <c r="B220" s="116" t="s">
        <v>2960</v>
      </c>
      <c r="C220" s="166">
        <v>3.51</v>
      </c>
      <c r="D220" s="118">
        <v>315471</v>
      </c>
      <c r="E220" s="117">
        <v>43852.643506944441</v>
      </c>
      <c r="F220" s="118">
        <v>1327</v>
      </c>
    </row>
    <row r="221" spans="1:6" x14ac:dyDescent="0.25">
      <c r="A221" s="118" t="str">
        <f>"3903601"</f>
        <v>3903601</v>
      </c>
      <c r="B221" s="116" t="s">
        <v>2957</v>
      </c>
      <c r="C221" s="166">
        <v>0.32</v>
      </c>
      <c r="D221" s="118">
        <v>311029</v>
      </c>
      <c r="E221" s="117">
        <v>43852.551759259259</v>
      </c>
      <c r="F221" s="118">
        <v>1328</v>
      </c>
    </row>
    <row r="222" spans="1:6" x14ac:dyDescent="0.25">
      <c r="A222" s="118" t="str">
        <f>"3907531"</f>
        <v>3907531</v>
      </c>
      <c r="B222" s="116" t="s">
        <v>2959</v>
      </c>
      <c r="C222" s="166">
        <v>24.88</v>
      </c>
      <c r="D222" s="118">
        <v>314833</v>
      </c>
      <c r="E222" s="117">
        <v>43852.562592592592</v>
      </c>
      <c r="F222" s="118">
        <v>1329</v>
      </c>
    </row>
    <row r="223" spans="1:6" s="164" customFormat="1" x14ac:dyDescent="0.25">
      <c r="A223" s="115"/>
      <c r="B223" s="115" t="s">
        <v>5691</v>
      </c>
      <c r="C223" s="167">
        <f>SUM(C217:C222)</f>
        <v>41.019999999999996</v>
      </c>
      <c r="D223" s="115">
        <v>15</v>
      </c>
      <c r="E223" s="163"/>
      <c r="F223" s="115"/>
    </row>
    <row r="224" spans="1:6" x14ac:dyDescent="0.25">
      <c r="A224" s="118"/>
      <c r="B224" s="116"/>
      <c r="C224" s="166"/>
      <c r="D224" s="118"/>
      <c r="E224" s="117"/>
      <c r="F224" s="118"/>
    </row>
    <row r="225" spans="1:6" x14ac:dyDescent="0.25">
      <c r="A225" s="118" t="str">
        <f>"3907837"</f>
        <v>3907837</v>
      </c>
      <c r="B225" s="116" t="s">
        <v>2961</v>
      </c>
      <c r="C225" s="166">
        <v>3.56</v>
      </c>
      <c r="D225" s="118">
        <v>317991</v>
      </c>
      <c r="E225" s="117">
        <v>43853.468923611108</v>
      </c>
      <c r="F225" s="118">
        <v>1385</v>
      </c>
    </row>
    <row r="226" spans="1:6" x14ac:dyDescent="0.25">
      <c r="A226" s="118" t="str">
        <f>"3945204"</f>
        <v>3945204</v>
      </c>
      <c r="B226" s="116" t="s">
        <v>2803</v>
      </c>
      <c r="C226" s="166">
        <v>8.3800000000000008</v>
      </c>
      <c r="D226" s="118">
        <v>317329</v>
      </c>
      <c r="E226" s="117">
        <v>43853.481377314813</v>
      </c>
      <c r="F226" s="118">
        <v>1386</v>
      </c>
    </row>
    <row r="227" spans="1:6" x14ac:dyDescent="0.25">
      <c r="A227" s="118" t="str">
        <f>"3909086"</f>
        <v>3909086</v>
      </c>
      <c r="B227" s="116" t="s">
        <v>2962</v>
      </c>
      <c r="C227" s="166">
        <v>2.04</v>
      </c>
      <c r="D227" s="118">
        <v>318174</v>
      </c>
      <c r="E227" s="117">
        <v>43853.561365740738</v>
      </c>
      <c r="F227" s="118">
        <v>1387</v>
      </c>
    </row>
    <row r="228" spans="1:6" x14ac:dyDescent="0.25">
      <c r="A228" s="118" t="str">
        <f>"3903952"</f>
        <v>3903952</v>
      </c>
      <c r="B228" s="116" t="s">
        <v>2963</v>
      </c>
      <c r="C228" s="166">
        <v>1.32</v>
      </c>
      <c r="D228" s="118">
        <v>319083</v>
      </c>
      <c r="E228" s="117">
        <v>43853.630046296297</v>
      </c>
      <c r="F228" s="118">
        <v>1388</v>
      </c>
    </row>
    <row r="229" spans="1:6" x14ac:dyDescent="0.25">
      <c r="A229" s="118" t="str">
        <f>"3903444"</f>
        <v>3903444</v>
      </c>
      <c r="B229" s="116" t="s">
        <v>2964</v>
      </c>
      <c r="C229" s="166">
        <v>15.18</v>
      </c>
      <c r="D229" s="118">
        <v>317936</v>
      </c>
      <c r="E229" s="117">
        <v>43853.700254629628</v>
      </c>
      <c r="F229" s="118">
        <v>1389</v>
      </c>
    </row>
    <row r="230" spans="1:6" x14ac:dyDescent="0.25">
      <c r="A230" s="121" t="str">
        <f>"3902710"</f>
        <v>3902710</v>
      </c>
      <c r="B230" s="119" t="s">
        <v>2965</v>
      </c>
      <c r="C230" s="168">
        <v>8.32</v>
      </c>
      <c r="D230" s="121">
        <v>318968</v>
      </c>
      <c r="E230" s="120">
        <v>43853.712905092594</v>
      </c>
      <c r="F230" s="121">
        <v>1390</v>
      </c>
    </row>
    <row r="231" spans="1:6" x14ac:dyDescent="0.25">
      <c r="A231" s="118" t="str">
        <f>"3930371"</f>
        <v>3930371</v>
      </c>
      <c r="B231" s="116" t="s">
        <v>2801</v>
      </c>
      <c r="C231" s="166">
        <v>24.28</v>
      </c>
      <c r="D231" s="118">
        <v>316920</v>
      </c>
      <c r="E231" s="117">
        <v>43853.757939814815</v>
      </c>
      <c r="F231" s="118">
        <v>1391</v>
      </c>
    </row>
    <row r="232" spans="1:6" s="164" customFormat="1" x14ac:dyDescent="0.25">
      <c r="A232" s="115"/>
      <c r="B232" s="115" t="s">
        <v>5691</v>
      </c>
      <c r="C232" s="167">
        <f>SUM(C225:C231)</f>
        <v>63.08</v>
      </c>
      <c r="D232" s="115">
        <v>16</v>
      </c>
      <c r="E232" s="163"/>
      <c r="F232" s="115"/>
    </row>
    <row r="233" spans="1:6" x14ac:dyDescent="0.25">
      <c r="A233" s="118"/>
      <c r="B233" s="116"/>
      <c r="C233" s="166"/>
      <c r="D233" s="118"/>
      <c r="E233" s="117"/>
      <c r="F233" s="118"/>
    </row>
    <row r="234" spans="1:6" x14ac:dyDescent="0.25">
      <c r="A234" s="118" t="str">
        <f>"3903545"</f>
        <v>3903545</v>
      </c>
      <c r="B234" s="116" t="s">
        <v>2877</v>
      </c>
      <c r="C234" s="166">
        <v>2.99</v>
      </c>
      <c r="D234" s="118">
        <v>318085</v>
      </c>
      <c r="E234" s="117">
        <v>43854.395567129628</v>
      </c>
      <c r="F234" s="118">
        <v>1457</v>
      </c>
    </row>
    <row r="235" spans="1:6" x14ac:dyDescent="0.25">
      <c r="A235" s="118" t="str">
        <f>"3907487"</f>
        <v>3907487</v>
      </c>
      <c r="B235" s="116" t="s">
        <v>2966</v>
      </c>
      <c r="C235" s="166">
        <v>7.32</v>
      </c>
      <c r="D235" s="118">
        <v>317495</v>
      </c>
      <c r="E235" s="117">
        <v>43854.40048611111</v>
      </c>
      <c r="F235" s="118">
        <v>1458</v>
      </c>
    </row>
    <row r="236" spans="1:6" x14ac:dyDescent="0.25">
      <c r="A236" s="118" t="str">
        <f>"3945401"</f>
        <v>3945401</v>
      </c>
      <c r="B236" s="116" t="s">
        <v>2967</v>
      </c>
      <c r="C236" s="166">
        <v>16.760000000000002</v>
      </c>
      <c r="D236" s="118">
        <v>317253</v>
      </c>
      <c r="E236" s="117">
        <v>43854.481944444444</v>
      </c>
      <c r="F236" s="118">
        <v>1459</v>
      </c>
    </row>
    <row r="237" spans="1:6" x14ac:dyDescent="0.25">
      <c r="A237" s="118" t="str">
        <f>"3907281"</f>
        <v>3907281</v>
      </c>
      <c r="B237" s="116" t="s">
        <v>2968</v>
      </c>
      <c r="C237" s="166">
        <v>15.96</v>
      </c>
      <c r="D237" s="118">
        <v>317071</v>
      </c>
      <c r="E237" s="117">
        <v>43854.508368055554</v>
      </c>
      <c r="F237" s="118">
        <v>1460</v>
      </c>
    </row>
    <row r="238" spans="1:6" x14ac:dyDescent="0.25">
      <c r="A238" s="118" t="str">
        <f>"3909132"</f>
        <v>3909132</v>
      </c>
      <c r="B238" s="116" t="s">
        <v>2969</v>
      </c>
      <c r="C238" s="166">
        <v>3.62</v>
      </c>
      <c r="D238" s="118">
        <v>318312</v>
      </c>
      <c r="E238" s="117">
        <v>43854.527650462966</v>
      </c>
      <c r="F238" s="118">
        <v>1461</v>
      </c>
    </row>
    <row r="239" spans="1:6" x14ac:dyDescent="0.25">
      <c r="A239" s="118" t="str">
        <f>"3945304"</f>
        <v>3945304</v>
      </c>
      <c r="B239" s="116" t="s">
        <v>2782</v>
      </c>
      <c r="C239" s="166">
        <v>11.51</v>
      </c>
      <c r="D239" s="118">
        <v>317408</v>
      </c>
      <c r="E239" s="117">
        <v>43854.549641203703</v>
      </c>
      <c r="F239" s="118">
        <v>1462</v>
      </c>
    </row>
    <row r="240" spans="1:6" x14ac:dyDescent="0.25">
      <c r="A240" s="118" t="str">
        <f>"3901901"</f>
        <v>3901901</v>
      </c>
      <c r="B240" s="116" t="s">
        <v>2970</v>
      </c>
      <c r="C240" s="166">
        <v>1.68</v>
      </c>
      <c r="D240" s="118">
        <v>316755</v>
      </c>
      <c r="E240" s="117">
        <v>43854.650405092594</v>
      </c>
      <c r="F240" s="118">
        <v>1463</v>
      </c>
    </row>
    <row r="241" spans="1:6" s="164" customFormat="1" x14ac:dyDescent="0.25">
      <c r="A241" s="115"/>
      <c r="B241" s="115" t="s">
        <v>5691</v>
      </c>
      <c r="C241" s="167">
        <f>SUM(C234:C240)</f>
        <v>59.839999999999996</v>
      </c>
      <c r="D241" s="115">
        <v>17</v>
      </c>
      <c r="E241" s="163"/>
      <c r="F241" s="115"/>
    </row>
    <row r="242" spans="1:6" x14ac:dyDescent="0.25">
      <c r="A242" s="118"/>
      <c r="B242" s="116"/>
      <c r="C242" s="166"/>
      <c r="D242" s="118"/>
      <c r="E242" s="117"/>
      <c r="F242" s="118"/>
    </row>
    <row r="243" spans="1:6" x14ac:dyDescent="0.25">
      <c r="A243" s="118" t="str">
        <f>"3960276"</f>
        <v>3960276</v>
      </c>
      <c r="B243" s="116" t="s">
        <v>2894</v>
      </c>
      <c r="C243" s="166">
        <v>12.3</v>
      </c>
      <c r="D243" s="118">
        <v>317159</v>
      </c>
      <c r="E243" s="117">
        <v>43857.463506944441</v>
      </c>
      <c r="F243" s="118">
        <v>1555</v>
      </c>
    </row>
    <row r="244" spans="1:6" x14ac:dyDescent="0.25">
      <c r="A244" s="118" t="str">
        <f>"3940485"</f>
        <v>3940485</v>
      </c>
      <c r="B244" s="116" t="s">
        <v>2971</v>
      </c>
      <c r="C244" s="166">
        <v>8.3800000000000008</v>
      </c>
      <c r="D244" s="118">
        <v>317294</v>
      </c>
      <c r="E244" s="117">
        <v>43857.505196759259</v>
      </c>
      <c r="F244" s="118">
        <v>1556</v>
      </c>
    </row>
    <row r="245" spans="1:6" x14ac:dyDescent="0.25">
      <c r="A245" s="118" t="str">
        <f>"3906285"</f>
        <v>3906285</v>
      </c>
      <c r="B245" s="116" t="s">
        <v>2972</v>
      </c>
      <c r="C245" s="166">
        <v>5.96</v>
      </c>
      <c r="D245" s="118">
        <v>318505</v>
      </c>
      <c r="E245" s="117">
        <v>43857.784444444442</v>
      </c>
      <c r="F245" s="118">
        <v>1557</v>
      </c>
    </row>
    <row r="246" spans="1:6" x14ac:dyDescent="0.25">
      <c r="A246" s="118" t="str">
        <f>"23923068"</f>
        <v>23923068</v>
      </c>
      <c r="B246" s="116" t="s">
        <v>2973</v>
      </c>
      <c r="C246" s="166">
        <v>2.46</v>
      </c>
      <c r="D246" s="118">
        <v>1013</v>
      </c>
      <c r="E246" s="117">
        <v>43857.792291666665</v>
      </c>
      <c r="F246" s="118">
        <v>1558</v>
      </c>
    </row>
    <row r="247" spans="1:6" x14ac:dyDescent="0.25">
      <c r="A247" s="118" t="str">
        <f>"3900383"</f>
        <v>3900383</v>
      </c>
      <c r="B247" s="116" t="s">
        <v>2974</v>
      </c>
      <c r="C247" s="166">
        <v>6.89</v>
      </c>
      <c r="D247" s="118">
        <v>318675</v>
      </c>
      <c r="E247" s="117">
        <v>43857.797523148147</v>
      </c>
      <c r="F247" s="118">
        <v>1559</v>
      </c>
    </row>
    <row r="248" spans="1:6" x14ac:dyDescent="0.25">
      <c r="A248" s="118" t="str">
        <f>"3906656"</f>
        <v>3906656</v>
      </c>
      <c r="B248" s="116" t="s">
        <v>2975</v>
      </c>
      <c r="C248" s="166">
        <v>26.62</v>
      </c>
      <c r="D248" s="118">
        <v>316688</v>
      </c>
      <c r="E248" s="117">
        <v>43857.785960648151</v>
      </c>
      <c r="F248" s="118">
        <v>1560</v>
      </c>
    </row>
    <row r="249" spans="1:6" x14ac:dyDescent="0.25">
      <c r="A249" s="118" t="str">
        <f>"3908064"</f>
        <v>3908064</v>
      </c>
      <c r="B249" s="116" t="s">
        <v>2976</v>
      </c>
      <c r="C249" s="166">
        <v>7.67</v>
      </c>
      <c r="D249" s="118">
        <v>318454</v>
      </c>
      <c r="E249" s="117">
        <v>43857.850543981483</v>
      </c>
      <c r="F249" s="118">
        <v>1561</v>
      </c>
    </row>
    <row r="250" spans="1:6" x14ac:dyDescent="0.25">
      <c r="A250" s="118" t="str">
        <f>"3945037"</f>
        <v>3945037</v>
      </c>
      <c r="B250" s="116" t="s">
        <v>2816</v>
      </c>
      <c r="C250" s="166">
        <v>5.4</v>
      </c>
      <c r="D250" s="118">
        <v>317168</v>
      </c>
      <c r="E250" s="117">
        <v>43857.428668981483</v>
      </c>
      <c r="F250" s="118">
        <v>1562</v>
      </c>
    </row>
    <row r="251" spans="1:6" x14ac:dyDescent="0.25">
      <c r="A251" s="118" t="str">
        <f>"3900484"</f>
        <v>3900484</v>
      </c>
      <c r="B251" s="116" t="s">
        <v>2978</v>
      </c>
      <c r="C251" s="166">
        <v>22.74</v>
      </c>
      <c r="D251" s="118">
        <v>318712</v>
      </c>
      <c r="E251" s="117">
        <v>43857.430428240739</v>
      </c>
      <c r="F251" s="118">
        <v>1563</v>
      </c>
    </row>
    <row r="252" spans="1:6" x14ac:dyDescent="0.25">
      <c r="A252" s="118" t="str">
        <f>"3960016"</f>
        <v>3960016</v>
      </c>
      <c r="B252" s="116" t="s">
        <v>2800</v>
      </c>
      <c r="C252" s="166">
        <v>12.3</v>
      </c>
      <c r="D252" s="118">
        <v>317171</v>
      </c>
      <c r="E252" s="117">
        <v>43857.490486111114</v>
      </c>
      <c r="F252" s="118">
        <v>1564</v>
      </c>
    </row>
    <row r="253" spans="1:6" x14ac:dyDescent="0.25">
      <c r="A253" s="118" t="str">
        <f>"3903320"</f>
        <v>3903320</v>
      </c>
      <c r="B253" s="116" t="s">
        <v>2804</v>
      </c>
      <c r="C253" s="166">
        <v>6.45</v>
      </c>
      <c r="D253" s="118">
        <v>317762</v>
      </c>
      <c r="E253" s="117">
        <v>43857.604085648149</v>
      </c>
      <c r="F253" s="118">
        <v>1565</v>
      </c>
    </row>
    <row r="254" spans="1:6" x14ac:dyDescent="0.25">
      <c r="A254" s="118" t="str">
        <f>"3907535"</f>
        <v>3907535</v>
      </c>
      <c r="B254" s="116" t="s">
        <v>2977</v>
      </c>
      <c r="C254" s="166">
        <v>5.73</v>
      </c>
      <c r="D254" s="118">
        <v>309486</v>
      </c>
      <c r="E254" s="117">
        <v>43857.380104166667</v>
      </c>
      <c r="F254" s="118">
        <v>1566</v>
      </c>
    </row>
    <row r="255" spans="1:6" x14ac:dyDescent="0.25">
      <c r="A255" s="118" t="str">
        <f>"3900313"</f>
        <v>3900313</v>
      </c>
      <c r="B255" s="116" t="s">
        <v>2979</v>
      </c>
      <c r="C255" s="166">
        <v>5.0999999999999996</v>
      </c>
      <c r="D255" s="118">
        <v>313290</v>
      </c>
      <c r="E255" s="117">
        <v>43857.497916666667</v>
      </c>
      <c r="F255" s="118">
        <v>1567</v>
      </c>
    </row>
    <row r="256" spans="1:6" s="164" customFormat="1" x14ac:dyDescent="0.25">
      <c r="A256" s="115"/>
      <c r="B256" s="115" t="s">
        <v>5691</v>
      </c>
      <c r="C256" s="167">
        <f>SUM(C243:C255)</f>
        <v>128</v>
      </c>
      <c r="D256" s="115">
        <v>18</v>
      </c>
      <c r="E256" s="163"/>
      <c r="F256" s="115"/>
    </row>
    <row r="257" spans="1:6" x14ac:dyDescent="0.25">
      <c r="A257" s="118"/>
      <c r="B257" s="116"/>
      <c r="C257" s="166"/>
      <c r="D257" s="118"/>
      <c r="E257" s="117"/>
      <c r="F257" s="118"/>
    </row>
    <row r="258" spans="1:6" x14ac:dyDescent="0.25">
      <c r="A258" s="118" t="str">
        <f>"3903549"</f>
        <v>3903549</v>
      </c>
      <c r="B258" s="116" t="s">
        <v>2814</v>
      </c>
      <c r="C258" s="166">
        <v>1.68</v>
      </c>
      <c r="D258" s="118">
        <v>318088</v>
      </c>
      <c r="E258" s="117">
        <v>43858.390046296299</v>
      </c>
      <c r="F258" s="118">
        <v>1637</v>
      </c>
    </row>
    <row r="259" spans="1:6" x14ac:dyDescent="0.25">
      <c r="A259" s="118" t="str">
        <f>"3900938"</f>
        <v>3900938</v>
      </c>
      <c r="B259" s="116" t="s">
        <v>2889</v>
      </c>
      <c r="C259" s="166">
        <v>1.75</v>
      </c>
      <c r="D259" s="118">
        <v>318804</v>
      </c>
      <c r="E259" s="117">
        <v>43858.429363425923</v>
      </c>
      <c r="F259" s="118">
        <v>1638</v>
      </c>
    </row>
    <row r="260" spans="1:6" x14ac:dyDescent="0.25">
      <c r="A260" s="118" t="str">
        <f>"3903497"</f>
        <v>3903497</v>
      </c>
      <c r="B260" s="116" t="s">
        <v>2795</v>
      </c>
      <c r="C260" s="166">
        <v>5.68</v>
      </c>
      <c r="D260" s="118">
        <v>318061</v>
      </c>
      <c r="E260" s="117">
        <v>43858.441111111111</v>
      </c>
      <c r="F260" s="118">
        <v>1639</v>
      </c>
    </row>
    <row r="261" spans="1:6" x14ac:dyDescent="0.25">
      <c r="A261" s="118" t="str">
        <f>"3909929"</f>
        <v>3909929</v>
      </c>
      <c r="B261" s="116" t="s">
        <v>2981</v>
      </c>
      <c r="C261" s="166">
        <v>1.78</v>
      </c>
      <c r="D261" s="118">
        <v>317595</v>
      </c>
      <c r="E261" s="117">
        <v>43858.442673611113</v>
      </c>
      <c r="F261" s="118">
        <v>1640</v>
      </c>
    </row>
    <row r="262" spans="1:6" x14ac:dyDescent="0.25">
      <c r="A262" s="118" t="str">
        <f>"3903524"</f>
        <v>3903524</v>
      </c>
      <c r="B262" s="116" t="s">
        <v>2796</v>
      </c>
      <c r="C262" s="166">
        <v>10.73</v>
      </c>
      <c r="D262" s="118">
        <v>318056</v>
      </c>
      <c r="E262" s="117">
        <v>43858.446226851855</v>
      </c>
      <c r="F262" s="118">
        <v>1641</v>
      </c>
    </row>
    <row r="263" spans="1:6" x14ac:dyDescent="0.25">
      <c r="A263" s="118" t="str">
        <f>"3930293"</f>
        <v>3930293</v>
      </c>
      <c r="B263" s="116" t="s">
        <v>2982</v>
      </c>
      <c r="C263" s="166">
        <v>4.97</v>
      </c>
      <c r="D263" s="118">
        <v>316878</v>
      </c>
      <c r="E263" s="117">
        <v>43858.494895833333</v>
      </c>
      <c r="F263" s="118">
        <v>1642</v>
      </c>
    </row>
    <row r="264" spans="1:6" x14ac:dyDescent="0.25">
      <c r="A264" s="118" t="str">
        <f>"3901111"</f>
        <v>3901111</v>
      </c>
      <c r="B264" s="116" t="s">
        <v>2983</v>
      </c>
      <c r="C264" s="166">
        <v>5.75</v>
      </c>
      <c r="D264" s="118">
        <v>316809</v>
      </c>
      <c r="E264" s="117">
        <v>43858.547048611108</v>
      </c>
      <c r="F264" s="118">
        <v>1643</v>
      </c>
    </row>
    <row r="265" spans="1:6" x14ac:dyDescent="0.25">
      <c r="A265" s="118" t="str">
        <f>"3907684"</f>
        <v>3907684</v>
      </c>
      <c r="B265" s="116" t="s">
        <v>2980</v>
      </c>
      <c r="C265" s="166">
        <v>14.85</v>
      </c>
      <c r="D265" s="118">
        <v>311157</v>
      </c>
      <c r="E265" s="117">
        <v>43858.401099537034</v>
      </c>
      <c r="F265" s="118">
        <v>1645</v>
      </c>
    </row>
    <row r="266" spans="1:6" x14ac:dyDescent="0.25">
      <c r="A266" s="118" t="str">
        <f>"3900397"</f>
        <v>3900397</v>
      </c>
      <c r="B266" s="116" t="s">
        <v>2984</v>
      </c>
      <c r="C266" s="166">
        <v>2</v>
      </c>
      <c r="D266" s="118">
        <v>317001</v>
      </c>
      <c r="E266" s="117">
        <v>43858.599756944444</v>
      </c>
      <c r="F266" s="118">
        <v>1646</v>
      </c>
    </row>
    <row r="267" spans="1:6" x14ac:dyDescent="0.25">
      <c r="A267" s="118" t="str">
        <f>"3903592"</f>
        <v>3903592</v>
      </c>
      <c r="B267" s="116" t="s">
        <v>2984</v>
      </c>
      <c r="C267" s="166">
        <v>7.06</v>
      </c>
      <c r="D267" s="118">
        <v>318250</v>
      </c>
      <c r="E267" s="117">
        <v>43858.600219907406</v>
      </c>
      <c r="F267" s="118">
        <v>1647</v>
      </c>
    </row>
    <row r="268" spans="1:6" x14ac:dyDescent="0.25">
      <c r="A268" s="118" t="str">
        <f>"3907841"</f>
        <v>3907841</v>
      </c>
      <c r="B268" s="116" t="s">
        <v>2876</v>
      </c>
      <c r="C268" s="166">
        <v>7.74</v>
      </c>
      <c r="D268" s="118">
        <v>317986</v>
      </c>
      <c r="E268" s="117">
        <v>43858.649942129632</v>
      </c>
      <c r="F268" s="118">
        <v>1648</v>
      </c>
    </row>
    <row r="269" spans="1:6" x14ac:dyDescent="0.25">
      <c r="A269" s="118" t="str">
        <f>"3907436"</f>
        <v>3907436</v>
      </c>
      <c r="B269" s="116" t="s">
        <v>2985</v>
      </c>
      <c r="C269" s="166">
        <v>0.27</v>
      </c>
      <c r="D269" s="118">
        <v>319211</v>
      </c>
      <c r="E269" s="117">
        <v>43858.660543981481</v>
      </c>
      <c r="F269" s="118">
        <v>1649</v>
      </c>
    </row>
    <row r="270" spans="1:6" x14ac:dyDescent="0.25">
      <c r="A270" s="118" t="str">
        <f>"3907586"</f>
        <v>3907586</v>
      </c>
      <c r="B270" s="116" t="s">
        <v>2986</v>
      </c>
      <c r="C270" s="166">
        <v>5.2</v>
      </c>
      <c r="D270" s="118">
        <v>319237</v>
      </c>
      <c r="E270" s="117">
        <v>43858.671875</v>
      </c>
      <c r="F270" s="118">
        <v>1650</v>
      </c>
    </row>
    <row r="271" spans="1:6" x14ac:dyDescent="0.25">
      <c r="A271" s="118" t="str">
        <f>"3930155"</f>
        <v>3930155</v>
      </c>
      <c r="B271" s="116" t="s">
        <v>2987</v>
      </c>
      <c r="C271" s="166">
        <v>1.94</v>
      </c>
      <c r="D271" s="118">
        <v>316799</v>
      </c>
      <c r="E271" s="117">
        <v>43858.725856481484</v>
      </c>
      <c r="F271" s="118">
        <v>1651</v>
      </c>
    </row>
    <row r="272" spans="1:6" s="164" customFormat="1" x14ac:dyDescent="0.25">
      <c r="A272" s="115"/>
      <c r="B272" s="115" t="s">
        <v>5691</v>
      </c>
      <c r="C272" s="167">
        <f>SUM(C258:C271)</f>
        <v>71.400000000000006</v>
      </c>
      <c r="D272" s="115">
        <v>19</v>
      </c>
      <c r="E272" s="163"/>
      <c r="F272" s="115"/>
    </row>
    <row r="273" spans="1:6" x14ac:dyDescent="0.25">
      <c r="A273" s="118"/>
      <c r="B273" s="116"/>
      <c r="C273" s="166"/>
      <c r="D273" s="118"/>
      <c r="E273" s="117"/>
      <c r="F273" s="118"/>
    </row>
    <row r="274" spans="1:6" x14ac:dyDescent="0.25">
      <c r="A274" s="118" t="str">
        <f>"3900926"</f>
        <v>3900926</v>
      </c>
      <c r="B274" s="116" t="s">
        <v>2988</v>
      </c>
      <c r="C274" s="166">
        <v>3.25</v>
      </c>
      <c r="D274" s="118">
        <v>318803</v>
      </c>
      <c r="E274" s="117">
        <v>43859.262881944444</v>
      </c>
      <c r="F274" s="118">
        <v>1681</v>
      </c>
    </row>
    <row r="275" spans="1:6" x14ac:dyDescent="0.25">
      <c r="A275" s="118" t="str">
        <f>"3930078"</f>
        <v>3930078</v>
      </c>
      <c r="B275" s="116" t="s">
        <v>2989</v>
      </c>
      <c r="C275" s="166">
        <v>14.34</v>
      </c>
      <c r="D275" s="118">
        <v>317822</v>
      </c>
      <c r="E275" s="117">
        <v>43859.395300925928</v>
      </c>
      <c r="F275" s="118">
        <v>1682</v>
      </c>
    </row>
    <row r="276" spans="1:6" x14ac:dyDescent="0.25">
      <c r="A276" s="118" t="str">
        <f>"3907867"</f>
        <v>3907867</v>
      </c>
      <c r="B276" s="116" t="s">
        <v>2791</v>
      </c>
      <c r="C276" s="166">
        <v>1.69</v>
      </c>
      <c r="D276" s="118">
        <v>317989</v>
      </c>
      <c r="E276" s="117">
        <v>43859.527037037034</v>
      </c>
      <c r="F276" s="118">
        <v>1683</v>
      </c>
    </row>
    <row r="277" spans="1:6" x14ac:dyDescent="0.25">
      <c r="A277" s="118" t="str">
        <f>"3909027"</f>
        <v>3909027</v>
      </c>
      <c r="B277" s="116" t="s">
        <v>2990</v>
      </c>
      <c r="C277" s="166">
        <v>5.12</v>
      </c>
      <c r="D277" s="118">
        <v>318004</v>
      </c>
      <c r="E277" s="117">
        <v>43859.571412037039</v>
      </c>
      <c r="F277" s="118">
        <v>1684</v>
      </c>
    </row>
    <row r="278" spans="1:6" x14ac:dyDescent="0.25">
      <c r="A278" s="118" t="str">
        <f>"3907333"</f>
        <v>3907333</v>
      </c>
      <c r="B278" s="116" t="s">
        <v>2991</v>
      </c>
      <c r="C278" s="166">
        <v>3.29</v>
      </c>
      <c r="D278" s="118">
        <v>316432</v>
      </c>
      <c r="E278" s="117">
        <v>43859.607939814814</v>
      </c>
      <c r="F278" s="118">
        <v>1685</v>
      </c>
    </row>
    <row r="279" spans="1:6" x14ac:dyDescent="0.25">
      <c r="A279" s="118" t="str">
        <f>"3900562"</f>
        <v>3900562</v>
      </c>
      <c r="B279" s="116" t="s">
        <v>2992</v>
      </c>
      <c r="C279" s="166">
        <v>27.54</v>
      </c>
      <c r="D279" s="118">
        <v>318737</v>
      </c>
      <c r="E279" s="117">
        <v>43859.695219907408</v>
      </c>
      <c r="F279" s="118">
        <v>1686</v>
      </c>
    </row>
    <row r="280" spans="1:6" x14ac:dyDescent="0.25">
      <c r="A280" s="118" t="str">
        <f>"3906824"</f>
        <v>3906824</v>
      </c>
      <c r="B280" s="116" t="s">
        <v>2993</v>
      </c>
      <c r="C280" s="166">
        <v>7.06</v>
      </c>
      <c r="D280" s="118">
        <v>318287</v>
      </c>
      <c r="E280" s="117">
        <v>43859.700543981482</v>
      </c>
      <c r="F280" s="118">
        <v>1687</v>
      </c>
    </row>
    <row r="281" spans="1:6" x14ac:dyDescent="0.25">
      <c r="A281" s="118" t="str">
        <f>"23923157"</f>
        <v>23923157</v>
      </c>
      <c r="B281" s="116" t="s">
        <v>2994</v>
      </c>
      <c r="C281" s="166">
        <v>2.58</v>
      </c>
      <c r="D281" s="118">
        <v>589</v>
      </c>
      <c r="E281" s="117">
        <v>43859.756747685184</v>
      </c>
      <c r="F281" s="118">
        <v>1688</v>
      </c>
    </row>
    <row r="282" spans="1:6" s="164" customFormat="1" x14ac:dyDescent="0.25">
      <c r="A282" s="115"/>
      <c r="B282" s="115" t="s">
        <v>5691</v>
      </c>
      <c r="C282" s="167">
        <f>SUM(C274:C281)</f>
        <v>64.87</v>
      </c>
      <c r="D282" s="115">
        <v>20</v>
      </c>
      <c r="E282" s="163"/>
      <c r="F282" s="115"/>
    </row>
    <row r="283" spans="1:6" x14ac:dyDescent="0.25">
      <c r="A283" s="118"/>
      <c r="B283" s="116"/>
      <c r="C283" s="166"/>
      <c r="D283" s="118"/>
      <c r="E283" s="117"/>
      <c r="F283" s="118"/>
    </row>
    <row r="284" spans="1:6" x14ac:dyDescent="0.25">
      <c r="A284" s="118" t="str">
        <f>"3900576"</f>
        <v>3900576</v>
      </c>
      <c r="B284" s="116" t="s">
        <v>2995</v>
      </c>
      <c r="C284" s="166">
        <v>1.83</v>
      </c>
      <c r="D284" s="118">
        <v>318743</v>
      </c>
      <c r="E284" s="117">
        <v>43860.502141203702</v>
      </c>
      <c r="F284" s="118">
        <v>1841</v>
      </c>
    </row>
    <row r="285" spans="1:6" x14ac:dyDescent="0.25">
      <c r="A285" s="118" t="str">
        <f>"3930280"</f>
        <v>3930280</v>
      </c>
      <c r="B285" s="116" t="s">
        <v>2996</v>
      </c>
      <c r="C285" s="166">
        <v>7.55</v>
      </c>
      <c r="D285" s="118">
        <v>318191</v>
      </c>
      <c r="E285" s="117">
        <v>43860.612962962965</v>
      </c>
      <c r="F285" s="118">
        <v>1842</v>
      </c>
    </row>
    <row r="286" spans="1:6" x14ac:dyDescent="0.25">
      <c r="A286" s="118" t="str">
        <f>"3907862"</f>
        <v>3907862</v>
      </c>
      <c r="B286" s="116" t="s">
        <v>2997</v>
      </c>
      <c r="C286" s="166">
        <v>2.44</v>
      </c>
      <c r="D286" s="118">
        <v>317985</v>
      </c>
      <c r="E286" s="117">
        <v>43860.651365740741</v>
      </c>
      <c r="F286" s="118">
        <v>1843</v>
      </c>
    </row>
    <row r="287" spans="1:6" x14ac:dyDescent="0.25">
      <c r="A287" s="118" t="str">
        <f>"3909959"</f>
        <v>3909959</v>
      </c>
      <c r="B287" s="116" t="s">
        <v>2998</v>
      </c>
      <c r="C287" s="166">
        <v>15.39</v>
      </c>
      <c r="D287" s="118">
        <v>317698</v>
      </c>
      <c r="E287" s="117">
        <v>43860.752395833333</v>
      </c>
      <c r="F287" s="118">
        <v>1844</v>
      </c>
    </row>
    <row r="288" spans="1:6" x14ac:dyDescent="0.25">
      <c r="A288" s="118" t="str">
        <f>"3960265"</f>
        <v>3960265</v>
      </c>
      <c r="B288" s="116" t="s">
        <v>2999</v>
      </c>
      <c r="C288" s="166">
        <v>13.51</v>
      </c>
      <c r="D288" s="118">
        <v>317131</v>
      </c>
      <c r="E288" s="117">
        <v>43860.758032407408</v>
      </c>
      <c r="F288" s="118">
        <v>1845</v>
      </c>
    </row>
    <row r="289" spans="1:6" s="164" customFormat="1" x14ac:dyDescent="0.25">
      <c r="A289" s="115"/>
      <c r="B289" s="115" t="s">
        <v>5691</v>
      </c>
      <c r="C289" s="167">
        <f>SUM(C284:C288)</f>
        <v>40.72</v>
      </c>
      <c r="D289" s="115">
        <v>21</v>
      </c>
      <c r="E289" s="163"/>
      <c r="F289" s="115"/>
    </row>
    <row r="290" spans="1:6" x14ac:dyDescent="0.25">
      <c r="A290" s="118"/>
      <c r="B290" s="116"/>
      <c r="C290" s="166"/>
      <c r="D290" s="118"/>
      <c r="E290" s="117"/>
      <c r="F290" s="118"/>
    </row>
    <row r="291" spans="1:6" x14ac:dyDescent="0.25">
      <c r="A291" s="118" t="str">
        <f>"3909033"</f>
        <v>3909033</v>
      </c>
      <c r="B291" s="116" t="s">
        <v>2812</v>
      </c>
      <c r="C291" s="166">
        <v>1.98</v>
      </c>
      <c r="D291" s="118">
        <v>318331</v>
      </c>
      <c r="E291" s="117">
        <v>43861.394872685189</v>
      </c>
      <c r="F291" s="118">
        <v>1846</v>
      </c>
    </row>
    <row r="292" spans="1:6" x14ac:dyDescent="0.25">
      <c r="A292" s="118" t="str">
        <f>"3908057"</f>
        <v>3908057</v>
      </c>
      <c r="B292" s="116" t="s">
        <v>3000</v>
      </c>
      <c r="C292" s="166">
        <v>1.68</v>
      </c>
      <c r="D292" s="118">
        <v>318449</v>
      </c>
      <c r="E292" s="117">
        <v>43861.424456018518</v>
      </c>
      <c r="F292" s="118">
        <v>1847</v>
      </c>
    </row>
    <row r="293" spans="1:6" x14ac:dyDescent="0.25">
      <c r="A293" s="118" t="str">
        <f>"3901944"</f>
        <v>3901944</v>
      </c>
      <c r="B293" s="116" t="s">
        <v>3001</v>
      </c>
      <c r="C293" s="166">
        <v>13.56</v>
      </c>
      <c r="D293" s="118">
        <v>318922</v>
      </c>
      <c r="E293" s="117">
        <v>43861.450069444443</v>
      </c>
      <c r="F293" s="118">
        <v>1848</v>
      </c>
    </row>
    <row r="294" spans="1:6" x14ac:dyDescent="0.25">
      <c r="A294" s="118" t="str">
        <f>"3902247"</f>
        <v>3902247</v>
      </c>
      <c r="B294" s="116" t="s">
        <v>3002</v>
      </c>
      <c r="C294" s="166">
        <v>1.88</v>
      </c>
      <c r="D294" s="118">
        <v>318502</v>
      </c>
      <c r="E294" s="117">
        <v>43861.452349537038</v>
      </c>
      <c r="F294" s="118">
        <v>1849</v>
      </c>
    </row>
    <row r="295" spans="1:6" x14ac:dyDescent="0.25">
      <c r="A295" s="118" t="str">
        <f>"3900499"</f>
        <v>3900499</v>
      </c>
      <c r="B295" s="116" t="s">
        <v>3003</v>
      </c>
      <c r="C295" s="166">
        <v>9.67</v>
      </c>
      <c r="D295" s="118">
        <v>318716</v>
      </c>
      <c r="E295" s="117">
        <v>43861.486516203702</v>
      </c>
      <c r="F295" s="118">
        <v>1850</v>
      </c>
    </row>
    <row r="296" spans="1:6" x14ac:dyDescent="0.25">
      <c r="A296" s="118" t="str">
        <f>"3945423"</f>
        <v>3945423</v>
      </c>
      <c r="B296" s="116" t="s">
        <v>3004</v>
      </c>
      <c r="C296" s="166">
        <v>8.3800000000000008</v>
      </c>
      <c r="D296" s="118">
        <v>317257</v>
      </c>
      <c r="E296" s="117">
        <v>43861.511759259258</v>
      </c>
      <c r="F296" s="118">
        <v>1851</v>
      </c>
    </row>
    <row r="297" spans="1:6" x14ac:dyDescent="0.25">
      <c r="A297" s="118" t="str">
        <f>"3960288"</f>
        <v>3960288</v>
      </c>
      <c r="B297" s="116" t="s">
        <v>3005</v>
      </c>
      <c r="C297" s="166">
        <v>10.52</v>
      </c>
      <c r="D297" s="118">
        <v>317179</v>
      </c>
      <c r="E297" s="117">
        <v>43861.553124999999</v>
      </c>
      <c r="F297" s="118">
        <v>1852</v>
      </c>
    </row>
    <row r="298" spans="1:6" x14ac:dyDescent="0.25">
      <c r="A298" s="118" t="str">
        <f>"3902243"</f>
        <v>3902243</v>
      </c>
      <c r="B298" s="116" t="s">
        <v>3006</v>
      </c>
      <c r="C298" s="166">
        <v>8.64</v>
      </c>
      <c r="D298" s="118">
        <v>317931</v>
      </c>
      <c r="E298" s="117">
        <v>43861.559618055559</v>
      </c>
      <c r="F298" s="118">
        <v>1853</v>
      </c>
    </row>
    <row r="299" spans="1:6" s="164" customFormat="1" x14ac:dyDescent="0.25">
      <c r="A299" s="115"/>
      <c r="B299" s="115" t="s">
        <v>5691</v>
      </c>
      <c r="C299" s="167">
        <f>SUM(C291:C298)</f>
        <v>56.31</v>
      </c>
      <c r="D299" s="115">
        <v>22</v>
      </c>
      <c r="E299" s="163"/>
      <c r="F299" s="115"/>
    </row>
    <row r="300" spans="1:6" x14ac:dyDescent="0.25">
      <c r="A300" s="118"/>
      <c r="B300" s="116"/>
      <c r="C300" s="166"/>
      <c r="D300" s="118"/>
      <c r="E300" s="117"/>
      <c r="F300" s="118"/>
    </row>
    <row r="301" spans="1:6" s="164" customFormat="1" x14ac:dyDescent="0.25">
      <c r="A301" s="115"/>
      <c r="B301" s="115" t="s">
        <v>5692</v>
      </c>
      <c r="C301" s="167">
        <f>+C25+C36+C103+C112+C121+C127+C144+C159+C168+C175+C183+C193+C208+C215+C223+C232+C241+C256+C272+C282+C289+C299</f>
        <v>2159.4599999999996</v>
      </c>
      <c r="D301" s="115"/>
      <c r="E301" s="163"/>
      <c r="F301" s="115"/>
    </row>
    <row r="302" spans="1:6" x14ac:dyDescent="0.25">
      <c r="A302" s="118"/>
      <c r="B302" s="116"/>
      <c r="C302" s="166"/>
      <c r="D302" s="118"/>
      <c r="E302" s="117"/>
      <c r="F302" s="118"/>
    </row>
  </sheetData>
  <sortState xmlns:xlrd2="http://schemas.microsoft.com/office/spreadsheetml/2017/richdata2" ref="A258:F271">
    <sortCondition ref="F258:F271"/>
  </sortState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78" orientation="portrait" horizontalDpi="0" verticalDpi="0" r:id="rId1"/>
  <rowBreaks count="2" manualBreakCount="2">
    <brk id="179" max="5" man="1"/>
    <brk id="242" max="5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11D7D-7D56-471F-BC5C-F7BADDB590F6}">
  <sheetPr>
    <pageSetUpPr fitToPage="1"/>
  </sheetPr>
  <dimension ref="A1:K708"/>
  <sheetViews>
    <sheetView topLeftCell="A251" workbookViewId="0">
      <selection activeCell="A266" sqref="A266:XFD268"/>
    </sheetView>
  </sheetViews>
  <sheetFormatPr baseColWidth="10" defaultColWidth="26.7109375" defaultRowHeight="15.75" x14ac:dyDescent="0.25"/>
  <cols>
    <col min="1" max="1" width="9.85546875" style="137" bestFit="1" customWidth="1"/>
    <col min="2" max="2" width="9" style="137" bestFit="1" customWidth="1"/>
    <col min="3" max="3" width="35.7109375" style="137" customWidth="1"/>
    <col min="4" max="4" width="9.85546875" style="137" bestFit="1" customWidth="1"/>
    <col min="5" max="5" width="10.28515625" style="142" customWidth="1"/>
    <col min="6" max="6" width="15.42578125" style="137" bestFit="1" customWidth="1"/>
    <col min="7" max="7" width="8.7109375" style="137" bestFit="1" customWidth="1"/>
    <col min="8" max="8" width="8.5703125" style="131" bestFit="1" customWidth="1"/>
    <col min="9" max="10" width="26.7109375" style="131"/>
    <col min="11" max="11" width="1.5703125" style="131" bestFit="1" customWidth="1"/>
    <col min="12" max="16384" width="26.7109375" style="131"/>
  </cols>
  <sheetData>
    <row r="1" spans="1:8" ht="16.5" thickBot="1" x14ac:dyDescent="0.3">
      <c r="A1" s="380" t="s">
        <v>14411</v>
      </c>
      <c r="B1" s="381"/>
      <c r="C1" s="381"/>
      <c r="D1" s="381"/>
      <c r="E1" s="381"/>
      <c r="F1" s="381"/>
      <c r="G1" s="143"/>
      <c r="H1" s="130"/>
    </row>
    <row r="2" spans="1:8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ht="31.5" x14ac:dyDescent="0.25">
      <c r="A3" s="134" t="s">
        <v>5676</v>
      </c>
      <c r="B3" s="134" t="s">
        <v>5684</v>
      </c>
      <c r="C3" s="134" t="s">
        <v>5683</v>
      </c>
      <c r="D3" s="134" t="s">
        <v>5682</v>
      </c>
      <c r="E3" s="139">
        <v>5.04</v>
      </c>
      <c r="F3" s="134" t="s">
        <v>5681</v>
      </c>
      <c r="G3" s="134" t="s">
        <v>3007</v>
      </c>
      <c r="H3" s="123">
        <v>6</v>
      </c>
    </row>
    <row r="4" spans="1:8" ht="31.5" x14ac:dyDescent="0.25">
      <c r="A4" s="134" t="s">
        <v>5676</v>
      </c>
      <c r="B4" s="134" t="s">
        <v>5680</v>
      </c>
      <c r="C4" s="134" t="s">
        <v>5679</v>
      </c>
      <c r="D4" s="134" t="s">
        <v>5678</v>
      </c>
      <c r="E4" s="139">
        <v>3.53</v>
      </c>
      <c r="F4" s="134" t="s">
        <v>5677</v>
      </c>
      <c r="G4" s="134" t="s">
        <v>3007</v>
      </c>
      <c r="H4" s="123">
        <v>7</v>
      </c>
    </row>
    <row r="5" spans="1:8" ht="31.5" x14ac:dyDescent="0.25">
      <c r="A5" s="134" t="s">
        <v>5676</v>
      </c>
      <c r="B5" s="134" t="s">
        <v>5675</v>
      </c>
      <c r="C5" s="134" t="s">
        <v>5674</v>
      </c>
      <c r="D5" s="134" t="s">
        <v>5673</v>
      </c>
      <c r="E5" s="139">
        <v>1.68</v>
      </c>
      <c r="F5" s="134" t="s">
        <v>5672</v>
      </c>
      <c r="G5" s="134" t="s">
        <v>3007</v>
      </c>
      <c r="H5" s="123">
        <v>8</v>
      </c>
    </row>
    <row r="6" spans="1:8" ht="31.5" x14ac:dyDescent="0.25">
      <c r="A6" s="134" t="s">
        <v>5544</v>
      </c>
      <c r="B6" s="134" t="s">
        <v>5671</v>
      </c>
      <c r="C6" s="134" t="s">
        <v>5670</v>
      </c>
      <c r="D6" s="134" t="s">
        <v>5669</v>
      </c>
      <c r="E6" s="139">
        <v>13.79</v>
      </c>
      <c r="F6" s="134" t="s">
        <v>5668</v>
      </c>
      <c r="G6" s="134" t="s">
        <v>3007</v>
      </c>
      <c r="H6" s="123">
        <v>18</v>
      </c>
    </row>
    <row r="7" spans="1:8" ht="31.5" x14ac:dyDescent="0.25">
      <c r="A7" s="134" t="s">
        <v>5544</v>
      </c>
      <c r="B7" s="134" t="s">
        <v>5667</v>
      </c>
      <c r="C7" s="134" t="s">
        <v>5666</v>
      </c>
      <c r="D7" s="134" t="s">
        <v>5665</v>
      </c>
      <c r="E7" s="139">
        <v>13.74</v>
      </c>
      <c r="F7" s="134" t="s">
        <v>5664</v>
      </c>
      <c r="G7" s="134" t="s">
        <v>3007</v>
      </c>
      <c r="H7" s="123">
        <v>19</v>
      </c>
    </row>
    <row r="8" spans="1:8" ht="31.5" x14ac:dyDescent="0.25">
      <c r="A8" s="134" t="s">
        <v>5544</v>
      </c>
      <c r="B8" s="134" t="s">
        <v>5663</v>
      </c>
      <c r="C8" s="134" t="s">
        <v>5662</v>
      </c>
      <c r="D8" s="134" t="s">
        <v>5661</v>
      </c>
      <c r="E8" s="139">
        <v>4.1399999999999997</v>
      </c>
      <c r="F8" s="134" t="s">
        <v>5657</v>
      </c>
      <c r="G8" s="134" t="s">
        <v>3007</v>
      </c>
      <c r="H8" s="123">
        <v>20</v>
      </c>
    </row>
    <row r="9" spans="1:8" ht="31.5" x14ac:dyDescent="0.25">
      <c r="A9" s="134" t="s">
        <v>5544</v>
      </c>
      <c r="B9" s="134" t="s">
        <v>5660</v>
      </c>
      <c r="C9" s="134" t="s">
        <v>5659</v>
      </c>
      <c r="D9" s="134" t="s">
        <v>5658</v>
      </c>
      <c r="E9" s="139">
        <v>1.94</v>
      </c>
      <c r="F9" s="134" t="s">
        <v>5657</v>
      </c>
      <c r="G9" s="134" t="s">
        <v>3007</v>
      </c>
      <c r="H9" s="123">
        <v>21</v>
      </c>
    </row>
    <row r="10" spans="1:8" ht="31.5" x14ac:dyDescent="0.25">
      <c r="A10" s="134" t="s">
        <v>5544</v>
      </c>
      <c r="B10" s="134" t="s">
        <v>5656</v>
      </c>
      <c r="C10" s="134" t="s">
        <v>5655</v>
      </c>
      <c r="D10" s="134" t="s">
        <v>3313</v>
      </c>
      <c r="E10" s="139">
        <v>4.2300000000000004</v>
      </c>
      <c r="F10" s="134" t="s">
        <v>3312</v>
      </c>
      <c r="G10" s="134" t="s">
        <v>3007</v>
      </c>
      <c r="H10" s="123">
        <v>22</v>
      </c>
    </row>
    <row r="11" spans="1:8" ht="31.5" x14ac:dyDescent="0.25">
      <c r="A11" s="134" t="s">
        <v>5544</v>
      </c>
      <c r="B11" s="134" t="s">
        <v>5654</v>
      </c>
      <c r="C11" s="134" t="s">
        <v>5653</v>
      </c>
      <c r="D11" s="134" t="s">
        <v>5652</v>
      </c>
      <c r="E11" s="139">
        <v>11.33</v>
      </c>
      <c r="F11" s="134" t="s">
        <v>5651</v>
      </c>
      <c r="G11" s="134" t="s">
        <v>3007</v>
      </c>
      <c r="H11" s="123">
        <v>23</v>
      </c>
    </row>
    <row r="12" spans="1:8" ht="31.5" x14ac:dyDescent="0.25">
      <c r="A12" s="134" t="s">
        <v>5544</v>
      </c>
      <c r="B12" s="134" t="s">
        <v>5650</v>
      </c>
      <c r="C12" s="134" t="s">
        <v>5649</v>
      </c>
      <c r="D12" s="134" t="s">
        <v>3345</v>
      </c>
      <c r="E12" s="139">
        <v>3.51</v>
      </c>
      <c r="F12" s="134" t="s">
        <v>3344</v>
      </c>
      <c r="G12" s="134" t="s">
        <v>3007</v>
      </c>
      <c r="H12" s="123">
        <v>25</v>
      </c>
    </row>
    <row r="13" spans="1:8" ht="31.5" x14ac:dyDescent="0.25">
      <c r="A13" s="134" t="s">
        <v>5544</v>
      </c>
      <c r="B13" s="134" t="s">
        <v>5648</v>
      </c>
      <c r="C13" s="134" t="s">
        <v>5647</v>
      </c>
      <c r="D13" s="134" t="s">
        <v>5646</v>
      </c>
      <c r="E13" s="139">
        <v>7.56</v>
      </c>
      <c r="F13" s="134" t="s">
        <v>5645</v>
      </c>
      <c r="G13" s="134" t="s">
        <v>3007</v>
      </c>
      <c r="H13" s="123">
        <v>26</v>
      </c>
    </row>
    <row r="14" spans="1:8" ht="31.5" x14ac:dyDescent="0.25">
      <c r="A14" s="134" t="s">
        <v>5544</v>
      </c>
      <c r="B14" s="134" t="s">
        <v>5644</v>
      </c>
      <c r="C14" s="134" t="s">
        <v>5643</v>
      </c>
      <c r="D14" s="134" t="s">
        <v>5642</v>
      </c>
      <c r="E14" s="139">
        <v>6.47</v>
      </c>
      <c r="F14" s="134" t="s">
        <v>5641</v>
      </c>
      <c r="G14" s="134" t="s">
        <v>3007</v>
      </c>
      <c r="H14" s="123">
        <v>27</v>
      </c>
    </row>
    <row r="15" spans="1:8" ht="31.5" x14ac:dyDescent="0.25">
      <c r="A15" s="134" t="s">
        <v>5544</v>
      </c>
      <c r="B15" s="134" t="s">
        <v>5640</v>
      </c>
      <c r="C15" s="134" t="s">
        <v>5639</v>
      </c>
      <c r="D15" s="134" t="s">
        <v>5638</v>
      </c>
      <c r="E15" s="139">
        <v>1.71</v>
      </c>
      <c r="F15" s="134" t="s">
        <v>5637</v>
      </c>
      <c r="G15" s="134" t="s">
        <v>3007</v>
      </c>
      <c r="H15" s="123">
        <v>28</v>
      </c>
    </row>
    <row r="16" spans="1:8" ht="31.5" x14ac:dyDescent="0.25">
      <c r="A16" s="134" t="s">
        <v>5544</v>
      </c>
      <c r="B16" s="134" t="s">
        <v>5636</v>
      </c>
      <c r="C16" s="134" t="s">
        <v>5635</v>
      </c>
      <c r="D16" s="134" t="s">
        <v>5634</v>
      </c>
      <c r="E16" s="139">
        <v>18.25</v>
      </c>
      <c r="F16" s="134" t="s">
        <v>5633</v>
      </c>
      <c r="G16" s="134" t="s">
        <v>3007</v>
      </c>
      <c r="H16" s="123">
        <v>29</v>
      </c>
    </row>
    <row r="17" spans="1:8" ht="31.5" x14ac:dyDescent="0.25">
      <c r="A17" s="134" t="s">
        <v>5544</v>
      </c>
      <c r="B17" s="134" t="s">
        <v>5632</v>
      </c>
      <c r="C17" s="134" t="s">
        <v>5631</v>
      </c>
      <c r="D17" s="134" t="s">
        <v>5630</v>
      </c>
      <c r="E17" s="139">
        <v>9</v>
      </c>
      <c r="F17" s="134" t="s">
        <v>5629</v>
      </c>
      <c r="G17" s="134" t="s">
        <v>3007</v>
      </c>
      <c r="H17" s="123">
        <v>30</v>
      </c>
    </row>
    <row r="18" spans="1:8" ht="31.5" x14ac:dyDescent="0.25">
      <c r="A18" s="134" t="s">
        <v>5544</v>
      </c>
      <c r="B18" s="134" t="s">
        <v>5628</v>
      </c>
      <c r="C18" s="134" t="s">
        <v>5627</v>
      </c>
      <c r="D18" s="134" t="s">
        <v>5626</v>
      </c>
      <c r="E18" s="139">
        <v>7.31</v>
      </c>
      <c r="F18" s="134" t="s">
        <v>5625</v>
      </c>
      <c r="G18" s="134" t="s">
        <v>3007</v>
      </c>
      <c r="H18" s="123">
        <v>31</v>
      </c>
    </row>
    <row r="19" spans="1:8" ht="31.5" x14ac:dyDescent="0.25">
      <c r="A19" s="134" t="s">
        <v>5544</v>
      </c>
      <c r="B19" s="134" t="s">
        <v>5624</v>
      </c>
      <c r="C19" s="134" t="s">
        <v>5623</v>
      </c>
      <c r="D19" s="134" t="s">
        <v>5622</v>
      </c>
      <c r="E19" s="139">
        <v>2.73</v>
      </c>
      <c r="F19" s="134" t="s">
        <v>5621</v>
      </c>
      <c r="G19" s="134" t="s">
        <v>3007</v>
      </c>
      <c r="H19" s="123">
        <v>32</v>
      </c>
    </row>
    <row r="20" spans="1:8" ht="31.5" x14ac:dyDescent="0.25">
      <c r="A20" s="134" t="s">
        <v>5544</v>
      </c>
      <c r="B20" s="134" t="s">
        <v>5620</v>
      </c>
      <c r="C20" s="134" t="s">
        <v>5619</v>
      </c>
      <c r="D20" s="134" t="s">
        <v>5618</v>
      </c>
      <c r="E20" s="139">
        <v>2.34</v>
      </c>
      <c r="F20" s="134" t="s">
        <v>5617</v>
      </c>
      <c r="G20" s="134" t="s">
        <v>3007</v>
      </c>
      <c r="H20" s="123">
        <v>33</v>
      </c>
    </row>
    <row r="21" spans="1:8" ht="31.5" x14ac:dyDescent="0.25">
      <c r="A21" s="134" t="s">
        <v>5544</v>
      </c>
      <c r="B21" s="134" t="s">
        <v>5616</v>
      </c>
      <c r="C21" s="134" t="s">
        <v>5615</v>
      </c>
      <c r="D21" s="134" t="s">
        <v>5614</v>
      </c>
      <c r="E21" s="139">
        <v>3.95</v>
      </c>
      <c r="F21" s="134" t="s">
        <v>5613</v>
      </c>
      <c r="G21" s="134" t="s">
        <v>3007</v>
      </c>
      <c r="H21" s="123">
        <v>34</v>
      </c>
    </row>
    <row r="22" spans="1:8" ht="31.5" x14ac:dyDescent="0.25">
      <c r="A22" s="134" t="s">
        <v>5544</v>
      </c>
      <c r="B22" s="134" t="s">
        <v>5612</v>
      </c>
      <c r="C22" s="134" t="s">
        <v>5611</v>
      </c>
      <c r="D22" s="134" t="s">
        <v>3271</v>
      </c>
      <c r="E22" s="139">
        <v>1.68</v>
      </c>
      <c r="F22" s="134" t="s">
        <v>3270</v>
      </c>
      <c r="G22" s="134" t="s">
        <v>3007</v>
      </c>
      <c r="H22" s="123">
        <v>35</v>
      </c>
    </row>
    <row r="23" spans="1:8" ht="31.5" x14ac:dyDescent="0.25">
      <c r="A23" s="134" t="s">
        <v>5544</v>
      </c>
      <c r="B23" s="134" t="s">
        <v>5610</v>
      </c>
      <c r="C23" s="134" t="s">
        <v>5609</v>
      </c>
      <c r="D23" s="134" t="s">
        <v>5608</v>
      </c>
      <c r="E23" s="139">
        <v>9.81</v>
      </c>
      <c r="F23" s="134" t="s">
        <v>5607</v>
      </c>
      <c r="G23" s="134" t="s">
        <v>3007</v>
      </c>
      <c r="H23" s="123">
        <v>36</v>
      </c>
    </row>
    <row r="24" spans="1:8" ht="31.5" x14ac:dyDescent="0.25">
      <c r="A24" s="134" t="s">
        <v>5544</v>
      </c>
      <c r="B24" s="134" t="s">
        <v>5606</v>
      </c>
      <c r="C24" s="134" t="s">
        <v>5605</v>
      </c>
      <c r="D24" s="134" t="s">
        <v>5604</v>
      </c>
      <c r="E24" s="139">
        <v>5.04</v>
      </c>
      <c r="F24" s="134" t="s">
        <v>5603</v>
      </c>
      <c r="G24" s="134" t="s">
        <v>3007</v>
      </c>
      <c r="H24" s="123">
        <v>37</v>
      </c>
    </row>
    <row r="25" spans="1:8" ht="31.5" x14ac:dyDescent="0.25">
      <c r="A25" s="134" t="s">
        <v>5544</v>
      </c>
      <c r="B25" s="134" t="s">
        <v>5602</v>
      </c>
      <c r="C25" s="134" t="s">
        <v>5601</v>
      </c>
      <c r="D25" s="134" t="s">
        <v>5600</v>
      </c>
      <c r="E25" s="139">
        <v>4.2</v>
      </c>
      <c r="F25" s="134" t="s">
        <v>5599</v>
      </c>
      <c r="G25" s="134" t="s">
        <v>3007</v>
      </c>
      <c r="H25" s="123">
        <v>38</v>
      </c>
    </row>
    <row r="26" spans="1:8" ht="31.5" x14ac:dyDescent="0.25">
      <c r="A26" s="134" t="s">
        <v>5544</v>
      </c>
      <c r="B26" s="134" t="s">
        <v>5598</v>
      </c>
      <c r="C26" s="134" t="s">
        <v>5597</v>
      </c>
      <c r="D26" s="134" t="s">
        <v>3301</v>
      </c>
      <c r="E26" s="139">
        <v>6.15</v>
      </c>
      <c r="F26" s="134" t="s">
        <v>3300</v>
      </c>
      <c r="G26" s="134" t="s">
        <v>3007</v>
      </c>
      <c r="H26" s="123">
        <v>39</v>
      </c>
    </row>
    <row r="27" spans="1:8" ht="31.5" x14ac:dyDescent="0.25">
      <c r="A27" s="134" t="s">
        <v>5544</v>
      </c>
      <c r="B27" s="134" t="s">
        <v>5596</v>
      </c>
      <c r="C27" s="134" t="s">
        <v>5595</v>
      </c>
      <c r="D27" s="134" t="s">
        <v>3583</v>
      </c>
      <c r="E27" s="139">
        <v>5.61</v>
      </c>
      <c r="F27" s="134" t="s">
        <v>3582</v>
      </c>
      <c r="G27" s="134" t="s">
        <v>3007</v>
      </c>
      <c r="H27" s="123">
        <v>40</v>
      </c>
    </row>
    <row r="28" spans="1:8" ht="31.5" x14ac:dyDescent="0.25">
      <c r="A28" s="134" t="s">
        <v>5544</v>
      </c>
      <c r="B28" s="134" t="s">
        <v>5594</v>
      </c>
      <c r="C28" s="134" t="s">
        <v>5593</v>
      </c>
      <c r="D28" s="134" t="s">
        <v>5592</v>
      </c>
      <c r="E28" s="139">
        <v>8.0299999999999994</v>
      </c>
      <c r="F28" s="134" t="s">
        <v>5591</v>
      </c>
      <c r="G28" s="134" t="s">
        <v>3007</v>
      </c>
      <c r="H28" s="123">
        <v>41</v>
      </c>
    </row>
    <row r="29" spans="1:8" ht="31.5" x14ac:dyDescent="0.25">
      <c r="A29" s="134" t="s">
        <v>5544</v>
      </c>
      <c r="B29" s="134" t="s">
        <v>5590</v>
      </c>
      <c r="C29" s="134" t="s">
        <v>5589</v>
      </c>
      <c r="D29" s="134" t="s">
        <v>5588</v>
      </c>
      <c r="E29" s="139">
        <v>15.14</v>
      </c>
      <c r="F29" s="134" t="s">
        <v>5587</v>
      </c>
      <c r="G29" s="134" t="s">
        <v>3007</v>
      </c>
      <c r="H29" s="123">
        <v>42</v>
      </c>
    </row>
    <row r="30" spans="1:8" ht="31.5" x14ac:dyDescent="0.25">
      <c r="A30" s="134" t="s">
        <v>5544</v>
      </c>
      <c r="B30" s="134" t="s">
        <v>5586</v>
      </c>
      <c r="C30" s="134" t="s">
        <v>5585</v>
      </c>
      <c r="D30" s="134" t="s">
        <v>5584</v>
      </c>
      <c r="E30" s="139">
        <v>4.63</v>
      </c>
      <c r="F30" s="134" t="s">
        <v>5583</v>
      </c>
      <c r="G30" s="134" t="s">
        <v>3007</v>
      </c>
      <c r="H30" s="124">
        <v>43</v>
      </c>
    </row>
    <row r="31" spans="1:8" ht="31.5" x14ac:dyDescent="0.25">
      <c r="A31" s="134" t="s">
        <v>5544</v>
      </c>
      <c r="B31" s="134" t="s">
        <v>5582</v>
      </c>
      <c r="C31" s="134" t="s">
        <v>5581</v>
      </c>
      <c r="D31" s="134" t="s">
        <v>3247</v>
      </c>
      <c r="E31" s="139">
        <v>3.53</v>
      </c>
      <c r="F31" s="134" t="s">
        <v>3246</v>
      </c>
      <c r="G31" s="134" t="s">
        <v>3007</v>
      </c>
      <c r="H31" s="124">
        <v>44</v>
      </c>
    </row>
    <row r="32" spans="1:8" ht="31.5" x14ac:dyDescent="0.25">
      <c r="A32" s="134" t="s">
        <v>5544</v>
      </c>
      <c r="B32" s="134" t="s">
        <v>5580</v>
      </c>
      <c r="C32" s="134" t="s">
        <v>5579</v>
      </c>
      <c r="D32" s="134" t="s">
        <v>5578</v>
      </c>
      <c r="E32" s="139">
        <v>3.32</v>
      </c>
      <c r="F32" s="134" t="s">
        <v>5577</v>
      </c>
      <c r="G32" s="134" t="s">
        <v>3007</v>
      </c>
      <c r="H32" s="124">
        <v>45</v>
      </c>
    </row>
    <row r="33" spans="1:8" ht="31.5" x14ac:dyDescent="0.25">
      <c r="A33" s="134" t="s">
        <v>5544</v>
      </c>
      <c r="B33" s="134" t="s">
        <v>5576</v>
      </c>
      <c r="C33" s="134" t="s">
        <v>5575</v>
      </c>
      <c r="D33" s="134" t="s">
        <v>5574</v>
      </c>
      <c r="E33" s="139">
        <v>2.4300000000000002</v>
      </c>
      <c r="F33" s="134" t="s">
        <v>5573</v>
      </c>
      <c r="G33" s="134" t="s">
        <v>3007</v>
      </c>
      <c r="H33" s="124">
        <v>46</v>
      </c>
    </row>
    <row r="34" spans="1:8" ht="31.5" x14ac:dyDescent="0.25">
      <c r="A34" s="134" t="s">
        <v>5544</v>
      </c>
      <c r="B34" s="134" t="s">
        <v>5572</v>
      </c>
      <c r="C34" s="134" t="s">
        <v>5571</v>
      </c>
      <c r="D34" s="134" t="s">
        <v>5570</v>
      </c>
      <c r="E34" s="139">
        <v>3.76</v>
      </c>
      <c r="F34" s="134" t="s">
        <v>5569</v>
      </c>
      <c r="G34" s="134" t="s">
        <v>3007</v>
      </c>
      <c r="H34" s="124">
        <v>47</v>
      </c>
    </row>
    <row r="35" spans="1:8" ht="31.5" x14ac:dyDescent="0.25">
      <c r="A35" s="134" t="s">
        <v>5544</v>
      </c>
      <c r="B35" s="134" t="s">
        <v>5568</v>
      </c>
      <c r="C35" s="134" t="s">
        <v>5567</v>
      </c>
      <c r="D35" s="134" t="s">
        <v>5566</v>
      </c>
      <c r="E35" s="139">
        <v>2.77</v>
      </c>
      <c r="F35" s="134" t="s">
        <v>5565</v>
      </c>
      <c r="G35" s="134" t="s">
        <v>3007</v>
      </c>
      <c r="H35" s="124">
        <v>48</v>
      </c>
    </row>
    <row r="36" spans="1:8" ht="31.5" x14ac:dyDescent="0.25">
      <c r="A36" s="134" t="s">
        <v>5544</v>
      </c>
      <c r="B36" s="134" t="s">
        <v>5564</v>
      </c>
      <c r="C36" s="134" t="s">
        <v>5563</v>
      </c>
      <c r="D36" s="134" t="s">
        <v>5562</v>
      </c>
      <c r="E36" s="139">
        <v>21.72</v>
      </c>
      <c r="F36" s="134" t="s">
        <v>5561</v>
      </c>
      <c r="G36" s="134" t="s">
        <v>3007</v>
      </c>
      <c r="H36" s="124">
        <v>49</v>
      </c>
    </row>
    <row r="37" spans="1:8" ht="31.5" x14ac:dyDescent="0.25">
      <c r="A37" s="134" t="s">
        <v>5544</v>
      </c>
      <c r="B37" s="134" t="s">
        <v>5560</v>
      </c>
      <c r="C37" s="134" t="s">
        <v>5559</v>
      </c>
      <c r="D37" s="134" t="s">
        <v>5558</v>
      </c>
      <c r="E37" s="139">
        <v>10.61</v>
      </c>
      <c r="F37" s="134" t="s">
        <v>5557</v>
      </c>
      <c r="G37" s="134" t="s">
        <v>3007</v>
      </c>
      <c r="H37" s="124">
        <v>50</v>
      </c>
    </row>
    <row r="38" spans="1:8" ht="31.5" x14ac:dyDescent="0.25">
      <c r="A38" s="134" t="s">
        <v>5544</v>
      </c>
      <c r="B38" s="134" t="s">
        <v>5556</v>
      </c>
      <c r="C38" s="134" t="s">
        <v>5555</v>
      </c>
      <c r="D38" s="134" t="s">
        <v>5554</v>
      </c>
      <c r="E38" s="139">
        <v>5.28</v>
      </c>
      <c r="F38" s="134" t="s">
        <v>5553</v>
      </c>
      <c r="G38" s="134" t="s">
        <v>3007</v>
      </c>
      <c r="H38" s="124">
        <v>51</v>
      </c>
    </row>
    <row r="39" spans="1:8" ht="31.5" x14ac:dyDescent="0.25">
      <c r="A39" s="134" t="s">
        <v>5544</v>
      </c>
      <c r="B39" s="134" t="s">
        <v>5552</v>
      </c>
      <c r="C39" s="134" t="s">
        <v>5551</v>
      </c>
      <c r="D39" s="134" t="s">
        <v>5550</v>
      </c>
      <c r="E39" s="139">
        <v>1.63</v>
      </c>
      <c r="F39" s="134" t="s">
        <v>5549</v>
      </c>
      <c r="G39" s="134" t="s">
        <v>3007</v>
      </c>
      <c r="H39" s="123">
        <v>52</v>
      </c>
    </row>
    <row r="40" spans="1:8" ht="31.5" x14ac:dyDescent="0.25">
      <c r="A40" s="134" t="s">
        <v>5544</v>
      </c>
      <c r="B40" s="134" t="s">
        <v>5548</v>
      </c>
      <c r="C40" s="134" t="s">
        <v>5547</v>
      </c>
      <c r="D40" s="134" t="s">
        <v>5087</v>
      </c>
      <c r="E40" s="139">
        <v>1.6</v>
      </c>
      <c r="F40" s="134" t="s">
        <v>5086</v>
      </c>
      <c r="G40" s="134" t="s">
        <v>3007</v>
      </c>
      <c r="H40" s="123">
        <v>53</v>
      </c>
    </row>
    <row r="41" spans="1:8" ht="31.5" x14ac:dyDescent="0.25">
      <c r="A41" s="134" t="s">
        <v>5544</v>
      </c>
      <c r="B41" s="134" t="s">
        <v>5546</v>
      </c>
      <c r="C41" s="134" t="s">
        <v>5545</v>
      </c>
      <c r="D41" s="134" t="s">
        <v>3135</v>
      </c>
      <c r="E41" s="139">
        <v>6.83</v>
      </c>
      <c r="F41" s="134" t="s">
        <v>3134</v>
      </c>
      <c r="G41" s="134" t="s">
        <v>3007</v>
      </c>
      <c r="H41" s="123">
        <v>54</v>
      </c>
    </row>
    <row r="42" spans="1:8" ht="31.5" x14ac:dyDescent="0.25">
      <c r="A42" s="134" t="s">
        <v>5544</v>
      </c>
      <c r="B42" s="134" t="s">
        <v>5543</v>
      </c>
      <c r="C42" s="134" t="s">
        <v>5542</v>
      </c>
      <c r="D42" s="134" t="s">
        <v>3276</v>
      </c>
      <c r="E42" s="139">
        <v>4.03</v>
      </c>
      <c r="F42" s="134" t="s">
        <v>3275</v>
      </c>
      <c r="G42" s="134" t="s">
        <v>3007</v>
      </c>
      <c r="H42" s="123">
        <v>55</v>
      </c>
    </row>
    <row r="43" spans="1:8" s="195" customFormat="1" x14ac:dyDescent="0.25">
      <c r="A43" s="193"/>
      <c r="B43" s="193"/>
      <c r="C43" s="193" t="s">
        <v>5691</v>
      </c>
      <c r="D43" s="193" t="s">
        <v>14408</v>
      </c>
      <c r="E43" s="194">
        <f>SUM(E3:E42)</f>
        <v>250.05</v>
      </c>
      <c r="F43" s="193"/>
      <c r="G43" s="193"/>
      <c r="H43" s="123"/>
    </row>
    <row r="44" spans="1:8" x14ac:dyDescent="0.25">
      <c r="A44" s="134"/>
      <c r="B44" s="134"/>
      <c r="C44" s="134"/>
      <c r="D44" s="134"/>
      <c r="E44" s="139"/>
      <c r="F44" s="134"/>
      <c r="G44" s="134"/>
      <c r="H44" s="123"/>
    </row>
    <row r="45" spans="1:8" ht="31.5" x14ac:dyDescent="0.25">
      <c r="A45" s="134" t="s">
        <v>5399</v>
      </c>
      <c r="B45" s="134" t="s">
        <v>5541</v>
      </c>
      <c r="C45" s="134" t="s">
        <v>5540</v>
      </c>
      <c r="D45" s="134" t="s">
        <v>5539</v>
      </c>
      <c r="E45" s="139">
        <v>1.68</v>
      </c>
      <c r="F45" s="134" t="s">
        <v>5538</v>
      </c>
      <c r="G45" s="134" t="s">
        <v>3007</v>
      </c>
      <c r="H45" s="123">
        <v>128</v>
      </c>
    </row>
    <row r="46" spans="1:8" ht="31.5" x14ac:dyDescent="0.25">
      <c r="A46" s="134" t="s">
        <v>5399</v>
      </c>
      <c r="B46" s="134" t="s">
        <v>5537</v>
      </c>
      <c r="C46" s="134" t="s">
        <v>5536</v>
      </c>
      <c r="D46" s="134" t="s">
        <v>5535</v>
      </c>
      <c r="E46" s="139">
        <v>7.66</v>
      </c>
      <c r="F46" s="134" t="s">
        <v>5534</v>
      </c>
      <c r="G46" s="134" t="s">
        <v>3007</v>
      </c>
      <c r="H46" s="123">
        <v>133</v>
      </c>
    </row>
    <row r="47" spans="1:8" ht="31.5" x14ac:dyDescent="0.25">
      <c r="A47" s="134" t="s">
        <v>5399</v>
      </c>
      <c r="B47" s="134" t="s">
        <v>5533</v>
      </c>
      <c r="C47" s="134" t="s">
        <v>5532</v>
      </c>
      <c r="D47" s="134" t="s">
        <v>3502</v>
      </c>
      <c r="E47" s="139">
        <v>4.09</v>
      </c>
      <c r="F47" s="134" t="s">
        <v>3498</v>
      </c>
      <c r="G47" s="134" t="s">
        <v>3007</v>
      </c>
      <c r="H47" s="123">
        <v>140</v>
      </c>
    </row>
    <row r="48" spans="1:8" ht="31.5" x14ac:dyDescent="0.25">
      <c r="A48" s="134" t="s">
        <v>5399</v>
      </c>
      <c r="B48" s="134" t="s">
        <v>5531</v>
      </c>
      <c r="C48" s="134" t="s">
        <v>5530</v>
      </c>
      <c r="D48" s="134" t="s">
        <v>3499</v>
      </c>
      <c r="E48" s="139">
        <v>3.54</v>
      </c>
      <c r="F48" s="134" t="s">
        <v>3498</v>
      </c>
      <c r="G48" s="134" t="s">
        <v>3007</v>
      </c>
      <c r="H48" s="123">
        <v>142</v>
      </c>
    </row>
    <row r="49" spans="1:11" ht="31.5" x14ac:dyDescent="0.25">
      <c r="A49" s="134" t="s">
        <v>5399</v>
      </c>
      <c r="B49" s="134" t="s">
        <v>5529</v>
      </c>
      <c r="C49" s="134" t="s">
        <v>5528</v>
      </c>
      <c r="D49" s="134" t="s">
        <v>5527</v>
      </c>
      <c r="E49" s="139">
        <v>1.68</v>
      </c>
      <c r="F49" s="134" t="s">
        <v>5526</v>
      </c>
      <c r="G49" s="134" t="s">
        <v>3007</v>
      </c>
      <c r="H49" s="123">
        <v>143</v>
      </c>
    </row>
    <row r="50" spans="1:11" ht="31.5" x14ac:dyDescent="0.25">
      <c r="A50" s="134" t="s">
        <v>5399</v>
      </c>
      <c r="B50" s="134" t="s">
        <v>5525</v>
      </c>
      <c r="C50" s="134" t="s">
        <v>5524</v>
      </c>
      <c r="D50" s="134" t="s">
        <v>5523</v>
      </c>
      <c r="E50" s="139">
        <v>0.42</v>
      </c>
      <c r="F50" s="134" t="s">
        <v>5522</v>
      </c>
      <c r="G50" s="134" t="s">
        <v>3007</v>
      </c>
      <c r="H50" s="123">
        <v>144</v>
      </c>
      <c r="K50" s="131" t="s">
        <v>5521</v>
      </c>
    </row>
    <row r="51" spans="1:11" ht="31.5" x14ac:dyDescent="0.25">
      <c r="A51" s="134" t="s">
        <v>5399</v>
      </c>
      <c r="B51" s="134" t="s">
        <v>5520</v>
      </c>
      <c r="C51" s="134" t="s">
        <v>5519</v>
      </c>
      <c r="D51" s="134" t="s">
        <v>5518</v>
      </c>
      <c r="E51" s="139">
        <v>6.43</v>
      </c>
      <c r="F51" s="134" t="s">
        <v>5517</v>
      </c>
      <c r="G51" s="134" t="s">
        <v>3007</v>
      </c>
      <c r="H51" s="123">
        <v>145</v>
      </c>
    </row>
    <row r="52" spans="1:11" ht="31.5" x14ac:dyDescent="0.25">
      <c r="A52" s="134" t="s">
        <v>5399</v>
      </c>
      <c r="B52" s="134" t="s">
        <v>5516</v>
      </c>
      <c r="C52" s="134" t="s">
        <v>5515</v>
      </c>
      <c r="D52" s="134" t="s">
        <v>5514</v>
      </c>
      <c r="E52" s="139">
        <v>3.55</v>
      </c>
      <c r="F52" s="134" t="s">
        <v>5513</v>
      </c>
      <c r="G52" s="134" t="s">
        <v>3007</v>
      </c>
      <c r="H52" s="123">
        <v>146</v>
      </c>
    </row>
    <row r="53" spans="1:11" ht="31.5" x14ac:dyDescent="0.25">
      <c r="A53" s="134" t="s">
        <v>5399</v>
      </c>
      <c r="B53" s="134" t="s">
        <v>5512</v>
      </c>
      <c r="C53" s="134" t="s">
        <v>5511</v>
      </c>
      <c r="D53" s="134" t="s">
        <v>5510</v>
      </c>
      <c r="E53" s="139">
        <v>10.76</v>
      </c>
      <c r="F53" s="134" t="s">
        <v>5509</v>
      </c>
      <c r="G53" s="134" t="s">
        <v>3007</v>
      </c>
      <c r="H53" s="123">
        <v>147</v>
      </c>
    </row>
    <row r="54" spans="1:11" ht="31.5" x14ac:dyDescent="0.25">
      <c r="A54" s="134" t="s">
        <v>5399</v>
      </c>
      <c r="B54" s="134" t="s">
        <v>5508</v>
      </c>
      <c r="C54" s="134" t="s">
        <v>5507</v>
      </c>
      <c r="D54" s="134" t="s">
        <v>5506</v>
      </c>
      <c r="E54" s="139">
        <v>3.44</v>
      </c>
      <c r="F54" s="134" t="s">
        <v>5505</v>
      </c>
      <c r="G54" s="134" t="s">
        <v>3007</v>
      </c>
      <c r="H54" s="123">
        <v>148</v>
      </c>
    </row>
    <row r="55" spans="1:11" ht="31.5" x14ac:dyDescent="0.25">
      <c r="A55" s="134" t="s">
        <v>5399</v>
      </c>
      <c r="B55" s="134" t="s">
        <v>5504</v>
      </c>
      <c r="C55" s="134" t="s">
        <v>5503</v>
      </c>
      <c r="D55" s="134" t="s">
        <v>3534</v>
      </c>
      <c r="E55" s="139">
        <v>4.76</v>
      </c>
      <c r="F55" s="134" t="s">
        <v>3533</v>
      </c>
      <c r="G55" s="134" t="s">
        <v>3007</v>
      </c>
      <c r="H55" s="123">
        <v>149</v>
      </c>
    </row>
    <row r="56" spans="1:11" ht="31.5" x14ac:dyDescent="0.25">
      <c r="A56" s="134" t="s">
        <v>5399</v>
      </c>
      <c r="B56" s="134" t="s">
        <v>5502</v>
      </c>
      <c r="C56" s="134" t="s">
        <v>5501</v>
      </c>
      <c r="D56" s="134" t="s">
        <v>5500</v>
      </c>
      <c r="E56" s="139">
        <v>1.81</v>
      </c>
      <c r="F56" s="134" t="s">
        <v>5499</v>
      </c>
      <c r="G56" s="134" t="s">
        <v>3007</v>
      </c>
      <c r="H56" s="123">
        <v>150</v>
      </c>
    </row>
    <row r="57" spans="1:11" ht="31.5" x14ac:dyDescent="0.25">
      <c r="A57" s="134" t="s">
        <v>5399</v>
      </c>
      <c r="B57" s="134" t="s">
        <v>5498</v>
      </c>
      <c r="C57" s="134" t="s">
        <v>5497</v>
      </c>
      <c r="D57" s="134" t="s">
        <v>3022</v>
      </c>
      <c r="E57" s="139">
        <v>1.79</v>
      </c>
      <c r="F57" s="134" t="s">
        <v>3021</v>
      </c>
      <c r="G57" s="134" t="s">
        <v>3007</v>
      </c>
      <c r="H57" s="123">
        <v>151</v>
      </c>
    </row>
    <row r="58" spans="1:11" ht="31.5" x14ac:dyDescent="0.25">
      <c r="A58" s="134" t="s">
        <v>5399</v>
      </c>
      <c r="B58" s="134" t="s">
        <v>5496</v>
      </c>
      <c r="C58" s="134" t="s">
        <v>5495</v>
      </c>
      <c r="D58" s="134" t="s">
        <v>3123</v>
      </c>
      <c r="E58" s="139">
        <v>0.18</v>
      </c>
      <c r="F58" s="134" t="s">
        <v>3122</v>
      </c>
      <c r="G58" s="134" t="s">
        <v>3007</v>
      </c>
      <c r="H58" s="123">
        <v>152</v>
      </c>
    </row>
    <row r="59" spans="1:11" ht="31.5" x14ac:dyDescent="0.25">
      <c r="A59" s="134" t="s">
        <v>5399</v>
      </c>
      <c r="B59" s="134" t="s">
        <v>5494</v>
      </c>
      <c r="C59" s="134" t="s">
        <v>5493</v>
      </c>
      <c r="D59" s="134" t="s">
        <v>3611</v>
      </c>
      <c r="E59" s="139">
        <v>1.55</v>
      </c>
      <c r="F59" s="134" t="s">
        <v>3610</v>
      </c>
      <c r="G59" s="134" t="s">
        <v>3007</v>
      </c>
      <c r="H59" s="123">
        <v>153</v>
      </c>
    </row>
    <row r="60" spans="1:11" ht="31.5" x14ac:dyDescent="0.25">
      <c r="A60" s="134" t="s">
        <v>5399</v>
      </c>
      <c r="B60" s="134" t="s">
        <v>5492</v>
      </c>
      <c r="C60" s="134" t="s">
        <v>5491</v>
      </c>
      <c r="D60" s="134" t="s">
        <v>5490</v>
      </c>
      <c r="E60" s="139">
        <v>11.78</v>
      </c>
      <c r="F60" s="134" t="s">
        <v>5489</v>
      </c>
      <c r="G60" s="134" t="s">
        <v>3007</v>
      </c>
      <c r="H60" s="123">
        <v>154</v>
      </c>
    </row>
    <row r="61" spans="1:11" ht="31.5" x14ac:dyDescent="0.25">
      <c r="A61" s="134" t="s">
        <v>5399</v>
      </c>
      <c r="B61" s="134" t="s">
        <v>5488</v>
      </c>
      <c r="C61" s="134" t="s">
        <v>5487</v>
      </c>
      <c r="D61" s="134" t="s">
        <v>5486</v>
      </c>
      <c r="E61" s="139">
        <v>1.76</v>
      </c>
      <c r="F61" s="134" t="s">
        <v>5485</v>
      </c>
      <c r="G61" s="134" t="s">
        <v>3007</v>
      </c>
      <c r="H61" s="123">
        <v>155</v>
      </c>
    </row>
    <row r="62" spans="1:11" ht="31.5" x14ac:dyDescent="0.25">
      <c r="A62" s="134" t="s">
        <v>5399</v>
      </c>
      <c r="B62" s="134" t="s">
        <v>5484</v>
      </c>
      <c r="C62" s="134" t="s">
        <v>5483</v>
      </c>
      <c r="D62" s="134" t="s">
        <v>5482</v>
      </c>
      <c r="E62" s="139">
        <v>5.0999999999999996</v>
      </c>
      <c r="F62" s="134" t="s">
        <v>5481</v>
      </c>
      <c r="G62" s="134" t="s">
        <v>3007</v>
      </c>
      <c r="H62" s="123">
        <v>156</v>
      </c>
    </row>
    <row r="63" spans="1:11" ht="31.5" x14ac:dyDescent="0.25">
      <c r="A63" s="134" t="s">
        <v>5399</v>
      </c>
      <c r="B63" s="134" t="s">
        <v>5480</v>
      </c>
      <c r="C63" s="134" t="s">
        <v>5479</v>
      </c>
      <c r="D63" s="134" t="s">
        <v>5478</v>
      </c>
      <c r="E63" s="139">
        <v>2.4</v>
      </c>
      <c r="F63" s="134" t="s">
        <v>5477</v>
      </c>
      <c r="G63" s="134" t="s">
        <v>3007</v>
      </c>
      <c r="H63" s="123">
        <v>157</v>
      </c>
    </row>
    <row r="64" spans="1:11" ht="31.5" x14ac:dyDescent="0.25">
      <c r="A64" s="134" t="s">
        <v>5399</v>
      </c>
      <c r="B64" s="134" t="s">
        <v>5476</v>
      </c>
      <c r="C64" s="134" t="s">
        <v>5475</v>
      </c>
      <c r="D64" s="134" t="s">
        <v>5474</v>
      </c>
      <c r="E64" s="139">
        <v>6.08</v>
      </c>
      <c r="F64" s="134" t="s">
        <v>5473</v>
      </c>
      <c r="G64" s="134" t="s">
        <v>3007</v>
      </c>
      <c r="H64" s="123">
        <v>158</v>
      </c>
    </row>
    <row r="65" spans="1:8" ht="31.5" x14ac:dyDescent="0.25">
      <c r="A65" s="134" t="s">
        <v>5399</v>
      </c>
      <c r="B65" s="134" t="s">
        <v>5472</v>
      </c>
      <c r="C65" s="134" t="s">
        <v>5471</v>
      </c>
      <c r="D65" s="134" t="s">
        <v>5470</v>
      </c>
      <c r="E65" s="139">
        <v>5.26</v>
      </c>
      <c r="F65" s="134" t="s">
        <v>5469</v>
      </c>
      <c r="G65" s="134" t="s">
        <v>3007</v>
      </c>
      <c r="H65" s="123">
        <v>159</v>
      </c>
    </row>
    <row r="66" spans="1:8" ht="31.5" x14ac:dyDescent="0.25">
      <c r="A66" s="134" t="s">
        <v>5399</v>
      </c>
      <c r="B66" s="134" t="s">
        <v>5468</v>
      </c>
      <c r="C66" s="134" t="s">
        <v>5467</v>
      </c>
      <c r="D66" s="134" t="s">
        <v>5466</v>
      </c>
      <c r="E66" s="139">
        <v>5.51</v>
      </c>
      <c r="F66" s="134" t="s">
        <v>5465</v>
      </c>
      <c r="G66" s="134" t="s">
        <v>3007</v>
      </c>
      <c r="H66" s="123">
        <v>160</v>
      </c>
    </row>
    <row r="67" spans="1:8" ht="31.5" x14ac:dyDescent="0.25">
      <c r="A67" s="134" t="s">
        <v>5399</v>
      </c>
      <c r="B67" s="134" t="s">
        <v>5464</v>
      </c>
      <c r="C67" s="134" t="s">
        <v>5463</v>
      </c>
      <c r="D67" s="134" t="s">
        <v>5462</v>
      </c>
      <c r="E67" s="139">
        <v>13.69</v>
      </c>
      <c r="F67" s="134" t="s">
        <v>5461</v>
      </c>
      <c r="G67" s="134" t="s">
        <v>3007</v>
      </c>
      <c r="H67" s="123">
        <v>161</v>
      </c>
    </row>
    <row r="68" spans="1:8" ht="31.5" x14ac:dyDescent="0.25">
      <c r="A68" s="134" t="s">
        <v>5399</v>
      </c>
      <c r="B68" s="134" t="s">
        <v>5460</v>
      </c>
      <c r="C68" s="134" t="s">
        <v>5459</v>
      </c>
      <c r="D68" s="134" t="s">
        <v>5458</v>
      </c>
      <c r="E68" s="139">
        <v>3.42</v>
      </c>
      <c r="F68" s="134" t="s">
        <v>5457</v>
      </c>
      <c r="G68" s="134" t="s">
        <v>3007</v>
      </c>
      <c r="H68" s="123">
        <v>162</v>
      </c>
    </row>
    <row r="69" spans="1:8" ht="31.5" x14ac:dyDescent="0.25">
      <c r="A69" s="134" t="s">
        <v>5399</v>
      </c>
      <c r="B69" s="134" t="s">
        <v>5456</v>
      </c>
      <c r="C69" s="134" t="s">
        <v>5455</v>
      </c>
      <c r="D69" s="134" t="s">
        <v>5454</v>
      </c>
      <c r="E69" s="139">
        <v>5.23</v>
      </c>
      <c r="F69" s="134" t="s">
        <v>5453</v>
      </c>
      <c r="G69" s="134" t="s">
        <v>3007</v>
      </c>
      <c r="H69" s="123">
        <v>163</v>
      </c>
    </row>
    <row r="70" spans="1:8" ht="31.5" x14ac:dyDescent="0.25">
      <c r="A70" s="134" t="s">
        <v>5399</v>
      </c>
      <c r="B70" s="134" t="s">
        <v>5452</v>
      </c>
      <c r="C70" s="134" t="s">
        <v>5451</v>
      </c>
      <c r="D70" s="134" t="s">
        <v>3571</v>
      </c>
      <c r="E70" s="139">
        <v>2.77</v>
      </c>
      <c r="F70" s="134" t="s">
        <v>3570</v>
      </c>
      <c r="G70" s="134" t="s">
        <v>3007</v>
      </c>
      <c r="H70" s="123">
        <v>164</v>
      </c>
    </row>
    <row r="71" spans="1:8" ht="31.5" x14ac:dyDescent="0.25">
      <c r="A71" s="134" t="s">
        <v>5399</v>
      </c>
      <c r="B71" s="134" t="s">
        <v>5450</v>
      </c>
      <c r="C71" s="134" t="s">
        <v>5449</v>
      </c>
      <c r="D71" s="134" t="s">
        <v>5448</v>
      </c>
      <c r="E71" s="139">
        <v>23.89</v>
      </c>
      <c r="F71" s="134" t="s">
        <v>5447</v>
      </c>
      <c r="G71" s="134" t="s">
        <v>3007</v>
      </c>
      <c r="H71" s="123">
        <v>165</v>
      </c>
    </row>
    <row r="72" spans="1:8" ht="31.5" x14ac:dyDescent="0.25">
      <c r="A72" s="134" t="s">
        <v>5399</v>
      </c>
      <c r="B72" s="134" t="s">
        <v>5446</v>
      </c>
      <c r="C72" s="134" t="s">
        <v>5445</v>
      </c>
      <c r="D72" s="134" t="s">
        <v>5444</v>
      </c>
      <c r="E72" s="139">
        <v>1.68</v>
      </c>
      <c r="F72" s="134" t="s">
        <v>5443</v>
      </c>
      <c r="G72" s="134" t="s">
        <v>3007</v>
      </c>
      <c r="H72" s="123">
        <v>166</v>
      </c>
    </row>
    <row r="73" spans="1:8" ht="31.5" x14ac:dyDescent="0.25">
      <c r="A73" s="134" t="s">
        <v>5399</v>
      </c>
      <c r="B73" s="134" t="s">
        <v>4640</v>
      </c>
      <c r="C73" s="134" t="s">
        <v>5442</v>
      </c>
      <c r="D73" s="134" t="s">
        <v>3042</v>
      </c>
      <c r="E73" s="139">
        <v>4.05</v>
      </c>
      <c r="F73" s="134" t="s">
        <v>3041</v>
      </c>
      <c r="G73" s="134" t="s">
        <v>3007</v>
      </c>
      <c r="H73" s="123">
        <v>167</v>
      </c>
    </row>
    <row r="74" spans="1:8" ht="31.5" x14ac:dyDescent="0.25">
      <c r="A74" s="134" t="s">
        <v>5399</v>
      </c>
      <c r="B74" s="134" t="s">
        <v>5441</v>
      </c>
      <c r="C74" s="134" t="s">
        <v>5440</v>
      </c>
      <c r="D74" s="134" t="s">
        <v>5439</v>
      </c>
      <c r="E74" s="139">
        <v>17.809999999999999</v>
      </c>
      <c r="F74" s="134" t="s">
        <v>5438</v>
      </c>
      <c r="G74" s="134" t="s">
        <v>3007</v>
      </c>
      <c r="H74" s="123">
        <v>168</v>
      </c>
    </row>
    <row r="75" spans="1:8" ht="31.5" x14ac:dyDescent="0.25">
      <c r="A75" s="134" t="s">
        <v>5399</v>
      </c>
      <c r="B75" s="134" t="s">
        <v>5437</v>
      </c>
      <c r="C75" s="134" t="s">
        <v>5436</v>
      </c>
      <c r="D75" s="134" t="s">
        <v>5435</v>
      </c>
      <c r="E75" s="139">
        <v>5.41</v>
      </c>
      <c r="F75" s="134" t="s">
        <v>5434</v>
      </c>
      <c r="G75" s="134" t="s">
        <v>3007</v>
      </c>
      <c r="H75" s="123">
        <v>169</v>
      </c>
    </row>
    <row r="76" spans="1:8" ht="31.5" x14ac:dyDescent="0.25">
      <c r="A76" s="134" t="s">
        <v>5399</v>
      </c>
      <c r="B76" s="134" t="s">
        <v>5433</v>
      </c>
      <c r="C76" s="134" t="s">
        <v>5432</v>
      </c>
      <c r="D76" s="134" t="s">
        <v>5431</v>
      </c>
      <c r="E76" s="139">
        <v>16.149999999999999</v>
      </c>
      <c r="F76" s="134" t="s">
        <v>5430</v>
      </c>
      <c r="G76" s="134" t="s">
        <v>3007</v>
      </c>
      <c r="H76" s="123">
        <v>170</v>
      </c>
    </row>
    <row r="77" spans="1:8" ht="31.5" x14ac:dyDescent="0.25">
      <c r="A77" s="134" t="s">
        <v>5399</v>
      </c>
      <c r="B77" s="134" t="s">
        <v>5429</v>
      </c>
      <c r="C77" s="134" t="s">
        <v>5428</v>
      </c>
      <c r="D77" s="134" t="s">
        <v>5427</v>
      </c>
      <c r="E77" s="139">
        <v>5.58</v>
      </c>
      <c r="F77" s="134" t="s">
        <v>5426</v>
      </c>
      <c r="G77" s="134" t="s">
        <v>3007</v>
      </c>
      <c r="H77" s="123">
        <v>171</v>
      </c>
    </row>
    <row r="78" spans="1:8" ht="31.5" x14ac:dyDescent="0.25">
      <c r="A78" s="134" t="s">
        <v>5399</v>
      </c>
      <c r="B78" s="134" t="s">
        <v>5425</v>
      </c>
      <c r="C78" s="134" t="s">
        <v>5424</v>
      </c>
      <c r="D78" s="134" t="s">
        <v>5423</v>
      </c>
      <c r="E78" s="139">
        <v>5.21</v>
      </c>
      <c r="F78" s="134" t="s">
        <v>5422</v>
      </c>
      <c r="G78" s="134" t="s">
        <v>3007</v>
      </c>
      <c r="H78" s="123">
        <v>173</v>
      </c>
    </row>
    <row r="79" spans="1:8" ht="31.5" x14ac:dyDescent="0.25">
      <c r="A79" s="134" t="s">
        <v>5399</v>
      </c>
      <c r="B79" s="134" t="s">
        <v>5421</v>
      </c>
      <c r="C79" s="134" t="s">
        <v>5420</v>
      </c>
      <c r="D79" s="134" t="s">
        <v>3009</v>
      </c>
      <c r="E79" s="139">
        <v>1.76</v>
      </c>
      <c r="F79" s="134" t="s">
        <v>3008</v>
      </c>
      <c r="G79" s="134" t="s">
        <v>3007</v>
      </c>
      <c r="H79" s="123">
        <v>174</v>
      </c>
    </row>
    <row r="80" spans="1:8" ht="31.5" x14ac:dyDescent="0.25">
      <c r="A80" s="134" t="s">
        <v>5399</v>
      </c>
      <c r="B80" s="134" t="s">
        <v>5419</v>
      </c>
      <c r="C80" s="134" t="s">
        <v>5418</v>
      </c>
      <c r="D80" s="134" t="s">
        <v>5417</v>
      </c>
      <c r="E80" s="139">
        <v>7.9</v>
      </c>
      <c r="F80" s="134" t="s">
        <v>5416</v>
      </c>
      <c r="G80" s="134" t="s">
        <v>3007</v>
      </c>
      <c r="H80" s="123">
        <v>175</v>
      </c>
    </row>
    <row r="81" spans="1:11" ht="31.5" x14ac:dyDescent="0.25">
      <c r="A81" s="134" t="s">
        <v>5399</v>
      </c>
      <c r="B81" s="134" t="s">
        <v>5415</v>
      </c>
      <c r="C81" s="134" t="s">
        <v>5414</v>
      </c>
      <c r="D81" s="134" t="s">
        <v>5413</v>
      </c>
      <c r="E81" s="139">
        <v>3.44</v>
      </c>
      <c r="F81" s="134" t="s">
        <v>5412</v>
      </c>
      <c r="G81" s="134" t="s">
        <v>3007</v>
      </c>
      <c r="H81" s="123">
        <v>176</v>
      </c>
    </row>
    <row r="82" spans="1:11" ht="31.5" x14ac:dyDescent="0.25">
      <c r="A82" s="134" t="s">
        <v>5399</v>
      </c>
      <c r="B82" s="134" t="s">
        <v>5411</v>
      </c>
      <c r="C82" s="134" t="s">
        <v>5410</v>
      </c>
      <c r="D82" s="134" t="s">
        <v>5409</v>
      </c>
      <c r="E82" s="139">
        <v>3.48</v>
      </c>
      <c r="F82" s="134" t="s">
        <v>5408</v>
      </c>
      <c r="G82" s="134" t="s">
        <v>3007</v>
      </c>
      <c r="H82" s="123">
        <v>177</v>
      </c>
    </row>
    <row r="83" spans="1:11" ht="31.5" x14ac:dyDescent="0.25">
      <c r="A83" s="134" t="s">
        <v>5399</v>
      </c>
      <c r="B83" s="134" t="s">
        <v>5407</v>
      </c>
      <c r="C83" s="134" t="s">
        <v>5406</v>
      </c>
      <c r="D83" s="134" t="s">
        <v>5405</v>
      </c>
      <c r="E83" s="139">
        <v>2.11</v>
      </c>
      <c r="F83" s="134" t="s">
        <v>5404</v>
      </c>
      <c r="G83" s="134" t="s">
        <v>3007</v>
      </c>
      <c r="H83" s="123">
        <v>178</v>
      </c>
    </row>
    <row r="84" spans="1:11" ht="31.5" x14ac:dyDescent="0.25">
      <c r="A84" s="134" t="s">
        <v>5399</v>
      </c>
      <c r="B84" s="134" t="s">
        <v>5403</v>
      </c>
      <c r="C84" s="134" t="s">
        <v>5402</v>
      </c>
      <c r="D84" s="134" t="s">
        <v>5401</v>
      </c>
      <c r="E84" s="139">
        <v>7.74</v>
      </c>
      <c r="F84" s="134" t="s">
        <v>5400</v>
      </c>
      <c r="G84" s="134" t="s">
        <v>3007</v>
      </c>
      <c r="H84" s="123">
        <v>179</v>
      </c>
    </row>
    <row r="85" spans="1:11" ht="31.5" x14ac:dyDescent="0.25">
      <c r="A85" s="134" t="s">
        <v>5399</v>
      </c>
      <c r="B85" s="134" t="s">
        <v>5398</v>
      </c>
      <c r="C85" s="134" t="s">
        <v>5397</v>
      </c>
      <c r="D85" s="134" t="s">
        <v>5396</v>
      </c>
      <c r="E85" s="139">
        <v>2.82</v>
      </c>
      <c r="F85" s="134" t="s">
        <v>5395</v>
      </c>
      <c r="G85" s="134" t="s">
        <v>3007</v>
      </c>
      <c r="H85" s="123">
        <v>180</v>
      </c>
    </row>
    <row r="86" spans="1:11" ht="31.5" x14ac:dyDescent="0.25">
      <c r="A86" s="134" t="s">
        <v>5340</v>
      </c>
      <c r="B86" s="134" t="s">
        <v>5370</v>
      </c>
      <c r="C86" s="134" t="s">
        <v>5369</v>
      </c>
      <c r="D86" s="134" t="s">
        <v>3276</v>
      </c>
      <c r="E86" s="139">
        <v>4.03</v>
      </c>
      <c r="F86" s="134" t="s">
        <v>3275</v>
      </c>
      <c r="G86" s="134" t="s">
        <v>3007</v>
      </c>
      <c r="H86" s="123" t="s">
        <v>2483</v>
      </c>
    </row>
    <row r="87" spans="1:11" ht="31.5" x14ac:dyDescent="0.25">
      <c r="A87" s="134" t="s">
        <v>5340</v>
      </c>
      <c r="B87" s="134" t="s">
        <v>5394</v>
      </c>
      <c r="C87" s="134" t="s">
        <v>5393</v>
      </c>
      <c r="D87" s="134" t="s">
        <v>5392</v>
      </c>
      <c r="E87" s="139">
        <v>12.68</v>
      </c>
      <c r="F87" s="134" t="s">
        <v>5391</v>
      </c>
      <c r="G87" s="134" t="s">
        <v>3007</v>
      </c>
      <c r="H87" s="123">
        <v>181</v>
      </c>
    </row>
    <row r="88" spans="1:11" ht="31.5" x14ac:dyDescent="0.25">
      <c r="A88" s="134" t="s">
        <v>5340</v>
      </c>
      <c r="B88" s="134" t="s">
        <v>5390</v>
      </c>
      <c r="C88" s="134" t="s">
        <v>5389</v>
      </c>
      <c r="D88" s="134" t="s">
        <v>5388</v>
      </c>
      <c r="E88" s="139">
        <v>4.8899999999999997</v>
      </c>
      <c r="F88" s="134" t="s">
        <v>5387</v>
      </c>
      <c r="G88" s="134" t="s">
        <v>3007</v>
      </c>
      <c r="H88" s="123">
        <v>182</v>
      </c>
    </row>
    <row r="89" spans="1:11" ht="31.5" x14ac:dyDescent="0.25">
      <c r="A89" s="134" t="s">
        <v>5340</v>
      </c>
      <c r="B89" s="134" t="s">
        <v>5386</v>
      </c>
      <c r="C89" s="134" t="s">
        <v>5385</v>
      </c>
      <c r="D89" s="134" t="s">
        <v>5384</v>
      </c>
      <c r="E89" s="139">
        <v>9.83</v>
      </c>
      <c r="F89" s="134" t="s">
        <v>5383</v>
      </c>
      <c r="G89" s="134" t="s">
        <v>3007</v>
      </c>
      <c r="H89" s="123">
        <v>183</v>
      </c>
    </row>
    <row r="90" spans="1:11" ht="31.5" x14ac:dyDescent="0.25">
      <c r="A90" s="134" t="s">
        <v>5340</v>
      </c>
      <c r="B90" s="134" t="s">
        <v>5382</v>
      </c>
      <c r="C90" s="134" t="s">
        <v>5381</v>
      </c>
      <c r="D90" s="134" t="s">
        <v>5380</v>
      </c>
      <c r="E90" s="139">
        <v>0.71</v>
      </c>
      <c r="F90" s="134" t="s">
        <v>5379</v>
      </c>
      <c r="G90" s="134" t="s">
        <v>3007</v>
      </c>
      <c r="H90" s="123">
        <v>184</v>
      </c>
      <c r="I90" s="133"/>
      <c r="K90" s="123"/>
    </row>
    <row r="91" spans="1:11" ht="31.5" x14ac:dyDescent="0.25">
      <c r="A91" s="134" t="s">
        <v>5340</v>
      </c>
      <c r="B91" s="134" t="s">
        <v>5378</v>
      </c>
      <c r="C91" s="134" t="s">
        <v>5377</v>
      </c>
      <c r="D91" s="134" t="s">
        <v>5376</v>
      </c>
      <c r="E91" s="139">
        <v>2.37</v>
      </c>
      <c r="F91" s="134" t="s">
        <v>5375</v>
      </c>
      <c r="G91" s="134" t="s">
        <v>3007</v>
      </c>
      <c r="H91" s="123">
        <v>185</v>
      </c>
    </row>
    <row r="92" spans="1:11" ht="31.5" x14ac:dyDescent="0.25">
      <c r="A92" s="134" t="s">
        <v>5340</v>
      </c>
      <c r="B92" s="134" t="s">
        <v>5374</v>
      </c>
      <c r="C92" s="134" t="s">
        <v>5373</v>
      </c>
      <c r="D92" s="134" t="s">
        <v>5372</v>
      </c>
      <c r="E92" s="139">
        <v>5.23</v>
      </c>
      <c r="F92" s="134" t="s">
        <v>5371</v>
      </c>
      <c r="G92" s="134" t="s">
        <v>3007</v>
      </c>
      <c r="H92" s="123">
        <v>186</v>
      </c>
    </row>
    <row r="93" spans="1:11" ht="31.5" x14ac:dyDescent="0.25">
      <c r="A93" s="134" t="s">
        <v>5340</v>
      </c>
      <c r="B93" s="134" t="s">
        <v>5368</v>
      </c>
      <c r="C93" s="134" t="s">
        <v>5367</v>
      </c>
      <c r="D93" s="134" t="s">
        <v>5366</v>
      </c>
      <c r="E93" s="139">
        <v>3.88</v>
      </c>
      <c r="F93" s="134" t="s">
        <v>5365</v>
      </c>
      <c r="G93" s="134" t="s">
        <v>3007</v>
      </c>
      <c r="H93" s="123">
        <v>187</v>
      </c>
    </row>
    <row r="94" spans="1:11" ht="31.5" x14ac:dyDescent="0.25">
      <c r="A94" s="134" t="s">
        <v>5340</v>
      </c>
      <c r="B94" s="134" t="s">
        <v>5364</v>
      </c>
      <c r="C94" s="134" t="s">
        <v>5363</v>
      </c>
      <c r="D94" s="134" t="s">
        <v>5362</v>
      </c>
      <c r="E94" s="139">
        <v>4.05</v>
      </c>
      <c r="F94" s="134" t="s">
        <v>5361</v>
      </c>
      <c r="G94" s="134" t="s">
        <v>3007</v>
      </c>
      <c r="H94" s="123">
        <v>188</v>
      </c>
    </row>
    <row r="95" spans="1:11" ht="31.5" x14ac:dyDescent="0.25">
      <c r="A95" s="134" t="s">
        <v>5340</v>
      </c>
      <c r="B95" s="134" t="s">
        <v>5360</v>
      </c>
      <c r="C95" s="134" t="s">
        <v>5359</v>
      </c>
      <c r="D95" s="134" t="s">
        <v>5358</v>
      </c>
      <c r="E95" s="139">
        <v>5.1100000000000003</v>
      </c>
      <c r="F95" s="134" t="s">
        <v>5357</v>
      </c>
      <c r="G95" s="134" t="s">
        <v>3007</v>
      </c>
      <c r="H95" s="123">
        <v>189</v>
      </c>
    </row>
    <row r="96" spans="1:11" ht="31.5" x14ac:dyDescent="0.25">
      <c r="A96" s="134" t="s">
        <v>5340</v>
      </c>
      <c r="B96" s="134" t="s">
        <v>5356</v>
      </c>
      <c r="C96" s="134" t="s">
        <v>5355</v>
      </c>
      <c r="D96" s="134" t="s">
        <v>5354</v>
      </c>
      <c r="E96" s="139">
        <v>6.27</v>
      </c>
      <c r="F96" s="134" t="s">
        <v>5353</v>
      </c>
      <c r="G96" s="134" t="s">
        <v>3007</v>
      </c>
      <c r="H96" s="123">
        <v>190</v>
      </c>
    </row>
    <row r="97" spans="1:8" ht="31.5" x14ac:dyDescent="0.25">
      <c r="A97" s="134" t="s">
        <v>5340</v>
      </c>
      <c r="B97" s="134" t="s">
        <v>5352</v>
      </c>
      <c r="C97" s="134" t="s">
        <v>5351</v>
      </c>
      <c r="D97" s="134" t="s">
        <v>5350</v>
      </c>
      <c r="E97" s="139">
        <v>5.72</v>
      </c>
      <c r="F97" s="134" t="s">
        <v>5349</v>
      </c>
      <c r="G97" s="134" t="s">
        <v>3007</v>
      </c>
      <c r="H97" s="123">
        <v>191</v>
      </c>
    </row>
    <row r="98" spans="1:8" ht="31.5" x14ac:dyDescent="0.25">
      <c r="A98" s="134" t="s">
        <v>5340</v>
      </c>
      <c r="B98" s="134" t="s">
        <v>5348</v>
      </c>
      <c r="C98" s="134" t="s">
        <v>5347</v>
      </c>
      <c r="D98" s="134" t="s">
        <v>5346</v>
      </c>
      <c r="E98" s="139">
        <v>3.36</v>
      </c>
      <c r="F98" s="134" t="s">
        <v>5345</v>
      </c>
      <c r="G98" s="134" t="s">
        <v>3007</v>
      </c>
      <c r="H98" s="123">
        <v>192</v>
      </c>
    </row>
    <row r="99" spans="1:8" ht="31.5" x14ac:dyDescent="0.25">
      <c r="A99" s="134" t="s">
        <v>5340</v>
      </c>
      <c r="B99" s="134" t="s">
        <v>5344</v>
      </c>
      <c r="C99" s="134" t="s">
        <v>5343</v>
      </c>
      <c r="D99" s="134" t="s">
        <v>5342</v>
      </c>
      <c r="E99" s="139">
        <v>2.08</v>
      </c>
      <c r="F99" s="134" t="s">
        <v>5341</v>
      </c>
      <c r="G99" s="134" t="s">
        <v>3007</v>
      </c>
      <c r="H99" s="123">
        <v>193</v>
      </c>
    </row>
    <row r="100" spans="1:8" ht="31.5" x14ac:dyDescent="0.25">
      <c r="A100" s="134" t="s">
        <v>5340</v>
      </c>
      <c r="B100" s="134" t="s">
        <v>5339</v>
      </c>
      <c r="C100" s="134" t="s">
        <v>5338</v>
      </c>
      <c r="D100" s="134" t="s">
        <v>3692</v>
      </c>
      <c r="E100" s="139">
        <v>2.06</v>
      </c>
      <c r="F100" s="134" t="s">
        <v>3691</v>
      </c>
      <c r="G100" s="134" t="s">
        <v>3007</v>
      </c>
      <c r="H100" s="124">
        <v>194</v>
      </c>
    </row>
    <row r="101" spans="1:8" ht="31.5" x14ac:dyDescent="0.25">
      <c r="A101" s="134" t="s">
        <v>5288</v>
      </c>
      <c r="B101" s="134" t="s">
        <v>5337</v>
      </c>
      <c r="C101" s="134" t="s">
        <v>5336</v>
      </c>
      <c r="D101" s="134" t="s">
        <v>5335</v>
      </c>
      <c r="E101" s="139">
        <v>3.25</v>
      </c>
      <c r="F101" s="134" t="s">
        <v>5334</v>
      </c>
      <c r="G101" s="134" t="s">
        <v>3007</v>
      </c>
      <c r="H101" s="123">
        <v>195</v>
      </c>
    </row>
    <row r="102" spans="1:8" ht="31.5" x14ac:dyDescent="0.25">
      <c r="A102" s="134" t="s">
        <v>5288</v>
      </c>
      <c r="B102" s="134" t="s">
        <v>5333</v>
      </c>
      <c r="C102" s="134" t="s">
        <v>5332</v>
      </c>
      <c r="D102" s="134" t="s">
        <v>3115</v>
      </c>
      <c r="E102" s="139">
        <v>20.82</v>
      </c>
      <c r="F102" s="134" t="s">
        <v>3114</v>
      </c>
      <c r="G102" s="134" t="s">
        <v>3007</v>
      </c>
      <c r="H102" s="123">
        <v>196</v>
      </c>
    </row>
    <row r="103" spans="1:8" ht="31.5" x14ac:dyDescent="0.25">
      <c r="A103" s="134" t="s">
        <v>5288</v>
      </c>
      <c r="B103" s="134" t="s">
        <v>5327</v>
      </c>
      <c r="C103" s="134" t="s">
        <v>5326</v>
      </c>
      <c r="D103" s="134" t="s">
        <v>5325</v>
      </c>
      <c r="E103" s="139">
        <v>3.55</v>
      </c>
      <c r="F103" s="134" t="s">
        <v>5324</v>
      </c>
      <c r="G103" s="134" t="s">
        <v>3007</v>
      </c>
      <c r="H103" s="123">
        <v>197</v>
      </c>
    </row>
    <row r="104" spans="1:8" ht="31.5" x14ac:dyDescent="0.25">
      <c r="A104" s="134" t="s">
        <v>5288</v>
      </c>
      <c r="B104" s="134" t="s">
        <v>5331</v>
      </c>
      <c r="C104" s="134" t="s">
        <v>5330</v>
      </c>
      <c r="D104" s="134" t="s">
        <v>5329</v>
      </c>
      <c r="E104" s="139">
        <v>9.56</v>
      </c>
      <c r="F104" s="134" t="s">
        <v>5328</v>
      </c>
      <c r="G104" s="134" t="s">
        <v>3007</v>
      </c>
      <c r="H104" s="123">
        <v>198</v>
      </c>
    </row>
    <row r="105" spans="1:8" ht="31.5" x14ac:dyDescent="0.25">
      <c r="A105" s="134" t="s">
        <v>5288</v>
      </c>
      <c r="B105" s="134" t="s">
        <v>5323</v>
      </c>
      <c r="C105" s="134" t="s">
        <v>5322</v>
      </c>
      <c r="D105" s="134" t="s">
        <v>5321</v>
      </c>
      <c r="E105" s="139">
        <v>5.28</v>
      </c>
      <c r="F105" s="134" t="s">
        <v>5320</v>
      </c>
      <c r="G105" s="134" t="s">
        <v>3007</v>
      </c>
      <c r="H105" s="123">
        <v>199</v>
      </c>
    </row>
    <row r="106" spans="1:8" ht="31.5" x14ac:dyDescent="0.25">
      <c r="A106" s="134" t="s">
        <v>5288</v>
      </c>
      <c r="B106" s="134" t="s">
        <v>5319</v>
      </c>
      <c r="C106" s="134" t="s">
        <v>5318</v>
      </c>
      <c r="D106" s="134" t="s">
        <v>5317</v>
      </c>
      <c r="E106" s="139">
        <v>2.08</v>
      </c>
      <c r="F106" s="134" t="s">
        <v>5316</v>
      </c>
      <c r="G106" s="134" t="s">
        <v>3007</v>
      </c>
      <c r="H106" s="123">
        <v>200</v>
      </c>
    </row>
    <row r="107" spans="1:8" ht="31.5" x14ac:dyDescent="0.25">
      <c r="A107" s="134" t="s">
        <v>5288</v>
      </c>
      <c r="B107" s="134" t="s">
        <v>5315</v>
      </c>
      <c r="C107" s="134" t="s">
        <v>5314</v>
      </c>
      <c r="D107" s="134" t="s">
        <v>5313</v>
      </c>
      <c r="E107" s="139">
        <v>3.83</v>
      </c>
      <c r="F107" s="134" t="s">
        <v>5312</v>
      </c>
      <c r="G107" s="134" t="s">
        <v>3007</v>
      </c>
      <c r="H107" s="123">
        <v>201</v>
      </c>
    </row>
    <row r="108" spans="1:8" ht="31.5" x14ac:dyDescent="0.25">
      <c r="A108" s="134" t="s">
        <v>5288</v>
      </c>
      <c r="B108" s="134" t="s">
        <v>5311</v>
      </c>
      <c r="C108" s="134" t="s">
        <v>5310</v>
      </c>
      <c r="D108" s="134" t="s">
        <v>5309</v>
      </c>
      <c r="E108" s="139">
        <v>6.29</v>
      </c>
      <c r="F108" s="134" t="s">
        <v>5308</v>
      </c>
      <c r="G108" s="134" t="s">
        <v>3007</v>
      </c>
      <c r="H108" s="123">
        <v>203</v>
      </c>
    </row>
    <row r="109" spans="1:8" ht="31.5" x14ac:dyDescent="0.25">
      <c r="A109" s="134" t="s">
        <v>5288</v>
      </c>
      <c r="B109" s="134" t="s">
        <v>5307</v>
      </c>
      <c r="C109" s="134" t="s">
        <v>5306</v>
      </c>
      <c r="D109" s="134" t="s">
        <v>5305</v>
      </c>
      <c r="E109" s="139">
        <v>5.39</v>
      </c>
      <c r="F109" s="134" t="s">
        <v>5304</v>
      </c>
      <c r="G109" s="134" t="s">
        <v>3007</v>
      </c>
      <c r="H109" s="123">
        <v>204</v>
      </c>
    </row>
    <row r="110" spans="1:8" ht="31.5" x14ac:dyDescent="0.25">
      <c r="A110" s="134" t="s">
        <v>5288</v>
      </c>
      <c r="B110" s="134" t="s">
        <v>5204</v>
      </c>
      <c r="C110" s="134" t="s">
        <v>5303</v>
      </c>
      <c r="D110" s="134" t="s">
        <v>5302</v>
      </c>
      <c r="E110" s="139">
        <v>10.54</v>
      </c>
      <c r="F110" s="134" t="s">
        <v>5301</v>
      </c>
      <c r="G110" s="134" t="s">
        <v>3007</v>
      </c>
      <c r="H110" s="123">
        <v>205</v>
      </c>
    </row>
    <row r="111" spans="1:8" ht="31.5" x14ac:dyDescent="0.25">
      <c r="A111" s="134" t="s">
        <v>5288</v>
      </c>
      <c r="B111" s="134" t="s">
        <v>5300</v>
      </c>
      <c r="C111" s="134" t="s">
        <v>5299</v>
      </c>
      <c r="D111" s="134" t="s">
        <v>5298</v>
      </c>
      <c r="E111" s="139">
        <v>7.88</v>
      </c>
      <c r="F111" s="134" t="s">
        <v>5297</v>
      </c>
      <c r="G111" s="134" t="s">
        <v>3007</v>
      </c>
      <c r="H111" s="123">
        <v>206</v>
      </c>
    </row>
    <row r="112" spans="1:8" ht="31.5" x14ac:dyDescent="0.25">
      <c r="A112" s="134" t="s">
        <v>5288</v>
      </c>
      <c r="B112" s="134" t="s">
        <v>5296</v>
      </c>
      <c r="C112" s="134" t="s">
        <v>5295</v>
      </c>
      <c r="D112" s="134" t="s">
        <v>5294</v>
      </c>
      <c r="E112" s="139">
        <v>3.99</v>
      </c>
      <c r="F112" s="134" t="s">
        <v>5293</v>
      </c>
      <c r="G112" s="134" t="s">
        <v>3007</v>
      </c>
      <c r="H112" s="123">
        <v>207</v>
      </c>
    </row>
    <row r="113" spans="1:8" ht="31.5" x14ac:dyDescent="0.25">
      <c r="A113" s="134" t="s">
        <v>5288</v>
      </c>
      <c r="B113" s="134" t="s">
        <v>5292</v>
      </c>
      <c r="C113" s="134" t="s">
        <v>5291</v>
      </c>
      <c r="D113" s="134" t="s">
        <v>5290</v>
      </c>
      <c r="E113" s="139">
        <v>2.84</v>
      </c>
      <c r="F113" s="134" t="s">
        <v>5289</v>
      </c>
      <c r="G113" s="134" t="s">
        <v>3007</v>
      </c>
      <c r="H113" s="123">
        <v>208</v>
      </c>
    </row>
    <row r="114" spans="1:8" ht="31.5" x14ac:dyDescent="0.25">
      <c r="A114" s="134" t="s">
        <v>5288</v>
      </c>
      <c r="B114" s="134" t="s">
        <v>5287</v>
      </c>
      <c r="C114" s="134" t="s">
        <v>5286</v>
      </c>
      <c r="D114" s="134" t="s">
        <v>5285</v>
      </c>
      <c r="E114" s="139">
        <v>8.4</v>
      </c>
      <c r="F114" s="134" t="s">
        <v>5284</v>
      </c>
      <c r="G114" s="134" t="s">
        <v>3007</v>
      </c>
      <c r="H114" s="123">
        <v>209</v>
      </c>
    </row>
    <row r="115" spans="1:8" ht="31.5" x14ac:dyDescent="0.25">
      <c r="A115" s="134" t="s">
        <v>5154</v>
      </c>
      <c r="B115" s="134" t="s">
        <v>5283</v>
      </c>
      <c r="C115" s="134" t="s">
        <v>5282</v>
      </c>
      <c r="D115" s="134" t="s">
        <v>5281</v>
      </c>
      <c r="E115" s="139">
        <v>6.31</v>
      </c>
      <c r="F115" s="134" t="s">
        <v>5280</v>
      </c>
      <c r="G115" s="134" t="s">
        <v>3007</v>
      </c>
      <c r="H115" s="123">
        <v>252</v>
      </c>
    </row>
    <row r="116" spans="1:8" ht="31.5" x14ac:dyDescent="0.25">
      <c r="A116" s="134" t="s">
        <v>5154</v>
      </c>
      <c r="B116" s="134" t="s">
        <v>5279</v>
      </c>
      <c r="C116" s="134" t="s">
        <v>5278</v>
      </c>
      <c r="D116" s="134" t="s">
        <v>5277</v>
      </c>
      <c r="E116" s="139">
        <v>5.34</v>
      </c>
      <c r="F116" s="134" t="s">
        <v>5276</v>
      </c>
      <c r="G116" s="134" t="s">
        <v>3007</v>
      </c>
      <c r="H116" s="123">
        <v>253</v>
      </c>
    </row>
    <row r="117" spans="1:8" ht="31.5" x14ac:dyDescent="0.25">
      <c r="A117" s="134" t="s">
        <v>5154</v>
      </c>
      <c r="B117" s="134" t="s">
        <v>5275</v>
      </c>
      <c r="C117" s="134" t="s">
        <v>5274</v>
      </c>
      <c r="D117" s="134" t="s">
        <v>5273</v>
      </c>
      <c r="E117" s="139">
        <v>17.100000000000001</v>
      </c>
      <c r="F117" s="134" t="s">
        <v>5272</v>
      </c>
      <c r="G117" s="134" t="s">
        <v>3007</v>
      </c>
      <c r="H117" s="123">
        <v>254</v>
      </c>
    </row>
    <row r="118" spans="1:8" ht="31.5" x14ac:dyDescent="0.25">
      <c r="A118" s="134" t="s">
        <v>5154</v>
      </c>
      <c r="B118" s="134" t="s">
        <v>5271</v>
      </c>
      <c r="C118" s="134" t="s">
        <v>5270</v>
      </c>
      <c r="D118" s="134" t="s">
        <v>5269</v>
      </c>
      <c r="E118" s="139">
        <v>83.07</v>
      </c>
      <c r="F118" s="134" t="s">
        <v>5268</v>
      </c>
      <c r="G118" s="134" t="s">
        <v>3007</v>
      </c>
      <c r="H118" s="123">
        <v>255</v>
      </c>
    </row>
    <row r="119" spans="1:8" ht="31.5" x14ac:dyDescent="0.25">
      <c r="A119" s="134" t="s">
        <v>5154</v>
      </c>
      <c r="B119" s="134" t="s">
        <v>5267</v>
      </c>
      <c r="C119" s="134" t="s">
        <v>5266</v>
      </c>
      <c r="D119" s="134" t="s">
        <v>5265</v>
      </c>
      <c r="E119" s="139">
        <v>2.2400000000000002</v>
      </c>
      <c r="F119" s="134" t="s">
        <v>5264</v>
      </c>
      <c r="G119" s="134" t="s">
        <v>3007</v>
      </c>
      <c r="H119" s="123">
        <v>256</v>
      </c>
    </row>
    <row r="120" spans="1:8" ht="31.5" x14ac:dyDescent="0.25">
      <c r="A120" s="134" t="s">
        <v>5154</v>
      </c>
      <c r="B120" s="134" t="s">
        <v>5263</v>
      </c>
      <c r="C120" s="134" t="s">
        <v>5262</v>
      </c>
      <c r="D120" s="134" t="s">
        <v>3038</v>
      </c>
      <c r="E120" s="139">
        <v>82.53</v>
      </c>
      <c r="F120" s="134" t="s">
        <v>3037</v>
      </c>
      <c r="G120" s="134" t="s">
        <v>3007</v>
      </c>
      <c r="H120" s="123">
        <v>257</v>
      </c>
    </row>
    <row r="121" spans="1:8" ht="31.5" x14ac:dyDescent="0.25">
      <c r="A121" s="134" t="s">
        <v>5154</v>
      </c>
      <c r="B121" s="134" t="s">
        <v>5261</v>
      </c>
      <c r="C121" s="134" t="s">
        <v>5260</v>
      </c>
      <c r="D121" s="134" t="s">
        <v>5259</v>
      </c>
      <c r="E121" s="139">
        <v>11.03</v>
      </c>
      <c r="F121" s="134" t="s">
        <v>5258</v>
      </c>
      <c r="G121" s="134" t="s">
        <v>3007</v>
      </c>
      <c r="H121" s="123">
        <v>258</v>
      </c>
    </row>
    <row r="122" spans="1:8" ht="31.5" x14ac:dyDescent="0.25">
      <c r="A122" s="134" t="s">
        <v>5154</v>
      </c>
      <c r="B122" s="134" t="s">
        <v>5257</v>
      </c>
      <c r="C122" s="134" t="s">
        <v>5256</v>
      </c>
      <c r="D122" s="134" t="s">
        <v>5255</v>
      </c>
      <c r="E122" s="139">
        <v>1.68</v>
      </c>
      <c r="F122" s="134" t="s">
        <v>5254</v>
      </c>
      <c r="G122" s="134" t="s">
        <v>3007</v>
      </c>
      <c r="H122" s="123">
        <v>261</v>
      </c>
    </row>
    <row r="123" spans="1:8" ht="31.5" x14ac:dyDescent="0.25">
      <c r="A123" s="134" t="s">
        <v>5154</v>
      </c>
      <c r="B123" s="134" t="s">
        <v>5253</v>
      </c>
      <c r="C123" s="134" t="s">
        <v>5252</v>
      </c>
      <c r="D123" s="134" t="s">
        <v>4077</v>
      </c>
      <c r="E123" s="139">
        <v>0.96</v>
      </c>
      <c r="F123" s="134" t="s">
        <v>4076</v>
      </c>
      <c r="G123" s="134" t="s">
        <v>3007</v>
      </c>
      <c r="H123" s="123">
        <v>262</v>
      </c>
    </row>
    <row r="124" spans="1:8" ht="31.5" x14ac:dyDescent="0.25">
      <c r="A124" s="134" t="s">
        <v>5154</v>
      </c>
      <c r="B124" s="134" t="s">
        <v>4596</v>
      </c>
      <c r="C124" s="134" t="s">
        <v>5251</v>
      </c>
      <c r="D124" s="134" t="s">
        <v>5250</v>
      </c>
      <c r="E124" s="139">
        <v>8.39</v>
      </c>
      <c r="F124" s="134" t="s">
        <v>5249</v>
      </c>
      <c r="G124" s="134" t="s">
        <v>3007</v>
      </c>
      <c r="H124" s="123">
        <v>263</v>
      </c>
    </row>
    <row r="125" spans="1:8" ht="31.5" x14ac:dyDescent="0.25">
      <c r="A125" s="134" t="s">
        <v>5154</v>
      </c>
      <c r="B125" s="134" t="s">
        <v>5248</v>
      </c>
      <c r="C125" s="134" t="s">
        <v>5247</v>
      </c>
      <c r="D125" s="134" t="s">
        <v>5246</v>
      </c>
      <c r="E125" s="139">
        <v>7.55</v>
      </c>
      <c r="F125" s="134" t="s">
        <v>5245</v>
      </c>
      <c r="G125" s="134" t="s">
        <v>3007</v>
      </c>
      <c r="H125" s="123">
        <v>264</v>
      </c>
    </row>
    <row r="126" spans="1:8" ht="31.5" x14ac:dyDescent="0.25">
      <c r="A126" s="134" t="s">
        <v>5154</v>
      </c>
      <c r="B126" s="134" t="s">
        <v>5244</v>
      </c>
      <c r="C126" s="134" t="s">
        <v>5243</v>
      </c>
      <c r="D126" s="134" t="s">
        <v>5242</v>
      </c>
      <c r="E126" s="139">
        <v>4.42</v>
      </c>
      <c r="F126" s="134" t="s">
        <v>5241</v>
      </c>
      <c r="G126" s="134" t="s">
        <v>3007</v>
      </c>
      <c r="H126" s="123">
        <v>265</v>
      </c>
    </row>
    <row r="127" spans="1:8" ht="31.5" x14ac:dyDescent="0.25">
      <c r="A127" s="134" t="s">
        <v>5154</v>
      </c>
      <c r="B127" s="134" t="s">
        <v>5240</v>
      </c>
      <c r="C127" s="134" t="s">
        <v>5239</v>
      </c>
      <c r="D127" s="134" t="s">
        <v>5238</v>
      </c>
      <c r="E127" s="139">
        <v>28.62</v>
      </c>
      <c r="F127" s="134" t="s">
        <v>5237</v>
      </c>
      <c r="G127" s="134" t="s">
        <v>3007</v>
      </c>
      <c r="H127" s="123">
        <v>266</v>
      </c>
    </row>
    <row r="128" spans="1:8" ht="31.5" x14ac:dyDescent="0.25">
      <c r="A128" s="134" t="s">
        <v>5154</v>
      </c>
      <c r="B128" s="134" t="s">
        <v>5236</v>
      </c>
      <c r="C128" s="134" t="s">
        <v>5235</v>
      </c>
      <c r="D128" s="134" t="s">
        <v>5234</v>
      </c>
      <c r="E128" s="139">
        <v>5.96</v>
      </c>
      <c r="F128" s="134" t="s">
        <v>5233</v>
      </c>
      <c r="G128" s="134" t="s">
        <v>3007</v>
      </c>
      <c r="H128" s="123">
        <v>267</v>
      </c>
    </row>
    <row r="129" spans="1:8" ht="31.5" x14ac:dyDescent="0.25">
      <c r="A129" s="134" t="s">
        <v>5154</v>
      </c>
      <c r="B129" s="134" t="s">
        <v>5232</v>
      </c>
      <c r="C129" s="134" t="s">
        <v>5231</v>
      </c>
      <c r="D129" s="134" t="s">
        <v>5230</v>
      </c>
      <c r="E129" s="139">
        <v>31.47</v>
      </c>
      <c r="F129" s="134" t="s">
        <v>5229</v>
      </c>
      <c r="G129" s="134" t="s">
        <v>3007</v>
      </c>
      <c r="H129" s="123">
        <v>268</v>
      </c>
    </row>
    <row r="130" spans="1:8" ht="31.5" x14ac:dyDescent="0.25">
      <c r="A130" s="134" t="s">
        <v>5154</v>
      </c>
      <c r="B130" s="134" t="s">
        <v>5228</v>
      </c>
      <c r="C130" s="134" t="s">
        <v>5227</v>
      </c>
      <c r="D130" s="134" t="s">
        <v>5226</v>
      </c>
      <c r="E130" s="139">
        <v>3.37</v>
      </c>
      <c r="F130" s="134" t="s">
        <v>5225</v>
      </c>
      <c r="G130" s="134" t="s">
        <v>3007</v>
      </c>
      <c r="H130" s="123">
        <v>269</v>
      </c>
    </row>
    <row r="131" spans="1:8" ht="31.5" x14ac:dyDescent="0.25">
      <c r="A131" s="134" t="s">
        <v>5154</v>
      </c>
      <c r="B131" s="134" t="s">
        <v>5224</v>
      </c>
      <c r="C131" s="134" t="s">
        <v>5223</v>
      </c>
      <c r="D131" s="134" t="s">
        <v>5222</v>
      </c>
      <c r="E131" s="139">
        <v>2.63</v>
      </c>
      <c r="F131" s="134" t="s">
        <v>5221</v>
      </c>
      <c r="G131" s="134" t="s">
        <v>3007</v>
      </c>
      <c r="H131" s="123">
        <v>270</v>
      </c>
    </row>
    <row r="132" spans="1:8" ht="31.5" x14ac:dyDescent="0.25">
      <c r="A132" s="134" t="s">
        <v>5154</v>
      </c>
      <c r="B132" s="134" t="s">
        <v>5220</v>
      </c>
      <c r="C132" s="134" t="s">
        <v>5219</v>
      </c>
      <c r="D132" s="134" t="s">
        <v>5218</v>
      </c>
      <c r="E132" s="139">
        <v>8.3800000000000008</v>
      </c>
      <c r="F132" s="134" t="s">
        <v>5217</v>
      </c>
      <c r="G132" s="134" t="s">
        <v>3007</v>
      </c>
      <c r="H132" s="123">
        <v>271</v>
      </c>
    </row>
    <row r="133" spans="1:8" ht="31.5" x14ac:dyDescent="0.25">
      <c r="A133" s="134" t="s">
        <v>5154</v>
      </c>
      <c r="B133" s="134" t="s">
        <v>5216</v>
      </c>
      <c r="C133" s="134" t="s">
        <v>5215</v>
      </c>
      <c r="D133" s="134" t="s">
        <v>5214</v>
      </c>
      <c r="E133" s="139">
        <v>10.16</v>
      </c>
      <c r="F133" s="134" t="s">
        <v>5213</v>
      </c>
      <c r="G133" s="134" t="s">
        <v>3007</v>
      </c>
      <c r="H133" s="123">
        <v>272</v>
      </c>
    </row>
    <row r="134" spans="1:8" ht="31.5" x14ac:dyDescent="0.25">
      <c r="A134" s="134" t="s">
        <v>5154</v>
      </c>
      <c r="B134" s="134" t="s">
        <v>5212</v>
      </c>
      <c r="C134" s="134" t="s">
        <v>5211</v>
      </c>
      <c r="D134" s="134" t="s">
        <v>5210</v>
      </c>
      <c r="E134" s="139">
        <v>8.6300000000000008</v>
      </c>
      <c r="F134" s="134" t="s">
        <v>5209</v>
      </c>
      <c r="G134" s="134" t="s">
        <v>3007</v>
      </c>
      <c r="H134" s="123">
        <v>274</v>
      </c>
    </row>
    <row r="135" spans="1:8" ht="31.5" x14ac:dyDescent="0.25">
      <c r="A135" s="134" t="s">
        <v>5154</v>
      </c>
      <c r="B135" s="134" t="s">
        <v>5208</v>
      </c>
      <c r="C135" s="134" t="s">
        <v>5207</v>
      </c>
      <c r="D135" s="134" t="s">
        <v>5206</v>
      </c>
      <c r="E135" s="139">
        <v>12.63</v>
      </c>
      <c r="F135" s="134" t="s">
        <v>5205</v>
      </c>
      <c r="G135" s="134" t="s">
        <v>3007</v>
      </c>
      <c r="H135" s="123">
        <v>275</v>
      </c>
    </row>
    <row r="136" spans="1:8" ht="31.5" x14ac:dyDescent="0.25">
      <c r="A136" s="134" t="s">
        <v>5154</v>
      </c>
      <c r="B136" s="134" t="s">
        <v>5204</v>
      </c>
      <c r="C136" s="134" t="s">
        <v>5203</v>
      </c>
      <c r="D136" s="134" t="s">
        <v>5202</v>
      </c>
      <c r="E136" s="139">
        <v>1.72</v>
      </c>
      <c r="F136" s="134" t="s">
        <v>5201</v>
      </c>
      <c r="G136" s="134" t="s">
        <v>3007</v>
      </c>
      <c r="H136" s="123">
        <v>276</v>
      </c>
    </row>
    <row r="137" spans="1:8" ht="31.5" x14ac:dyDescent="0.25">
      <c r="A137" s="134" t="s">
        <v>5154</v>
      </c>
      <c r="B137" s="134" t="s">
        <v>5200</v>
      </c>
      <c r="C137" s="134" t="s">
        <v>5199</v>
      </c>
      <c r="D137" s="134" t="s">
        <v>5198</v>
      </c>
      <c r="E137" s="139">
        <v>1.84</v>
      </c>
      <c r="F137" s="134" t="s">
        <v>5197</v>
      </c>
      <c r="G137" s="134" t="s">
        <v>3007</v>
      </c>
      <c r="H137" s="123">
        <v>277</v>
      </c>
    </row>
    <row r="138" spans="1:8" ht="31.5" x14ac:dyDescent="0.25">
      <c r="A138" s="134" t="s">
        <v>5154</v>
      </c>
      <c r="B138" s="134" t="s">
        <v>5196</v>
      </c>
      <c r="C138" s="134" t="s">
        <v>5195</v>
      </c>
      <c r="D138" s="134" t="s">
        <v>5194</v>
      </c>
      <c r="E138" s="139">
        <v>3.14</v>
      </c>
      <c r="F138" s="134" t="s">
        <v>5193</v>
      </c>
      <c r="G138" s="134" t="s">
        <v>3007</v>
      </c>
      <c r="H138" s="123">
        <v>278</v>
      </c>
    </row>
    <row r="139" spans="1:8" ht="31.5" x14ac:dyDescent="0.25">
      <c r="A139" s="134" t="s">
        <v>5154</v>
      </c>
      <c r="B139" s="134" t="s">
        <v>5192</v>
      </c>
      <c r="C139" s="134" t="s">
        <v>5191</v>
      </c>
      <c r="D139" s="134" t="s">
        <v>5190</v>
      </c>
      <c r="E139" s="139">
        <v>5.59</v>
      </c>
      <c r="F139" s="134" t="s">
        <v>5189</v>
      </c>
      <c r="G139" s="134" t="s">
        <v>3007</v>
      </c>
      <c r="H139" s="123">
        <v>279</v>
      </c>
    </row>
    <row r="140" spans="1:8" ht="31.5" x14ac:dyDescent="0.25">
      <c r="A140" s="134" t="s">
        <v>5154</v>
      </c>
      <c r="B140" s="134" t="s">
        <v>5188</v>
      </c>
      <c r="C140" s="134" t="s">
        <v>5187</v>
      </c>
      <c r="D140" s="134" t="s">
        <v>5186</v>
      </c>
      <c r="E140" s="139">
        <v>3.53</v>
      </c>
      <c r="F140" s="134" t="s">
        <v>5185</v>
      </c>
      <c r="G140" s="134" t="s">
        <v>3007</v>
      </c>
      <c r="H140" s="123">
        <v>280</v>
      </c>
    </row>
    <row r="141" spans="1:8" ht="31.5" x14ac:dyDescent="0.25">
      <c r="A141" s="134" t="s">
        <v>5154</v>
      </c>
      <c r="B141" s="134" t="s">
        <v>5184</v>
      </c>
      <c r="C141" s="134" t="s">
        <v>5183</v>
      </c>
      <c r="D141" s="134" t="s">
        <v>5182</v>
      </c>
      <c r="E141" s="139">
        <v>4.0199999999999996</v>
      </c>
      <c r="F141" s="134" t="s">
        <v>5181</v>
      </c>
      <c r="G141" s="134" t="s">
        <v>3007</v>
      </c>
      <c r="H141" s="123">
        <v>281</v>
      </c>
    </row>
    <row r="142" spans="1:8" ht="31.5" x14ac:dyDescent="0.25">
      <c r="A142" s="134" t="s">
        <v>5154</v>
      </c>
      <c r="B142" s="134" t="s">
        <v>5180</v>
      </c>
      <c r="C142" s="134" t="s">
        <v>5179</v>
      </c>
      <c r="D142" s="134" t="s">
        <v>5178</v>
      </c>
      <c r="E142" s="139">
        <v>9.77</v>
      </c>
      <c r="F142" s="134" t="s">
        <v>5177</v>
      </c>
      <c r="G142" s="134" t="s">
        <v>3007</v>
      </c>
      <c r="H142" s="123">
        <v>282</v>
      </c>
    </row>
    <row r="143" spans="1:8" ht="31.5" x14ac:dyDescent="0.25">
      <c r="A143" s="134" t="s">
        <v>5154</v>
      </c>
      <c r="B143" s="134" t="s">
        <v>5176</v>
      </c>
      <c r="C143" s="134" t="s">
        <v>5175</v>
      </c>
      <c r="D143" s="134" t="s">
        <v>5174</v>
      </c>
      <c r="E143" s="139">
        <v>18.5</v>
      </c>
      <c r="F143" s="134" t="s">
        <v>5173</v>
      </c>
      <c r="G143" s="134" t="s">
        <v>3007</v>
      </c>
      <c r="H143" s="123">
        <v>284</v>
      </c>
    </row>
    <row r="144" spans="1:8" ht="31.5" x14ac:dyDescent="0.25">
      <c r="A144" s="134" t="s">
        <v>5154</v>
      </c>
      <c r="B144" s="134" t="s">
        <v>5172</v>
      </c>
      <c r="C144" s="134" t="s">
        <v>5171</v>
      </c>
      <c r="D144" s="134" t="s">
        <v>5170</v>
      </c>
      <c r="E144" s="139">
        <v>8.84</v>
      </c>
      <c r="F144" s="134" t="s">
        <v>5169</v>
      </c>
      <c r="G144" s="134" t="s">
        <v>3007</v>
      </c>
      <c r="H144" s="123">
        <v>285</v>
      </c>
    </row>
    <row r="145" spans="1:8" ht="31.5" x14ac:dyDescent="0.25">
      <c r="A145" s="134" t="s">
        <v>5154</v>
      </c>
      <c r="B145" s="134" t="s">
        <v>5168</v>
      </c>
      <c r="C145" s="134" t="s">
        <v>5167</v>
      </c>
      <c r="D145" s="134" t="s">
        <v>5166</v>
      </c>
      <c r="E145" s="139">
        <v>18.02</v>
      </c>
      <c r="F145" s="134" t="s">
        <v>5165</v>
      </c>
      <c r="G145" s="134" t="s">
        <v>3007</v>
      </c>
      <c r="H145" s="123">
        <v>286</v>
      </c>
    </row>
    <row r="146" spans="1:8" ht="31.5" x14ac:dyDescent="0.25">
      <c r="A146" s="134" t="s">
        <v>5154</v>
      </c>
      <c r="B146" s="134" t="s">
        <v>5164</v>
      </c>
      <c r="C146" s="134" t="s">
        <v>5163</v>
      </c>
      <c r="D146" s="134" t="s">
        <v>3062</v>
      </c>
      <c r="E146" s="139">
        <v>0.35</v>
      </c>
      <c r="F146" s="134" t="s">
        <v>3061</v>
      </c>
      <c r="G146" s="134" t="s">
        <v>3007</v>
      </c>
      <c r="H146" s="123">
        <v>287</v>
      </c>
    </row>
    <row r="147" spans="1:8" ht="31.5" x14ac:dyDescent="0.25">
      <c r="A147" s="134" t="s">
        <v>5154</v>
      </c>
      <c r="B147" s="134" t="s">
        <v>5162</v>
      </c>
      <c r="C147" s="134" t="s">
        <v>5161</v>
      </c>
      <c r="D147" s="134" t="s">
        <v>5160</v>
      </c>
      <c r="E147" s="139">
        <v>4.95</v>
      </c>
      <c r="F147" s="134" t="s">
        <v>5159</v>
      </c>
      <c r="G147" s="134" t="s">
        <v>3007</v>
      </c>
      <c r="H147" s="123">
        <v>288</v>
      </c>
    </row>
    <row r="148" spans="1:8" ht="31.5" x14ac:dyDescent="0.25">
      <c r="A148" s="134" t="s">
        <v>5154</v>
      </c>
      <c r="B148" s="134" t="s">
        <v>5158</v>
      </c>
      <c r="C148" s="134" t="s">
        <v>5157</v>
      </c>
      <c r="D148" s="134" t="s">
        <v>5156</v>
      </c>
      <c r="E148" s="139">
        <v>4.46</v>
      </c>
      <c r="F148" s="134" t="s">
        <v>5155</v>
      </c>
      <c r="G148" s="134" t="s">
        <v>3007</v>
      </c>
      <c r="H148" s="123">
        <v>289</v>
      </c>
    </row>
    <row r="149" spans="1:8" ht="31.5" x14ac:dyDescent="0.25">
      <c r="A149" s="134" t="s">
        <v>5154</v>
      </c>
      <c r="B149" s="134" t="s">
        <v>5153</v>
      </c>
      <c r="C149" s="134" t="s">
        <v>5152</v>
      </c>
      <c r="D149" s="134" t="s">
        <v>5151</v>
      </c>
      <c r="E149" s="139">
        <v>1.68</v>
      </c>
      <c r="F149" s="134" t="s">
        <v>5150</v>
      </c>
      <c r="G149" s="134" t="s">
        <v>3007</v>
      </c>
      <c r="H149" s="123">
        <v>290</v>
      </c>
    </row>
    <row r="150" spans="1:8" ht="31.5" x14ac:dyDescent="0.25">
      <c r="A150" s="134" t="s">
        <v>4994</v>
      </c>
      <c r="B150" s="134" t="s">
        <v>5149</v>
      </c>
      <c r="C150" s="134" t="s">
        <v>5148</v>
      </c>
      <c r="D150" s="134" t="s">
        <v>5147</v>
      </c>
      <c r="E150" s="139">
        <v>2.5499999999999998</v>
      </c>
      <c r="F150" s="134" t="s">
        <v>5146</v>
      </c>
      <c r="G150" s="134" t="s">
        <v>3007</v>
      </c>
      <c r="H150" s="123">
        <v>464</v>
      </c>
    </row>
    <row r="151" spans="1:8" ht="31.5" x14ac:dyDescent="0.25">
      <c r="A151" s="134" t="s">
        <v>4994</v>
      </c>
      <c r="B151" s="134" t="s">
        <v>5145</v>
      </c>
      <c r="C151" s="134" t="s">
        <v>5144</v>
      </c>
      <c r="D151" s="134" t="s">
        <v>5143</v>
      </c>
      <c r="E151" s="139">
        <v>3.84</v>
      </c>
      <c r="F151" s="134" t="s">
        <v>5142</v>
      </c>
      <c r="G151" s="134" t="s">
        <v>3007</v>
      </c>
      <c r="H151" s="123">
        <v>465</v>
      </c>
    </row>
    <row r="152" spans="1:8" ht="31.5" x14ac:dyDescent="0.25">
      <c r="A152" s="134" t="s">
        <v>4994</v>
      </c>
      <c r="B152" s="134" t="s">
        <v>5141</v>
      </c>
      <c r="C152" s="134" t="s">
        <v>5140</v>
      </c>
      <c r="D152" s="134" t="s">
        <v>5139</v>
      </c>
      <c r="E152" s="139">
        <v>9.7899999999999991</v>
      </c>
      <c r="F152" s="134" t="s">
        <v>5135</v>
      </c>
      <c r="G152" s="134" t="s">
        <v>3007</v>
      </c>
      <c r="H152" s="123">
        <v>466</v>
      </c>
    </row>
    <row r="153" spans="1:8" ht="31.5" x14ac:dyDescent="0.25">
      <c r="A153" s="134" t="s">
        <v>4994</v>
      </c>
      <c r="B153" s="134" t="s">
        <v>5138</v>
      </c>
      <c r="C153" s="134" t="s">
        <v>5137</v>
      </c>
      <c r="D153" s="134" t="s">
        <v>5136</v>
      </c>
      <c r="E153" s="139">
        <v>10.89</v>
      </c>
      <c r="F153" s="134" t="s">
        <v>5135</v>
      </c>
      <c r="G153" s="134" t="s">
        <v>3007</v>
      </c>
      <c r="H153" s="123">
        <v>467</v>
      </c>
    </row>
    <row r="154" spans="1:8" ht="31.5" x14ac:dyDescent="0.25">
      <c r="A154" s="134" t="s">
        <v>4994</v>
      </c>
      <c r="B154" s="134" t="s">
        <v>5134</v>
      </c>
      <c r="C154" s="134" t="s">
        <v>5133</v>
      </c>
      <c r="D154" s="134" t="s">
        <v>3739</v>
      </c>
      <c r="E154" s="139">
        <v>2.08</v>
      </c>
      <c r="F154" s="134" t="s">
        <v>3738</v>
      </c>
      <c r="G154" s="134" t="s">
        <v>3007</v>
      </c>
      <c r="H154" s="123">
        <v>468</v>
      </c>
    </row>
    <row r="155" spans="1:8" ht="31.5" x14ac:dyDescent="0.25">
      <c r="A155" s="134" t="s">
        <v>4994</v>
      </c>
      <c r="B155" s="134" t="s">
        <v>5132</v>
      </c>
      <c r="C155" s="134" t="s">
        <v>5131</v>
      </c>
      <c r="D155" s="134" t="s">
        <v>5130</v>
      </c>
      <c r="E155" s="139">
        <v>2.81</v>
      </c>
      <c r="F155" s="134" t="s">
        <v>5129</v>
      </c>
      <c r="G155" s="134" t="s">
        <v>3007</v>
      </c>
      <c r="H155" s="123">
        <v>469</v>
      </c>
    </row>
    <row r="156" spans="1:8" ht="31.5" x14ac:dyDescent="0.25">
      <c r="A156" s="134" t="s">
        <v>4994</v>
      </c>
      <c r="B156" s="134" t="s">
        <v>5128</v>
      </c>
      <c r="C156" s="134" t="s">
        <v>5127</v>
      </c>
      <c r="D156" s="134" t="s">
        <v>5126</v>
      </c>
      <c r="E156" s="139">
        <v>8.0500000000000007</v>
      </c>
      <c r="F156" s="134" t="s">
        <v>5125</v>
      </c>
      <c r="G156" s="134" t="s">
        <v>3007</v>
      </c>
      <c r="H156" s="123">
        <v>470</v>
      </c>
    </row>
    <row r="157" spans="1:8" ht="31.5" x14ac:dyDescent="0.25">
      <c r="A157" s="134" t="s">
        <v>4994</v>
      </c>
      <c r="B157" s="134" t="s">
        <v>5124</v>
      </c>
      <c r="C157" s="134" t="s">
        <v>5123</v>
      </c>
      <c r="D157" s="134" t="s">
        <v>5122</v>
      </c>
      <c r="E157" s="139">
        <v>2.5</v>
      </c>
      <c r="F157" s="134" t="s">
        <v>5121</v>
      </c>
      <c r="G157" s="134" t="s">
        <v>3007</v>
      </c>
      <c r="H157" s="123">
        <v>471</v>
      </c>
    </row>
    <row r="158" spans="1:8" ht="31.5" x14ac:dyDescent="0.25">
      <c r="A158" s="134" t="s">
        <v>4994</v>
      </c>
      <c r="B158" s="134" t="s">
        <v>5120</v>
      </c>
      <c r="C158" s="134" t="s">
        <v>5119</v>
      </c>
      <c r="D158" s="134" t="s">
        <v>3394</v>
      </c>
      <c r="E158" s="139">
        <v>5.42</v>
      </c>
      <c r="F158" s="134" t="s">
        <v>3393</v>
      </c>
      <c r="G158" s="134" t="s">
        <v>3007</v>
      </c>
      <c r="H158" s="123">
        <v>472</v>
      </c>
    </row>
    <row r="159" spans="1:8" ht="31.5" x14ac:dyDescent="0.25">
      <c r="A159" s="134" t="s">
        <v>4994</v>
      </c>
      <c r="B159" s="134" t="s">
        <v>5118</v>
      </c>
      <c r="C159" s="134" t="s">
        <v>5117</v>
      </c>
      <c r="D159" s="134" t="s">
        <v>5116</v>
      </c>
      <c r="E159" s="139">
        <v>9.84</v>
      </c>
      <c r="F159" s="134" t="s">
        <v>5115</v>
      </c>
      <c r="G159" s="134" t="s">
        <v>3007</v>
      </c>
      <c r="H159" s="123">
        <v>474</v>
      </c>
    </row>
    <row r="160" spans="1:8" ht="31.5" x14ac:dyDescent="0.25">
      <c r="A160" s="134" t="s">
        <v>4994</v>
      </c>
      <c r="B160" s="134" t="s">
        <v>5114</v>
      </c>
      <c r="C160" s="134" t="s">
        <v>5113</v>
      </c>
      <c r="D160" s="134" t="s">
        <v>3680</v>
      </c>
      <c r="E160" s="139">
        <v>10.01</v>
      </c>
      <c r="F160" s="134" t="s">
        <v>3679</v>
      </c>
      <c r="G160" s="134" t="s">
        <v>3007</v>
      </c>
      <c r="H160" s="123">
        <v>475</v>
      </c>
    </row>
    <row r="161" spans="1:8" ht="31.5" x14ac:dyDescent="0.25">
      <c r="A161" s="134" t="s">
        <v>4994</v>
      </c>
      <c r="B161" s="134" t="s">
        <v>5112</v>
      </c>
      <c r="C161" s="134" t="s">
        <v>5111</v>
      </c>
      <c r="D161" s="134" t="s">
        <v>5110</v>
      </c>
      <c r="E161" s="139">
        <v>5.77</v>
      </c>
      <c r="F161" s="134" t="s">
        <v>5109</v>
      </c>
      <c r="G161" s="134" t="s">
        <v>3007</v>
      </c>
      <c r="H161" s="123">
        <v>476</v>
      </c>
    </row>
    <row r="162" spans="1:8" ht="31.5" x14ac:dyDescent="0.25">
      <c r="A162" s="134" t="s">
        <v>4994</v>
      </c>
      <c r="B162" s="134" t="s">
        <v>5108</v>
      </c>
      <c r="C162" s="134" t="s">
        <v>5107</v>
      </c>
      <c r="D162" s="134" t="s">
        <v>5106</v>
      </c>
      <c r="E162" s="139">
        <v>7.27</v>
      </c>
      <c r="F162" s="134" t="s">
        <v>5105</v>
      </c>
      <c r="G162" s="134" t="s">
        <v>3007</v>
      </c>
      <c r="H162" s="123">
        <v>477</v>
      </c>
    </row>
    <row r="163" spans="1:8" ht="31.5" x14ac:dyDescent="0.25">
      <c r="A163" s="134" t="s">
        <v>4994</v>
      </c>
      <c r="B163" s="134" t="s">
        <v>5104</v>
      </c>
      <c r="C163" s="134" t="s">
        <v>5103</v>
      </c>
      <c r="D163" s="134" t="s">
        <v>5102</v>
      </c>
      <c r="E163" s="139">
        <v>3.04</v>
      </c>
      <c r="F163" s="134" t="s">
        <v>5101</v>
      </c>
      <c r="G163" s="134" t="s">
        <v>3007</v>
      </c>
      <c r="H163" s="123">
        <v>478</v>
      </c>
    </row>
    <row r="164" spans="1:8" ht="31.5" x14ac:dyDescent="0.25">
      <c r="A164" s="134" t="s">
        <v>4994</v>
      </c>
      <c r="B164" s="134" t="s">
        <v>5100</v>
      </c>
      <c r="C164" s="134" t="s">
        <v>5099</v>
      </c>
      <c r="D164" s="134" t="s">
        <v>5098</v>
      </c>
      <c r="E164" s="139">
        <v>2.23</v>
      </c>
      <c r="F164" s="134" t="s">
        <v>5094</v>
      </c>
      <c r="G164" s="134" t="s">
        <v>3007</v>
      </c>
      <c r="H164" s="123">
        <v>479</v>
      </c>
    </row>
    <row r="165" spans="1:8" ht="31.5" x14ac:dyDescent="0.25">
      <c r="A165" s="134" t="s">
        <v>4994</v>
      </c>
      <c r="B165" s="134" t="s">
        <v>5097</v>
      </c>
      <c r="C165" s="134" t="s">
        <v>5096</v>
      </c>
      <c r="D165" s="134" t="s">
        <v>5095</v>
      </c>
      <c r="E165" s="139">
        <v>6.06</v>
      </c>
      <c r="F165" s="134" t="s">
        <v>5094</v>
      </c>
      <c r="G165" s="134" t="s">
        <v>3007</v>
      </c>
      <c r="H165" s="123">
        <v>480</v>
      </c>
    </row>
    <row r="166" spans="1:8" ht="31.5" x14ac:dyDescent="0.25">
      <c r="A166" s="134" t="s">
        <v>4994</v>
      </c>
      <c r="B166" s="134" t="s">
        <v>5093</v>
      </c>
      <c r="C166" s="134" t="s">
        <v>5092</v>
      </c>
      <c r="D166" s="134" t="s">
        <v>5091</v>
      </c>
      <c r="E166" s="139">
        <v>1.39</v>
      </c>
      <c r="F166" s="134" t="s">
        <v>5090</v>
      </c>
      <c r="G166" s="134" t="s">
        <v>3007</v>
      </c>
      <c r="H166" s="123">
        <v>481</v>
      </c>
    </row>
    <row r="167" spans="1:8" ht="31.5" x14ac:dyDescent="0.25">
      <c r="A167" s="134" t="s">
        <v>4994</v>
      </c>
      <c r="B167" s="134" t="s">
        <v>5089</v>
      </c>
      <c r="C167" s="134" t="s">
        <v>5088</v>
      </c>
      <c r="D167" s="134" t="s">
        <v>5087</v>
      </c>
      <c r="E167" s="139">
        <v>1.6</v>
      </c>
      <c r="F167" s="134" t="s">
        <v>5086</v>
      </c>
      <c r="G167" s="134" t="s">
        <v>3007</v>
      </c>
      <c r="H167" s="123">
        <v>482</v>
      </c>
    </row>
    <row r="168" spans="1:8" ht="31.5" x14ac:dyDescent="0.25">
      <c r="A168" s="134" t="s">
        <v>4994</v>
      </c>
      <c r="B168" s="134" t="s">
        <v>5085</v>
      </c>
      <c r="C168" s="134" t="s">
        <v>5084</v>
      </c>
      <c r="D168" s="134" t="s">
        <v>5083</v>
      </c>
      <c r="E168" s="139">
        <v>18.8</v>
      </c>
      <c r="F168" s="134" t="s">
        <v>5079</v>
      </c>
      <c r="G168" s="134" t="s">
        <v>3007</v>
      </c>
      <c r="H168" s="123">
        <v>483</v>
      </c>
    </row>
    <row r="169" spans="1:8" ht="31.5" x14ac:dyDescent="0.25">
      <c r="A169" s="134" t="s">
        <v>4994</v>
      </c>
      <c r="B169" s="134" t="s">
        <v>5082</v>
      </c>
      <c r="C169" s="134" t="s">
        <v>5081</v>
      </c>
      <c r="D169" s="134" t="s">
        <v>5080</v>
      </c>
      <c r="E169" s="139">
        <v>19.86</v>
      </c>
      <c r="F169" s="134" t="s">
        <v>5079</v>
      </c>
      <c r="G169" s="134" t="s">
        <v>3007</v>
      </c>
      <c r="H169" s="123">
        <v>484</v>
      </c>
    </row>
    <row r="170" spans="1:8" ht="31.5" x14ac:dyDescent="0.25">
      <c r="A170" s="134" t="s">
        <v>4994</v>
      </c>
      <c r="B170" s="134" t="s">
        <v>5078</v>
      </c>
      <c r="C170" s="134" t="s">
        <v>5077</v>
      </c>
      <c r="D170" s="134" t="s">
        <v>5076</v>
      </c>
      <c r="E170" s="139">
        <v>3.43</v>
      </c>
      <c r="F170" s="134" t="s">
        <v>5075</v>
      </c>
      <c r="G170" s="134" t="s">
        <v>3007</v>
      </c>
      <c r="H170" s="123">
        <v>486</v>
      </c>
    </row>
    <row r="171" spans="1:8" ht="31.5" x14ac:dyDescent="0.25">
      <c r="A171" s="134" t="s">
        <v>4994</v>
      </c>
      <c r="B171" s="134" t="s">
        <v>5074</v>
      </c>
      <c r="C171" s="134" t="s">
        <v>5073</v>
      </c>
      <c r="D171" s="134" t="s">
        <v>5072</v>
      </c>
      <c r="E171" s="139">
        <v>7.55</v>
      </c>
      <c r="F171" s="134" t="s">
        <v>5071</v>
      </c>
      <c r="G171" s="134" t="s">
        <v>3007</v>
      </c>
      <c r="H171" s="123">
        <v>487</v>
      </c>
    </row>
    <row r="172" spans="1:8" ht="31.5" x14ac:dyDescent="0.25">
      <c r="A172" s="134" t="s">
        <v>4994</v>
      </c>
      <c r="B172" s="134" t="s">
        <v>5070</v>
      </c>
      <c r="C172" s="134" t="s">
        <v>5069</v>
      </c>
      <c r="D172" s="134" t="s">
        <v>3851</v>
      </c>
      <c r="E172" s="139">
        <v>11.19</v>
      </c>
      <c r="F172" s="134" t="s">
        <v>3847</v>
      </c>
      <c r="G172" s="134" t="s">
        <v>3007</v>
      </c>
      <c r="H172" s="123">
        <v>488</v>
      </c>
    </row>
    <row r="173" spans="1:8" ht="31.5" x14ac:dyDescent="0.25">
      <c r="A173" s="134" t="s">
        <v>4994</v>
      </c>
      <c r="B173" s="134" t="s">
        <v>5068</v>
      </c>
      <c r="C173" s="134" t="s">
        <v>5067</v>
      </c>
      <c r="D173" s="134" t="s">
        <v>3848</v>
      </c>
      <c r="E173" s="139">
        <v>2.5</v>
      </c>
      <c r="F173" s="134" t="s">
        <v>3847</v>
      </c>
      <c r="G173" s="134" t="s">
        <v>3007</v>
      </c>
      <c r="H173" s="123">
        <v>489</v>
      </c>
    </row>
    <row r="174" spans="1:8" ht="31.5" x14ac:dyDescent="0.25">
      <c r="A174" s="134" t="s">
        <v>4994</v>
      </c>
      <c r="B174" s="134" t="s">
        <v>5066</v>
      </c>
      <c r="C174" s="134" t="s">
        <v>5065</v>
      </c>
      <c r="D174" s="134" t="s">
        <v>5064</v>
      </c>
      <c r="E174" s="139">
        <v>4.1900000000000004</v>
      </c>
      <c r="F174" s="134" t="s">
        <v>5063</v>
      </c>
      <c r="G174" s="134" t="s">
        <v>3007</v>
      </c>
      <c r="H174" s="123">
        <v>490</v>
      </c>
    </row>
    <row r="175" spans="1:8" ht="31.5" x14ac:dyDescent="0.25">
      <c r="A175" s="134" t="s">
        <v>4994</v>
      </c>
      <c r="B175" s="134" t="s">
        <v>5062</v>
      </c>
      <c r="C175" s="134" t="s">
        <v>5061</v>
      </c>
      <c r="D175" s="134" t="s">
        <v>5060</v>
      </c>
      <c r="E175" s="139">
        <v>12.4</v>
      </c>
      <c r="F175" s="134" t="s">
        <v>5059</v>
      </c>
      <c r="G175" s="134" t="s">
        <v>3007</v>
      </c>
      <c r="H175" s="123">
        <v>491</v>
      </c>
    </row>
    <row r="176" spans="1:8" ht="31.5" x14ac:dyDescent="0.25">
      <c r="A176" s="134" t="s">
        <v>4994</v>
      </c>
      <c r="B176" s="134" t="s">
        <v>5058</v>
      </c>
      <c r="C176" s="134" t="s">
        <v>5057</v>
      </c>
      <c r="D176" s="134" t="s">
        <v>5056</v>
      </c>
      <c r="E176" s="139">
        <v>0.88</v>
      </c>
      <c r="F176" s="134" t="s">
        <v>5055</v>
      </c>
      <c r="G176" s="134" t="s">
        <v>3007</v>
      </c>
      <c r="H176" s="123">
        <v>492</v>
      </c>
    </row>
    <row r="177" spans="1:8" ht="31.5" x14ac:dyDescent="0.25">
      <c r="A177" s="134" t="s">
        <v>4994</v>
      </c>
      <c r="B177" s="134" t="s">
        <v>5054</v>
      </c>
      <c r="C177" s="134" t="s">
        <v>5053</v>
      </c>
      <c r="D177" s="134" t="s">
        <v>5052</v>
      </c>
      <c r="E177" s="139">
        <v>1.68</v>
      </c>
      <c r="F177" s="134" t="s">
        <v>5051</v>
      </c>
      <c r="G177" s="134" t="s">
        <v>3007</v>
      </c>
      <c r="H177" s="123">
        <v>493</v>
      </c>
    </row>
    <row r="178" spans="1:8" ht="31.5" x14ac:dyDescent="0.25">
      <c r="A178" s="134" t="s">
        <v>4994</v>
      </c>
      <c r="B178" s="134" t="s">
        <v>5050</v>
      </c>
      <c r="C178" s="134" t="s">
        <v>5049</v>
      </c>
      <c r="D178" s="134" t="s">
        <v>5048</v>
      </c>
      <c r="E178" s="139">
        <v>7.71</v>
      </c>
      <c r="F178" s="134" t="s">
        <v>5047</v>
      </c>
      <c r="G178" s="134" t="s">
        <v>3007</v>
      </c>
      <c r="H178" s="123">
        <v>494</v>
      </c>
    </row>
    <row r="179" spans="1:8" ht="31.5" x14ac:dyDescent="0.25">
      <c r="A179" s="134" t="s">
        <v>4994</v>
      </c>
      <c r="B179" s="134" t="s">
        <v>5046</v>
      </c>
      <c r="C179" s="134" t="s">
        <v>5045</v>
      </c>
      <c r="D179" s="134" t="s">
        <v>5044</v>
      </c>
      <c r="E179" s="139">
        <v>8.42</v>
      </c>
      <c r="F179" s="134" t="s">
        <v>5043</v>
      </c>
      <c r="G179" s="134" t="s">
        <v>3007</v>
      </c>
      <c r="H179" s="123">
        <v>495</v>
      </c>
    </row>
    <row r="180" spans="1:8" ht="31.5" x14ac:dyDescent="0.25">
      <c r="A180" s="134" t="s">
        <v>4994</v>
      </c>
      <c r="B180" s="134" t="s">
        <v>5042</v>
      </c>
      <c r="C180" s="134" t="s">
        <v>5041</v>
      </c>
      <c r="D180" s="134" t="s">
        <v>5040</v>
      </c>
      <c r="E180" s="139">
        <v>5.22</v>
      </c>
      <c r="F180" s="134" t="s">
        <v>5039</v>
      </c>
      <c r="G180" s="134" t="s">
        <v>3007</v>
      </c>
      <c r="H180" s="123">
        <v>496</v>
      </c>
    </row>
    <row r="181" spans="1:8" ht="31.5" x14ac:dyDescent="0.25">
      <c r="A181" s="134" t="s">
        <v>4994</v>
      </c>
      <c r="B181" s="134" t="s">
        <v>5038</v>
      </c>
      <c r="C181" s="134" t="s">
        <v>5037</v>
      </c>
      <c r="D181" s="134" t="s">
        <v>5036</v>
      </c>
      <c r="E181" s="139">
        <v>8.48</v>
      </c>
      <c r="F181" s="134" t="s">
        <v>5035</v>
      </c>
      <c r="G181" s="134" t="s">
        <v>3007</v>
      </c>
      <c r="H181" s="123">
        <v>497</v>
      </c>
    </row>
    <row r="182" spans="1:8" ht="31.5" x14ac:dyDescent="0.25">
      <c r="A182" s="134" t="s">
        <v>4994</v>
      </c>
      <c r="B182" s="134" t="s">
        <v>5034</v>
      </c>
      <c r="C182" s="134" t="s">
        <v>5033</v>
      </c>
      <c r="D182" s="134" t="s">
        <v>5032</v>
      </c>
      <c r="E182" s="139">
        <v>1.68</v>
      </c>
      <c r="F182" s="134" t="s">
        <v>5031</v>
      </c>
      <c r="G182" s="134" t="s">
        <v>3007</v>
      </c>
      <c r="H182" s="123">
        <v>498</v>
      </c>
    </row>
    <row r="183" spans="1:8" ht="31.5" x14ac:dyDescent="0.25">
      <c r="A183" s="134" t="s">
        <v>4994</v>
      </c>
      <c r="B183" s="134" t="s">
        <v>5030</v>
      </c>
      <c r="C183" s="134" t="s">
        <v>5029</v>
      </c>
      <c r="D183" s="134" t="s">
        <v>5028</v>
      </c>
      <c r="E183" s="139">
        <v>3.17</v>
      </c>
      <c r="F183" s="134" t="s">
        <v>5027</v>
      </c>
      <c r="G183" s="134" t="s">
        <v>3007</v>
      </c>
      <c r="H183" s="123">
        <v>499</v>
      </c>
    </row>
    <row r="184" spans="1:8" ht="31.5" x14ac:dyDescent="0.25">
      <c r="A184" s="134" t="s">
        <v>4994</v>
      </c>
      <c r="B184" s="134" t="s">
        <v>5026</v>
      </c>
      <c r="C184" s="134" t="s">
        <v>5025</v>
      </c>
      <c r="D184" s="134" t="s">
        <v>5024</v>
      </c>
      <c r="E184" s="139">
        <v>8.3800000000000008</v>
      </c>
      <c r="F184" s="134" t="s">
        <v>5023</v>
      </c>
      <c r="G184" s="134" t="s">
        <v>3007</v>
      </c>
      <c r="H184" s="123">
        <v>500</v>
      </c>
    </row>
    <row r="185" spans="1:8" ht="31.5" x14ac:dyDescent="0.25">
      <c r="A185" s="134" t="s">
        <v>4994</v>
      </c>
      <c r="B185" s="134" t="s">
        <v>5022</v>
      </c>
      <c r="C185" s="134" t="s">
        <v>5021</v>
      </c>
      <c r="D185" s="134" t="s">
        <v>5020</v>
      </c>
      <c r="E185" s="139">
        <v>5.45</v>
      </c>
      <c r="F185" s="134" t="s">
        <v>5019</v>
      </c>
      <c r="G185" s="134" t="s">
        <v>3007</v>
      </c>
      <c r="H185" s="123">
        <v>501</v>
      </c>
    </row>
    <row r="186" spans="1:8" ht="31.5" x14ac:dyDescent="0.25">
      <c r="A186" s="134" t="s">
        <v>4994</v>
      </c>
      <c r="B186" s="134" t="s">
        <v>5018</v>
      </c>
      <c r="C186" s="134" t="s">
        <v>5017</v>
      </c>
      <c r="D186" s="134" t="s">
        <v>5016</v>
      </c>
      <c r="E186" s="139">
        <v>3.57</v>
      </c>
      <c r="F186" s="134" t="s">
        <v>5015</v>
      </c>
      <c r="G186" s="134" t="s">
        <v>3007</v>
      </c>
      <c r="H186" s="123">
        <v>502</v>
      </c>
    </row>
    <row r="187" spans="1:8" ht="31.5" x14ac:dyDescent="0.25">
      <c r="A187" s="134" t="s">
        <v>4994</v>
      </c>
      <c r="B187" s="134" t="s">
        <v>5014</v>
      </c>
      <c r="C187" s="134" t="s">
        <v>5013</v>
      </c>
      <c r="D187" s="134" t="s">
        <v>3700</v>
      </c>
      <c r="E187" s="139">
        <v>28.83</v>
      </c>
      <c r="F187" s="134" t="s">
        <v>3699</v>
      </c>
      <c r="G187" s="134" t="s">
        <v>3007</v>
      </c>
      <c r="H187" s="123">
        <v>503</v>
      </c>
    </row>
    <row r="188" spans="1:8" ht="31.5" x14ac:dyDescent="0.25">
      <c r="A188" s="134" t="s">
        <v>4994</v>
      </c>
      <c r="B188" s="134" t="s">
        <v>5012</v>
      </c>
      <c r="C188" s="134" t="s">
        <v>5011</v>
      </c>
      <c r="D188" s="134" t="s">
        <v>3563</v>
      </c>
      <c r="E188" s="139">
        <v>6.94</v>
      </c>
      <c r="F188" s="134" t="s">
        <v>3562</v>
      </c>
      <c r="G188" s="134" t="s">
        <v>3007</v>
      </c>
      <c r="H188" s="123">
        <v>504</v>
      </c>
    </row>
    <row r="189" spans="1:8" ht="31.5" x14ac:dyDescent="0.25">
      <c r="A189" s="134" t="s">
        <v>4994</v>
      </c>
      <c r="B189" s="134" t="s">
        <v>5010</v>
      </c>
      <c r="C189" s="134" t="s">
        <v>5009</v>
      </c>
      <c r="D189" s="134" t="s">
        <v>5008</v>
      </c>
      <c r="E189" s="139">
        <v>1.9</v>
      </c>
      <c r="F189" s="134" t="s">
        <v>5007</v>
      </c>
      <c r="G189" s="134" t="s">
        <v>3007</v>
      </c>
      <c r="H189" s="123">
        <v>507</v>
      </c>
    </row>
    <row r="190" spans="1:8" ht="31.5" x14ac:dyDescent="0.25">
      <c r="A190" s="134" t="s">
        <v>4994</v>
      </c>
      <c r="B190" s="134" t="s">
        <v>5006</v>
      </c>
      <c r="C190" s="134" t="s">
        <v>5005</v>
      </c>
      <c r="D190" s="134" t="s">
        <v>3251</v>
      </c>
      <c r="E190" s="139">
        <v>12.47</v>
      </c>
      <c r="F190" s="134" t="s">
        <v>3250</v>
      </c>
      <c r="G190" s="134" t="s">
        <v>3007</v>
      </c>
      <c r="H190" s="123">
        <v>511</v>
      </c>
    </row>
    <row r="191" spans="1:8" ht="31.5" x14ac:dyDescent="0.25">
      <c r="A191" s="134" t="s">
        <v>4994</v>
      </c>
      <c r="B191" s="134" t="s">
        <v>5004</v>
      </c>
      <c r="C191" s="134" t="s">
        <v>5003</v>
      </c>
      <c r="D191" s="134" t="s">
        <v>5002</v>
      </c>
      <c r="E191" s="139">
        <v>5.33</v>
      </c>
      <c r="F191" s="134" t="s">
        <v>5001</v>
      </c>
      <c r="G191" s="134" t="s">
        <v>3007</v>
      </c>
      <c r="H191" s="123">
        <v>512</v>
      </c>
    </row>
    <row r="192" spans="1:8" ht="31.5" x14ac:dyDescent="0.25">
      <c r="A192" s="134" t="s">
        <v>4994</v>
      </c>
      <c r="B192" s="134" t="s">
        <v>5000</v>
      </c>
      <c r="C192" s="134" t="s">
        <v>4999</v>
      </c>
      <c r="D192" s="134" t="s">
        <v>4998</v>
      </c>
      <c r="E192" s="139">
        <v>0.37</v>
      </c>
      <c r="F192" s="134" t="s">
        <v>4990</v>
      </c>
      <c r="G192" s="134" t="s">
        <v>3007</v>
      </c>
      <c r="H192" s="123">
        <v>514</v>
      </c>
    </row>
    <row r="193" spans="1:8" ht="31.5" x14ac:dyDescent="0.25">
      <c r="A193" s="134" t="s">
        <v>4994</v>
      </c>
      <c r="B193" s="134" t="s">
        <v>4997</v>
      </c>
      <c r="C193" s="134" t="s">
        <v>4996</v>
      </c>
      <c r="D193" s="134" t="s">
        <v>4995</v>
      </c>
      <c r="E193" s="139">
        <v>16.239999999999998</v>
      </c>
      <c r="F193" s="134" t="s">
        <v>4990</v>
      </c>
      <c r="G193" s="134" t="s">
        <v>3007</v>
      </c>
      <c r="H193" s="123">
        <v>515</v>
      </c>
    </row>
    <row r="194" spans="1:8" ht="31.5" x14ac:dyDescent="0.25">
      <c r="A194" s="134" t="s">
        <v>4994</v>
      </c>
      <c r="B194" s="134" t="s">
        <v>4993</v>
      </c>
      <c r="C194" s="134" t="s">
        <v>4992</v>
      </c>
      <c r="D194" s="134" t="s">
        <v>4991</v>
      </c>
      <c r="E194" s="139">
        <v>20.54</v>
      </c>
      <c r="F194" s="134" t="s">
        <v>4990</v>
      </c>
      <c r="G194" s="134" t="s">
        <v>3007</v>
      </c>
      <c r="H194" s="123">
        <v>516</v>
      </c>
    </row>
    <row r="195" spans="1:8" ht="31.5" x14ac:dyDescent="0.25">
      <c r="A195" s="134" t="s">
        <v>4858</v>
      </c>
      <c r="B195" s="134" t="s">
        <v>4989</v>
      </c>
      <c r="C195" s="134" t="s">
        <v>4988</v>
      </c>
      <c r="D195" s="134" t="s">
        <v>4987</v>
      </c>
      <c r="E195" s="139">
        <v>4.8099999999999996</v>
      </c>
      <c r="F195" s="134" t="s">
        <v>4986</v>
      </c>
      <c r="G195" s="134" t="s">
        <v>3007</v>
      </c>
      <c r="H195" s="123">
        <v>587</v>
      </c>
    </row>
    <row r="196" spans="1:8" ht="31.5" x14ac:dyDescent="0.25">
      <c r="A196" s="134" t="s">
        <v>4858</v>
      </c>
      <c r="B196" s="134" t="s">
        <v>4985</v>
      </c>
      <c r="C196" s="134" t="s">
        <v>4984</v>
      </c>
      <c r="D196" s="134" t="s">
        <v>4983</v>
      </c>
      <c r="E196" s="139">
        <v>2.4500000000000002</v>
      </c>
      <c r="F196" s="134" t="s">
        <v>4982</v>
      </c>
      <c r="G196" s="134" t="s">
        <v>3007</v>
      </c>
      <c r="H196" s="123">
        <v>588</v>
      </c>
    </row>
    <row r="197" spans="1:8" ht="31.5" x14ac:dyDescent="0.25">
      <c r="A197" s="134" t="s">
        <v>4858</v>
      </c>
      <c r="B197" s="134" t="s">
        <v>4981</v>
      </c>
      <c r="C197" s="134" t="s">
        <v>4980</v>
      </c>
      <c r="D197" s="134" t="s">
        <v>4979</v>
      </c>
      <c r="E197" s="139">
        <v>9.4</v>
      </c>
      <c r="F197" s="134" t="s">
        <v>4978</v>
      </c>
      <c r="G197" s="134" t="s">
        <v>3007</v>
      </c>
      <c r="H197" s="123">
        <v>589</v>
      </c>
    </row>
    <row r="198" spans="1:8" ht="31.5" x14ac:dyDescent="0.25">
      <c r="A198" s="134" t="s">
        <v>4858</v>
      </c>
      <c r="B198" s="134" t="s">
        <v>4977</v>
      </c>
      <c r="C198" s="134" t="s">
        <v>4976</v>
      </c>
      <c r="D198" s="134" t="s">
        <v>4975</v>
      </c>
      <c r="E198" s="139">
        <v>10.119999999999999</v>
      </c>
      <c r="F198" s="134" t="s">
        <v>4974</v>
      </c>
      <c r="G198" s="134" t="s">
        <v>3007</v>
      </c>
      <c r="H198" s="123">
        <v>590</v>
      </c>
    </row>
    <row r="199" spans="1:8" ht="31.5" x14ac:dyDescent="0.25">
      <c r="A199" s="134" t="s">
        <v>4858</v>
      </c>
      <c r="B199" s="134" t="s">
        <v>4973</v>
      </c>
      <c r="C199" s="134" t="s">
        <v>4972</v>
      </c>
      <c r="D199" s="134" t="s">
        <v>4971</v>
      </c>
      <c r="E199" s="139">
        <v>5.24</v>
      </c>
      <c r="F199" s="134" t="s">
        <v>4970</v>
      </c>
      <c r="G199" s="134" t="s">
        <v>3007</v>
      </c>
      <c r="H199" s="123">
        <v>591</v>
      </c>
    </row>
    <row r="200" spans="1:8" ht="31.5" x14ac:dyDescent="0.25">
      <c r="A200" s="134" t="s">
        <v>4858</v>
      </c>
      <c r="B200" s="134" t="s">
        <v>4969</v>
      </c>
      <c r="C200" s="134" t="s">
        <v>4968</v>
      </c>
      <c r="D200" s="134" t="s">
        <v>3170</v>
      </c>
      <c r="E200" s="139">
        <v>5.91</v>
      </c>
      <c r="F200" s="134" t="s">
        <v>3169</v>
      </c>
      <c r="G200" s="134" t="s">
        <v>3007</v>
      </c>
      <c r="H200" s="123">
        <v>592</v>
      </c>
    </row>
    <row r="201" spans="1:8" ht="31.5" x14ac:dyDescent="0.25">
      <c r="A201" s="134" t="s">
        <v>4858</v>
      </c>
      <c r="B201" s="134" t="s">
        <v>4967</v>
      </c>
      <c r="C201" s="134" t="s">
        <v>4966</v>
      </c>
      <c r="D201" s="134" t="s">
        <v>4965</v>
      </c>
      <c r="E201" s="139">
        <v>1.4</v>
      </c>
      <c r="F201" s="134" t="s">
        <v>4964</v>
      </c>
      <c r="G201" s="134" t="s">
        <v>3007</v>
      </c>
      <c r="H201" s="123">
        <v>593</v>
      </c>
    </row>
    <row r="202" spans="1:8" ht="31.5" x14ac:dyDescent="0.25">
      <c r="A202" s="134" t="s">
        <v>4858</v>
      </c>
      <c r="B202" s="134" t="s">
        <v>4963</v>
      </c>
      <c r="C202" s="134" t="s">
        <v>4962</v>
      </c>
      <c r="D202" s="134" t="s">
        <v>4961</v>
      </c>
      <c r="E202" s="139">
        <v>3.91</v>
      </c>
      <c r="F202" s="134" t="s">
        <v>4960</v>
      </c>
      <c r="G202" s="134" t="s">
        <v>3007</v>
      </c>
      <c r="H202" s="123">
        <v>594</v>
      </c>
    </row>
    <row r="203" spans="1:8" ht="31.5" x14ac:dyDescent="0.25">
      <c r="A203" s="134" t="s">
        <v>4858</v>
      </c>
      <c r="B203" s="134" t="s">
        <v>4959</v>
      </c>
      <c r="C203" s="134" t="s">
        <v>4958</v>
      </c>
      <c r="D203" s="134" t="s">
        <v>4957</v>
      </c>
      <c r="E203" s="139">
        <v>2.78</v>
      </c>
      <c r="F203" s="134" t="s">
        <v>4956</v>
      </c>
      <c r="G203" s="134" t="s">
        <v>3007</v>
      </c>
      <c r="H203" s="123">
        <v>595</v>
      </c>
    </row>
    <row r="204" spans="1:8" ht="31.5" x14ac:dyDescent="0.25">
      <c r="A204" s="134" t="s">
        <v>4858</v>
      </c>
      <c r="B204" s="134" t="s">
        <v>4955</v>
      </c>
      <c r="C204" s="134" t="s">
        <v>4954</v>
      </c>
      <c r="D204" s="134" t="s">
        <v>4953</v>
      </c>
      <c r="E204" s="139">
        <v>5.99</v>
      </c>
      <c r="F204" s="134" t="s">
        <v>4952</v>
      </c>
      <c r="G204" s="134" t="s">
        <v>3007</v>
      </c>
      <c r="H204" s="123">
        <v>596</v>
      </c>
    </row>
    <row r="205" spans="1:8" ht="31.5" x14ac:dyDescent="0.25">
      <c r="A205" s="134" t="s">
        <v>4858</v>
      </c>
      <c r="B205" s="134" t="s">
        <v>4951</v>
      </c>
      <c r="C205" s="134" t="s">
        <v>4950</v>
      </c>
      <c r="D205" s="134" t="s">
        <v>4949</v>
      </c>
      <c r="E205" s="139">
        <v>1.83</v>
      </c>
      <c r="F205" s="134" t="s">
        <v>4948</v>
      </c>
      <c r="G205" s="134" t="s">
        <v>3007</v>
      </c>
      <c r="H205" s="123">
        <v>597</v>
      </c>
    </row>
    <row r="206" spans="1:8" ht="31.5" x14ac:dyDescent="0.25">
      <c r="A206" s="134" t="s">
        <v>4858</v>
      </c>
      <c r="B206" s="134" t="s">
        <v>4947</v>
      </c>
      <c r="C206" s="134" t="s">
        <v>4946</v>
      </c>
      <c r="D206" s="134" t="s">
        <v>4945</v>
      </c>
      <c r="E206" s="139">
        <v>1.31</v>
      </c>
      <c r="F206" s="134" t="s">
        <v>4944</v>
      </c>
      <c r="G206" s="134" t="s">
        <v>3007</v>
      </c>
      <c r="H206" s="123">
        <v>598</v>
      </c>
    </row>
    <row r="207" spans="1:8" ht="31.5" x14ac:dyDescent="0.25">
      <c r="A207" s="134" t="s">
        <v>4858</v>
      </c>
      <c r="B207" s="134" t="s">
        <v>4943</v>
      </c>
      <c r="C207" s="134" t="s">
        <v>4942</v>
      </c>
      <c r="D207" s="134" t="s">
        <v>4941</v>
      </c>
      <c r="E207" s="139">
        <v>4.29</v>
      </c>
      <c r="F207" s="134" t="s">
        <v>4940</v>
      </c>
      <c r="G207" s="134" t="s">
        <v>3007</v>
      </c>
      <c r="H207" s="123">
        <v>599</v>
      </c>
    </row>
    <row r="208" spans="1:8" ht="31.5" x14ac:dyDescent="0.25">
      <c r="A208" s="134" t="s">
        <v>4858</v>
      </c>
      <c r="B208" s="134" t="s">
        <v>4939</v>
      </c>
      <c r="C208" s="134" t="s">
        <v>4938</v>
      </c>
      <c r="D208" s="134" t="s">
        <v>4937</v>
      </c>
      <c r="E208" s="139">
        <v>3.71</v>
      </c>
      <c r="F208" s="134" t="s">
        <v>4936</v>
      </c>
      <c r="G208" s="134" t="s">
        <v>3007</v>
      </c>
      <c r="H208" s="123">
        <v>600</v>
      </c>
    </row>
    <row r="209" spans="1:8" ht="31.5" x14ac:dyDescent="0.25">
      <c r="A209" s="134" t="s">
        <v>4858</v>
      </c>
      <c r="B209" s="134" t="s">
        <v>4935</v>
      </c>
      <c r="C209" s="134" t="s">
        <v>4934</v>
      </c>
      <c r="D209" s="134" t="s">
        <v>4933</v>
      </c>
      <c r="E209" s="139">
        <v>0.48</v>
      </c>
      <c r="F209" s="134" t="s">
        <v>4932</v>
      </c>
      <c r="G209" s="134" t="s">
        <v>3007</v>
      </c>
      <c r="H209" s="123">
        <v>601</v>
      </c>
    </row>
    <row r="210" spans="1:8" ht="31.5" x14ac:dyDescent="0.25">
      <c r="A210" s="134" t="s">
        <v>4858</v>
      </c>
      <c r="B210" s="134" t="s">
        <v>4931</v>
      </c>
      <c r="C210" s="134" t="s">
        <v>4930</v>
      </c>
      <c r="D210" s="134" t="s">
        <v>4929</v>
      </c>
      <c r="E210" s="139">
        <v>16.760000000000002</v>
      </c>
      <c r="F210" s="134" t="s">
        <v>4928</v>
      </c>
      <c r="G210" s="134" t="s">
        <v>3007</v>
      </c>
      <c r="H210" s="123">
        <v>602</v>
      </c>
    </row>
    <row r="211" spans="1:8" ht="31.5" x14ac:dyDescent="0.25">
      <c r="A211" s="134" t="s">
        <v>4858</v>
      </c>
      <c r="B211" s="134" t="s">
        <v>4927</v>
      </c>
      <c r="C211" s="134" t="s">
        <v>4926</v>
      </c>
      <c r="D211" s="134" t="s">
        <v>4925</v>
      </c>
      <c r="E211" s="139">
        <v>6.78</v>
      </c>
      <c r="F211" s="134" t="s">
        <v>4924</v>
      </c>
      <c r="G211" s="134" t="s">
        <v>3007</v>
      </c>
      <c r="H211" s="123">
        <v>603</v>
      </c>
    </row>
    <row r="212" spans="1:8" ht="31.5" x14ac:dyDescent="0.25">
      <c r="A212" s="134" t="s">
        <v>4858</v>
      </c>
      <c r="B212" s="134" t="s">
        <v>4923</v>
      </c>
      <c r="C212" s="134" t="s">
        <v>4922</v>
      </c>
      <c r="D212" s="134" t="s">
        <v>4921</v>
      </c>
      <c r="E212" s="139">
        <v>15.57</v>
      </c>
      <c r="F212" s="134" t="s">
        <v>4920</v>
      </c>
      <c r="G212" s="134" t="s">
        <v>3007</v>
      </c>
      <c r="H212" s="123">
        <v>604</v>
      </c>
    </row>
    <row r="213" spans="1:8" ht="31.5" x14ac:dyDescent="0.25">
      <c r="A213" s="134" t="s">
        <v>4858</v>
      </c>
      <c r="B213" s="134" t="s">
        <v>4919</v>
      </c>
      <c r="C213" s="134" t="s">
        <v>4918</v>
      </c>
      <c r="D213" s="134" t="s">
        <v>4917</v>
      </c>
      <c r="E213" s="139">
        <v>3.58</v>
      </c>
      <c r="F213" s="134" t="s">
        <v>4916</v>
      </c>
      <c r="G213" s="134" t="s">
        <v>3007</v>
      </c>
      <c r="H213" s="123">
        <v>605</v>
      </c>
    </row>
    <row r="214" spans="1:8" ht="31.5" x14ac:dyDescent="0.25">
      <c r="A214" s="134" t="s">
        <v>4858</v>
      </c>
      <c r="B214" s="134" t="s">
        <v>4915</v>
      </c>
      <c r="C214" s="134" t="s">
        <v>4914</v>
      </c>
      <c r="D214" s="134" t="s">
        <v>4913</v>
      </c>
      <c r="E214" s="139">
        <v>0.28999999999999998</v>
      </c>
      <c r="F214" s="134" t="s">
        <v>4912</v>
      </c>
      <c r="G214" s="134" t="s">
        <v>3007</v>
      </c>
      <c r="H214" s="123">
        <v>606</v>
      </c>
    </row>
    <row r="215" spans="1:8" ht="31.5" x14ac:dyDescent="0.25">
      <c r="A215" s="134" t="s">
        <v>4858</v>
      </c>
      <c r="B215" s="134" t="s">
        <v>4911</v>
      </c>
      <c r="C215" s="134" t="s">
        <v>4910</v>
      </c>
      <c r="D215" s="134" t="s">
        <v>4404</v>
      </c>
      <c r="E215" s="139">
        <v>6.66</v>
      </c>
      <c r="F215" s="134" t="s">
        <v>4403</v>
      </c>
      <c r="G215" s="134" t="s">
        <v>3007</v>
      </c>
      <c r="H215" s="123">
        <v>607</v>
      </c>
    </row>
    <row r="216" spans="1:8" ht="31.5" x14ac:dyDescent="0.25">
      <c r="A216" s="134" t="s">
        <v>4858</v>
      </c>
      <c r="B216" s="134" t="s">
        <v>4909</v>
      </c>
      <c r="C216" s="134" t="s">
        <v>4908</v>
      </c>
      <c r="D216" s="134" t="s">
        <v>4907</v>
      </c>
      <c r="E216" s="139">
        <v>13.88</v>
      </c>
      <c r="F216" s="134" t="s">
        <v>4906</v>
      </c>
      <c r="G216" s="134" t="s">
        <v>3007</v>
      </c>
      <c r="H216" s="123">
        <v>608</v>
      </c>
    </row>
    <row r="217" spans="1:8" ht="31.5" x14ac:dyDescent="0.25">
      <c r="A217" s="134" t="s">
        <v>4858</v>
      </c>
      <c r="B217" s="134" t="s">
        <v>4905</v>
      </c>
      <c r="C217" s="134" t="s">
        <v>4904</v>
      </c>
      <c r="D217" s="134" t="s">
        <v>3575</v>
      </c>
      <c r="E217" s="139">
        <v>8.51</v>
      </c>
      <c r="F217" s="134" t="s">
        <v>3574</v>
      </c>
      <c r="G217" s="134" t="s">
        <v>3007</v>
      </c>
      <c r="H217" s="123">
        <v>609</v>
      </c>
    </row>
    <row r="218" spans="1:8" ht="31.5" x14ac:dyDescent="0.25">
      <c r="A218" s="134" t="s">
        <v>4858</v>
      </c>
      <c r="B218" s="134" t="s">
        <v>4903</v>
      </c>
      <c r="C218" s="134" t="s">
        <v>4902</v>
      </c>
      <c r="D218" s="134" t="s">
        <v>4901</v>
      </c>
      <c r="E218" s="139">
        <v>1.88</v>
      </c>
      <c r="F218" s="134" t="s">
        <v>4900</v>
      </c>
      <c r="G218" s="134" t="s">
        <v>3007</v>
      </c>
      <c r="H218" s="123">
        <v>610</v>
      </c>
    </row>
    <row r="219" spans="1:8" ht="31.5" x14ac:dyDescent="0.25">
      <c r="A219" s="134" t="s">
        <v>4858</v>
      </c>
      <c r="B219" s="134" t="s">
        <v>4899</v>
      </c>
      <c r="C219" s="134" t="s">
        <v>4898</v>
      </c>
      <c r="D219" s="134" t="s">
        <v>4897</v>
      </c>
      <c r="E219" s="139">
        <v>7.01</v>
      </c>
      <c r="F219" s="134" t="s">
        <v>4896</v>
      </c>
      <c r="G219" s="134" t="s">
        <v>3007</v>
      </c>
      <c r="H219" s="123">
        <v>611</v>
      </c>
    </row>
    <row r="220" spans="1:8" ht="31.5" x14ac:dyDescent="0.25">
      <c r="A220" s="134" t="s">
        <v>4858</v>
      </c>
      <c r="B220" s="134" t="s">
        <v>4895</v>
      </c>
      <c r="C220" s="134" t="s">
        <v>4894</v>
      </c>
      <c r="D220" s="134" t="s">
        <v>4893</v>
      </c>
      <c r="E220" s="139">
        <v>9.99</v>
      </c>
      <c r="F220" s="134" t="s">
        <v>4892</v>
      </c>
      <c r="G220" s="134" t="s">
        <v>3007</v>
      </c>
      <c r="H220" s="123">
        <v>612</v>
      </c>
    </row>
    <row r="221" spans="1:8" ht="31.5" x14ac:dyDescent="0.25">
      <c r="A221" s="134" t="s">
        <v>4858</v>
      </c>
      <c r="B221" s="134" t="s">
        <v>4891</v>
      </c>
      <c r="C221" s="134" t="s">
        <v>4890</v>
      </c>
      <c r="D221" s="134" t="s">
        <v>3595</v>
      </c>
      <c r="E221" s="139">
        <v>3.36</v>
      </c>
      <c r="F221" s="134" t="s">
        <v>3594</v>
      </c>
      <c r="G221" s="134" t="s">
        <v>3007</v>
      </c>
      <c r="H221" s="123">
        <v>614</v>
      </c>
    </row>
    <row r="222" spans="1:8" ht="31.5" x14ac:dyDescent="0.25">
      <c r="A222" s="134" t="s">
        <v>4858</v>
      </c>
      <c r="B222" s="134" t="s">
        <v>4889</v>
      </c>
      <c r="C222" s="134" t="s">
        <v>4888</v>
      </c>
      <c r="D222" s="134" t="s">
        <v>3731</v>
      </c>
      <c r="E222" s="139">
        <v>1.7</v>
      </c>
      <c r="F222" s="134" t="s">
        <v>3730</v>
      </c>
      <c r="G222" s="134" t="s">
        <v>3007</v>
      </c>
      <c r="H222" s="123">
        <v>615</v>
      </c>
    </row>
    <row r="223" spans="1:8" ht="31.5" x14ac:dyDescent="0.25">
      <c r="A223" s="134" t="s">
        <v>4858</v>
      </c>
      <c r="B223" s="134" t="s">
        <v>4887</v>
      </c>
      <c r="C223" s="134" t="s">
        <v>4886</v>
      </c>
      <c r="D223" s="134" t="s">
        <v>4885</v>
      </c>
      <c r="E223" s="139">
        <v>0.13</v>
      </c>
      <c r="F223" s="134" t="s">
        <v>4884</v>
      </c>
      <c r="G223" s="134" t="s">
        <v>3007</v>
      </c>
      <c r="H223" s="123">
        <v>616</v>
      </c>
    </row>
    <row r="224" spans="1:8" ht="31.5" x14ac:dyDescent="0.25">
      <c r="A224" s="134" t="s">
        <v>4858</v>
      </c>
      <c r="B224" s="134" t="s">
        <v>4883</v>
      </c>
      <c r="C224" s="134" t="s">
        <v>4882</v>
      </c>
      <c r="D224" s="134" t="s">
        <v>4881</v>
      </c>
      <c r="E224" s="139">
        <v>8.3800000000000008</v>
      </c>
      <c r="F224" s="134" t="s">
        <v>4880</v>
      </c>
      <c r="G224" s="134" t="s">
        <v>3007</v>
      </c>
      <c r="H224" s="123">
        <v>617</v>
      </c>
    </row>
    <row r="225" spans="1:8" ht="31.5" x14ac:dyDescent="0.25">
      <c r="A225" s="134" t="s">
        <v>4858</v>
      </c>
      <c r="B225" s="134" t="s">
        <v>4879</v>
      </c>
      <c r="C225" s="134" t="s">
        <v>4878</v>
      </c>
      <c r="D225" s="134" t="s">
        <v>4877</v>
      </c>
      <c r="E225" s="139">
        <v>20.83</v>
      </c>
      <c r="F225" s="134" t="s">
        <v>4876</v>
      </c>
      <c r="G225" s="134" t="s">
        <v>3007</v>
      </c>
      <c r="H225" s="123">
        <v>618</v>
      </c>
    </row>
    <row r="226" spans="1:8" ht="31.5" x14ac:dyDescent="0.25">
      <c r="A226" s="134" t="s">
        <v>4858</v>
      </c>
      <c r="B226" s="134" t="s">
        <v>4875</v>
      </c>
      <c r="C226" s="134" t="s">
        <v>4874</v>
      </c>
      <c r="D226" s="134" t="s">
        <v>4873</v>
      </c>
      <c r="E226" s="139">
        <v>4.13</v>
      </c>
      <c r="F226" s="134" t="s">
        <v>4872</v>
      </c>
      <c r="G226" s="134" t="s">
        <v>3007</v>
      </c>
      <c r="H226" s="123">
        <v>619</v>
      </c>
    </row>
    <row r="227" spans="1:8" ht="31.5" x14ac:dyDescent="0.25">
      <c r="A227" s="134" t="s">
        <v>4858</v>
      </c>
      <c r="B227" s="134" t="s">
        <v>4871</v>
      </c>
      <c r="C227" s="134" t="s">
        <v>4870</v>
      </c>
      <c r="D227" s="134" t="s">
        <v>3719</v>
      </c>
      <c r="E227" s="139">
        <v>6.1</v>
      </c>
      <c r="F227" s="134" t="s">
        <v>3718</v>
      </c>
      <c r="G227" s="134" t="s">
        <v>3007</v>
      </c>
      <c r="H227" s="123">
        <v>620</v>
      </c>
    </row>
    <row r="228" spans="1:8" ht="31.5" x14ac:dyDescent="0.25">
      <c r="A228" s="134" t="s">
        <v>4858</v>
      </c>
      <c r="B228" s="134" t="s">
        <v>4869</v>
      </c>
      <c r="C228" s="134" t="s">
        <v>4868</v>
      </c>
      <c r="D228" s="134" t="s">
        <v>4867</v>
      </c>
      <c r="E228" s="139">
        <v>9.35</v>
      </c>
      <c r="F228" s="134" t="s">
        <v>4866</v>
      </c>
      <c r="G228" s="134" t="s">
        <v>3007</v>
      </c>
      <c r="H228" s="123">
        <v>621</v>
      </c>
    </row>
    <row r="229" spans="1:8" ht="31.5" x14ac:dyDescent="0.25">
      <c r="A229" s="134" t="s">
        <v>4858</v>
      </c>
      <c r="B229" s="134" t="s">
        <v>4865</v>
      </c>
      <c r="C229" s="134" t="s">
        <v>4864</v>
      </c>
      <c r="D229" s="134" t="s">
        <v>4863</v>
      </c>
      <c r="E229" s="139">
        <v>6.23</v>
      </c>
      <c r="F229" s="134" t="s">
        <v>4862</v>
      </c>
      <c r="G229" s="134" t="s">
        <v>3007</v>
      </c>
      <c r="H229" s="123">
        <v>622</v>
      </c>
    </row>
    <row r="230" spans="1:8" ht="31.5" x14ac:dyDescent="0.25">
      <c r="A230" s="134" t="s">
        <v>4858</v>
      </c>
      <c r="B230" s="134" t="s">
        <v>4861</v>
      </c>
      <c r="C230" s="134" t="s">
        <v>4860</v>
      </c>
      <c r="D230" s="134" t="s">
        <v>4859</v>
      </c>
      <c r="E230" s="139">
        <v>1.91</v>
      </c>
      <c r="F230" s="134" t="s">
        <v>4854</v>
      </c>
      <c r="G230" s="134" t="s">
        <v>3007</v>
      </c>
      <c r="H230" s="123">
        <v>623</v>
      </c>
    </row>
    <row r="231" spans="1:8" ht="31.5" x14ac:dyDescent="0.25">
      <c r="A231" s="134" t="s">
        <v>4858</v>
      </c>
      <c r="B231" s="134" t="s">
        <v>4857</v>
      </c>
      <c r="C231" s="134" t="s">
        <v>4856</v>
      </c>
      <c r="D231" s="134" t="s">
        <v>4855</v>
      </c>
      <c r="E231" s="139">
        <v>4.07</v>
      </c>
      <c r="F231" s="134" t="s">
        <v>4854</v>
      </c>
      <c r="G231" s="134" t="s">
        <v>3007</v>
      </c>
      <c r="H231" s="123">
        <v>624</v>
      </c>
    </row>
    <row r="232" spans="1:8" ht="31.5" x14ac:dyDescent="0.25">
      <c r="A232" s="134" t="s">
        <v>4727</v>
      </c>
      <c r="B232" s="134" t="s">
        <v>4853</v>
      </c>
      <c r="C232" s="134" t="s">
        <v>4852</v>
      </c>
      <c r="D232" s="134" t="s">
        <v>4851</v>
      </c>
      <c r="E232" s="139">
        <v>14.39</v>
      </c>
      <c r="F232" s="134" t="s">
        <v>4850</v>
      </c>
      <c r="G232" s="134" t="s">
        <v>3007</v>
      </c>
      <c r="H232" s="123">
        <v>659</v>
      </c>
    </row>
    <row r="233" spans="1:8" ht="31.5" x14ac:dyDescent="0.25">
      <c r="A233" s="134" t="s">
        <v>4727</v>
      </c>
      <c r="B233" s="134" t="s">
        <v>4849</v>
      </c>
      <c r="C233" s="134" t="s">
        <v>4848</v>
      </c>
      <c r="D233" s="134" t="s">
        <v>4847</v>
      </c>
      <c r="E233" s="139">
        <v>5.29</v>
      </c>
      <c r="F233" s="134" t="s">
        <v>4846</v>
      </c>
      <c r="G233" s="134" t="s">
        <v>3007</v>
      </c>
      <c r="H233" s="123">
        <v>660</v>
      </c>
    </row>
    <row r="234" spans="1:8" ht="31.5" x14ac:dyDescent="0.25">
      <c r="A234" s="134" t="s">
        <v>4727</v>
      </c>
      <c r="B234" s="134" t="s">
        <v>4845</v>
      </c>
      <c r="C234" s="134" t="s">
        <v>4844</v>
      </c>
      <c r="D234" s="134" t="s">
        <v>4843</v>
      </c>
      <c r="E234" s="139">
        <v>10.39</v>
      </c>
      <c r="F234" s="134" t="s">
        <v>4842</v>
      </c>
      <c r="G234" s="134" t="s">
        <v>3007</v>
      </c>
      <c r="H234" s="123">
        <v>661</v>
      </c>
    </row>
    <row r="235" spans="1:8" ht="31.5" x14ac:dyDescent="0.25">
      <c r="A235" s="134" t="s">
        <v>4727</v>
      </c>
      <c r="B235" s="134" t="s">
        <v>4841</v>
      </c>
      <c r="C235" s="134" t="s">
        <v>4840</v>
      </c>
      <c r="D235" s="134" t="s">
        <v>4839</v>
      </c>
      <c r="E235" s="139">
        <v>1.71</v>
      </c>
      <c r="F235" s="134" t="s">
        <v>4838</v>
      </c>
      <c r="G235" s="134" t="s">
        <v>3007</v>
      </c>
      <c r="H235" s="123">
        <v>662</v>
      </c>
    </row>
    <row r="236" spans="1:8" ht="31.5" x14ac:dyDescent="0.25">
      <c r="A236" s="134" t="s">
        <v>4727</v>
      </c>
      <c r="B236" s="134" t="s">
        <v>4837</v>
      </c>
      <c r="C236" s="134" t="s">
        <v>4836</v>
      </c>
      <c r="D236" s="134" t="s">
        <v>4835</v>
      </c>
      <c r="E236" s="139">
        <v>5.31</v>
      </c>
      <c r="F236" s="134" t="s">
        <v>4834</v>
      </c>
      <c r="G236" s="134" t="s">
        <v>3007</v>
      </c>
      <c r="H236" s="123">
        <v>663</v>
      </c>
    </row>
    <row r="237" spans="1:8" ht="31.5" x14ac:dyDescent="0.25">
      <c r="A237" s="134" t="s">
        <v>4727</v>
      </c>
      <c r="B237" s="134" t="s">
        <v>4833</v>
      </c>
      <c r="C237" s="134" t="s">
        <v>4832</v>
      </c>
      <c r="D237" s="134" t="s">
        <v>4831</v>
      </c>
      <c r="E237" s="139">
        <v>19.739999999999998</v>
      </c>
      <c r="F237" s="134" t="s">
        <v>4830</v>
      </c>
      <c r="G237" s="134" t="s">
        <v>3007</v>
      </c>
      <c r="H237" s="123">
        <v>664</v>
      </c>
    </row>
    <row r="238" spans="1:8" ht="31.5" x14ac:dyDescent="0.25">
      <c r="A238" s="134" t="s">
        <v>4727</v>
      </c>
      <c r="B238" s="134" t="s">
        <v>4829</v>
      </c>
      <c r="C238" s="134" t="s">
        <v>4828</v>
      </c>
      <c r="D238" s="134" t="s">
        <v>4827</v>
      </c>
      <c r="E238" s="139">
        <v>13.38</v>
      </c>
      <c r="F238" s="134" t="s">
        <v>4826</v>
      </c>
      <c r="G238" s="134" t="s">
        <v>3007</v>
      </c>
      <c r="H238" s="123">
        <v>665</v>
      </c>
    </row>
    <row r="239" spans="1:8" ht="31.5" x14ac:dyDescent="0.25">
      <c r="A239" s="134" t="s">
        <v>4727</v>
      </c>
      <c r="B239" s="134" t="s">
        <v>4825</v>
      </c>
      <c r="C239" s="134" t="s">
        <v>4824</v>
      </c>
      <c r="D239" s="134" t="s">
        <v>4823</v>
      </c>
      <c r="E239" s="139">
        <v>5.39</v>
      </c>
      <c r="F239" s="134" t="s">
        <v>4822</v>
      </c>
      <c r="G239" s="134" t="s">
        <v>3007</v>
      </c>
      <c r="H239" s="123">
        <v>666</v>
      </c>
    </row>
    <row r="240" spans="1:8" ht="31.5" x14ac:dyDescent="0.25">
      <c r="A240" s="134" t="s">
        <v>4727</v>
      </c>
      <c r="B240" s="134" t="s">
        <v>4821</v>
      </c>
      <c r="C240" s="134" t="s">
        <v>4820</v>
      </c>
      <c r="D240" s="134" t="s">
        <v>4819</v>
      </c>
      <c r="E240" s="139">
        <v>1.69</v>
      </c>
      <c r="F240" s="134" t="s">
        <v>4818</v>
      </c>
      <c r="G240" s="134" t="s">
        <v>3007</v>
      </c>
      <c r="H240" s="123">
        <v>667</v>
      </c>
    </row>
    <row r="241" spans="1:8" ht="31.5" x14ac:dyDescent="0.25">
      <c r="A241" s="134" t="s">
        <v>4727</v>
      </c>
      <c r="B241" s="134" t="s">
        <v>4817</v>
      </c>
      <c r="C241" s="134" t="s">
        <v>4816</v>
      </c>
      <c r="D241" s="134" t="s">
        <v>4815</v>
      </c>
      <c r="E241" s="139">
        <v>6.65</v>
      </c>
      <c r="F241" s="134" t="s">
        <v>4814</v>
      </c>
      <c r="G241" s="134" t="s">
        <v>3007</v>
      </c>
      <c r="H241" s="123">
        <v>668</v>
      </c>
    </row>
    <row r="242" spans="1:8" ht="31.5" x14ac:dyDescent="0.25">
      <c r="A242" s="134" t="s">
        <v>4727</v>
      </c>
      <c r="B242" s="134" t="s">
        <v>4813</v>
      </c>
      <c r="C242" s="134" t="s">
        <v>4812</v>
      </c>
      <c r="D242" s="134" t="s">
        <v>4811</v>
      </c>
      <c r="E242" s="139">
        <v>10.09</v>
      </c>
      <c r="F242" s="134" t="s">
        <v>4810</v>
      </c>
      <c r="G242" s="134" t="s">
        <v>3007</v>
      </c>
      <c r="H242" s="123">
        <v>669</v>
      </c>
    </row>
    <row r="243" spans="1:8" ht="31.5" x14ac:dyDescent="0.25">
      <c r="A243" s="134" t="s">
        <v>4727</v>
      </c>
      <c r="B243" s="134" t="s">
        <v>4809</v>
      </c>
      <c r="C243" s="134" t="s">
        <v>4808</v>
      </c>
      <c r="D243" s="134" t="s">
        <v>4807</v>
      </c>
      <c r="E243" s="139">
        <v>8.74</v>
      </c>
      <c r="F243" s="134" t="s">
        <v>4806</v>
      </c>
      <c r="G243" s="134" t="s">
        <v>3007</v>
      </c>
      <c r="H243" s="123">
        <v>670</v>
      </c>
    </row>
    <row r="244" spans="1:8" ht="31.5" x14ac:dyDescent="0.25">
      <c r="A244" s="134" t="s">
        <v>4727</v>
      </c>
      <c r="B244" s="134" t="s">
        <v>4805</v>
      </c>
      <c r="C244" s="134" t="s">
        <v>4804</v>
      </c>
      <c r="D244" s="134" t="s">
        <v>4803</v>
      </c>
      <c r="E244" s="139">
        <v>16.760000000000002</v>
      </c>
      <c r="F244" s="134" t="s">
        <v>4802</v>
      </c>
      <c r="G244" s="134" t="s">
        <v>3007</v>
      </c>
      <c r="H244" s="123">
        <v>671</v>
      </c>
    </row>
    <row r="245" spans="1:8" ht="31.5" x14ac:dyDescent="0.25">
      <c r="A245" s="134" t="s">
        <v>4727</v>
      </c>
      <c r="B245" s="134" t="s">
        <v>4801</v>
      </c>
      <c r="C245" s="134" t="s">
        <v>4800</v>
      </c>
      <c r="D245" s="134" t="s">
        <v>4799</v>
      </c>
      <c r="E245" s="139">
        <v>1.68</v>
      </c>
      <c r="F245" s="134" t="s">
        <v>4798</v>
      </c>
      <c r="G245" s="134" t="s">
        <v>3007</v>
      </c>
      <c r="H245" s="123">
        <v>672</v>
      </c>
    </row>
    <row r="246" spans="1:8" ht="31.5" x14ac:dyDescent="0.25">
      <c r="A246" s="134" t="s">
        <v>4727</v>
      </c>
      <c r="B246" s="134" t="s">
        <v>4797</v>
      </c>
      <c r="C246" s="134" t="s">
        <v>4796</v>
      </c>
      <c r="D246" s="134" t="s">
        <v>4795</v>
      </c>
      <c r="E246" s="139">
        <v>2.16</v>
      </c>
      <c r="F246" s="134" t="s">
        <v>4794</v>
      </c>
      <c r="G246" s="134" t="s">
        <v>3007</v>
      </c>
      <c r="H246" s="123">
        <v>673</v>
      </c>
    </row>
    <row r="247" spans="1:8" ht="31.5" x14ac:dyDescent="0.25">
      <c r="A247" s="134" t="s">
        <v>4727</v>
      </c>
      <c r="B247" s="134" t="s">
        <v>4793</v>
      </c>
      <c r="C247" s="134" t="s">
        <v>4792</v>
      </c>
      <c r="D247" s="134" t="s">
        <v>4791</v>
      </c>
      <c r="E247" s="139">
        <v>5.04</v>
      </c>
      <c r="F247" s="134" t="s">
        <v>4790</v>
      </c>
      <c r="G247" s="134" t="s">
        <v>3007</v>
      </c>
      <c r="H247" s="123">
        <v>674</v>
      </c>
    </row>
    <row r="248" spans="1:8" ht="31.5" x14ac:dyDescent="0.25">
      <c r="A248" s="134" t="s">
        <v>4727</v>
      </c>
      <c r="B248" s="134" t="s">
        <v>4789</v>
      </c>
      <c r="C248" s="134" t="s">
        <v>4788</v>
      </c>
      <c r="D248" s="134" t="s">
        <v>4787</v>
      </c>
      <c r="E248" s="139">
        <v>2.58</v>
      </c>
      <c r="F248" s="134" t="s">
        <v>4786</v>
      </c>
      <c r="G248" s="134" t="s">
        <v>3007</v>
      </c>
      <c r="H248" s="123">
        <v>675</v>
      </c>
    </row>
    <row r="249" spans="1:8" ht="31.5" x14ac:dyDescent="0.25">
      <c r="A249" s="134" t="s">
        <v>4727</v>
      </c>
      <c r="B249" s="134" t="s">
        <v>4785</v>
      </c>
      <c r="C249" s="134" t="s">
        <v>4784</v>
      </c>
      <c r="D249" s="134" t="s">
        <v>4783</v>
      </c>
      <c r="E249" s="139">
        <v>3.86</v>
      </c>
      <c r="F249" s="134" t="s">
        <v>4782</v>
      </c>
      <c r="G249" s="134" t="s">
        <v>3007</v>
      </c>
      <c r="H249" s="123">
        <v>676</v>
      </c>
    </row>
    <row r="250" spans="1:8" ht="31.5" x14ac:dyDescent="0.25">
      <c r="A250" s="134" t="s">
        <v>4727</v>
      </c>
      <c r="B250" s="134" t="s">
        <v>4781</v>
      </c>
      <c r="C250" s="134" t="s">
        <v>4780</v>
      </c>
      <c r="D250" s="134" t="s">
        <v>4779</v>
      </c>
      <c r="E250" s="139">
        <v>8.42</v>
      </c>
      <c r="F250" s="134" t="s">
        <v>4778</v>
      </c>
      <c r="G250" s="134" t="s">
        <v>3007</v>
      </c>
      <c r="H250" s="123">
        <v>677</v>
      </c>
    </row>
    <row r="251" spans="1:8" ht="31.5" x14ac:dyDescent="0.25">
      <c r="A251" s="134" t="s">
        <v>4727</v>
      </c>
      <c r="B251" s="134" t="s">
        <v>4777</v>
      </c>
      <c r="C251" s="134" t="s">
        <v>4776</v>
      </c>
      <c r="D251" s="134" t="s">
        <v>4775</v>
      </c>
      <c r="E251" s="139">
        <v>29.08</v>
      </c>
      <c r="F251" s="134" t="s">
        <v>4774</v>
      </c>
      <c r="G251" s="134" t="s">
        <v>3007</v>
      </c>
      <c r="H251" s="123">
        <v>678</v>
      </c>
    </row>
    <row r="252" spans="1:8" ht="31.5" x14ac:dyDescent="0.25">
      <c r="A252" s="134" t="s">
        <v>4727</v>
      </c>
      <c r="B252" s="134" t="s">
        <v>4773</v>
      </c>
      <c r="C252" s="134" t="s">
        <v>4772</v>
      </c>
      <c r="D252" s="134" t="s">
        <v>4771</v>
      </c>
      <c r="E252" s="139">
        <v>3.48</v>
      </c>
      <c r="F252" s="134" t="s">
        <v>4770</v>
      </c>
      <c r="G252" s="134" t="s">
        <v>3007</v>
      </c>
      <c r="H252" s="123">
        <v>679</v>
      </c>
    </row>
    <row r="253" spans="1:8" ht="31.5" x14ac:dyDescent="0.25">
      <c r="A253" s="134" t="s">
        <v>4727</v>
      </c>
      <c r="B253" s="134" t="s">
        <v>4769</v>
      </c>
      <c r="C253" s="134" t="s">
        <v>4768</v>
      </c>
      <c r="D253" s="134" t="s">
        <v>4767</v>
      </c>
      <c r="E253" s="139">
        <v>3.76</v>
      </c>
      <c r="F253" s="134" t="s">
        <v>4766</v>
      </c>
      <c r="G253" s="134" t="s">
        <v>3007</v>
      </c>
      <c r="H253" s="123">
        <v>680</v>
      </c>
    </row>
    <row r="254" spans="1:8" ht="31.5" x14ac:dyDescent="0.25">
      <c r="A254" s="134" t="s">
        <v>4727</v>
      </c>
      <c r="B254" s="134" t="s">
        <v>4765</v>
      </c>
      <c r="C254" s="134" t="s">
        <v>4764</v>
      </c>
      <c r="D254" s="134" t="s">
        <v>4763</v>
      </c>
      <c r="E254" s="139">
        <v>11.52</v>
      </c>
      <c r="F254" s="134" t="s">
        <v>4762</v>
      </c>
      <c r="G254" s="134" t="s">
        <v>3007</v>
      </c>
      <c r="H254" s="123">
        <v>681</v>
      </c>
    </row>
    <row r="255" spans="1:8" ht="31.5" x14ac:dyDescent="0.25">
      <c r="A255" s="134" t="s">
        <v>4727</v>
      </c>
      <c r="B255" s="134" t="s">
        <v>4761</v>
      </c>
      <c r="C255" s="134" t="s">
        <v>4760</v>
      </c>
      <c r="D255" s="134" t="s">
        <v>4759</v>
      </c>
      <c r="E255" s="139">
        <v>7.02</v>
      </c>
      <c r="F255" s="134" t="s">
        <v>4758</v>
      </c>
      <c r="G255" s="134" t="s">
        <v>3007</v>
      </c>
      <c r="H255" s="123">
        <v>682</v>
      </c>
    </row>
    <row r="256" spans="1:8" ht="31.5" x14ac:dyDescent="0.25">
      <c r="A256" s="134" t="s">
        <v>4727</v>
      </c>
      <c r="B256" s="134" t="s">
        <v>4757</v>
      </c>
      <c r="C256" s="134" t="s">
        <v>4756</v>
      </c>
      <c r="D256" s="134" t="s">
        <v>4755</v>
      </c>
      <c r="E256" s="139">
        <v>8.68</v>
      </c>
      <c r="F256" s="134" t="s">
        <v>4754</v>
      </c>
      <c r="G256" s="134" t="s">
        <v>3007</v>
      </c>
      <c r="H256" s="123">
        <v>683</v>
      </c>
    </row>
    <row r="257" spans="1:8" ht="31.5" x14ac:dyDescent="0.25">
      <c r="A257" s="134" t="s">
        <v>4727</v>
      </c>
      <c r="B257" s="134" t="s">
        <v>4753</v>
      </c>
      <c r="C257" s="134" t="s">
        <v>4752</v>
      </c>
      <c r="D257" s="134" t="s">
        <v>4751</v>
      </c>
      <c r="E257" s="139">
        <v>13.88</v>
      </c>
      <c r="F257" s="134" t="s">
        <v>4750</v>
      </c>
      <c r="G257" s="134" t="s">
        <v>3007</v>
      </c>
      <c r="H257" s="123">
        <v>684</v>
      </c>
    </row>
    <row r="258" spans="1:8" ht="31.5" x14ac:dyDescent="0.25">
      <c r="A258" s="134" t="s">
        <v>4727</v>
      </c>
      <c r="B258" s="134" t="s">
        <v>4749</v>
      </c>
      <c r="C258" s="134" t="s">
        <v>4748</v>
      </c>
      <c r="D258" s="134" t="s">
        <v>4747</v>
      </c>
      <c r="E258" s="139">
        <v>21.57</v>
      </c>
      <c r="F258" s="134" t="s">
        <v>4746</v>
      </c>
      <c r="G258" s="134" t="s">
        <v>3007</v>
      </c>
      <c r="H258" s="123">
        <v>685</v>
      </c>
    </row>
    <row r="259" spans="1:8" ht="31.5" x14ac:dyDescent="0.25">
      <c r="A259" s="134" t="s">
        <v>4727</v>
      </c>
      <c r="B259" s="134" t="s">
        <v>4745</v>
      </c>
      <c r="C259" s="134" t="s">
        <v>4744</v>
      </c>
      <c r="D259" s="134" t="s">
        <v>3030</v>
      </c>
      <c r="E259" s="139">
        <v>5.0999999999999996</v>
      </c>
      <c r="F259" s="134" t="s">
        <v>3029</v>
      </c>
      <c r="G259" s="134" t="s">
        <v>3007</v>
      </c>
      <c r="H259" s="123">
        <v>686</v>
      </c>
    </row>
    <row r="260" spans="1:8" ht="31.5" x14ac:dyDescent="0.25">
      <c r="A260" s="134" t="s">
        <v>4727</v>
      </c>
      <c r="B260" s="134" t="s">
        <v>4743</v>
      </c>
      <c r="C260" s="134" t="s">
        <v>4742</v>
      </c>
      <c r="D260" s="134" t="s">
        <v>4741</v>
      </c>
      <c r="E260" s="139">
        <v>6.8</v>
      </c>
      <c r="F260" s="134" t="s">
        <v>4740</v>
      </c>
      <c r="G260" s="134" t="s">
        <v>3007</v>
      </c>
      <c r="H260" s="123">
        <v>687</v>
      </c>
    </row>
    <row r="261" spans="1:8" ht="31.5" x14ac:dyDescent="0.25">
      <c r="A261" s="134" t="s">
        <v>4727</v>
      </c>
      <c r="B261" s="134" t="s">
        <v>4739</v>
      </c>
      <c r="C261" s="134" t="s">
        <v>4738</v>
      </c>
      <c r="D261" s="134" t="s">
        <v>4737</v>
      </c>
      <c r="E261" s="139">
        <v>5.0599999999999996</v>
      </c>
      <c r="F261" s="134" t="s">
        <v>4736</v>
      </c>
      <c r="G261" s="134" t="s">
        <v>3007</v>
      </c>
      <c r="H261" s="123">
        <v>688</v>
      </c>
    </row>
    <row r="262" spans="1:8" ht="31.5" x14ac:dyDescent="0.25">
      <c r="A262" s="134" t="s">
        <v>4727</v>
      </c>
      <c r="B262" s="134" t="s">
        <v>4735</v>
      </c>
      <c r="C262" s="134" t="s">
        <v>4734</v>
      </c>
      <c r="D262" s="134" t="s">
        <v>4733</v>
      </c>
      <c r="E262" s="139">
        <v>3.9</v>
      </c>
      <c r="F262" s="134" t="s">
        <v>4732</v>
      </c>
      <c r="G262" s="134" t="s">
        <v>3007</v>
      </c>
      <c r="H262" s="123">
        <v>689</v>
      </c>
    </row>
    <row r="263" spans="1:8" ht="31.5" x14ac:dyDescent="0.25">
      <c r="A263" s="134" t="s">
        <v>4727</v>
      </c>
      <c r="B263" s="134" t="s">
        <v>4731</v>
      </c>
      <c r="C263" s="134" t="s">
        <v>4730</v>
      </c>
      <c r="D263" s="134" t="s">
        <v>4729</v>
      </c>
      <c r="E263" s="139">
        <v>1.77</v>
      </c>
      <c r="F263" s="134" t="s">
        <v>4728</v>
      </c>
      <c r="G263" s="134" t="s">
        <v>3007</v>
      </c>
      <c r="H263" s="123">
        <v>690</v>
      </c>
    </row>
    <row r="264" spans="1:8" ht="31.5" x14ac:dyDescent="0.25">
      <c r="A264" s="134" t="s">
        <v>4727</v>
      </c>
      <c r="B264" s="134" t="s">
        <v>4726</v>
      </c>
      <c r="C264" s="134" t="s">
        <v>4725</v>
      </c>
      <c r="D264" s="134" t="s">
        <v>4724</v>
      </c>
      <c r="E264" s="139">
        <v>3.39</v>
      </c>
      <c r="F264" s="134" t="s">
        <v>4723</v>
      </c>
      <c r="G264" s="134" t="s">
        <v>3007</v>
      </c>
      <c r="H264" s="123">
        <v>691</v>
      </c>
    </row>
    <row r="265" spans="1:8" s="195" customFormat="1" x14ac:dyDescent="0.25">
      <c r="A265" s="193"/>
      <c r="B265" s="193"/>
      <c r="C265" s="193" t="s">
        <v>5691</v>
      </c>
      <c r="D265" s="193" t="s">
        <v>14409</v>
      </c>
      <c r="E265" s="194">
        <f>SUM(E45:E264)</f>
        <v>1631.5500000000004</v>
      </c>
      <c r="F265" s="193"/>
      <c r="G265" s="193"/>
      <c r="H265" s="123"/>
    </row>
    <row r="266" spans="1:8" s="195" customFormat="1" ht="16.5" thickBot="1" x14ac:dyDescent="0.3">
      <c r="A266" s="193"/>
      <c r="B266" s="193"/>
      <c r="C266" s="193" t="s">
        <v>14410</v>
      </c>
      <c r="D266" s="193"/>
      <c r="E266" s="197">
        <v>-99.62</v>
      </c>
      <c r="F266" s="193"/>
      <c r="G266" s="193"/>
      <c r="H266" s="123"/>
    </row>
    <row r="267" spans="1:8" s="195" customFormat="1" x14ac:dyDescent="0.25">
      <c r="A267" s="193"/>
      <c r="B267" s="193"/>
      <c r="C267" s="193" t="s">
        <v>5691</v>
      </c>
      <c r="D267" s="193"/>
      <c r="E267" s="196">
        <f>SUM(E265:E266)</f>
        <v>1531.9300000000003</v>
      </c>
      <c r="F267" s="193"/>
      <c r="G267" s="193"/>
      <c r="H267" s="123"/>
    </row>
    <row r="268" spans="1:8" s="195" customFormat="1" x14ac:dyDescent="0.25">
      <c r="A268" s="193"/>
      <c r="B268" s="193"/>
      <c r="C268" s="193"/>
      <c r="D268" s="193"/>
      <c r="E268" s="194"/>
      <c r="F268" s="193"/>
      <c r="G268" s="193"/>
      <c r="H268" s="123"/>
    </row>
    <row r="269" spans="1:8" x14ac:dyDescent="0.25">
      <c r="A269" s="134"/>
      <c r="B269" s="134"/>
      <c r="C269" s="134"/>
      <c r="D269" s="134"/>
      <c r="E269" s="139"/>
      <c r="F269" s="134"/>
      <c r="G269" s="134"/>
      <c r="H269" s="123"/>
    </row>
    <row r="270" spans="1:8" ht="31.5" x14ac:dyDescent="0.25">
      <c r="A270" s="134" t="s">
        <v>4659</v>
      </c>
      <c r="B270" s="134" t="s">
        <v>4722</v>
      </c>
      <c r="C270" s="134" t="s">
        <v>4721</v>
      </c>
      <c r="D270" s="134" t="s">
        <v>4720</v>
      </c>
      <c r="E270" s="139">
        <v>11.12</v>
      </c>
      <c r="F270" s="134" t="s">
        <v>4719</v>
      </c>
      <c r="G270" s="134" t="s">
        <v>3007</v>
      </c>
      <c r="H270" s="123">
        <v>732</v>
      </c>
    </row>
    <row r="271" spans="1:8" ht="31.5" x14ac:dyDescent="0.25">
      <c r="A271" s="134" t="s">
        <v>4659</v>
      </c>
      <c r="B271" s="134" t="s">
        <v>4718</v>
      </c>
      <c r="C271" s="134" t="s">
        <v>4717</v>
      </c>
      <c r="D271" s="134" t="s">
        <v>4716</v>
      </c>
      <c r="E271" s="139">
        <v>3.49</v>
      </c>
      <c r="F271" s="134" t="s">
        <v>4715</v>
      </c>
      <c r="G271" s="134" t="s">
        <v>3007</v>
      </c>
      <c r="H271" s="123">
        <v>733</v>
      </c>
    </row>
    <row r="272" spans="1:8" ht="31.5" x14ac:dyDescent="0.25">
      <c r="A272" s="134" t="s">
        <v>4659</v>
      </c>
      <c r="B272" s="134" t="s">
        <v>4714</v>
      </c>
      <c r="C272" s="134" t="s">
        <v>4713</v>
      </c>
      <c r="D272" s="134" t="s">
        <v>4712</v>
      </c>
      <c r="E272" s="139">
        <v>3.11</v>
      </c>
      <c r="F272" s="134" t="s">
        <v>4711</v>
      </c>
      <c r="G272" s="134" t="s">
        <v>3007</v>
      </c>
      <c r="H272" s="123">
        <v>734</v>
      </c>
    </row>
    <row r="273" spans="1:8" ht="31.5" x14ac:dyDescent="0.25">
      <c r="A273" s="134" t="s">
        <v>4659</v>
      </c>
      <c r="B273" s="134" t="s">
        <v>4710</v>
      </c>
      <c r="C273" s="134" t="s">
        <v>4709</v>
      </c>
      <c r="D273" s="134" t="s">
        <v>4708</v>
      </c>
      <c r="E273" s="139">
        <v>8.14</v>
      </c>
      <c r="F273" s="134" t="s">
        <v>4704</v>
      </c>
      <c r="G273" s="134" t="s">
        <v>3007</v>
      </c>
      <c r="H273" s="123">
        <v>735</v>
      </c>
    </row>
    <row r="274" spans="1:8" ht="31.5" x14ac:dyDescent="0.25">
      <c r="A274" s="134" t="s">
        <v>4659</v>
      </c>
      <c r="B274" s="134" t="s">
        <v>4707</v>
      </c>
      <c r="C274" s="134" t="s">
        <v>4706</v>
      </c>
      <c r="D274" s="134" t="s">
        <v>4705</v>
      </c>
      <c r="E274" s="139">
        <v>16.760000000000002</v>
      </c>
      <c r="F274" s="134" t="s">
        <v>4704</v>
      </c>
      <c r="G274" s="134" t="s">
        <v>3007</v>
      </c>
      <c r="H274" s="123">
        <v>736</v>
      </c>
    </row>
    <row r="275" spans="1:8" ht="31.5" x14ac:dyDescent="0.25">
      <c r="A275" s="134" t="s">
        <v>4659</v>
      </c>
      <c r="B275" s="134" t="s">
        <v>4703</v>
      </c>
      <c r="C275" s="134" t="s">
        <v>4702</v>
      </c>
      <c r="D275" s="134" t="s">
        <v>4701</v>
      </c>
      <c r="E275" s="139">
        <v>12.76</v>
      </c>
      <c r="F275" s="134" t="s">
        <v>4700</v>
      </c>
      <c r="G275" s="134" t="s">
        <v>3007</v>
      </c>
      <c r="H275" s="123">
        <v>737</v>
      </c>
    </row>
    <row r="276" spans="1:8" ht="31.5" x14ac:dyDescent="0.25">
      <c r="A276" s="134" t="s">
        <v>4659</v>
      </c>
      <c r="B276" s="134" t="s">
        <v>4699</v>
      </c>
      <c r="C276" s="134" t="s">
        <v>4698</v>
      </c>
      <c r="D276" s="134" t="s">
        <v>4697</v>
      </c>
      <c r="E276" s="139">
        <v>2.64</v>
      </c>
      <c r="F276" s="134" t="s">
        <v>4696</v>
      </c>
      <c r="G276" s="134" t="s">
        <v>3007</v>
      </c>
      <c r="H276" s="123">
        <v>741</v>
      </c>
    </row>
    <row r="277" spans="1:8" ht="31.5" x14ac:dyDescent="0.25">
      <c r="A277" s="134" t="s">
        <v>4659</v>
      </c>
      <c r="B277" s="134" t="s">
        <v>4695</v>
      </c>
      <c r="C277" s="134" t="s">
        <v>4694</v>
      </c>
      <c r="D277" s="134" t="s">
        <v>4693</v>
      </c>
      <c r="E277" s="139">
        <v>11.19</v>
      </c>
      <c r="F277" s="134" t="s">
        <v>4692</v>
      </c>
      <c r="G277" s="134" t="s">
        <v>3007</v>
      </c>
      <c r="H277" s="123">
        <v>746</v>
      </c>
    </row>
    <row r="278" spans="1:8" ht="31.5" x14ac:dyDescent="0.25">
      <c r="A278" s="134" t="s">
        <v>4659</v>
      </c>
      <c r="B278" s="134" t="s">
        <v>4691</v>
      </c>
      <c r="C278" s="134" t="s">
        <v>4690</v>
      </c>
      <c r="D278" s="134" t="s">
        <v>4689</v>
      </c>
      <c r="E278" s="139">
        <v>5.94</v>
      </c>
      <c r="F278" s="134" t="s">
        <v>4688</v>
      </c>
      <c r="G278" s="134" t="s">
        <v>3007</v>
      </c>
      <c r="H278" s="123">
        <v>748</v>
      </c>
    </row>
    <row r="279" spans="1:8" ht="31.5" x14ac:dyDescent="0.25">
      <c r="A279" s="134" t="s">
        <v>4659</v>
      </c>
      <c r="B279" s="134" t="s">
        <v>4687</v>
      </c>
      <c r="C279" s="134" t="s">
        <v>4686</v>
      </c>
      <c r="D279" s="134" t="s">
        <v>4685</v>
      </c>
      <c r="E279" s="139">
        <v>8.81</v>
      </c>
      <c r="F279" s="134" t="s">
        <v>4684</v>
      </c>
      <c r="G279" s="134" t="s">
        <v>3007</v>
      </c>
      <c r="H279" s="123">
        <v>749</v>
      </c>
    </row>
    <row r="280" spans="1:8" ht="31.5" x14ac:dyDescent="0.25">
      <c r="A280" s="134" t="s">
        <v>4659</v>
      </c>
      <c r="B280" s="134" t="s">
        <v>4683</v>
      </c>
      <c r="C280" s="134" t="s">
        <v>4682</v>
      </c>
      <c r="D280" s="134" t="s">
        <v>4681</v>
      </c>
      <c r="E280" s="139">
        <v>8.98</v>
      </c>
      <c r="F280" s="134" t="s">
        <v>4680</v>
      </c>
      <c r="G280" s="134" t="s">
        <v>3007</v>
      </c>
      <c r="H280" s="123">
        <v>750</v>
      </c>
    </row>
    <row r="281" spans="1:8" ht="31.5" x14ac:dyDescent="0.25">
      <c r="A281" s="134" t="s">
        <v>4659</v>
      </c>
      <c r="B281" s="134" t="s">
        <v>4679</v>
      </c>
      <c r="C281" s="134" t="s">
        <v>4678</v>
      </c>
      <c r="D281" s="134" t="s">
        <v>4677</v>
      </c>
      <c r="E281" s="139">
        <v>5.04</v>
      </c>
      <c r="F281" s="134" t="s">
        <v>4676</v>
      </c>
      <c r="G281" s="134" t="s">
        <v>3007</v>
      </c>
      <c r="H281" s="123">
        <v>751</v>
      </c>
    </row>
    <row r="282" spans="1:8" ht="31.5" x14ac:dyDescent="0.25">
      <c r="A282" s="134" t="s">
        <v>4659</v>
      </c>
      <c r="B282" s="134" t="s">
        <v>4675</v>
      </c>
      <c r="C282" s="134" t="s">
        <v>4674</v>
      </c>
      <c r="D282" s="134" t="s">
        <v>4673</v>
      </c>
      <c r="E282" s="139">
        <v>7.39</v>
      </c>
      <c r="F282" s="134" t="s">
        <v>4672</v>
      </c>
      <c r="G282" s="134" t="s">
        <v>3007</v>
      </c>
      <c r="H282" s="123">
        <v>752</v>
      </c>
    </row>
    <row r="283" spans="1:8" ht="31.5" x14ac:dyDescent="0.25">
      <c r="A283" s="134" t="s">
        <v>4659</v>
      </c>
      <c r="B283" s="134" t="s">
        <v>4671</v>
      </c>
      <c r="C283" s="134" t="s">
        <v>4670</v>
      </c>
      <c r="D283" s="134" t="s">
        <v>4669</v>
      </c>
      <c r="E283" s="139">
        <v>2.99</v>
      </c>
      <c r="F283" s="134" t="s">
        <v>4668</v>
      </c>
      <c r="G283" s="134" t="s">
        <v>3007</v>
      </c>
      <c r="H283" s="123">
        <v>753</v>
      </c>
    </row>
    <row r="284" spans="1:8" ht="31.5" x14ac:dyDescent="0.25">
      <c r="A284" s="134" t="s">
        <v>4659</v>
      </c>
      <c r="B284" s="134" t="s">
        <v>4667</v>
      </c>
      <c r="C284" s="134" t="s">
        <v>4666</v>
      </c>
      <c r="D284" s="134" t="s">
        <v>4665</v>
      </c>
      <c r="E284" s="139">
        <v>12.96</v>
      </c>
      <c r="F284" s="134" t="s">
        <v>4664</v>
      </c>
      <c r="G284" s="134" t="s">
        <v>3007</v>
      </c>
      <c r="H284" s="123">
        <v>754</v>
      </c>
    </row>
    <row r="285" spans="1:8" ht="31.5" x14ac:dyDescent="0.25">
      <c r="A285" s="134" t="s">
        <v>4659</v>
      </c>
      <c r="B285" s="134" t="s">
        <v>4663</v>
      </c>
      <c r="C285" s="134" t="s">
        <v>4662</v>
      </c>
      <c r="D285" s="134" t="s">
        <v>4661</v>
      </c>
      <c r="E285" s="139">
        <v>4.03</v>
      </c>
      <c r="F285" s="134" t="s">
        <v>4660</v>
      </c>
      <c r="G285" s="134" t="s">
        <v>3007</v>
      </c>
      <c r="H285" s="123">
        <v>755</v>
      </c>
    </row>
    <row r="286" spans="1:8" ht="31.5" x14ac:dyDescent="0.25">
      <c r="A286" s="134" t="s">
        <v>4659</v>
      </c>
      <c r="B286" s="134" t="s">
        <v>4658</v>
      </c>
      <c r="C286" s="134" t="s">
        <v>4657</v>
      </c>
      <c r="D286" s="134" t="s">
        <v>4656</v>
      </c>
      <c r="E286" s="139">
        <v>5.85</v>
      </c>
      <c r="F286" s="134" t="s">
        <v>4655</v>
      </c>
      <c r="G286" s="134" t="s">
        <v>3007</v>
      </c>
      <c r="H286" s="123">
        <v>756</v>
      </c>
    </row>
    <row r="287" spans="1:8" ht="31.5" x14ac:dyDescent="0.25">
      <c r="A287" s="134" t="s">
        <v>4636</v>
      </c>
      <c r="B287" s="134" t="s">
        <v>4654</v>
      </c>
      <c r="C287" s="134" t="s">
        <v>4653</v>
      </c>
      <c r="D287" s="134" t="s">
        <v>4652</v>
      </c>
      <c r="E287" s="139">
        <v>8.44</v>
      </c>
      <c r="F287" s="134" t="s">
        <v>4651</v>
      </c>
      <c r="G287" s="134" t="s">
        <v>3007</v>
      </c>
      <c r="H287" s="123">
        <v>757</v>
      </c>
    </row>
    <row r="288" spans="1:8" ht="31.5" x14ac:dyDescent="0.25">
      <c r="A288" s="134" t="s">
        <v>4636</v>
      </c>
      <c r="B288" s="134" t="s">
        <v>4650</v>
      </c>
      <c r="C288" s="134" t="s">
        <v>4649</v>
      </c>
      <c r="D288" s="134" t="s">
        <v>3174</v>
      </c>
      <c r="E288" s="139">
        <v>25.42</v>
      </c>
      <c r="F288" s="134" t="s">
        <v>3173</v>
      </c>
      <c r="G288" s="134" t="s">
        <v>3007</v>
      </c>
      <c r="H288" s="123">
        <v>758</v>
      </c>
    </row>
    <row r="289" spans="1:8" ht="31.5" x14ac:dyDescent="0.25">
      <c r="A289" s="134" t="s">
        <v>4636</v>
      </c>
      <c r="B289" s="134" t="s">
        <v>4648</v>
      </c>
      <c r="C289" s="134" t="s">
        <v>4647</v>
      </c>
      <c r="D289" s="134" t="s">
        <v>4646</v>
      </c>
      <c r="E289" s="139">
        <v>2.67</v>
      </c>
      <c r="F289" s="134" t="s">
        <v>4645</v>
      </c>
      <c r="G289" s="134" t="s">
        <v>3007</v>
      </c>
      <c r="H289" s="123">
        <v>759</v>
      </c>
    </row>
    <row r="290" spans="1:8" ht="31.5" x14ac:dyDescent="0.25">
      <c r="A290" s="134" t="s">
        <v>4636</v>
      </c>
      <c r="B290" s="134" t="s">
        <v>4644</v>
      </c>
      <c r="C290" s="134" t="s">
        <v>4643</v>
      </c>
      <c r="D290" s="134" t="s">
        <v>4642</v>
      </c>
      <c r="E290" s="139">
        <v>5.53</v>
      </c>
      <c r="F290" s="134" t="s">
        <v>4641</v>
      </c>
      <c r="G290" s="134" t="s">
        <v>3007</v>
      </c>
      <c r="H290" s="123">
        <v>760</v>
      </c>
    </row>
    <row r="291" spans="1:8" ht="31.5" x14ac:dyDescent="0.25">
      <c r="A291" s="134" t="s">
        <v>4636</v>
      </c>
      <c r="B291" s="134" t="s">
        <v>4640</v>
      </c>
      <c r="C291" s="134" t="s">
        <v>4639</v>
      </c>
      <c r="D291" s="134" t="s">
        <v>4638</v>
      </c>
      <c r="E291" s="139">
        <v>8.51</v>
      </c>
      <c r="F291" s="134" t="s">
        <v>4637</v>
      </c>
      <c r="G291" s="134" t="s">
        <v>3007</v>
      </c>
      <c r="H291" s="123">
        <v>761</v>
      </c>
    </row>
    <row r="292" spans="1:8" ht="31.5" x14ac:dyDescent="0.25">
      <c r="A292" s="134" t="s">
        <v>4636</v>
      </c>
      <c r="B292" s="134" t="s">
        <v>4635</v>
      </c>
      <c r="C292" s="134" t="s">
        <v>4634</v>
      </c>
      <c r="D292" s="134" t="s">
        <v>3483</v>
      </c>
      <c r="E292" s="139">
        <v>5.23</v>
      </c>
      <c r="F292" s="134" t="s">
        <v>3482</v>
      </c>
      <c r="G292" s="134" t="s">
        <v>3007</v>
      </c>
      <c r="H292" s="123">
        <v>762</v>
      </c>
    </row>
    <row r="293" spans="1:8" ht="31.5" x14ac:dyDescent="0.25">
      <c r="A293" s="134" t="s">
        <v>4625</v>
      </c>
      <c r="B293" s="134" t="s">
        <v>4633</v>
      </c>
      <c r="C293" s="134" t="s">
        <v>4632</v>
      </c>
      <c r="D293" s="134" t="s">
        <v>4631</v>
      </c>
      <c r="E293" s="139">
        <v>4.43</v>
      </c>
      <c r="F293" s="134" t="s">
        <v>4630</v>
      </c>
      <c r="G293" s="134" t="s">
        <v>3007</v>
      </c>
      <c r="H293" s="123">
        <v>763</v>
      </c>
    </row>
    <row r="294" spans="1:8" ht="31.5" x14ac:dyDescent="0.25">
      <c r="A294" s="134" t="s">
        <v>4625</v>
      </c>
      <c r="B294" s="134" t="s">
        <v>4629</v>
      </c>
      <c r="C294" s="134" t="s">
        <v>4628</v>
      </c>
      <c r="D294" s="134" t="s">
        <v>4627</v>
      </c>
      <c r="E294" s="139">
        <v>1.48</v>
      </c>
      <c r="F294" s="134" t="s">
        <v>4626</v>
      </c>
      <c r="G294" s="134" t="s">
        <v>3007</v>
      </c>
      <c r="H294" s="123">
        <v>764</v>
      </c>
    </row>
    <row r="295" spans="1:8" ht="31.5" x14ac:dyDescent="0.25">
      <c r="A295" s="134" t="s">
        <v>4625</v>
      </c>
      <c r="B295" s="134" t="s">
        <v>4624</v>
      </c>
      <c r="C295" s="134" t="s">
        <v>4623</v>
      </c>
      <c r="D295" s="134" t="s">
        <v>4622</v>
      </c>
      <c r="E295" s="139">
        <v>5.15</v>
      </c>
      <c r="F295" s="134" t="s">
        <v>4621</v>
      </c>
      <c r="G295" s="134" t="s">
        <v>3007</v>
      </c>
      <c r="H295" s="123">
        <v>765</v>
      </c>
    </row>
    <row r="296" spans="1:8" ht="31.5" x14ac:dyDescent="0.25">
      <c r="A296" s="134" t="s">
        <v>4527</v>
      </c>
      <c r="B296" s="134" t="s">
        <v>4620</v>
      </c>
      <c r="C296" s="134" t="s">
        <v>4619</v>
      </c>
      <c r="D296" s="134" t="s">
        <v>4618</v>
      </c>
      <c r="E296" s="139">
        <v>2.59</v>
      </c>
      <c r="F296" s="134" t="s">
        <v>4617</v>
      </c>
      <c r="G296" s="134" t="s">
        <v>3007</v>
      </c>
      <c r="H296" s="123">
        <v>843</v>
      </c>
    </row>
    <row r="297" spans="1:8" ht="31.5" x14ac:dyDescent="0.25">
      <c r="A297" s="134" t="s">
        <v>4527</v>
      </c>
      <c r="B297" s="134" t="s">
        <v>4616</v>
      </c>
      <c r="C297" s="134" t="s">
        <v>4615</v>
      </c>
      <c r="D297" s="134" t="s">
        <v>4614</v>
      </c>
      <c r="E297" s="139">
        <v>1.85</v>
      </c>
      <c r="F297" s="134" t="s">
        <v>4613</v>
      </c>
      <c r="G297" s="134" t="s">
        <v>3007</v>
      </c>
      <c r="H297" s="123">
        <v>844</v>
      </c>
    </row>
    <row r="298" spans="1:8" ht="31.5" x14ac:dyDescent="0.25">
      <c r="A298" s="134" t="s">
        <v>4527</v>
      </c>
      <c r="B298" s="134" t="s">
        <v>4612</v>
      </c>
      <c r="C298" s="134" t="s">
        <v>4611</v>
      </c>
      <c r="D298" s="134" t="s">
        <v>4610</v>
      </c>
      <c r="E298" s="139">
        <v>13.88</v>
      </c>
      <c r="F298" s="134" t="s">
        <v>4609</v>
      </c>
      <c r="G298" s="134" t="s">
        <v>3007</v>
      </c>
      <c r="H298" s="123">
        <v>848</v>
      </c>
    </row>
    <row r="299" spans="1:8" ht="31.5" x14ac:dyDescent="0.25">
      <c r="A299" s="134" t="s">
        <v>4527</v>
      </c>
      <c r="B299" s="134" t="s">
        <v>4608</v>
      </c>
      <c r="C299" s="134" t="s">
        <v>4607</v>
      </c>
      <c r="D299" s="134" t="s">
        <v>4606</v>
      </c>
      <c r="E299" s="139">
        <v>9.02</v>
      </c>
      <c r="F299" s="134" t="s">
        <v>4605</v>
      </c>
      <c r="G299" s="134" t="s">
        <v>3007</v>
      </c>
      <c r="H299" s="123">
        <v>849</v>
      </c>
    </row>
    <row r="300" spans="1:8" ht="31.5" x14ac:dyDescent="0.25">
      <c r="A300" s="134" t="s">
        <v>4527</v>
      </c>
      <c r="B300" s="134" t="s">
        <v>4604</v>
      </c>
      <c r="C300" s="134" t="s">
        <v>4603</v>
      </c>
      <c r="D300" s="134" t="s">
        <v>4602</v>
      </c>
      <c r="E300" s="139">
        <v>5.46</v>
      </c>
      <c r="F300" s="134" t="s">
        <v>4601</v>
      </c>
      <c r="G300" s="134" t="s">
        <v>3007</v>
      </c>
      <c r="H300" s="123">
        <v>850</v>
      </c>
    </row>
    <row r="301" spans="1:8" ht="31.5" x14ac:dyDescent="0.25">
      <c r="A301" s="134" t="s">
        <v>4527</v>
      </c>
      <c r="B301" s="134" t="s">
        <v>4600</v>
      </c>
      <c r="C301" s="134" t="s">
        <v>4599</v>
      </c>
      <c r="D301" s="134" t="s">
        <v>4598</v>
      </c>
      <c r="E301" s="139">
        <v>3.26</v>
      </c>
      <c r="F301" s="134" t="s">
        <v>4597</v>
      </c>
      <c r="G301" s="134" t="s">
        <v>3007</v>
      </c>
      <c r="H301" s="123">
        <v>851</v>
      </c>
    </row>
    <row r="302" spans="1:8" ht="31.5" x14ac:dyDescent="0.25">
      <c r="A302" s="134" t="s">
        <v>4527</v>
      </c>
      <c r="B302" s="134" t="s">
        <v>4596</v>
      </c>
      <c r="C302" s="134" t="s">
        <v>4595</v>
      </c>
      <c r="D302" s="134" t="s">
        <v>4594</v>
      </c>
      <c r="E302" s="139">
        <v>4.67</v>
      </c>
      <c r="F302" s="134" t="s">
        <v>4590</v>
      </c>
      <c r="G302" s="134" t="s">
        <v>3007</v>
      </c>
      <c r="H302" s="123">
        <v>853</v>
      </c>
    </row>
    <row r="303" spans="1:8" ht="31.5" x14ac:dyDescent="0.25">
      <c r="A303" s="134" t="s">
        <v>4527</v>
      </c>
      <c r="B303" s="134" t="s">
        <v>4593</v>
      </c>
      <c r="C303" s="134" t="s">
        <v>4592</v>
      </c>
      <c r="D303" s="134" t="s">
        <v>4591</v>
      </c>
      <c r="E303" s="139">
        <v>6.18</v>
      </c>
      <c r="F303" s="134" t="s">
        <v>4590</v>
      </c>
      <c r="G303" s="134" t="s">
        <v>3007</v>
      </c>
      <c r="H303" s="123">
        <v>852</v>
      </c>
    </row>
    <row r="304" spans="1:8" ht="31.5" x14ac:dyDescent="0.25">
      <c r="A304" s="134" t="s">
        <v>4527</v>
      </c>
      <c r="B304" s="134" t="s">
        <v>4589</v>
      </c>
      <c r="C304" s="134" t="s">
        <v>4588</v>
      </c>
      <c r="D304" s="134" t="s">
        <v>4587</v>
      </c>
      <c r="E304" s="139">
        <v>4.6500000000000004</v>
      </c>
      <c r="F304" s="134" t="s">
        <v>4586</v>
      </c>
      <c r="G304" s="134" t="s">
        <v>3007</v>
      </c>
      <c r="H304" s="123">
        <v>854</v>
      </c>
    </row>
    <row r="305" spans="1:8" ht="31.5" x14ac:dyDescent="0.25">
      <c r="A305" s="134" t="s">
        <v>4527</v>
      </c>
      <c r="B305" s="134" t="s">
        <v>3343</v>
      </c>
      <c r="C305" s="134" t="s">
        <v>4585</v>
      </c>
      <c r="D305" s="134" t="s">
        <v>3082</v>
      </c>
      <c r="E305" s="139">
        <v>3.26</v>
      </c>
      <c r="F305" s="134" t="s">
        <v>3081</v>
      </c>
      <c r="G305" s="134" t="s">
        <v>3007</v>
      </c>
      <c r="H305" s="123">
        <v>855</v>
      </c>
    </row>
    <row r="306" spans="1:8" ht="31.5" x14ac:dyDescent="0.25">
      <c r="A306" s="134" t="s">
        <v>4527</v>
      </c>
      <c r="B306" s="134" t="s">
        <v>4584</v>
      </c>
      <c r="C306" s="134" t="s">
        <v>4583</v>
      </c>
      <c r="D306" s="134" t="s">
        <v>4582</v>
      </c>
      <c r="E306" s="139">
        <v>23.28</v>
      </c>
      <c r="F306" s="134" t="s">
        <v>4581</v>
      </c>
      <c r="G306" s="134" t="s">
        <v>3007</v>
      </c>
      <c r="H306" s="123">
        <v>856</v>
      </c>
    </row>
    <row r="307" spans="1:8" ht="31.5" x14ac:dyDescent="0.25">
      <c r="A307" s="134" t="s">
        <v>4527</v>
      </c>
      <c r="B307" s="134" t="s">
        <v>4580</v>
      </c>
      <c r="C307" s="134" t="s">
        <v>4579</v>
      </c>
      <c r="D307" s="134" t="s">
        <v>4578</v>
      </c>
      <c r="E307" s="139">
        <v>5.7</v>
      </c>
      <c r="F307" s="134" t="s">
        <v>4577</v>
      </c>
      <c r="G307" s="134" t="s">
        <v>3007</v>
      </c>
      <c r="H307" s="123">
        <v>857</v>
      </c>
    </row>
    <row r="308" spans="1:8" ht="31.5" x14ac:dyDescent="0.25">
      <c r="A308" s="134" t="s">
        <v>4527</v>
      </c>
      <c r="B308" s="134" t="s">
        <v>4576</v>
      </c>
      <c r="C308" s="134" t="s">
        <v>4575</v>
      </c>
      <c r="D308" s="134" t="s">
        <v>4574</v>
      </c>
      <c r="E308" s="139">
        <v>5.36</v>
      </c>
      <c r="F308" s="134" t="s">
        <v>4573</v>
      </c>
      <c r="G308" s="134" t="s">
        <v>3007</v>
      </c>
      <c r="H308" s="123">
        <v>858</v>
      </c>
    </row>
    <row r="309" spans="1:8" ht="31.5" x14ac:dyDescent="0.25">
      <c r="A309" s="134" t="s">
        <v>4527</v>
      </c>
      <c r="B309" s="134" t="s">
        <v>4572</v>
      </c>
      <c r="C309" s="134" t="s">
        <v>4571</v>
      </c>
      <c r="D309" s="134" t="s">
        <v>4570</v>
      </c>
      <c r="E309" s="139">
        <v>7.56</v>
      </c>
      <c r="F309" s="134" t="s">
        <v>4569</v>
      </c>
      <c r="G309" s="134" t="s">
        <v>3007</v>
      </c>
      <c r="H309" s="123">
        <v>859</v>
      </c>
    </row>
    <row r="310" spans="1:8" ht="31.5" x14ac:dyDescent="0.25">
      <c r="A310" s="134" t="s">
        <v>4527</v>
      </c>
      <c r="B310" s="134" t="s">
        <v>4568</v>
      </c>
      <c r="C310" s="134" t="s">
        <v>4567</v>
      </c>
      <c r="D310" s="134" t="s">
        <v>4566</v>
      </c>
      <c r="E310" s="139">
        <v>1.68</v>
      </c>
      <c r="F310" s="134" t="s">
        <v>4565</v>
      </c>
      <c r="G310" s="134" t="s">
        <v>3007</v>
      </c>
      <c r="H310" s="123">
        <v>860</v>
      </c>
    </row>
    <row r="311" spans="1:8" ht="31.5" x14ac:dyDescent="0.25">
      <c r="A311" s="134" t="s">
        <v>4527</v>
      </c>
      <c r="B311" s="134" t="s">
        <v>4564</v>
      </c>
      <c r="C311" s="134" t="s">
        <v>4563</v>
      </c>
      <c r="D311" s="134" t="s">
        <v>4562</v>
      </c>
      <c r="E311" s="139">
        <v>12.44</v>
      </c>
      <c r="F311" s="134" t="s">
        <v>4561</v>
      </c>
      <c r="G311" s="134" t="s">
        <v>3007</v>
      </c>
      <c r="H311" s="123">
        <v>861</v>
      </c>
    </row>
    <row r="312" spans="1:8" ht="31.5" x14ac:dyDescent="0.25">
      <c r="A312" s="134" t="s">
        <v>4527</v>
      </c>
      <c r="B312" s="134" t="s">
        <v>4560</v>
      </c>
      <c r="C312" s="134" t="s">
        <v>4559</v>
      </c>
      <c r="D312" s="134" t="s">
        <v>3231</v>
      </c>
      <c r="E312" s="139">
        <v>38.69</v>
      </c>
      <c r="F312" s="134" t="s">
        <v>3230</v>
      </c>
      <c r="G312" s="134" t="s">
        <v>3007</v>
      </c>
      <c r="H312" s="123">
        <v>862</v>
      </c>
    </row>
    <row r="313" spans="1:8" ht="31.5" x14ac:dyDescent="0.25">
      <c r="A313" s="134" t="s">
        <v>4527</v>
      </c>
      <c r="B313" s="134" t="s">
        <v>4558</v>
      </c>
      <c r="C313" s="134" t="s">
        <v>4557</v>
      </c>
      <c r="D313" s="134" t="s">
        <v>4556</v>
      </c>
      <c r="E313" s="139">
        <v>5.13</v>
      </c>
      <c r="F313" s="134" t="s">
        <v>4555</v>
      </c>
      <c r="G313" s="134" t="s">
        <v>3007</v>
      </c>
      <c r="H313" s="124">
        <v>863</v>
      </c>
    </row>
    <row r="314" spans="1:8" ht="31.5" x14ac:dyDescent="0.25">
      <c r="A314" s="134" t="s">
        <v>4527</v>
      </c>
      <c r="B314" s="134" t="s">
        <v>4554</v>
      </c>
      <c r="C314" s="134" t="s">
        <v>4553</v>
      </c>
      <c r="D314" s="134" t="s">
        <v>4552</v>
      </c>
      <c r="E314" s="139">
        <v>16.48</v>
      </c>
      <c r="F314" s="134" t="s">
        <v>4551</v>
      </c>
      <c r="G314" s="134" t="s">
        <v>3007</v>
      </c>
      <c r="H314" s="123">
        <v>864</v>
      </c>
    </row>
    <row r="315" spans="1:8" ht="31.5" x14ac:dyDescent="0.25">
      <c r="A315" s="134" t="s">
        <v>4527</v>
      </c>
      <c r="B315" s="134" t="s">
        <v>4550</v>
      </c>
      <c r="C315" s="134" t="s">
        <v>4549</v>
      </c>
      <c r="D315" s="134" t="s">
        <v>4548</v>
      </c>
      <c r="E315" s="139">
        <v>17.87</v>
      </c>
      <c r="F315" s="134" t="s">
        <v>4547</v>
      </c>
      <c r="G315" s="134" t="s">
        <v>3007</v>
      </c>
      <c r="H315" s="123">
        <v>865</v>
      </c>
    </row>
    <row r="316" spans="1:8" ht="31.5" x14ac:dyDescent="0.25">
      <c r="A316" s="134" t="s">
        <v>4527</v>
      </c>
      <c r="B316" s="134" t="s">
        <v>4546</v>
      </c>
      <c r="C316" s="134" t="s">
        <v>4545</v>
      </c>
      <c r="D316" s="134" t="s">
        <v>4544</v>
      </c>
      <c r="E316" s="139">
        <v>0.48</v>
      </c>
      <c r="F316" s="134" t="s">
        <v>4543</v>
      </c>
      <c r="G316" s="134" t="s">
        <v>3007</v>
      </c>
      <c r="H316" s="123">
        <v>866</v>
      </c>
    </row>
    <row r="317" spans="1:8" ht="31.5" x14ac:dyDescent="0.25">
      <c r="A317" s="134" t="s">
        <v>4527</v>
      </c>
      <c r="B317" s="134" t="s">
        <v>4542</v>
      </c>
      <c r="C317" s="134" t="s">
        <v>4541</v>
      </c>
      <c r="D317" s="134" t="s">
        <v>4540</v>
      </c>
      <c r="E317" s="139">
        <v>36.68</v>
      </c>
      <c r="F317" s="134" t="s">
        <v>4539</v>
      </c>
      <c r="G317" s="134" t="s">
        <v>3007</v>
      </c>
      <c r="H317" s="123">
        <v>867</v>
      </c>
    </row>
    <row r="318" spans="1:8" ht="31.5" x14ac:dyDescent="0.25">
      <c r="A318" s="134" t="s">
        <v>4527</v>
      </c>
      <c r="B318" s="134" t="s">
        <v>4538</v>
      </c>
      <c r="C318" s="134" t="s">
        <v>4537</v>
      </c>
      <c r="D318" s="134" t="s">
        <v>4536</v>
      </c>
      <c r="E318" s="139">
        <v>0.87</v>
      </c>
      <c r="F318" s="134" t="s">
        <v>4535</v>
      </c>
      <c r="G318" s="134" t="s">
        <v>3007</v>
      </c>
      <c r="H318" s="123">
        <v>868</v>
      </c>
    </row>
    <row r="319" spans="1:8" ht="31.5" x14ac:dyDescent="0.25">
      <c r="A319" s="134" t="s">
        <v>4527</v>
      </c>
      <c r="B319" s="134" t="s">
        <v>4534</v>
      </c>
      <c r="C319" s="134" t="s">
        <v>4533</v>
      </c>
      <c r="D319" s="134" t="s">
        <v>4532</v>
      </c>
      <c r="E319" s="139">
        <v>1.68</v>
      </c>
      <c r="F319" s="134" t="s">
        <v>4528</v>
      </c>
      <c r="G319" s="134" t="s">
        <v>3007</v>
      </c>
      <c r="H319" s="123">
        <v>869</v>
      </c>
    </row>
    <row r="320" spans="1:8" ht="31.5" x14ac:dyDescent="0.25">
      <c r="A320" s="134" t="s">
        <v>4527</v>
      </c>
      <c r="B320" s="134" t="s">
        <v>4531</v>
      </c>
      <c r="C320" s="134" t="s">
        <v>4530</v>
      </c>
      <c r="D320" s="134" t="s">
        <v>4529</v>
      </c>
      <c r="E320" s="139">
        <v>17.84</v>
      </c>
      <c r="F320" s="134" t="s">
        <v>4528</v>
      </c>
      <c r="G320" s="134" t="s">
        <v>3007</v>
      </c>
      <c r="H320" s="123">
        <v>870</v>
      </c>
    </row>
    <row r="321" spans="1:8" ht="31.5" x14ac:dyDescent="0.25">
      <c r="A321" s="134" t="s">
        <v>4527</v>
      </c>
      <c r="B321" s="134" t="s">
        <v>4526</v>
      </c>
      <c r="C321" s="134" t="s">
        <v>4525</v>
      </c>
      <c r="D321" s="134" t="s">
        <v>4524</v>
      </c>
      <c r="E321" s="139">
        <v>5.33</v>
      </c>
      <c r="F321" s="134" t="s">
        <v>4523</v>
      </c>
      <c r="G321" s="134" t="s">
        <v>3007</v>
      </c>
      <c r="H321" s="123">
        <v>871</v>
      </c>
    </row>
    <row r="322" spans="1:8" ht="31.5" x14ac:dyDescent="0.25">
      <c r="A322" s="134" t="s">
        <v>4419</v>
      </c>
      <c r="B322" s="134" t="s">
        <v>4522</v>
      </c>
      <c r="C322" s="134" t="s">
        <v>4521</v>
      </c>
      <c r="D322" s="134" t="s">
        <v>4520</v>
      </c>
      <c r="E322" s="139">
        <v>23.4</v>
      </c>
      <c r="F322" s="134" t="s">
        <v>4519</v>
      </c>
      <c r="G322" s="134" t="s">
        <v>3007</v>
      </c>
      <c r="H322" s="123">
        <v>925</v>
      </c>
    </row>
    <row r="323" spans="1:8" ht="31.5" x14ac:dyDescent="0.25">
      <c r="A323" s="134" t="s">
        <v>4419</v>
      </c>
      <c r="B323" s="134" t="s">
        <v>4518</v>
      </c>
      <c r="C323" s="134" t="s">
        <v>4517</v>
      </c>
      <c r="D323" s="134" t="s">
        <v>4516</v>
      </c>
      <c r="E323" s="139">
        <v>7.61</v>
      </c>
      <c r="F323" s="134" t="s">
        <v>4515</v>
      </c>
      <c r="G323" s="134" t="s">
        <v>3007</v>
      </c>
      <c r="H323" s="123">
        <v>926</v>
      </c>
    </row>
    <row r="324" spans="1:8" ht="31.5" x14ac:dyDescent="0.25">
      <c r="A324" s="134" t="s">
        <v>4419</v>
      </c>
      <c r="B324" s="134" t="s">
        <v>4514</v>
      </c>
      <c r="C324" s="134" t="s">
        <v>4513</v>
      </c>
      <c r="D324" s="134" t="s">
        <v>4512</v>
      </c>
      <c r="E324" s="139">
        <v>6.75</v>
      </c>
      <c r="F324" s="134" t="s">
        <v>4511</v>
      </c>
      <c r="G324" s="134" t="s">
        <v>3007</v>
      </c>
      <c r="H324" s="123">
        <v>927</v>
      </c>
    </row>
    <row r="325" spans="1:8" ht="31.5" x14ac:dyDescent="0.25">
      <c r="A325" s="134" t="s">
        <v>4419</v>
      </c>
      <c r="B325" s="134" t="s">
        <v>4510</v>
      </c>
      <c r="C325" s="134" t="s">
        <v>4509</v>
      </c>
      <c r="D325" s="134" t="s">
        <v>4508</v>
      </c>
      <c r="E325" s="139">
        <v>4.17</v>
      </c>
      <c r="F325" s="134" t="s">
        <v>4507</v>
      </c>
      <c r="G325" s="134" t="s">
        <v>3007</v>
      </c>
      <c r="H325" s="123">
        <v>928</v>
      </c>
    </row>
    <row r="326" spans="1:8" ht="31.5" x14ac:dyDescent="0.25">
      <c r="A326" s="134" t="s">
        <v>4419</v>
      </c>
      <c r="B326" s="134" t="s">
        <v>4506</v>
      </c>
      <c r="C326" s="134" t="s">
        <v>4505</v>
      </c>
      <c r="D326" s="134" t="s">
        <v>4504</v>
      </c>
      <c r="E326" s="139">
        <v>5.04</v>
      </c>
      <c r="F326" s="134" t="s">
        <v>4503</v>
      </c>
      <c r="G326" s="134" t="s">
        <v>3007</v>
      </c>
      <c r="H326" s="123">
        <v>929</v>
      </c>
    </row>
    <row r="327" spans="1:8" ht="31.5" x14ac:dyDescent="0.25">
      <c r="A327" s="134" t="s">
        <v>4419</v>
      </c>
      <c r="B327" s="134" t="s">
        <v>4502</v>
      </c>
      <c r="C327" s="134" t="s">
        <v>4501</v>
      </c>
      <c r="D327" s="134" t="s">
        <v>4500</v>
      </c>
      <c r="E327" s="139">
        <v>5.59</v>
      </c>
      <c r="F327" s="134" t="s">
        <v>4499</v>
      </c>
      <c r="G327" s="134" t="s">
        <v>3007</v>
      </c>
      <c r="H327" s="123">
        <v>930</v>
      </c>
    </row>
    <row r="328" spans="1:8" ht="31.5" x14ac:dyDescent="0.25">
      <c r="A328" s="134" t="s">
        <v>4419</v>
      </c>
      <c r="B328" s="134" t="s">
        <v>4498</v>
      </c>
      <c r="C328" s="134" t="s">
        <v>4497</v>
      </c>
      <c r="D328" s="134" t="s">
        <v>4496</v>
      </c>
      <c r="E328" s="139">
        <v>15.62</v>
      </c>
      <c r="F328" s="134" t="s">
        <v>4495</v>
      </c>
      <c r="G328" s="134" t="s">
        <v>3007</v>
      </c>
      <c r="H328" s="123">
        <v>931</v>
      </c>
    </row>
    <row r="329" spans="1:8" ht="31.5" x14ac:dyDescent="0.25">
      <c r="A329" s="134" t="s">
        <v>4419</v>
      </c>
      <c r="B329" s="134" t="s">
        <v>4494</v>
      </c>
      <c r="C329" s="134" t="s">
        <v>4493</v>
      </c>
      <c r="D329" s="134" t="s">
        <v>4492</v>
      </c>
      <c r="E329" s="139">
        <v>3.35</v>
      </c>
      <c r="F329" s="134" t="s">
        <v>4491</v>
      </c>
      <c r="G329" s="134" t="s">
        <v>3007</v>
      </c>
      <c r="H329" s="123">
        <v>932</v>
      </c>
    </row>
    <row r="330" spans="1:8" ht="31.5" x14ac:dyDescent="0.25">
      <c r="A330" s="134" t="s">
        <v>4419</v>
      </c>
      <c r="B330" s="134" t="s">
        <v>4490</v>
      </c>
      <c r="C330" s="134" t="s">
        <v>4489</v>
      </c>
      <c r="D330" s="134" t="s">
        <v>4488</v>
      </c>
      <c r="E330" s="139">
        <v>4.63</v>
      </c>
      <c r="F330" s="134" t="s">
        <v>4487</v>
      </c>
      <c r="G330" s="134" t="s">
        <v>3007</v>
      </c>
      <c r="H330" s="123">
        <v>933</v>
      </c>
    </row>
    <row r="331" spans="1:8" ht="31.5" x14ac:dyDescent="0.25">
      <c r="A331" s="134" t="s">
        <v>4419</v>
      </c>
      <c r="B331" s="134" t="s">
        <v>4486</v>
      </c>
      <c r="C331" s="134" t="s">
        <v>4485</v>
      </c>
      <c r="D331" s="134" t="s">
        <v>4484</v>
      </c>
      <c r="E331" s="139">
        <v>9.26</v>
      </c>
      <c r="F331" s="134" t="s">
        <v>4483</v>
      </c>
      <c r="G331" s="134" t="s">
        <v>3007</v>
      </c>
      <c r="H331" s="123">
        <v>934</v>
      </c>
    </row>
    <row r="332" spans="1:8" ht="31.5" x14ac:dyDescent="0.25">
      <c r="A332" s="134" t="s">
        <v>4419</v>
      </c>
      <c r="B332" s="134" t="s">
        <v>4482</v>
      </c>
      <c r="C332" s="134" t="s">
        <v>4481</v>
      </c>
      <c r="D332" s="134" t="s">
        <v>4480</v>
      </c>
      <c r="E332" s="139">
        <v>2.11</v>
      </c>
      <c r="F332" s="134" t="s">
        <v>4476</v>
      </c>
      <c r="G332" s="134" t="s">
        <v>3007</v>
      </c>
      <c r="H332" s="123">
        <v>935</v>
      </c>
    </row>
    <row r="333" spans="1:8" ht="31.5" x14ac:dyDescent="0.25">
      <c r="A333" s="134" t="s">
        <v>4419</v>
      </c>
      <c r="B333" s="134" t="s">
        <v>4479</v>
      </c>
      <c r="C333" s="134" t="s">
        <v>4478</v>
      </c>
      <c r="D333" s="134" t="s">
        <v>4477</v>
      </c>
      <c r="E333" s="139">
        <v>0.27</v>
      </c>
      <c r="F333" s="134" t="s">
        <v>4476</v>
      </c>
      <c r="G333" s="134" t="s">
        <v>3007</v>
      </c>
      <c r="H333" s="123">
        <v>936</v>
      </c>
    </row>
    <row r="334" spans="1:8" ht="31.5" x14ac:dyDescent="0.25">
      <c r="A334" s="134" t="s">
        <v>4419</v>
      </c>
      <c r="B334" s="134" t="s">
        <v>4475</v>
      </c>
      <c r="C334" s="134" t="s">
        <v>4474</v>
      </c>
      <c r="D334" s="134" t="s">
        <v>4473</v>
      </c>
      <c r="E334" s="139">
        <v>1.9</v>
      </c>
      <c r="F334" s="134" t="s">
        <v>4472</v>
      </c>
      <c r="G334" s="134" t="s">
        <v>3007</v>
      </c>
      <c r="H334" s="123">
        <v>937</v>
      </c>
    </row>
    <row r="335" spans="1:8" ht="31.5" x14ac:dyDescent="0.25">
      <c r="A335" s="134" t="s">
        <v>4419</v>
      </c>
      <c r="B335" s="134" t="s">
        <v>4471</v>
      </c>
      <c r="C335" s="134" t="s">
        <v>4470</v>
      </c>
      <c r="D335" s="134" t="s">
        <v>4469</v>
      </c>
      <c r="E335" s="139">
        <v>1.71</v>
      </c>
      <c r="F335" s="134" t="s">
        <v>4468</v>
      </c>
      <c r="G335" s="134" t="s">
        <v>3007</v>
      </c>
      <c r="H335" s="123">
        <v>938</v>
      </c>
    </row>
    <row r="336" spans="1:8" ht="31.5" x14ac:dyDescent="0.25">
      <c r="A336" s="134" t="s">
        <v>4419</v>
      </c>
      <c r="B336" s="134" t="s">
        <v>4467</v>
      </c>
      <c r="C336" s="134" t="s">
        <v>4466</v>
      </c>
      <c r="D336" s="134" t="s">
        <v>4465</v>
      </c>
      <c r="E336" s="139">
        <v>12.87</v>
      </c>
      <c r="F336" s="134" t="s">
        <v>4464</v>
      </c>
      <c r="G336" s="134" t="s">
        <v>3007</v>
      </c>
      <c r="H336" s="123">
        <v>939</v>
      </c>
    </row>
    <row r="337" spans="1:8" ht="31.5" x14ac:dyDescent="0.25">
      <c r="A337" s="134" t="s">
        <v>4419</v>
      </c>
      <c r="B337" s="134" t="s">
        <v>4463</v>
      </c>
      <c r="C337" s="134" t="s">
        <v>4462</v>
      </c>
      <c r="D337" s="134" t="s">
        <v>4461</v>
      </c>
      <c r="E337" s="139">
        <v>3.86</v>
      </c>
      <c r="F337" s="134" t="s">
        <v>4460</v>
      </c>
      <c r="G337" s="134" t="s">
        <v>3007</v>
      </c>
      <c r="H337" s="123">
        <v>940</v>
      </c>
    </row>
    <row r="338" spans="1:8" ht="31.5" x14ac:dyDescent="0.25">
      <c r="A338" s="134" t="s">
        <v>4419</v>
      </c>
      <c r="B338" s="134" t="s">
        <v>4459</v>
      </c>
      <c r="C338" s="134" t="s">
        <v>4458</v>
      </c>
      <c r="D338" s="134" t="s">
        <v>4457</v>
      </c>
      <c r="E338" s="139">
        <v>1.86</v>
      </c>
      <c r="F338" s="134" t="s">
        <v>4456</v>
      </c>
      <c r="G338" s="134" t="s">
        <v>3007</v>
      </c>
      <c r="H338" s="123">
        <v>941</v>
      </c>
    </row>
    <row r="339" spans="1:8" ht="31.5" x14ac:dyDescent="0.25">
      <c r="A339" s="134" t="s">
        <v>4419</v>
      </c>
      <c r="B339" s="134" t="s">
        <v>4455</v>
      </c>
      <c r="C339" s="134" t="s">
        <v>4454</v>
      </c>
      <c r="D339" s="134" t="s">
        <v>4453</v>
      </c>
      <c r="E339" s="139">
        <v>44.73</v>
      </c>
      <c r="F339" s="134" t="s">
        <v>4452</v>
      </c>
      <c r="G339" s="134" t="s">
        <v>3007</v>
      </c>
      <c r="H339" s="123">
        <v>942</v>
      </c>
    </row>
    <row r="340" spans="1:8" ht="31.5" x14ac:dyDescent="0.25">
      <c r="A340" s="134" t="s">
        <v>4419</v>
      </c>
      <c r="B340" s="134" t="s">
        <v>4451</v>
      </c>
      <c r="C340" s="134" t="s">
        <v>4450</v>
      </c>
      <c r="D340" s="134" t="s">
        <v>4447</v>
      </c>
      <c r="E340" s="139">
        <v>3.39</v>
      </c>
      <c r="F340" s="134" t="s">
        <v>4446</v>
      </c>
      <c r="G340" s="134" t="s">
        <v>3007</v>
      </c>
      <c r="H340" s="123">
        <v>943</v>
      </c>
    </row>
    <row r="341" spans="1:8" ht="31.5" x14ac:dyDescent="0.25">
      <c r="A341" s="134" t="s">
        <v>4419</v>
      </c>
      <c r="B341" s="134" t="s">
        <v>4449</v>
      </c>
      <c r="C341" s="134" t="s">
        <v>4448</v>
      </c>
      <c r="D341" s="134" t="s">
        <v>4447</v>
      </c>
      <c r="E341" s="139">
        <v>3.39</v>
      </c>
      <c r="F341" s="134" t="s">
        <v>4446</v>
      </c>
      <c r="G341" s="134" t="s">
        <v>3007</v>
      </c>
      <c r="H341" s="123" t="s">
        <v>1628</v>
      </c>
    </row>
    <row r="342" spans="1:8" ht="31.5" x14ac:dyDescent="0.25">
      <c r="A342" s="134" t="s">
        <v>4419</v>
      </c>
      <c r="B342" s="134" t="s">
        <v>4445</v>
      </c>
      <c r="C342" s="134" t="s">
        <v>4444</v>
      </c>
      <c r="D342" s="134" t="s">
        <v>4443</v>
      </c>
      <c r="E342" s="139">
        <v>4.09</v>
      </c>
      <c r="F342" s="134" t="s">
        <v>4442</v>
      </c>
      <c r="G342" s="134" t="s">
        <v>3007</v>
      </c>
      <c r="H342" s="123">
        <v>944</v>
      </c>
    </row>
    <row r="343" spans="1:8" ht="31.5" x14ac:dyDescent="0.25">
      <c r="A343" s="134" t="s">
        <v>4419</v>
      </c>
      <c r="B343" s="134" t="s">
        <v>4441</v>
      </c>
      <c r="C343" s="134" t="s">
        <v>4440</v>
      </c>
      <c r="D343" s="134" t="s">
        <v>3070</v>
      </c>
      <c r="E343" s="139">
        <v>2.36</v>
      </c>
      <c r="F343" s="134" t="s">
        <v>3069</v>
      </c>
      <c r="G343" s="134" t="s">
        <v>3007</v>
      </c>
      <c r="H343" s="123">
        <v>945</v>
      </c>
    </row>
    <row r="344" spans="1:8" ht="31.5" x14ac:dyDescent="0.25">
      <c r="A344" s="134" t="s">
        <v>4419</v>
      </c>
      <c r="B344" s="134" t="s">
        <v>4439</v>
      </c>
      <c r="C344" s="134" t="s">
        <v>4438</v>
      </c>
      <c r="D344" s="134" t="s">
        <v>4437</v>
      </c>
      <c r="E344" s="139">
        <v>24.21</v>
      </c>
      <c r="F344" s="134" t="s">
        <v>4436</v>
      </c>
      <c r="G344" s="134" t="s">
        <v>3007</v>
      </c>
      <c r="H344" s="123">
        <v>946</v>
      </c>
    </row>
    <row r="345" spans="1:8" ht="31.5" x14ac:dyDescent="0.25">
      <c r="A345" s="134" t="s">
        <v>4419</v>
      </c>
      <c r="B345" s="134" t="s">
        <v>4435</v>
      </c>
      <c r="C345" s="134" t="s">
        <v>4434</v>
      </c>
      <c r="D345" s="134" t="s">
        <v>4433</v>
      </c>
      <c r="E345" s="139">
        <v>5.88</v>
      </c>
      <c r="F345" s="134" t="s">
        <v>4432</v>
      </c>
      <c r="G345" s="134" t="s">
        <v>3007</v>
      </c>
      <c r="H345" s="123">
        <v>947</v>
      </c>
    </row>
    <row r="346" spans="1:8" ht="31.5" x14ac:dyDescent="0.25">
      <c r="A346" s="134" t="s">
        <v>4419</v>
      </c>
      <c r="B346" s="134" t="s">
        <v>4431</v>
      </c>
      <c r="C346" s="134" t="s">
        <v>4430</v>
      </c>
      <c r="D346" s="134" t="s">
        <v>4429</v>
      </c>
      <c r="E346" s="139">
        <v>4.7</v>
      </c>
      <c r="F346" s="134" t="s">
        <v>4428</v>
      </c>
      <c r="G346" s="134" t="s">
        <v>3007</v>
      </c>
      <c r="H346" s="123">
        <v>948</v>
      </c>
    </row>
    <row r="347" spans="1:8" ht="31.5" x14ac:dyDescent="0.25">
      <c r="A347" s="134" t="s">
        <v>4419</v>
      </c>
      <c r="B347" s="134" t="s">
        <v>4427</v>
      </c>
      <c r="C347" s="134" t="s">
        <v>4426</v>
      </c>
      <c r="D347" s="134" t="s">
        <v>4425</v>
      </c>
      <c r="E347" s="139">
        <v>2.37</v>
      </c>
      <c r="F347" s="134" t="s">
        <v>4424</v>
      </c>
      <c r="G347" s="134" t="s">
        <v>3007</v>
      </c>
      <c r="H347" s="123">
        <v>949</v>
      </c>
    </row>
    <row r="348" spans="1:8" ht="31.5" x14ac:dyDescent="0.25">
      <c r="A348" s="134" t="s">
        <v>4419</v>
      </c>
      <c r="B348" s="134" t="s">
        <v>4423</v>
      </c>
      <c r="C348" s="134" t="s">
        <v>4422</v>
      </c>
      <c r="D348" s="134" t="s">
        <v>4421</v>
      </c>
      <c r="E348" s="139">
        <v>1.76</v>
      </c>
      <c r="F348" s="134" t="s">
        <v>4420</v>
      </c>
      <c r="G348" s="134" t="s">
        <v>3007</v>
      </c>
      <c r="H348" s="123">
        <v>950</v>
      </c>
    </row>
    <row r="349" spans="1:8" ht="31.5" x14ac:dyDescent="0.25">
      <c r="A349" s="134" t="s">
        <v>4419</v>
      </c>
      <c r="B349" s="134" t="s">
        <v>4418</v>
      </c>
      <c r="C349" s="134" t="s">
        <v>4417</v>
      </c>
      <c r="D349" s="134" t="s">
        <v>4416</v>
      </c>
      <c r="E349" s="139">
        <v>16.64</v>
      </c>
      <c r="F349" s="134" t="s">
        <v>4415</v>
      </c>
      <c r="G349" s="134" t="s">
        <v>3007</v>
      </c>
      <c r="H349" s="123">
        <v>951</v>
      </c>
    </row>
    <row r="350" spans="1:8" ht="31.5" x14ac:dyDescent="0.25">
      <c r="A350" s="134" t="s">
        <v>4324</v>
      </c>
      <c r="B350" s="134" t="s">
        <v>4414</v>
      </c>
      <c r="C350" s="134" t="s">
        <v>4413</v>
      </c>
      <c r="D350" s="134" t="s">
        <v>4412</v>
      </c>
      <c r="E350" s="139">
        <v>5.21</v>
      </c>
      <c r="F350" s="134" t="s">
        <v>4411</v>
      </c>
      <c r="G350" s="134" t="s">
        <v>3007</v>
      </c>
      <c r="H350" s="123">
        <v>958</v>
      </c>
    </row>
    <row r="351" spans="1:8" ht="31.5" x14ac:dyDescent="0.25">
      <c r="A351" s="134" t="s">
        <v>4324</v>
      </c>
      <c r="B351" s="134" t="s">
        <v>4410</v>
      </c>
      <c r="C351" s="134" t="s">
        <v>4409</v>
      </c>
      <c r="D351" s="134" t="s">
        <v>4408</v>
      </c>
      <c r="E351" s="139">
        <v>2.61</v>
      </c>
      <c r="F351" s="134" t="s">
        <v>4407</v>
      </c>
      <c r="G351" s="134" t="s">
        <v>3007</v>
      </c>
      <c r="H351" s="123">
        <v>959</v>
      </c>
    </row>
    <row r="352" spans="1:8" ht="31.5" x14ac:dyDescent="0.25">
      <c r="A352" s="134" t="s">
        <v>4324</v>
      </c>
      <c r="B352" s="134" t="s">
        <v>4406</v>
      </c>
      <c r="C352" s="134" t="s">
        <v>4405</v>
      </c>
      <c r="D352" s="134" t="s">
        <v>4404</v>
      </c>
      <c r="E352" s="139">
        <v>6.66</v>
      </c>
      <c r="F352" s="134" t="s">
        <v>4403</v>
      </c>
      <c r="G352" s="134" t="s">
        <v>3007</v>
      </c>
      <c r="H352" s="123" t="s">
        <v>1530</v>
      </c>
    </row>
    <row r="353" spans="1:8" ht="31.5" x14ac:dyDescent="0.25">
      <c r="A353" s="134" t="s">
        <v>4324</v>
      </c>
      <c r="B353" s="134" t="s">
        <v>4402</v>
      </c>
      <c r="C353" s="134" t="s">
        <v>4401</v>
      </c>
      <c r="D353" s="134" t="s">
        <v>4400</v>
      </c>
      <c r="E353" s="139">
        <v>7.17</v>
      </c>
      <c r="F353" s="134" t="s">
        <v>4399</v>
      </c>
      <c r="G353" s="134" t="s">
        <v>3007</v>
      </c>
      <c r="H353" s="123">
        <v>960</v>
      </c>
    </row>
    <row r="354" spans="1:8" ht="31.5" x14ac:dyDescent="0.25">
      <c r="A354" s="134" t="s">
        <v>4324</v>
      </c>
      <c r="B354" s="134" t="s">
        <v>4398</v>
      </c>
      <c r="C354" s="134" t="s">
        <v>4397</v>
      </c>
      <c r="D354" s="134" t="s">
        <v>4396</v>
      </c>
      <c r="E354" s="139">
        <v>7.86</v>
      </c>
      <c r="F354" s="134" t="s">
        <v>4395</v>
      </c>
      <c r="G354" s="134" t="s">
        <v>3007</v>
      </c>
      <c r="H354" s="123">
        <v>961</v>
      </c>
    </row>
    <row r="355" spans="1:8" ht="31.5" x14ac:dyDescent="0.25">
      <c r="A355" s="134" t="s">
        <v>4324</v>
      </c>
      <c r="B355" s="134" t="s">
        <v>4394</v>
      </c>
      <c r="C355" s="134" t="s">
        <v>4393</v>
      </c>
      <c r="D355" s="134" t="s">
        <v>4392</v>
      </c>
      <c r="E355" s="139">
        <v>16.87</v>
      </c>
      <c r="F355" s="134" t="s">
        <v>4391</v>
      </c>
      <c r="G355" s="134" t="s">
        <v>3007</v>
      </c>
      <c r="H355" s="123">
        <v>962</v>
      </c>
    </row>
    <row r="356" spans="1:8" ht="31.5" x14ac:dyDescent="0.25">
      <c r="A356" s="134" t="s">
        <v>4324</v>
      </c>
      <c r="B356" s="134" t="s">
        <v>4390</v>
      </c>
      <c r="C356" s="134" t="s">
        <v>4389</v>
      </c>
      <c r="D356" s="134" t="s">
        <v>4388</v>
      </c>
      <c r="E356" s="139">
        <v>3.6</v>
      </c>
      <c r="F356" s="134" t="s">
        <v>4387</v>
      </c>
      <c r="G356" s="134" t="s">
        <v>3007</v>
      </c>
      <c r="H356" s="123">
        <v>963</v>
      </c>
    </row>
    <row r="357" spans="1:8" ht="31.5" x14ac:dyDescent="0.25">
      <c r="A357" s="134" t="s">
        <v>4324</v>
      </c>
      <c r="B357" s="134" t="s">
        <v>4386</v>
      </c>
      <c r="C357" s="134" t="s">
        <v>4385</v>
      </c>
      <c r="D357" s="134" t="s">
        <v>4384</v>
      </c>
      <c r="E357" s="139">
        <v>2.08</v>
      </c>
      <c r="F357" s="134" t="s">
        <v>4383</v>
      </c>
      <c r="G357" s="134" t="s">
        <v>3007</v>
      </c>
      <c r="H357" s="123">
        <v>964</v>
      </c>
    </row>
    <row r="358" spans="1:8" ht="31.5" x14ac:dyDescent="0.25">
      <c r="A358" s="134" t="s">
        <v>4324</v>
      </c>
      <c r="B358" s="134" t="s">
        <v>4382</v>
      </c>
      <c r="C358" s="134" t="s">
        <v>4381</v>
      </c>
      <c r="D358" s="134" t="s">
        <v>4380</v>
      </c>
      <c r="E358" s="139">
        <v>3.67</v>
      </c>
      <c r="F358" s="134" t="s">
        <v>4379</v>
      </c>
      <c r="G358" s="134" t="s">
        <v>3007</v>
      </c>
      <c r="H358" s="123">
        <v>965</v>
      </c>
    </row>
    <row r="359" spans="1:8" ht="31.5" x14ac:dyDescent="0.25">
      <c r="A359" s="134" t="s">
        <v>4324</v>
      </c>
      <c r="B359" s="134" t="s">
        <v>4378</v>
      </c>
      <c r="C359" s="134" t="s">
        <v>4377</v>
      </c>
      <c r="D359" s="134" t="s">
        <v>4376</v>
      </c>
      <c r="E359" s="139">
        <v>3.42</v>
      </c>
      <c r="F359" s="134" t="s">
        <v>4375</v>
      </c>
      <c r="G359" s="134" t="s">
        <v>3007</v>
      </c>
      <c r="H359" s="123">
        <v>966</v>
      </c>
    </row>
    <row r="360" spans="1:8" ht="31.5" x14ac:dyDescent="0.25">
      <c r="A360" s="134" t="s">
        <v>4324</v>
      </c>
      <c r="B360" s="134" t="s">
        <v>4374</v>
      </c>
      <c r="C360" s="134" t="s">
        <v>4373</v>
      </c>
      <c r="D360" s="134" t="s">
        <v>4372</v>
      </c>
      <c r="E360" s="139">
        <v>4.1900000000000004</v>
      </c>
      <c r="F360" s="134" t="s">
        <v>4371</v>
      </c>
      <c r="G360" s="134" t="s">
        <v>3007</v>
      </c>
      <c r="H360" s="123">
        <v>967</v>
      </c>
    </row>
    <row r="361" spans="1:8" ht="31.5" x14ac:dyDescent="0.25">
      <c r="A361" s="134" t="s">
        <v>4324</v>
      </c>
      <c r="B361" s="134" t="s">
        <v>4370</v>
      </c>
      <c r="C361" s="134" t="s">
        <v>4369</v>
      </c>
      <c r="D361" s="134" t="s">
        <v>3026</v>
      </c>
      <c r="E361" s="139">
        <v>4.63</v>
      </c>
      <c r="F361" s="134" t="s">
        <v>3025</v>
      </c>
      <c r="G361" s="134" t="s">
        <v>3007</v>
      </c>
      <c r="H361" s="123">
        <v>968</v>
      </c>
    </row>
    <row r="362" spans="1:8" ht="31.5" x14ac:dyDescent="0.25">
      <c r="A362" s="134" t="s">
        <v>4324</v>
      </c>
      <c r="B362" s="134" t="s">
        <v>4368</v>
      </c>
      <c r="C362" s="134" t="s">
        <v>4367</v>
      </c>
      <c r="D362" s="134" t="s">
        <v>4366</v>
      </c>
      <c r="E362" s="139">
        <v>13.98</v>
      </c>
      <c r="F362" s="134" t="s">
        <v>4365</v>
      </c>
      <c r="G362" s="134" t="s">
        <v>3007</v>
      </c>
      <c r="H362" s="123">
        <v>969</v>
      </c>
    </row>
    <row r="363" spans="1:8" ht="31.5" x14ac:dyDescent="0.25">
      <c r="A363" s="134" t="s">
        <v>4324</v>
      </c>
      <c r="B363" s="134" t="s">
        <v>4364</v>
      </c>
      <c r="C363" s="134" t="s">
        <v>4363</v>
      </c>
      <c r="D363" s="134" t="s">
        <v>4362</v>
      </c>
      <c r="E363" s="139">
        <v>0.55000000000000004</v>
      </c>
      <c r="F363" s="134" t="s">
        <v>4361</v>
      </c>
      <c r="G363" s="134" t="s">
        <v>3007</v>
      </c>
      <c r="H363" s="123">
        <v>970</v>
      </c>
    </row>
    <row r="364" spans="1:8" ht="31.5" x14ac:dyDescent="0.25">
      <c r="A364" s="134" t="s">
        <v>4324</v>
      </c>
      <c r="B364" s="134" t="s">
        <v>4360</v>
      </c>
      <c r="C364" s="134" t="s">
        <v>4359</v>
      </c>
      <c r="D364" s="134" t="s">
        <v>4358</v>
      </c>
      <c r="E364" s="139">
        <v>0.09</v>
      </c>
      <c r="F364" s="134" t="s">
        <v>4357</v>
      </c>
      <c r="G364" s="134" t="s">
        <v>3007</v>
      </c>
      <c r="H364" s="123">
        <v>971</v>
      </c>
    </row>
    <row r="365" spans="1:8" ht="31.5" x14ac:dyDescent="0.25">
      <c r="A365" s="134" t="s">
        <v>4324</v>
      </c>
      <c r="B365" s="134" t="s">
        <v>4356</v>
      </c>
      <c r="C365" s="134" t="s">
        <v>4355</v>
      </c>
      <c r="D365" s="134" t="s">
        <v>4354</v>
      </c>
      <c r="E365" s="139">
        <v>2.2000000000000002</v>
      </c>
      <c r="F365" s="134" t="s">
        <v>4353</v>
      </c>
      <c r="G365" s="134" t="s">
        <v>3007</v>
      </c>
      <c r="H365" s="123">
        <v>972</v>
      </c>
    </row>
    <row r="366" spans="1:8" ht="31.5" x14ac:dyDescent="0.25">
      <c r="A366" s="134" t="s">
        <v>4324</v>
      </c>
      <c r="B366" s="134" t="s">
        <v>4352</v>
      </c>
      <c r="C366" s="134" t="s">
        <v>4351</v>
      </c>
      <c r="D366" s="134" t="s">
        <v>4350</v>
      </c>
      <c r="E366" s="139">
        <v>1.58</v>
      </c>
      <c r="F366" s="134" t="s">
        <v>4349</v>
      </c>
      <c r="G366" s="134" t="s">
        <v>3007</v>
      </c>
      <c r="H366" s="123">
        <v>973</v>
      </c>
    </row>
    <row r="367" spans="1:8" ht="31.5" x14ac:dyDescent="0.25">
      <c r="A367" s="134" t="s">
        <v>4324</v>
      </c>
      <c r="B367" s="134" t="s">
        <v>4348</v>
      </c>
      <c r="C367" s="134" t="s">
        <v>4347</v>
      </c>
      <c r="D367" s="134" t="s">
        <v>4346</v>
      </c>
      <c r="E367" s="139">
        <v>3.48</v>
      </c>
      <c r="F367" s="134" t="s">
        <v>4345</v>
      </c>
      <c r="G367" s="134" t="s">
        <v>3007</v>
      </c>
      <c r="H367" s="123">
        <v>974</v>
      </c>
    </row>
    <row r="368" spans="1:8" ht="31.5" x14ac:dyDescent="0.25">
      <c r="A368" s="134" t="s">
        <v>4324</v>
      </c>
      <c r="B368" s="134" t="s">
        <v>4344</v>
      </c>
      <c r="C368" s="134" t="s">
        <v>4343</v>
      </c>
      <c r="D368" s="134" t="s">
        <v>4342</v>
      </c>
      <c r="E368" s="139">
        <v>3.33</v>
      </c>
      <c r="F368" s="134" t="s">
        <v>4341</v>
      </c>
      <c r="G368" s="134" t="s">
        <v>3007</v>
      </c>
      <c r="H368" s="123">
        <v>976</v>
      </c>
    </row>
    <row r="369" spans="1:8" ht="31.5" x14ac:dyDescent="0.25">
      <c r="A369" s="134" t="s">
        <v>4324</v>
      </c>
      <c r="B369" s="134" t="s">
        <v>4340</v>
      </c>
      <c r="C369" s="134" t="s">
        <v>4339</v>
      </c>
      <c r="D369" s="134" t="s">
        <v>4338</v>
      </c>
      <c r="E369" s="139">
        <v>7.13</v>
      </c>
      <c r="F369" s="134" t="s">
        <v>4337</v>
      </c>
      <c r="G369" s="134" t="s">
        <v>3007</v>
      </c>
      <c r="H369" s="123">
        <v>975</v>
      </c>
    </row>
    <row r="370" spans="1:8" ht="31.5" x14ac:dyDescent="0.25">
      <c r="A370" s="134" t="s">
        <v>4324</v>
      </c>
      <c r="B370" s="134" t="s">
        <v>4336</v>
      </c>
      <c r="C370" s="134" t="s">
        <v>4335</v>
      </c>
      <c r="D370" s="134" t="s">
        <v>4334</v>
      </c>
      <c r="E370" s="139">
        <v>5.15</v>
      </c>
      <c r="F370" s="134" t="s">
        <v>4333</v>
      </c>
      <c r="G370" s="134" t="s">
        <v>3007</v>
      </c>
      <c r="H370" s="123">
        <v>977</v>
      </c>
    </row>
    <row r="371" spans="1:8" ht="31.5" x14ac:dyDescent="0.25">
      <c r="A371" s="134" t="s">
        <v>4324</v>
      </c>
      <c r="B371" s="134" t="s">
        <v>4332</v>
      </c>
      <c r="C371" s="134" t="s">
        <v>4331</v>
      </c>
      <c r="D371" s="134" t="s">
        <v>4330</v>
      </c>
      <c r="E371" s="139">
        <v>23.46</v>
      </c>
      <c r="F371" s="134" t="s">
        <v>4329</v>
      </c>
      <c r="G371" s="134" t="s">
        <v>3007</v>
      </c>
      <c r="H371" s="123">
        <v>978</v>
      </c>
    </row>
    <row r="372" spans="1:8" ht="31.5" x14ac:dyDescent="0.25">
      <c r="A372" s="134" t="s">
        <v>4324</v>
      </c>
      <c r="B372" s="134" t="s">
        <v>4328</v>
      </c>
      <c r="C372" s="134" t="s">
        <v>4327</v>
      </c>
      <c r="D372" s="134" t="s">
        <v>4326</v>
      </c>
      <c r="E372" s="139">
        <v>1.68</v>
      </c>
      <c r="F372" s="134" t="s">
        <v>4325</v>
      </c>
      <c r="G372" s="134" t="s">
        <v>3007</v>
      </c>
      <c r="H372" s="123">
        <v>979</v>
      </c>
    </row>
    <row r="373" spans="1:8" ht="31.5" x14ac:dyDescent="0.25">
      <c r="A373" s="134" t="s">
        <v>4324</v>
      </c>
      <c r="B373" s="134" t="s">
        <v>4323</v>
      </c>
      <c r="C373" s="134" t="s">
        <v>4322</v>
      </c>
      <c r="D373" s="134" t="s">
        <v>4321</v>
      </c>
      <c r="E373" s="139">
        <v>1.68</v>
      </c>
      <c r="F373" s="134" t="s">
        <v>4320</v>
      </c>
      <c r="G373" s="134" t="s">
        <v>3007</v>
      </c>
      <c r="H373" s="123">
        <v>980</v>
      </c>
    </row>
    <row r="374" spans="1:8" ht="31.5" x14ac:dyDescent="0.25">
      <c r="A374" s="134" t="s">
        <v>4227</v>
      </c>
      <c r="B374" s="134" t="s">
        <v>4319</v>
      </c>
      <c r="C374" s="134" t="s">
        <v>4318</v>
      </c>
      <c r="D374" s="134" t="s">
        <v>4317</v>
      </c>
      <c r="E374" s="139">
        <v>13.34</v>
      </c>
      <c r="F374" s="134" t="s">
        <v>4316</v>
      </c>
      <c r="G374" s="134" t="s">
        <v>3007</v>
      </c>
      <c r="H374" s="123">
        <v>1013</v>
      </c>
    </row>
    <row r="375" spans="1:8" ht="31.5" x14ac:dyDescent="0.25">
      <c r="A375" s="134" t="s">
        <v>4227</v>
      </c>
      <c r="B375" s="134" t="s">
        <v>4315</v>
      </c>
      <c r="C375" s="134" t="s">
        <v>4314</v>
      </c>
      <c r="D375" s="134" t="s">
        <v>4313</v>
      </c>
      <c r="E375" s="139">
        <v>1.84</v>
      </c>
      <c r="F375" s="134" t="s">
        <v>4312</v>
      </c>
      <c r="G375" s="134" t="s">
        <v>3007</v>
      </c>
      <c r="H375" s="123">
        <v>1014</v>
      </c>
    </row>
    <row r="376" spans="1:8" ht="31.5" x14ac:dyDescent="0.25">
      <c r="A376" s="134" t="s">
        <v>4227</v>
      </c>
      <c r="B376" s="134" t="s">
        <v>4311</v>
      </c>
      <c r="C376" s="134" t="s">
        <v>4310</v>
      </c>
      <c r="D376" s="134" t="s">
        <v>4309</v>
      </c>
      <c r="E376" s="139">
        <v>4.1900000000000004</v>
      </c>
      <c r="F376" s="134" t="s">
        <v>4308</v>
      </c>
      <c r="G376" s="134" t="s">
        <v>3007</v>
      </c>
      <c r="H376" s="123">
        <v>1015</v>
      </c>
    </row>
    <row r="377" spans="1:8" ht="31.5" x14ac:dyDescent="0.25">
      <c r="A377" s="134" t="s">
        <v>4227</v>
      </c>
      <c r="B377" s="134" t="s">
        <v>4307</v>
      </c>
      <c r="C377" s="134" t="s">
        <v>4306</v>
      </c>
      <c r="D377" s="134" t="s">
        <v>4305</v>
      </c>
      <c r="E377" s="139">
        <v>22.79</v>
      </c>
      <c r="F377" s="134" t="s">
        <v>4304</v>
      </c>
      <c r="G377" s="134" t="s">
        <v>3007</v>
      </c>
      <c r="H377" s="123">
        <v>1016</v>
      </c>
    </row>
    <row r="378" spans="1:8" ht="31.5" x14ac:dyDescent="0.25">
      <c r="A378" s="134" t="s">
        <v>4227</v>
      </c>
      <c r="B378" s="134" t="s">
        <v>4303</v>
      </c>
      <c r="C378" s="134" t="s">
        <v>4302</v>
      </c>
      <c r="D378" s="134" t="s">
        <v>4301</v>
      </c>
      <c r="E378" s="139">
        <v>56.18</v>
      </c>
      <c r="F378" s="134" t="s">
        <v>4300</v>
      </c>
      <c r="G378" s="134" t="s">
        <v>3007</v>
      </c>
      <c r="H378" s="123">
        <v>1017</v>
      </c>
    </row>
    <row r="379" spans="1:8" ht="31.5" x14ac:dyDescent="0.25">
      <c r="A379" s="134" t="s">
        <v>4227</v>
      </c>
      <c r="B379" s="134" t="s">
        <v>4299</v>
      </c>
      <c r="C379" s="134" t="s">
        <v>4298</v>
      </c>
      <c r="D379" s="134" t="s">
        <v>4297</v>
      </c>
      <c r="E379" s="139">
        <v>0.18</v>
      </c>
      <c r="F379" s="134" t="s">
        <v>4296</v>
      </c>
      <c r="G379" s="134" t="s">
        <v>3007</v>
      </c>
      <c r="H379" s="123">
        <v>1018</v>
      </c>
    </row>
    <row r="380" spans="1:8" ht="31.5" x14ac:dyDescent="0.25">
      <c r="A380" s="134" t="s">
        <v>4227</v>
      </c>
      <c r="B380" s="134" t="s">
        <v>4295</v>
      </c>
      <c r="C380" s="134" t="s">
        <v>4294</v>
      </c>
      <c r="D380" s="134" t="s">
        <v>4293</v>
      </c>
      <c r="E380" s="139">
        <v>3.83</v>
      </c>
      <c r="F380" s="134" t="s">
        <v>4292</v>
      </c>
      <c r="G380" s="134" t="s">
        <v>3007</v>
      </c>
      <c r="H380" s="123">
        <v>1019</v>
      </c>
    </row>
    <row r="381" spans="1:8" ht="31.5" x14ac:dyDescent="0.25">
      <c r="A381" s="134" t="s">
        <v>4227</v>
      </c>
      <c r="B381" s="134" t="s">
        <v>4291</v>
      </c>
      <c r="C381" s="134" t="s">
        <v>4290</v>
      </c>
      <c r="D381" s="134" t="s">
        <v>4289</v>
      </c>
      <c r="E381" s="139">
        <v>1.68</v>
      </c>
      <c r="F381" s="134" t="s">
        <v>4288</v>
      </c>
      <c r="G381" s="134" t="s">
        <v>3007</v>
      </c>
      <c r="H381" s="123">
        <v>1020</v>
      </c>
    </row>
    <row r="382" spans="1:8" ht="31.5" x14ac:dyDescent="0.25">
      <c r="A382" s="134" t="s">
        <v>4227</v>
      </c>
      <c r="B382" s="134" t="s">
        <v>4287</v>
      </c>
      <c r="C382" s="134" t="s">
        <v>4286</v>
      </c>
      <c r="D382" s="134" t="s">
        <v>4285</v>
      </c>
      <c r="E382" s="139">
        <v>3.95</v>
      </c>
      <c r="F382" s="134" t="s">
        <v>4284</v>
      </c>
      <c r="G382" s="134" t="s">
        <v>3007</v>
      </c>
      <c r="H382" s="123">
        <v>1021</v>
      </c>
    </row>
    <row r="383" spans="1:8" ht="31.5" x14ac:dyDescent="0.25">
      <c r="A383" s="134" t="s">
        <v>4227</v>
      </c>
      <c r="B383" s="134" t="s">
        <v>4283</v>
      </c>
      <c r="C383" s="134" t="s">
        <v>4282</v>
      </c>
      <c r="D383" s="134" t="s">
        <v>4281</v>
      </c>
      <c r="E383" s="139">
        <v>3.22</v>
      </c>
      <c r="F383" s="134" t="s">
        <v>4280</v>
      </c>
      <c r="G383" s="134" t="s">
        <v>3007</v>
      </c>
      <c r="H383" s="123">
        <v>1022</v>
      </c>
    </row>
    <row r="384" spans="1:8" ht="31.5" x14ac:dyDescent="0.25">
      <c r="A384" s="134" t="s">
        <v>4227</v>
      </c>
      <c r="B384" s="134" t="s">
        <v>4279</v>
      </c>
      <c r="C384" s="134" t="s">
        <v>4278</v>
      </c>
      <c r="D384" s="134" t="s">
        <v>4277</v>
      </c>
      <c r="E384" s="139">
        <v>7.05</v>
      </c>
      <c r="F384" s="134" t="s">
        <v>4276</v>
      </c>
      <c r="G384" s="134" t="s">
        <v>3007</v>
      </c>
      <c r="H384" s="123">
        <v>1023</v>
      </c>
    </row>
    <row r="385" spans="1:8" ht="31.5" x14ac:dyDescent="0.25">
      <c r="A385" s="134" t="s">
        <v>4227</v>
      </c>
      <c r="B385" s="134" t="s">
        <v>4275</v>
      </c>
      <c r="C385" s="134" t="s">
        <v>4274</v>
      </c>
      <c r="D385" s="134" t="s">
        <v>4273</v>
      </c>
      <c r="E385" s="139">
        <v>0.21</v>
      </c>
      <c r="F385" s="134" t="s">
        <v>4272</v>
      </c>
      <c r="G385" s="134" t="s">
        <v>3007</v>
      </c>
      <c r="H385" s="123">
        <v>1024</v>
      </c>
    </row>
    <row r="386" spans="1:8" ht="31.5" x14ac:dyDescent="0.25">
      <c r="A386" s="134" t="s">
        <v>4227</v>
      </c>
      <c r="B386" s="134" t="s">
        <v>4271</v>
      </c>
      <c r="C386" s="134" t="s">
        <v>4270</v>
      </c>
      <c r="D386" s="134" t="s">
        <v>4269</v>
      </c>
      <c r="E386" s="139">
        <v>6.29</v>
      </c>
      <c r="F386" s="134" t="s">
        <v>4268</v>
      </c>
      <c r="G386" s="134" t="s">
        <v>3007</v>
      </c>
      <c r="H386" s="123">
        <v>1026</v>
      </c>
    </row>
    <row r="387" spans="1:8" ht="31.5" x14ac:dyDescent="0.25">
      <c r="A387" s="134" t="s">
        <v>4227</v>
      </c>
      <c r="B387" s="134" t="s">
        <v>4267</v>
      </c>
      <c r="C387" s="134" t="s">
        <v>4266</v>
      </c>
      <c r="D387" s="134" t="s">
        <v>4265</v>
      </c>
      <c r="E387" s="139">
        <v>4.7</v>
      </c>
      <c r="F387" s="134" t="s">
        <v>4264</v>
      </c>
      <c r="G387" s="134" t="s">
        <v>3007</v>
      </c>
      <c r="H387" s="123">
        <v>1027</v>
      </c>
    </row>
    <row r="388" spans="1:8" ht="31.5" x14ac:dyDescent="0.25">
      <c r="A388" s="134" t="s">
        <v>4227</v>
      </c>
      <c r="B388" s="134" t="s">
        <v>4263</v>
      </c>
      <c r="C388" s="134" t="s">
        <v>4262</v>
      </c>
      <c r="D388" s="134" t="s">
        <v>4261</v>
      </c>
      <c r="E388" s="139">
        <v>16.760000000000002</v>
      </c>
      <c r="F388" s="134" t="s">
        <v>4260</v>
      </c>
      <c r="G388" s="134" t="s">
        <v>3007</v>
      </c>
      <c r="H388" s="123">
        <v>1028</v>
      </c>
    </row>
    <row r="389" spans="1:8" ht="31.5" x14ac:dyDescent="0.25">
      <c r="A389" s="134" t="s">
        <v>4227</v>
      </c>
      <c r="B389" s="134" t="s">
        <v>4259</v>
      </c>
      <c r="C389" s="134" t="s">
        <v>4258</v>
      </c>
      <c r="D389" s="134" t="s">
        <v>4257</v>
      </c>
      <c r="E389" s="139">
        <v>8.3800000000000008</v>
      </c>
      <c r="F389" s="134" t="s">
        <v>4256</v>
      </c>
      <c r="G389" s="134" t="s">
        <v>3007</v>
      </c>
      <c r="H389" s="123">
        <v>1029</v>
      </c>
    </row>
    <row r="390" spans="1:8" ht="31.5" x14ac:dyDescent="0.25">
      <c r="A390" s="134" t="s">
        <v>4227</v>
      </c>
      <c r="B390" s="134" t="s">
        <v>4255</v>
      </c>
      <c r="C390" s="134" t="s">
        <v>4254</v>
      </c>
      <c r="D390" s="134" t="s">
        <v>4253</v>
      </c>
      <c r="E390" s="139">
        <v>5.07</v>
      </c>
      <c r="F390" s="134" t="s">
        <v>4252</v>
      </c>
      <c r="G390" s="134" t="s">
        <v>3007</v>
      </c>
      <c r="H390" s="123">
        <v>1030</v>
      </c>
    </row>
    <row r="391" spans="1:8" ht="31.5" x14ac:dyDescent="0.25">
      <c r="A391" s="134" t="s">
        <v>4227</v>
      </c>
      <c r="B391" s="134" t="s">
        <v>4251</v>
      </c>
      <c r="C391" s="134" t="s">
        <v>4250</v>
      </c>
      <c r="D391" s="134" t="s">
        <v>4249</v>
      </c>
      <c r="E391" s="139">
        <v>0.78</v>
      </c>
      <c r="F391" s="134" t="s">
        <v>4248</v>
      </c>
      <c r="G391" s="134" t="s">
        <v>3007</v>
      </c>
      <c r="H391" s="123">
        <v>1031</v>
      </c>
    </row>
    <row r="392" spans="1:8" ht="31.5" x14ac:dyDescent="0.25">
      <c r="A392" s="134" t="s">
        <v>4227</v>
      </c>
      <c r="B392" s="134" t="s">
        <v>4247</v>
      </c>
      <c r="C392" s="134" t="s">
        <v>4246</v>
      </c>
      <c r="D392" s="134" t="s">
        <v>4245</v>
      </c>
      <c r="E392" s="139">
        <v>16.93</v>
      </c>
      <c r="F392" s="134" t="s">
        <v>4244</v>
      </c>
      <c r="G392" s="134" t="s">
        <v>3007</v>
      </c>
      <c r="H392" s="123">
        <v>1032</v>
      </c>
    </row>
    <row r="393" spans="1:8" ht="31.5" x14ac:dyDescent="0.25">
      <c r="A393" s="134" t="s">
        <v>4227</v>
      </c>
      <c r="B393" s="134" t="s">
        <v>4243</v>
      </c>
      <c r="C393" s="134" t="s">
        <v>4242</v>
      </c>
      <c r="D393" s="134" t="s">
        <v>4241</v>
      </c>
      <c r="E393" s="139">
        <v>1.85</v>
      </c>
      <c r="F393" s="134" t="s">
        <v>4240</v>
      </c>
      <c r="G393" s="134" t="s">
        <v>3007</v>
      </c>
      <c r="H393" s="123">
        <v>1033</v>
      </c>
    </row>
    <row r="394" spans="1:8" ht="31.5" x14ac:dyDescent="0.25">
      <c r="A394" s="134" t="s">
        <v>4227</v>
      </c>
      <c r="B394" s="134" t="s">
        <v>4239</v>
      </c>
      <c r="C394" s="134" t="s">
        <v>4238</v>
      </c>
      <c r="D394" s="134" t="s">
        <v>4237</v>
      </c>
      <c r="E394" s="139">
        <v>4.96</v>
      </c>
      <c r="F394" s="134" t="s">
        <v>4236</v>
      </c>
      <c r="G394" s="134" t="s">
        <v>3007</v>
      </c>
      <c r="H394" s="123">
        <v>1034</v>
      </c>
    </row>
    <row r="395" spans="1:8" ht="31.5" x14ac:dyDescent="0.25">
      <c r="A395" s="134" t="s">
        <v>4227</v>
      </c>
      <c r="B395" s="134" t="s">
        <v>4235</v>
      </c>
      <c r="C395" s="134" t="s">
        <v>4234</v>
      </c>
      <c r="D395" s="134" t="s">
        <v>4233</v>
      </c>
      <c r="E395" s="139">
        <v>1.68</v>
      </c>
      <c r="F395" s="134" t="s">
        <v>4232</v>
      </c>
      <c r="G395" s="134" t="s">
        <v>3007</v>
      </c>
      <c r="H395" s="123">
        <v>1035</v>
      </c>
    </row>
    <row r="396" spans="1:8" ht="31.5" x14ac:dyDescent="0.25">
      <c r="A396" s="134" t="s">
        <v>4227</v>
      </c>
      <c r="B396" s="134" t="s">
        <v>4231</v>
      </c>
      <c r="C396" s="134" t="s">
        <v>4230</v>
      </c>
      <c r="D396" s="134" t="s">
        <v>4229</v>
      </c>
      <c r="E396" s="139">
        <v>1.68</v>
      </c>
      <c r="F396" s="134" t="s">
        <v>4228</v>
      </c>
      <c r="G396" s="134" t="s">
        <v>3007</v>
      </c>
      <c r="H396" s="123">
        <v>1036</v>
      </c>
    </row>
    <row r="397" spans="1:8" ht="31.5" x14ac:dyDescent="0.25">
      <c r="A397" s="134" t="s">
        <v>4227</v>
      </c>
      <c r="B397" s="134" t="s">
        <v>4226</v>
      </c>
      <c r="C397" s="134" t="s">
        <v>4225</v>
      </c>
      <c r="D397" s="134" t="s">
        <v>4224</v>
      </c>
      <c r="E397" s="139">
        <v>6.94</v>
      </c>
      <c r="F397" s="134" t="s">
        <v>4223</v>
      </c>
      <c r="G397" s="134" t="s">
        <v>3007</v>
      </c>
      <c r="H397" s="123">
        <v>1037</v>
      </c>
    </row>
    <row r="398" spans="1:8" s="195" customFormat="1" x14ac:dyDescent="0.25">
      <c r="A398" s="193"/>
      <c r="B398" s="193"/>
      <c r="C398" s="193" t="s">
        <v>5691</v>
      </c>
      <c r="D398" s="193" t="s">
        <v>14412</v>
      </c>
      <c r="E398" s="194">
        <f>SUM(E270:E397)</f>
        <v>1000.2300000000002</v>
      </c>
      <c r="F398" s="193"/>
      <c r="G398" s="193"/>
      <c r="H398" s="123"/>
    </row>
    <row r="399" spans="1:8" x14ac:dyDescent="0.25">
      <c r="A399" s="134"/>
      <c r="B399" s="134"/>
      <c r="C399" s="134"/>
      <c r="D399" s="134"/>
      <c r="E399" s="139"/>
      <c r="F399" s="134"/>
      <c r="G399" s="134"/>
      <c r="H399" s="123"/>
    </row>
    <row r="400" spans="1:8" ht="31.5" x14ac:dyDescent="0.25">
      <c r="A400" s="134" t="s">
        <v>4146</v>
      </c>
      <c r="B400" s="134" t="s">
        <v>4222</v>
      </c>
      <c r="C400" s="134" t="s">
        <v>4221</v>
      </c>
      <c r="D400" s="134" t="s">
        <v>4220</v>
      </c>
      <c r="E400" s="139">
        <v>5.22</v>
      </c>
      <c r="F400" s="134" t="s">
        <v>4219</v>
      </c>
      <c r="G400" s="134" t="s">
        <v>3007</v>
      </c>
      <c r="H400" s="123">
        <v>1075</v>
      </c>
    </row>
    <row r="401" spans="1:8" ht="31.5" x14ac:dyDescent="0.25">
      <c r="A401" s="134" t="s">
        <v>4146</v>
      </c>
      <c r="B401" s="134" t="s">
        <v>4218</v>
      </c>
      <c r="C401" s="134" t="s">
        <v>4217</v>
      </c>
      <c r="D401" s="134" t="s">
        <v>4216</v>
      </c>
      <c r="E401" s="139">
        <v>2.7</v>
      </c>
      <c r="F401" s="134" t="s">
        <v>4215</v>
      </c>
      <c r="G401" s="134" t="s">
        <v>3007</v>
      </c>
      <c r="H401" s="123">
        <v>1076</v>
      </c>
    </row>
    <row r="402" spans="1:8" ht="31.5" x14ac:dyDescent="0.25">
      <c r="A402" s="134" t="s">
        <v>4146</v>
      </c>
      <c r="B402" s="134" t="s">
        <v>4214</v>
      </c>
      <c r="C402" s="134" t="s">
        <v>4213</v>
      </c>
      <c r="D402" s="134" t="s">
        <v>4212</v>
      </c>
      <c r="E402" s="139">
        <v>11.54</v>
      </c>
      <c r="F402" s="134" t="s">
        <v>4211</v>
      </c>
      <c r="G402" s="134" t="s">
        <v>3007</v>
      </c>
      <c r="H402" s="123">
        <v>1077</v>
      </c>
    </row>
    <row r="403" spans="1:8" ht="31.5" x14ac:dyDescent="0.25">
      <c r="A403" s="134" t="s">
        <v>4146</v>
      </c>
      <c r="B403" s="134" t="s">
        <v>4210</v>
      </c>
      <c r="C403" s="134" t="s">
        <v>4209</v>
      </c>
      <c r="D403" s="134" t="s">
        <v>4208</v>
      </c>
      <c r="E403" s="139">
        <v>3.48</v>
      </c>
      <c r="F403" s="134" t="s">
        <v>4207</v>
      </c>
      <c r="G403" s="134" t="s">
        <v>3007</v>
      </c>
      <c r="H403" s="123">
        <v>1078</v>
      </c>
    </row>
    <row r="404" spans="1:8" ht="31.5" x14ac:dyDescent="0.25">
      <c r="A404" s="134" t="s">
        <v>4146</v>
      </c>
      <c r="B404" s="134" t="s">
        <v>4206</v>
      </c>
      <c r="C404" s="134" t="s">
        <v>4205</v>
      </c>
      <c r="D404" s="134" t="s">
        <v>4204</v>
      </c>
      <c r="E404" s="139">
        <v>14.06</v>
      </c>
      <c r="F404" s="134" t="s">
        <v>4203</v>
      </c>
      <c r="G404" s="134" t="s">
        <v>3007</v>
      </c>
      <c r="H404" s="123">
        <v>1079</v>
      </c>
    </row>
    <row r="405" spans="1:8" ht="31.5" x14ac:dyDescent="0.25">
      <c r="A405" s="134" t="s">
        <v>4146</v>
      </c>
      <c r="B405" s="134" t="s">
        <v>4202</v>
      </c>
      <c r="C405" s="134" t="s">
        <v>4201</v>
      </c>
      <c r="D405" s="134" t="s">
        <v>4200</v>
      </c>
      <c r="E405" s="139">
        <v>9.7200000000000006</v>
      </c>
      <c r="F405" s="134" t="s">
        <v>4199</v>
      </c>
      <c r="G405" s="134" t="s">
        <v>3007</v>
      </c>
      <c r="H405" s="123">
        <v>1080</v>
      </c>
    </row>
    <row r="406" spans="1:8" ht="31.5" x14ac:dyDescent="0.25">
      <c r="A406" s="134" t="s">
        <v>4146</v>
      </c>
      <c r="B406" s="134" t="s">
        <v>4198</v>
      </c>
      <c r="C406" s="134" t="s">
        <v>4197</v>
      </c>
      <c r="D406" s="134" t="s">
        <v>4196</v>
      </c>
      <c r="E406" s="139">
        <v>7.85</v>
      </c>
      <c r="F406" s="134" t="s">
        <v>4195</v>
      </c>
      <c r="G406" s="134" t="s">
        <v>3007</v>
      </c>
      <c r="H406" s="123">
        <v>1081</v>
      </c>
    </row>
    <row r="407" spans="1:8" ht="31.5" x14ac:dyDescent="0.25">
      <c r="A407" s="134" t="s">
        <v>4146</v>
      </c>
      <c r="B407" s="134" t="s">
        <v>4194</v>
      </c>
      <c r="C407" s="134" t="s">
        <v>4193</v>
      </c>
      <c r="D407" s="134" t="s">
        <v>4192</v>
      </c>
      <c r="E407" s="139">
        <v>6.98</v>
      </c>
      <c r="F407" s="134" t="s">
        <v>4191</v>
      </c>
      <c r="G407" s="134" t="s">
        <v>3007</v>
      </c>
      <c r="H407" s="123">
        <v>1082</v>
      </c>
    </row>
    <row r="408" spans="1:8" ht="31.5" x14ac:dyDescent="0.25">
      <c r="A408" s="134" t="s">
        <v>4146</v>
      </c>
      <c r="B408" s="134" t="s">
        <v>4190</v>
      </c>
      <c r="C408" s="134" t="s">
        <v>4189</v>
      </c>
      <c r="D408" s="134" t="s">
        <v>4188</v>
      </c>
      <c r="E408" s="139">
        <v>6.94</v>
      </c>
      <c r="F408" s="134" t="s">
        <v>4187</v>
      </c>
      <c r="G408" s="134" t="s">
        <v>3007</v>
      </c>
      <c r="H408" s="123">
        <v>1083</v>
      </c>
    </row>
    <row r="409" spans="1:8" ht="31.5" x14ac:dyDescent="0.25">
      <c r="A409" s="134" t="s">
        <v>4146</v>
      </c>
      <c r="B409" s="134" t="s">
        <v>4186</v>
      </c>
      <c r="C409" s="134" t="s">
        <v>4185</v>
      </c>
      <c r="D409" s="134" t="s">
        <v>4184</v>
      </c>
      <c r="E409" s="139">
        <v>3.19</v>
      </c>
      <c r="F409" s="134" t="s">
        <v>4183</v>
      </c>
      <c r="G409" s="134" t="s">
        <v>3007</v>
      </c>
      <c r="H409" s="123">
        <v>1084</v>
      </c>
    </row>
    <row r="410" spans="1:8" ht="31.5" x14ac:dyDescent="0.25">
      <c r="A410" s="134" t="s">
        <v>4146</v>
      </c>
      <c r="B410" s="134" t="s">
        <v>4182</v>
      </c>
      <c r="C410" s="134" t="s">
        <v>4181</v>
      </c>
      <c r="D410" s="134" t="s">
        <v>4180</v>
      </c>
      <c r="E410" s="139">
        <v>20.82</v>
      </c>
      <c r="F410" s="134" t="s">
        <v>4179</v>
      </c>
      <c r="G410" s="134" t="s">
        <v>3007</v>
      </c>
      <c r="H410" s="123">
        <v>1085</v>
      </c>
    </row>
    <row r="411" spans="1:8" ht="31.5" x14ac:dyDescent="0.25">
      <c r="A411" s="134" t="s">
        <v>4146</v>
      </c>
      <c r="B411" s="134" t="s">
        <v>4178</v>
      </c>
      <c r="C411" s="134" t="s">
        <v>4177</v>
      </c>
      <c r="D411" s="134" t="s">
        <v>4176</v>
      </c>
      <c r="E411" s="139">
        <v>2.35</v>
      </c>
      <c r="F411" s="134" t="s">
        <v>4175</v>
      </c>
      <c r="G411" s="134" t="s">
        <v>3007</v>
      </c>
      <c r="H411" s="123">
        <v>1086</v>
      </c>
    </row>
    <row r="412" spans="1:8" ht="31.5" x14ac:dyDescent="0.25">
      <c r="A412" s="134" t="s">
        <v>4146</v>
      </c>
      <c r="B412" s="134" t="s">
        <v>4174</v>
      </c>
      <c r="C412" s="134" t="s">
        <v>4173</v>
      </c>
      <c r="D412" s="134" t="s">
        <v>4172</v>
      </c>
      <c r="E412" s="139">
        <v>3.42</v>
      </c>
      <c r="F412" s="134" t="s">
        <v>4171</v>
      </c>
      <c r="G412" s="134" t="s">
        <v>3007</v>
      </c>
      <c r="H412" s="123">
        <v>1087</v>
      </c>
    </row>
    <row r="413" spans="1:8" ht="31.5" x14ac:dyDescent="0.25">
      <c r="A413" s="134" t="s">
        <v>4146</v>
      </c>
      <c r="B413" s="134" t="s">
        <v>4170</v>
      </c>
      <c r="C413" s="134" t="s">
        <v>4169</v>
      </c>
      <c r="D413" s="134" t="s">
        <v>4168</v>
      </c>
      <c r="E413" s="139">
        <v>6.92</v>
      </c>
      <c r="F413" s="134" t="s">
        <v>4167</v>
      </c>
      <c r="G413" s="134" t="s">
        <v>3007</v>
      </c>
      <c r="H413" s="123">
        <v>1088</v>
      </c>
    </row>
    <row r="414" spans="1:8" ht="31.5" x14ac:dyDescent="0.25">
      <c r="A414" s="134" t="s">
        <v>4146</v>
      </c>
      <c r="B414" s="134" t="s">
        <v>4166</v>
      </c>
      <c r="C414" s="134" t="s">
        <v>4165</v>
      </c>
      <c r="D414" s="134" t="s">
        <v>4164</v>
      </c>
      <c r="E414" s="139">
        <v>2.96</v>
      </c>
      <c r="F414" s="134" t="s">
        <v>4163</v>
      </c>
      <c r="G414" s="134" t="s">
        <v>3007</v>
      </c>
      <c r="H414" s="123">
        <v>1089</v>
      </c>
    </row>
    <row r="415" spans="1:8" ht="31.5" x14ac:dyDescent="0.25">
      <c r="A415" s="134" t="s">
        <v>4146</v>
      </c>
      <c r="B415" s="134" t="s">
        <v>4162</v>
      </c>
      <c r="C415" s="134" t="s">
        <v>4161</v>
      </c>
      <c r="D415" s="134" t="s">
        <v>4160</v>
      </c>
      <c r="E415" s="139">
        <v>7.28</v>
      </c>
      <c r="F415" s="134" t="s">
        <v>4159</v>
      </c>
      <c r="G415" s="134" t="s">
        <v>3007</v>
      </c>
      <c r="H415" s="123">
        <v>1090</v>
      </c>
    </row>
    <row r="416" spans="1:8" ht="31.5" x14ac:dyDescent="0.25">
      <c r="A416" s="134" t="s">
        <v>4146</v>
      </c>
      <c r="B416" s="134" t="s">
        <v>4158</v>
      </c>
      <c r="C416" s="134" t="s">
        <v>4157</v>
      </c>
      <c r="D416" s="134" t="s">
        <v>4156</v>
      </c>
      <c r="E416" s="139">
        <v>5.35</v>
      </c>
      <c r="F416" s="134" t="s">
        <v>4155</v>
      </c>
      <c r="G416" s="134" t="s">
        <v>3007</v>
      </c>
      <c r="H416" s="123">
        <v>1091</v>
      </c>
    </row>
    <row r="417" spans="1:8" ht="31.5" x14ac:dyDescent="0.25">
      <c r="A417" s="134" t="s">
        <v>4146</v>
      </c>
      <c r="B417" s="134" t="s">
        <v>4154</v>
      </c>
      <c r="C417" s="134" t="s">
        <v>4153</v>
      </c>
      <c r="D417" s="134" t="s">
        <v>4152</v>
      </c>
      <c r="E417" s="139">
        <v>5.18</v>
      </c>
      <c r="F417" s="134" t="s">
        <v>4151</v>
      </c>
      <c r="G417" s="134" t="s">
        <v>3007</v>
      </c>
      <c r="H417" s="123">
        <v>1092</v>
      </c>
    </row>
    <row r="418" spans="1:8" ht="31.5" x14ac:dyDescent="0.25">
      <c r="A418" s="134" t="s">
        <v>4146</v>
      </c>
      <c r="B418" s="134" t="s">
        <v>4150</v>
      </c>
      <c r="C418" s="134" t="s">
        <v>4149</v>
      </c>
      <c r="D418" s="134" t="s">
        <v>4148</v>
      </c>
      <c r="E418" s="139">
        <v>5.92</v>
      </c>
      <c r="F418" s="134" t="s">
        <v>4147</v>
      </c>
      <c r="G418" s="134" t="s">
        <v>3007</v>
      </c>
      <c r="H418" s="123">
        <v>1093</v>
      </c>
    </row>
    <row r="419" spans="1:8" ht="31.5" x14ac:dyDescent="0.25">
      <c r="A419" s="134" t="s">
        <v>4146</v>
      </c>
      <c r="B419" s="134" t="s">
        <v>4145</v>
      </c>
      <c r="C419" s="134" t="s">
        <v>4144</v>
      </c>
      <c r="D419" s="134" t="s">
        <v>4143</v>
      </c>
      <c r="E419" s="139">
        <v>6.56</v>
      </c>
      <c r="F419" s="134" t="s">
        <v>4142</v>
      </c>
      <c r="G419" s="134" t="s">
        <v>3007</v>
      </c>
      <c r="H419" s="123">
        <v>1094</v>
      </c>
    </row>
    <row r="420" spans="1:8" ht="31.5" x14ac:dyDescent="0.25">
      <c r="A420" s="134" t="s">
        <v>4102</v>
      </c>
      <c r="B420" s="134" t="s">
        <v>4141</v>
      </c>
      <c r="C420" s="134" t="s">
        <v>4140</v>
      </c>
      <c r="D420" s="134" t="s">
        <v>4139</v>
      </c>
      <c r="E420" s="139">
        <v>4.3099999999999996</v>
      </c>
      <c r="F420" s="134" t="s">
        <v>4135</v>
      </c>
      <c r="G420" s="134" t="s">
        <v>3007</v>
      </c>
      <c r="H420" s="123">
        <v>1095</v>
      </c>
    </row>
    <row r="421" spans="1:8" ht="31.5" x14ac:dyDescent="0.25">
      <c r="A421" s="134" t="s">
        <v>4102</v>
      </c>
      <c r="B421" s="134" t="s">
        <v>4138</v>
      </c>
      <c r="C421" s="134" t="s">
        <v>4137</v>
      </c>
      <c r="D421" s="134" t="s">
        <v>4136</v>
      </c>
      <c r="E421" s="139">
        <v>4.12</v>
      </c>
      <c r="F421" s="134" t="s">
        <v>4135</v>
      </c>
      <c r="G421" s="134" t="s">
        <v>3007</v>
      </c>
      <c r="H421" s="123">
        <v>1096</v>
      </c>
    </row>
    <row r="422" spans="1:8" ht="31.5" x14ac:dyDescent="0.25">
      <c r="A422" s="134" t="s">
        <v>4102</v>
      </c>
      <c r="B422" s="134" t="s">
        <v>4134</v>
      </c>
      <c r="C422" s="134" t="s">
        <v>4133</v>
      </c>
      <c r="D422" s="134" t="s">
        <v>4132</v>
      </c>
      <c r="E422" s="139">
        <v>0.12</v>
      </c>
      <c r="F422" s="134" t="s">
        <v>4131</v>
      </c>
      <c r="G422" s="134" t="s">
        <v>3007</v>
      </c>
      <c r="H422" s="123">
        <v>1097</v>
      </c>
    </row>
    <row r="423" spans="1:8" ht="31.5" x14ac:dyDescent="0.25">
      <c r="A423" s="134" t="s">
        <v>4102</v>
      </c>
      <c r="B423" s="134" t="s">
        <v>4130</v>
      </c>
      <c r="C423" s="134" t="s">
        <v>4129</v>
      </c>
      <c r="D423" s="134" t="s">
        <v>4128</v>
      </c>
      <c r="E423" s="139">
        <v>5.18</v>
      </c>
      <c r="F423" s="134" t="s">
        <v>4127</v>
      </c>
      <c r="G423" s="134" t="s">
        <v>3007</v>
      </c>
      <c r="H423" s="123">
        <v>1098</v>
      </c>
    </row>
    <row r="424" spans="1:8" ht="31.5" x14ac:dyDescent="0.25">
      <c r="A424" s="134" t="s">
        <v>4102</v>
      </c>
      <c r="B424" s="134" t="s">
        <v>4126</v>
      </c>
      <c r="C424" s="134" t="s">
        <v>4125</v>
      </c>
      <c r="D424" s="134" t="s">
        <v>4124</v>
      </c>
      <c r="E424" s="139">
        <v>4.7</v>
      </c>
      <c r="F424" s="134" t="s">
        <v>4123</v>
      </c>
      <c r="G424" s="134" t="s">
        <v>3007</v>
      </c>
      <c r="H424" s="123">
        <v>1099</v>
      </c>
    </row>
    <row r="425" spans="1:8" ht="31.5" x14ac:dyDescent="0.25">
      <c r="A425" s="134" t="s">
        <v>4102</v>
      </c>
      <c r="B425" s="134" t="s">
        <v>4122</v>
      </c>
      <c r="C425" s="134" t="s">
        <v>4121</v>
      </c>
      <c r="D425" s="134" t="s">
        <v>4120</v>
      </c>
      <c r="E425" s="139">
        <v>17.899999999999999</v>
      </c>
      <c r="F425" s="134" t="s">
        <v>4119</v>
      </c>
      <c r="G425" s="134" t="s">
        <v>3007</v>
      </c>
      <c r="H425" s="123">
        <v>1100</v>
      </c>
    </row>
    <row r="426" spans="1:8" ht="31.5" x14ac:dyDescent="0.25">
      <c r="A426" s="134" t="s">
        <v>4102</v>
      </c>
      <c r="B426" s="134" t="s">
        <v>4118</v>
      </c>
      <c r="C426" s="134" t="s">
        <v>4117</v>
      </c>
      <c r="D426" s="134" t="s">
        <v>4116</v>
      </c>
      <c r="E426" s="139">
        <v>7.17</v>
      </c>
      <c r="F426" s="134" t="s">
        <v>4115</v>
      </c>
      <c r="G426" s="134" t="s">
        <v>3007</v>
      </c>
      <c r="H426" s="123">
        <v>1101</v>
      </c>
    </row>
    <row r="427" spans="1:8" ht="31.5" x14ac:dyDescent="0.25">
      <c r="A427" s="134" t="s">
        <v>4102</v>
      </c>
      <c r="B427" s="134" t="s">
        <v>4114</v>
      </c>
      <c r="C427" s="134" t="s">
        <v>4113</v>
      </c>
      <c r="D427" s="134" t="s">
        <v>4112</v>
      </c>
      <c r="E427" s="139">
        <v>3.58</v>
      </c>
      <c r="F427" s="134" t="s">
        <v>4111</v>
      </c>
      <c r="G427" s="134" t="s">
        <v>3007</v>
      </c>
      <c r="H427" s="123">
        <v>1102</v>
      </c>
    </row>
    <row r="428" spans="1:8" ht="31.5" x14ac:dyDescent="0.25">
      <c r="A428" s="134" t="s">
        <v>4102</v>
      </c>
      <c r="B428" s="134" t="s">
        <v>4110</v>
      </c>
      <c r="C428" s="134" t="s">
        <v>4109</v>
      </c>
      <c r="D428" s="134" t="s">
        <v>4108</v>
      </c>
      <c r="E428" s="139">
        <v>4.0199999999999996</v>
      </c>
      <c r="F428" s="134" t="s">
        <v>4107</v>
      </c>
      <c r="G428" s="134" t="s">
        <v>3007</v>
      </c>
      <c r="H428" s="123">
        <v>1104</v>
      </c>
    </row>
    <row r="429" spans="1:8" ht="31.5" x14ac:dyDescent="0.25">
      <c r="A429" s="134" t="s">
        <v>4102</v>
      </c>
      <c r="B429" s="134" t="s">
        <v>4106</v>
      </c>
      <c r="C429" s="134" t="s">
        <v>4105</v>
      </c>
      <c r="D429" s="134" t="s">
        <v>4104</v>
      </c>
      <c r="E429" s="139">
        <v>15.68</v>
      </c>
      <c r="F429" s="134" t="s">
        <v>4103</v>
      </c>
      <c r="G429" s="134" t="s">
        <v>3007</v>
      </c>
      <c r="H429" s="123">
        <v>1106</v>
      </c>
    </row>
    <row r="430" spans="1:8" ht="31.5" x14ac:dyDescent="0.25">
      <c r="A430" s="134" t="s">
        <v>4102</v>
      </c>
      <c r="B430" s="134" t="s">
        <v>4101</v>
      </c>
      <c r="C430" s="134" t="s">
        <v>4100</v>
      </c>
      <c r="D430" s="134" t="s">
        <v>4099</v>
      </c>
      <c r="E430" s="139">
        <v>12.49</v>
      </c>
      <c r="F430" s="134" t="s">
        <v>4098</v>
      </c>
      <c r="G430" s="134" t="s">
        <v>3007</v>
      </c>
      <c r="H430" s="123">
        <v>1107</v>
      </c>
    </row>
    <row r="431" spans="1:8" ht="31.5" x14ac:dyDescent="0.25">
      <c r="A431" s="134" t="s">
        <v>4067</v>
      </c>
      <c r="B431" s="134" t="s">
        <v>4097</v>
      </c>
      <c r="C431" s="134" t="s">
        <v>4096</v>
      </c>
      <c r="D431" s="134" t="s">
        <v>4095</v>
      </c>
      <c r="E431" s="139">
        <v>6.35</v>
      </c>
      <c r="F431" s="134" t="s">
        <v>4094</v>
      </c>
      <c r="G431" s="134" t="s">
        <v>3007</v>
      </c>
      <c r="H431" s="123">
        <v>1108</v>
      </c>
    </row>
    <row r="432" spans="1:8" ht="31.5" x14ac:dyDescent="0.25">
      <c r="A432" s="134" t="s">
        <v>4067</v>
      </c>
      <c r="B432" s="134" t="s">
        <v>4093</v>
      </c>
      <c r="C432" s="134" t="s">
        <v>4092</v>
      </c>
      <c r="D432" s="134" t="s">
        <v>4091</v>
      </c>
      <c r="E432" s="139">
        <v>0.08</v>
      </c>
      <c r="F432" s="134" t="s">
        <v>4090</v>
      </c>
      <c r="G432" s="134" t="s">
        <v>3007</v>
      </c>
      <c r="H432" s="123">
        <v>1109</v>
      </c>
    </row>
    <row r="433" spans="1:8" ht="31.5" x14ac:dyDescent="0.25">
      <c r="A433" s="135" t="s">
        <v>4067</v>
      </c>
      <c r="B433" s="135" t="s">
        <v>4089</v>
      </c>
      <c r="C433" s="135" t="s">
        <v>4088</v>
      </c>
      <c r="D433" s="135" t="s">
        <v>3329</v>
      </c>
      <c r="E433" s="140">
        <v>2.63</v>
      </c>
      <c r="F433" s="135" t="s">
        <v>3328</v>
      </c>
      <c r="G433" s="135" t="s">
        <v>3007</v>
      </c>
      <c r="H433" s="124">
        <v>1110</v>
      </c>
    </row>
    <row r="434" spans="1:8" ht="31.5" x14ac:dyDescent="0.25">
      <c r="A434" s="136" t="s">
        <v>4067</v>
      </c>
      <c r="B434" s="136" t="s">
        <v>4087</v>
      </c>
      <c r="C434" s="136" t="s">
        <v>4086</v>
      </c>
      <c r="D434" s="136" t="s">
        <v>4085</v>
      </c>
      <c r="E434" s="141">
        <v>7.82</v>
      </c>
      <c r="F434" s="136" t="s">
        <v>4084</v>
      </c>
      <c r="G434" s="136" t="s">
        <v>3007</v>
      </c>
      <c r="H434" s="123">
        <v>1111</v>
      </c>
    </row>
    <row r="435" spans="1:8" ht="31.5" x14ac:dyDescent="0.25">
      <c r="A435" s="136" t="s">
        <v>4067</v>
      </c>
      <c r="B435" s="136" t="s">
        <v>4083</v>
      </c>
      <c r="C435" s="136" t="s">
        <v>4082</v>
      </c>
      <c r="D435" s="136" t="s">
        <v>4081</v>
      </c>
      <c r="E435" s="141">
        <v>9.82</v>
      </c>
      <c r="F435" s="136" t="s">
        <v>4080</v>
      </c>
      <c r="G435" s="136" t="s">
        <v>3007</v>
      </c>
      <c r="H435" s="123">
        <v>1112</v>
      </c>
    </row>
    <row r="436" spans="1:8" ht="31.5" x14ac:dyDescent="0.25">
      <c r="A436" s="136" t="s">
        <v>4067</v>
      </c>
      <c r="B436" s="136" t="s">
        <v>4079</v>
      </c>
      <c r="C436" s="136" t="s">
        <v>4078</v>
      </c>
      <c r="D436" s="136" t="s">
        <v>4077</v>
      </c>
      <c r="E436" s="141">
        <v>1.68</v>
      </c>
      <c r="F436" s="136" t="s">
        <v>4076</v>
      </c>
      <c r="G436" s="136" t="s">
        <v>3007</v>
      </c>
      <c r="H436" s="123">
        <v>1113</v>
      </c>
    </row>
    <row r="437" spans="1:8" ht="31.5" x14ac:dyDescent="0.25">
      <c r="A437" s="136" t="s">
        <v>4067</v>
      </c>
      <c r="B437" s="136" t="s">
        <v>4075</v>
      </c>
      <c r="C437" s="136" t="s">
        <v>4074</v>
      </c>
      <c r="D437" s="136" t="s">
        <v>4073</v>
      </c>
      <c r="E437" s="141">
        <v>0.43</v>
      </c>
      <c r="F437" s="136" t="s">
        <v>4072</v>
      </c>
      <c r="G437" s="136" t="s">
        <v>3007</v>
      </c>
      <c r="H437" s="123">
        <v>1114</v>
      </c>
    </row>
    <row r="438" spans="1:8" ht="31.5" x14ac:dyDescent="0.25">
      <c r="A438" s="136" t="s">
        <v>4067</v>
      </c>
      <c r="B438" s="136" t="s">
        <v>4071</v>
      </c>
      <c r="C438" s="136" t="s">
        <v>4070</v>
      </c>
      <c r="D438" s="136" t="s">
        <v>4069</v>
      </c>
      <c r="E438" s="141">
        <v>8.18</v>
      </c>
      <c r="F438" s="136" t="s">
        <v>4068</v>
      </c>
      <c r="G438" s="136" t="s">
        <v>3007</v>
      </c>
      <c r="H438" s="123">
        <v>1115</v>
      </c>
    </row>
    <row r="439" spans="1:8" ht="31.5" x14ac:dyDescent="0.25">
      <c r="A439" s="136" t="s">
        <v>4067</v>
      </c>
      <c r="B439" s="136" t="s">
        <v>4066</v>
      </c>
      <c r="C439" s="136" t="s">
        <v>4065</v>
      </c>
      <c r="D439" s="136" t="s">
        <v>4064</v>
      </c>
      <c r="E439" s="141">
        <v>5.16</v>
      </c>
      <c r="F439" s="136" t="s">
        <v>4063</v>
      </c>
      <c r="G439" s="136" t="s">
        <v>3007</v>
      </c>
      <c r="H439" s="123">
        <v>1116</v>
      </c>
    </row>
    <row r="440" spans="1:8" ht="31.5" x14ac:dyDescent="0.25">
      <c r="A440" s="134" t="s">
        <v>3943</v>
      </c>
      <c r="B440" s="134" t="s">
        <v>4062</v>
      </c>
      <c r="C440" s="134" t="s">
        <v>4061</v>
      </c>
      <c r="D440" s="134" t="s">
        <v>4060</v>
      </c>
      <c r="E440" s="139">
        <v>1.68</v>
      </c>
      <c r="F440" s="134" t="s">
        <v>4059</v>
      </c>
      <c r="G440" s="144" t="s">
        <v>3007</v>
      </c>
      <c r="H440" s="123">
        <v>1208</v>
      </c>
    </row>
    <row r="441" spans="1:8" ht="31.5" x14ac:dyDescent="0.25">
      <c r="A441" s="134" t="s">
        <v>3943</v>
      </c>
      <c r="B441" s="134" t="s">
        <v>4058</v>
      </c>
      <c r="C441" s="134" t="s">
        <v>4057</v>
      </c>
      <c r="D441" s="134" t="s">
        <v>4056</v>
      </c>
      <c r="E441" s="139">
        <v>0.23</v>
      </c>
      <c r="F441" s="134" t="s">
        <v>4055</v>
      </c>
      <c r="G441" s="144" t="s">
        <v>3007</v>
      </c>
      <c r="H441" s="123">
        <v>1209</v>
      </c>
    </row>
    <row r="442" spans="1:8" ht="31.5" x14ac:dyDescent="0.25">
      <c r="A442" s="134" t="s">
        <v>3943</v>
      </c>
      <c r="B442" s="134" t="s">
        <v>4054</v>
      </c>
      <c r="C442" s="134" t="s">
        <v>4053</v>
      </c>
      <c r="D442" s="134" t="s">
        <v>4052</v>
      </c>
      <c r="E442" s="139">
        <v>5.04</v>
      </c>
      <c r="F442" s="134" t="s">
        <v>4051</v>
      </c>
      <c r="G442" s="144" t="s">
        <v>3007</v>
      </c>
      <c r="H442" s="123">
        <v>1210</v>
      </c>
    </row>
    <row r="443" spans="1:8" ht="31.5" x14ac:dyDescent="0.25">
      <c r="A443" s="134" t="s">
        <v>3943</v>
      </c>
      <c r="B443" s="134" t="s">
        <v>4050</v>
      </c>
      <c r="C443" s="134" t="s">
        <v>4049</v>
      </c>
      <c r="D443" s="134" t="s">
        <v>4048</v>
      </c>
      <c r="E443" s="139">
        <v>16.32</v>
      </c>
      <c r="F443" s="134" t="s">
        <v>4047</v>
      </c>
      <c r="G443" s="144" t="s">
        <v>3007</v>
      </c>
      <c r="H443" s="123">
        <v>1211</v>
      </c>
    </row>
    <row r="444" spans="1:8" ht="31.5" x14ac:dyDescent="0.25">
      <c r="A444" s="134" t="s">
        <v>3943</v>
      </c>
      <c r="B444" s="134" t="s">
        <v>4046</v>
      </c>
      <c r="C444" s="134" t="s">
        <v>4045</v>
      </c>
      <c r="D444" s="134" t="s">
        <v>4044</v>
      </c>
      <c r="E444" s="139">
        <v>11.36</v>
      </c>
      <c r="F444" s="134" t="s">
        <v>4043</v>
      </c>
      <c r="G444" s="144" t="s">
        <v>3007</v>
      </c>
      <c r="H444" s="123">
        <v>1212</v>
      </c>
    </row>
    <row r="445" spans="1:8" ht="31.5" x14ac:dyDescent="0.25">
      <c r="A445" s="134" t="s">
        <v>3943</v>
      </c>
      <c r="B445" s="134" t="s">
        <v>4042</v>
      </c>
      <c r="C445" s="134" t="s">
        <v>4041</v>
      </c>
      <c r="D445" s="134" t="s">
        <v>4040</v>
      </c>
      <c r="E445" s="139">
        <v>2.99</v>
      </c>
      <c r="F445" s="134" t="s">
        <v>4039</v>
      </c>
      <c r="G445" s="144" t="s">
        <v>3007</v>
      </c>
      <c r="H445" s="123">
        <v>1213</v>
      </c>
    </row>
    <row r="446" spans="1:8" ht="31.5" x14ac:dyDescent="0.25">
      <c r="A446" s="134" t="s">
        <v>3943</v>
      </c>
      <c r="B446" s="134" t="s">
        <v>4038</v>
      </c>
      <c r="C446" s="134" t="s">
        <v>4037</v>
      </c>
      <c r="D446" s="134" t="s">
        <v>4036</v>
      </c>
      <c r="E446" s="139">
        <v>3.98</v>
      </c>
      <c r="F446" s="134" t="s">
        <v>4035</v>
      </c>
      <c r="G446" s="144" t="s">
        <v>3007</v>
      </c>
      <c r="H446" s="123">
        <v>1214</v>
      </c>
    </row>
    <row r="447" spans="1:8" ht="31.5" x14ac:dyDescent="0.25">
      <c r="A447" s="134" t="s">
        <v>3943</v>
      </c>
      <c r="B447" s="134" t="s">
        <v>4034</v>
      </c>
      <c r="C447" s="134" t="s">
        <v>4033</v>
      </c>
      <c r="D447" s="134" t="s">
        <v>4032</v>
      </c>
      <c r="E447" s="139">
        <v>0.17</v>
      </c>
      <c r="F447" s="134" t="s">
        <v>4031</v>
      </c>
      <c r="G447" s="144" t="s">
        <v>3007</v>
      </c>
      <c r="H447" s="123">
        <v>1215</v>
      </c>
    </row>
    <row r="448" spans="1:8" ht="31.5" x14ac:dyDescent="0.25">
      <c r="A448" s="134" t="s">
        <v>3943</v>
      </c>
      <c r="B448" s="134" t="s">
        <v>4030</v>
      </c>
      <c r="C448" s="134" t="s">
        <v>4029</v>
      </c>
      <c r="D448" s="134" t="s">
        <v>4028</v>
      </c>
      <c r="E448" s="139">
        <v>1.68</v>
      </c>
      <c r="F448" s="134" t="s">
        <v>4024</v>
      </c>
      <c r="G448" s="144" t="s">
        <v>3007</v>
      </c>
      <c r="H448" s="123">
        <v>1216</v>
      </c>
    </row>
    <row r="449" spans="1:8" ht="31.5" x14ac:dyDescent="0.25">
      <c r="A449" s="134" t="s">
        <v>3943</v>
      </c>
      <c r="B449" s="134" t="s">
        <v>4027</v>
      </c>
      <c r="C449" s="134" t="s">
        <v>4026</v>
      </c>
      <c r="D449" s="134" t="s">
        <v>4025</v>
      </c>
      <c r="E449" s="139">
        <v>5.5</v>
      </c>
      <c r="F449" s="134" t="s">
        <v>4024</v>
      </c>
      <c r="G449" s="144" t="s">
        <v>3007</v>
      </c>
      <c r="H449" s="123">
        <v>1217</v>
      </c>
    </row>
    <row r="450" spans="1:8" ht="31.5" x14ac:dyDescent="0.25">
      <c r="A450" s="134" t="s">
        <v>3943</v>
      </c>
      <c r="B450" s="134" t="s">
        <v>4023</v>
      </c>
      <c r="C450" s="134" t="s">
        <v>4022</v>
      </c>
      <c r="D450" s="134" t="s">
        <v>4021</v>
      </c>
      <c r="E450" s="139">
        <v>4.5199999999999996</v>
      </c>
      <c r="F450" s="134" t="s">
        <v>4020</v>
      </c>
      <c r="G450" s="144" t="s">
        <v>3007</v>
      </c>
      <c r="H450" s="123">
        <v>1218</v>
      </c>
    </row>
    <row r="451" spans="1:8" ht="31.5" x14ac:dyDescent="0.25">
      <c r="A451" s="134" t="s">
        <v>3943</v>
      </c>
      <c r="B451" s="134" t="s">
        <v>4019</v>
      </c>
      <c r="C451" s="134" t="s">
        <v>4018</v>
      </c>
      <c r="D451" s="134" t="s">
        <v>4017</v>
      </c>
      <c r="E451" s="139">
        <v>4.71</v>
      </c>
      <c r="F451" s="134" t="s">
        <v>4016</v>
      </c>
      <c r="G451" s="144" t="s">
        <v>3007</v>
      </c>
      <c r="H451" s="123">
        <v>1219</v>
      </c>
    </row>
    <row r="452" spans="1:8" ht="31.5" x14ac:dyDescent="0.25">
      <c r="A452" s="134" t="s">
        <v>3943</v>
      </c>
      <c r="B452" s="134" t="s">
        <v>4015</v>
      </c>
      <c r="C452" s="134" t="s">
        <v>4014</v>
      </c>
      <c r="D452" s="134" t="s">
        <v>4013</v>
      </c>
      <c r="E452" s="139">
        <v>4.97</v>
      </c>
      <c r="F452" s="134" t="s">
        <v>4012</v>
      </c>
      <c r="G452" s="144" t="s">
        <v>3007</v>
      </c>
      <c r="H452" s="123">
        <v>1220</v>
      </c>
    </row>
    <row r="453" spans="1:8" ht="31.5" x14ac:dyDescent="0.25">
      <c r="A453" s="134" t="s">
        <v>3943</v>
      </c>
      <c r="B453" s="134" t="s">
        <v>4011</v>
      </c>
      <c r="C453" s="134" t="s">
        <v>4010</v>
      </c>
      <c r="D453" s="134" t="s">
        <v>4009</v>
      </c>
      <c r="E453" s="139">
        <v>9.16</v>
      </c>
      <c r="F453" s="134" t="s">
        <v>4008</v>
      </c>
      <c r="G453" s="144" t="s">
        <v>3007</v>
      </c>
      <c r="H453" s="123">
        <v>1221</v>
      </c>
    </row>
    <row r="454" spans="1:8" ht="31.5" x14ac:dyDescent="0.25">
      <c r="A454" s="134" t="s">
        <v>3943</v>
      </c>
      <c r="B454" s="134" t="s">
        <v>4007</v>
      </c>
      <c r="C454" s="134" t="s">
        <v>4006</v>
      </c>
      <c r="D454" s="134" t="s">
        <v>4005</v>
      </c>
      <c r="E454" s="139">
        <v>25.24</v>
      </c>
      <c r="F454" s="134" t="s">
        <v>4004</v>
      </c>
      <c r="G454" s="144" t="s">
        <v>3007</v>
      </c>
      <c r="H454" s="123">
        <v>1222</v>
      </c>
    </row>
    <row r="455" spans="1:8" ht="31.5" x14ac:dyDescent="0.25">
      <c r="A455" s="134" t="s">
        <v>3943</v>
      </c>
      <c r="B455" s="134" t="s">
        <v>4003</v>
      </c>
      <c r="C455" s="134" t="s">
        <v>4002</v>
      </c>
      <c r="D455" s="134" t="s">
        <v>4001</v>
      </c>
      <c r="E455" s="139">
        <v>11.58</v>
      </c>
      <c r="F455" s="134" t="s">
        <v>4000</v>
      </c>
      <c r="G455" s="144" t="s">
        <v>3007</v>
      </c>
      <c r="H455" s="123">
        <v>1223</v>
      </c>
    </row>
    <row r="456" spans="1:8" ht="31.5" x14ac:dyDescent="0.25">
      <c r="A456" s="134" t="s">
        <v>3943</v>
      </c>
      <c r="B456" s="134" t="s">
        <v>3999</v>
      </c>
      <c r="C456" s="134" t="s">
        <v>3998</v>
      </c>
      <c r="D456" s="134" t="s">
        <v>3997</v>
      </c>
      <c r="E456" s="139">
        <v>7.04</v>
      </c>
      <c r="F456" s="134" t="s">
        <v>3996</v>
      </c>
      <c r="G456" s="144" t="s">
        <v>3007</v>
      </c>
      <c r="H456" s="123">
        <v>1224</v>
      </c>
    </row>
    <row r="457" spans="1:8" ht="31.5" x14ac:dyDescent="0.25">
      <c r="A457" s="134" t="s">
        <v>3943</v>
      </c>
      <c r="B457" s="134" t="s">
        <v>3995</v>
      </c>
      <c r="C457" s="134" t="s">
        <v>3994</v>
      </c>
      <c r="D457" s="134" t="s">
        <v>3993</v>
      </c>
      <c r="E457" s="139">
        <v>8.3800000000000008</v>
      </c>
      <c r="F457" s="134" t="s">
        <v>3992</v>
      </c>
      <c r="G457" s="144" t="s">
        <v>3007</v>
      </c>
      <c r="H457" s="123">
        <v>1225</v>
      </c>
    </row>
    <row r="458" spans="1:8" ht="31.5" x14ac:dyDescent="0.25">
      <c r="A458" s="134" t="s">
        <v>3943</v>
      </c>
      <c r="B458" s="134" t="s">
        <v>3991</v>
      </c>
      <c r="C458" s="134" t="s">
        <v>3990</v>
      </c>
      <c r="D458" s="134" t="s">
        <v>3989</v>
      </c>
      <c r="E458" s="139">
        <v>15.64</v>
      </c>
      <c r="F458" s="134" t="s">
        <v>3982</v>
      </c>
      <c r="G458" s="144" t="s">
        <v>3007</v>
      </c>
      <c r="H458" s="123">
        <v>1226</v>
      </c>
    </row>
    <row r="459" spans="1:8" ht="31.5" x14ac:dyDescent="0.25">
      <c r="A459" s="134" t="s">
        <v>3943</v>
      </c>
      <c r="B459" s="134" t="s">
        <v>3988</v>
      </c>
      <c r="C459" s="134" t="s">
        <v>3987</v>
      </c>
      <c r="D459" s="134" t="s">
        <v>3986</v>
      </c>
      <c r="E459" s="139">
        <v>12.88</v>
      </c>
      <c r="F459" s="134" t="s">
        <v>3982</v>
      </c>
      <c r="G459" s="144" t="s">
        <v>3007</v>
      </c>
      <c r="H459" s="123">
        <v>1227</v>
      </c>
    </row>
    <row r="460" spans="1:8" ht="31.5" x14ac:dyDescent="0.25">
      <c r="A460" s="134" t="s">
        <v>3943</v>
      </c>
      <c r="B460" s="134" t="s">
        <v>3985</v>
      </c>
      <c r="C460" s="134" t="s">
        <v>3984</v>
      </c>
      <c r="D460" s="134" t="s">
        <v>3983</v>
      </c>
      <c r="E460" s="139">
        <v>22.1</v>
      </c>
      <c r="F460" s="134" t="s">
        <v>3982</v>
      </c>
      <c r="G460" s="144" t="s">
        <v>3007</v>
      </c>
      <c r="H460" s="123">
        <v>1228</v>
      </c>
    </row>
    <row r="461" spans="1:8" ht="31.5" x14ac:dyDescent="0.25">
      <c r="A461" s="134" t="s">
        <v>3943</v>
      </c>
      <c r="B461" s="134" t="s">
        <v>3981</v>
      </c>
      <c r="C461" s="134" t="s">
        <v>3980</v>
      </c>
      <c r="D461" s="134" t="s">
        <v>3979</v>
      </c>
      <c r="E461" s="139">
        <v>1.68</v>
      </c>
      <c r="F461" s="134" t="s">
        <v>3978</v>
      </c>
      <c r="G461" s="144" t="s">
        <v>3007</v>
      </c>
      <c r="H461" s="123">
        <v>1229</v>
      </c>
    </row>
    <row r="462" spans="1:8" ht="31.5" x14ac:dyDescent="0.25">
      <c r="A462" s="134" t="s">
        <v>3943</v>
      </c>
      <c r="B462" s="134" t="s">
        <v>3977</v>
      </c>
      <c r="C462" s="134" t="s">
        <v>3976</v>
      </c>
      <c r="D462" s="134" t="s">
        <v>3975</v>
      </c>
      <c r="E462" s="139">
        <v>183.25</v>
      </c>
      <c r="F462" s="134" t="s">
        <v>3974</v>
      </c>
      <c r="G462" s="144" t="s">
        <v>3007</v>
      </c>
      <c r="H462" s="123">
        <v>1230</v>
      </c>
    </row>
    <row r="463" spans="1:8" ht="31.5" x14ac:dyDescent="0.25">
      <c r="A463" s="134" t="s">
        <v>3943</v>
      </c>
      <c r="B463" s="134" t="s">
        <v>3973</v>
      </c>
      <c r="C463" s="134" t="s">
        <v>3972</v>
      </c>
      <c r="D463" s="134" t="s">
        <v>3759</v>
      </c>
      <c r="E463" s="139">
        <v>12.77</v>
      </c>
      <c r="F463" s="134" t="s">
        <v>3758</v>
      </c>
      <c r="G463" s="144" t="s">
        <v>3007</v>
      </c>
      <c r="H463" s="123">
        <v>1231</v>
      </c>
    </row>
    <row r="464" spans="1:8" ht="31.5" x14ac:dyDescent="0.25">
      <c r="A464" s="134" t="s">
        <v>3943</v>
      </c>
      <c r="B464" s="134" t="s">
        <v>3971</v>
      </c>
      <c r="C464" s="134" t="s">
        <v>3970</v>
      </c>
      <c r="D464" s="134" t="s">
        <v>3969</v>
      </c>
      <c r="E464" s="139">
        <v>2.6</v>
      </c>
      <c r="F464" s="134" t="s">
        <v>3968</v>
      </c>
      <c r="G464" s="144" t="s">
        <v>3007</v>
      </c>
      <c r="H464" s="123">
        <v>1232</v>
      </c>
    </row>
    <row r="465" spans="1:8" ht="31.5" x14ac:dyDescent="0.25">
      <c r="A465" s="134" t="s">
        <v>3943</v>
      </c>
      <c r="B465" s="134" t="s">
        <v>3967</v>
      </c>
      <c r="C465" s="134" t="s">
        <v>3966</v>
      </c>
      <c r="D465" s="134" t="s">
        <v>3965</v>
      </c>
      <c r="E465" s="139">
        <v>3.3</v>
      </c>
      <c r="F465" s="134" t="s">
        <v>3964</v>
      </c>
      <c r="G465" s="144" t="s">
        <v>3007</v>
      </c>
      <c r="H465" s="123">
        <v>1233</v>
      </c>
    </row>
    <row r="466" spans="1:8" ht="31.5" x14ac:dyDescent="0.25">
      <c r="A466" s="134" t="s">
        <v>3943</v>
      </c>
      <c r="B466" s="134" t="s">
        <v>3963</v>
      </c>
      <c r="C466" s="134" t="s">
        <v>3962</v>
      </c>
      <c r="D466" s="134" t="s">
        <v>3961</v>
      </c>
      <c r="E466" s="139">
        <v>11.39</v>
      </c>
      <c r="F466" s="134" t="s">
        <v>3960</v>
      </c>
      <c r="G466" s="144" t="s">
        <v>3007</v>
      </c>
      <c r="H466" s="123">
        <v>1234</v>
      </c>
    </row>
    <row r="467" spans="1:8" ht="31.5" x14ac:dyDescent="0.25">
      <c r="A467" s="134" t="s">
        <v>3943</v>
      </c>
      <c r="B467" s="134" t="s">
        <v>3959</v>
      </c>
      <c r="C467" s="134" t="s">
        <v>3958</v>
      </c>
      <c r="D467" s="134" t="s">
        <v>3957</v>
      </c>
      <c r="E467" s="139">
        <v>12.99</v>
      </c>
      <c r="F467" s="134" t="s">
        <v>3956</v>
      </c>
      <c r="G467" s="144" t="s">
        <v>3007</v>
      </c>
      <c r="H467" s="123">
        <v>1235</v>
      </c>
    </row>
    <row r="468" spans="1:8" ht="31.5" x14ac:dyDescent="0.25">
      <c r="A468" s="134" t="s">
        <v>3943</v>
      </c>
      <c r="B468" s="134" t="s">
        <v>3955</v>
      </c>
      <c r="C468" s="134" t="s">
        <v>3954</v>
      </c>
      <c r="D468" s="134" t="s">
        <v>3953</v>
      </c>
      <c r="E468" s="139">
        <v>2</v>
      </c>
      <c r="F468" s="134" t="s">
        <v>3952</v>
      </c>
      <c r="G468" s="144" t="s">
        <v>3007</v>
      </c>
      <c r="H468" s="123">
        <v>1236</v>
      </c>
    </row>
    <row r="469" spans="1:8" ht="31.5" x14ac:dyDescent="0.25">
      <c r="A469" s="134" t="s">
        <v>3943</v>
      </c>
      <c r="B469" s="134" t="s">
        <v>3951</v>
      </c>
      <c r="C469" s="134" t="s">
        <v>3950</v>
      </c>
      <c r="D469" s="134" t="s">
        <v>3949</v>
      </c>
      <c r="E469" s="139">
        <v>6.87</v>
      </c>
      <c r="F469" s="134" t="s">
        <v>3948</v>
      </c>
      <c r="G469" s="144" t="s">
        <v>3007</v>
      </c>
      <c r="H469" s="123">
        <v>1237</v>
      </c>
    </row>
    <row r="470" spans="1:8" ht="31.5" x14ac:dyDescent="0.25">
      <c r="A470" s="134" t="s">
        <v>3943</v>
      </c>
      <c r="B470" s="134" t="s">
        <v>3947</v>
      </c>
      <c r="C470" s="134" t="s">
        <v>3946</v>
      </c>
      <c r="D470" s="134" t="s">
        <v>3945</v>
      </c>
      <c r="E470" s="139">
        <v>4.38</v>
      </c>
      <c r="F470" s="134" t="s">
        <v>3944</v>
      </c>
      <c r="G470" s="144" t="s">
        <v>3007</v>
      </c>
      <c r="H470" s="123">
        <v>1238</v>
      </c>
    </row>
    <row r="471" spans="1:8" ht="31.5" x14ac:dyDescent="0.25">
      <c r="A471" s="134" t="s">
        <v>3943</v>
      </c>
      <c r="B471" s="134" t="s">
        <v>3942</v>
      </c>
      <c r="C471" s="134" t="s">
        <v>3941</v>
      </c>
      <c r="D471" s="134" t="s">
        <v>3940</v>
      </c>
      <c r="E471" s="139">
        <v>2.93</v>
      </c>
      <c r="F471" s="134" t="s">
        <v>3939</v>
      </c>
      <c r="G471" s="144" t="s">
        <v>3007</v>
      </c>
      <c r="H471" s="123">
        <v>1239</v>
      </c>
    </row>
    <row r="472" spans="1:8" ht="31.5" x14ac:dyDescent="0.25">
      <c r="A472" s="134" t="s">
        <v>3878</v>
      </c>
      <c r="B472" s="134" t="s">
        <v>3938</v>
      </c>
      <c r="C472" s="134" t="s">
        <v>3937</v>
      </c>
      <c r="D472" s="134" t="s">
        <v>3936</v>
      </c>
      <c r="E472" s="139">
        <v>5.04</v>
      </c>
      <c r="F472" s="134" t="s">
        <v>3935</v>
      </c>
      <c r="G472" s="144" t="s">
        <v>3007</v>
      </c>
      <c r="H472" s="123">
        <v>1241</v>
      </c>
    </row>
    <row r="473" spans="1:8" ht="31.5" x14ac:dyDescent="0.25">
      <c r="A473" s="134" t="s">
        <v>3878</v>
      </c>
      <c r="B473" s="134" t="s">
        <v>3934</v>
      </c>
      <c r="C473" s="134" t="s">
        <v>3933</v>
      </c>
      <c r="D473" s="134" t="s">
        <v>3932</v>
      </c>
      <c r="E473" s="139">
        <v>1.87</v>
      </c>
      <c r="F473" s="134" t="s">
        <v>3931</v>
      </c>
      <c r="G473" s="144" t="s">
        <v>3007</v>
      </c>
      <c r="H473" s="123">
        <v>1242</v>
      </c>
    </row>
    <row r="474" spans="1:8" ht="31.5" x14ac:dyDescent="0.25">
      <c r="A474" s="134" t="s">
        <v>3878</v>
      </c>
      <c r="B474" s="134" t="s">
        <v>3930</v>
      </c>
      <c r="C474" s="134" t="s">
        <v>3929</v>
      </c>
      <c r="D474" s="134" t="s">
        <v>3928</v>
      </c>
      <c r="E474" s="139">
        <v>33.11</v>
      </c>
      <c r="F474" s="134" t="s">
        <v>3927</v>
      </c>
      <c r="G474" s="144" t="s">
        <v>3007</v>
      </c>
      <c r="H474" s="123">
        <v>1243</v>
      </c>
    </row>
    <row r="475" spans="1:8" ht="31.5" x14ac:dyDescent="0.25">
      <c r="A475" s="134" t="s">
        <v>3878</v>
      </c>
      <c r="B475" s="134" t="s">
        <v>3926</v>
      </c>
      <c r="C475" s="134" t="s">
        <v>3925</v>
      </c>
      <c r="D475" s="134" t="s">
        <v>3924</v>
      </c>
      <c r="E475" s="139">
        <v>10.62</v>
      </c>
      <c r="F475" s="134" t="s">
        <v>3923</v>
      </c>
      <c r="G475" s="144" t="s">
        <v>3007</v>
      </c>
      <c r="H475" s="123">
        <v>1244</v>
      </c>
    </row>
    <row r="476" spans="1:8" ht="31.5" x14ac:dyDescent="0.25">
      <c r="A476" s="134" t="s">
        <v>3878</v>
      </c>
      <c r="B476" s="134" t="s">
        <v>3922</v>
      </c>
      <c r="C476" s="134" t="s">
        <v>3921</v>
      </c>
      <c r="D476" s="134" t="s">
        <v>3920</v>
      </c>
      <c r="E476" s="139">
        <v>10.26</v>
      </c>
      <c r="F476" s="134" t="s">
        <v>3919</v>
      </c>
      <c r="G476" s="144" t="s">
        <v>3007</v>
      </c>
      <c r="H476" s="123">
        <v>1245</v>
      </c>
    </row>
    <row r="477" spans="1:8" ht="31.5" x14ac:dyDescent="0.25">
      <c r="A477" s="134" t="s">
        <v>3878</v>
      </c>
      <c r="B477" s="134" t="s">
        <v>3918</v>
      </c>
      <c r="C477" s="134" t="s">
        <v>3917</v>
      </c>
      <c r="D477" s="134" t="s">
        <v>3916</v>
      </c>
      <c r="E477" s="139">
        <v>8.3800000000000008</v>
      </c>
      <c r="F477" s="134" t="s">
        <v>3915</v>
      </c>
      <c r="G477" s="144" t="s">
        <v>3007</v>
      </c>
      <c r="H477" s="123">
        <v>1246</v>
      </c>
    </row>
    <row r="478" spans="1:8" ht="31.5" x14ac:dyDescent="0.25">
      <c r="A478" s="134" t="s">
        <v>3878</v>
      </c>
      <c r="B478" s="134" t="s">
        <v>3914</v>
      </c>
      <c r="C478" s="134" t="s">
        <v>3913</v>
      </c>
      <c r="D478" s="134" t="s">
        <v>3912</v>
      </c>
      <c r="E478" s="139">
        <v>2.6</v>
      </c>
      <c r="F478" s="134" t="s">
        <v>3911</v>
      </c>
      <c r="G478" s="144" t="s">
        <v>3007</v>
      </c>
      <c r="H478" s="123">
        <v>1247</v>
      </c>
    </row>
    <row r="479" spans="1:8" ht="31.5" x14ac:dyDescent="0.25">
      <c r="A479" s="134" t="s">
        <v>3878</v>
      </c>
      <c r="B479" s="134" t="s">
        <v>3910</v>
      </c>
      <c r="C479" s="134" t="s">
        <v>3909</v>
      </c>
      <c r="D479" s="134" t="s">
        <v>3908</v>
      </c>
      <c r="E479" s="139">
        <v>3.76</v>
      </c>
      <c r="F479" s="134" t="s">
        <v>3907</v>
      </c>
      <c r="G479" s="144" t="s">
        <v>3007</v>
      </c>
      <c r="H479" s="123">
        <v>1248</v>
      </c>
    </row>
    <row r="480" spans="1:8" ht="31.5" x14ac:dyDescent="0.25">
      <c r="A480" s="134" t="s">
        <v>3878</v>
      </c>
      <c r="B480" s="134" t="s">
        <v>3906</v>
      </c>
      <c r="C480" s="134" t="s">
        <v>3905</v>
      </c>
      <c r="D480" s="134" t="s">
        <v>3904</v>
      </c>
      <c r="E480" s="139">
        <v>3.14</v>
      </c>
      <c r="F480" s="134" t="s">
        <v>3903</v>
      </c>
      <c r="G480" s="144" t="s">
        <v>3007</v>
      </c>
      <c r="H480" s="123">
        <v>1249</v>
      </c>
    </row>
    <row r="481" spans="1:8" ht="31.5" x14ac:dyDescent="0.25">
      <c r="A481" s="134" t="s">
        <v>3878</v>
      </c>
      <c r="B481" s="134" t="s">
        <v>3902</v>
      </c>
      <c r="C481" s="134" t="s">
        <v>3901</v>
      </c>
      <c r="D481" s="134" t="s">
        <v>3900</v>
      </c>
      <c r="E481" s="139">
        <v>8.3800000000000008</v>
      </c>
      <c r="F481" s="134" t="s">
        <v>3899</v>
      </c>
      <c r="G481" s="144" t="s">
        <v>3007</v>
      </c>
      <c r="H481" s="123">
        <v>1250</v>
      </c>
    </row>
    <row r="482" spans="1:8" ht="31.5" x14ac:dyDescent="0.25">
      <c r="A482" s="134" t="s">
        <v>3878</v>
      </c>
      <c r="B482" s="134" t="s">
        <v>3898</v>
      </c>
      <c r="C482" s="134" t="s">
        <v>3897</v>
      </c>
      <c r="D482" s="134" t="s">
        <v>3896</v>
      </c>
      <c r="E482" s="139">
        <v>8.44</v>
      </c>
      <c r="F482" s="134" t="s">
        <v>3895</v>
      </c>
      <c r="G482" s="144" t="s">
        <v>3007</v>
      </c>
      <c r="H482" s="123">
        <v>1251</v>
      </c>
    </row>
    <row r="483" spans="1:8" ht="31.5" x14ac:dyDescent="0.25">
      <c r="A483" s="134" t="s">
        <v>3878</v>
      </c>
      <c r="B483" s="134" t="s">
        <v>3894</v>
      </c>
      <c r="C483" s="134" t="s">
        <v>3893</v>
      </c>
      <c r="D483" s="134" t="s">
        <v>3892</v>
      </c>
      <c r="E483" s="139">
        <v>1.71</v>
      </c>
      <c r="F483" s="134" t="s">
        <v>3891</v>
      </c>
      <c r="G483" s="144" t="s">
        <v>3007</v>
      </c>
      <c r="H483" s="123">
        <v>1252</v>
      </c>
    </row>
    <row r="484" spans="1:8" ht="31.5" x14ac:dyDescent="0.25">
      <c r="A484" s="134" t="s">
        <v>3878</v>
      </c>
      <c r="B484" s="134" t="s">
        <v>3890</v>
      </c>
      <c r="C484" s="134" t="s">
        <v>3889</v>
      </c>
      <c r="D484" s="134" t="s">
        <v>3888</v>
      </c>
      <c r="E484" s="139">
        <v>8.33</v>
      </c>
      <c r="F484" s="134" t="s">
        <v>3887</v>
      </c>
      <c r="G484" s="144" t="s">
        <v>3007</v>
      </c>
      <c r="H484" s="123">
        <v>1253</v>
      </c>
    </row>
    <row r="485" spans="1:8" ht="31.5" x14ac:dyDescent="0.25">
      <c r="A485" s="134" t="s">
        <v>3878</v>
      </c>
      <c r="B485" s="134" t="s">
        <v>3886</v>
      </c>
      <c r="C485" s="134" t="s">
        <v>3885</v>
      </c>
      <c r="D485" s="134" t="s">
        <v>3884</v>
      </c>
      <c r="E485" s="139">
        <v>1.77</v>
      </c>
      <c r="F485" s="134" t="s">
        <v>3883</v>
      </c>
      <c r="G485" s="144" t="s">
        <v>3007</v>
      </c>
      <c r="H485" s="123">
        <v>1254</v>
      </c>
    </row>
    <row r="486" spans="1:8" ht="31.5" x14ac:dyDescent="0.25">
      <c r="A486" s="134" t="s">
        <v>3878</v>
      </c>
      <c r="B486" s="134" t="s">
        <v>3882</v>
      </c>
      <c r="C486" s="134" t="s">
        <v>3881</v>
      </c>
      <c r="D486" s="134" t="s">
        <v>3880</v>
      </c>
      <c r="E486" s="139">
        <v>1.61</v>
      </c>
      <c r="F486" s="134" t="s">
        <v>3879</v>
      </c>
      <c r="G486" s="144" t="s">
        <v>3007</v>
      </c>
      <c r="H486" s="123">
        <v>1255</v>
      </c>
    </row>
    <row r="487" spans="1:8" ht="31.5" x14ac:dyDescent="0.25">
      <c r="A487" s="134" t="s">
        <v>3878</v>
      </c>
      <c r="B487" s="134" t="s">
        <v>3877</v>
      </c>
      <c r="C487" s="134" t="s">
        <v>3876</v>
      </c>
      <c r="D487" s="134" t="s">
        <v>3875</v>
      </c>
      <c r="E487" s="139">
        <v>1.68</v>
      </c>
      <c r="F487" s="134" t="s">
        <v>3874</v>
      </c>
      <c r="G487" s="144" t="s">
        <v>3007</v>
      </c>
      <c r="H487" s="123">
        <v>1256</v>
      </c>
    </row>
    <row r="488" spans="1:8" ht="31.5" x14ac:dyDescent="0.25">
      <c r="A488" s="134" t="s">
        <v>3794</v>
      </c>
      <c r="B488" s="134" t="s">
        <v>3873</v>
      </c>
      <c r="C488" s="134" t="s">
        <v>3872</v>
      </c>
      <c r="D488" s="134" t="s">
        <v>3871</v>
      </c>
      <c r="E488" s="139">
        <v>14.5</v>
      </c>
      <c r="F488" s="134" t="s">
        <v>3870</v>
      </c>
      <c r="G488" s="144" t="s">
        <v>3007</v>
      </c>
      <c r="H488" s="123">
        <v>1283</v>
      </c>
    </row>
    <row r="489" spans="1:8" ht="31.5" x14ac:dyDescent="0.25">
      <c r="A489" s="134" t="s">
        <v>3794</v>
      </c>
      <c r="B489" s="134" t="s">
        <v>3869</v>
      </c>
      <c r="C489" s="134" t="s">
        <v>3868</v>
      </c>
      <c r="D489" s="134" t="s">
        <v>3867</v>
      </c>
      <c r="E489" s="139">
        <v>2.67</v>
      </c>
      <c r="F489" s="134" t="s">
        <v>3866</v>
      </c>
      <c r="G489" s="144" t="s">
        <v>3007</v>
      </c>
      <c r="H489" s="123">
        <v>1284</v>
      </c>
    </row>
    <row r="490" spans="1:8" ht="31.5" x14ac:dyDescent="0.25">
      <c r="A490" s="134" t="s">
        <v>3794</v>
      </c>
      <c r="B490" s="134" t="s">
        <v>3865</v>
      </c>
      <c r="C490" s="134" t="s">
        <v>3864</v>
      </c>
      <c r="D490" s="134" t="s">
        <v>3863</v>
      </c>
      <c r="E490" s="139">
        <v>8.16</v>
      </c>
      <c r="F490" s="134" t="s">
        <v>3862</v>
      </c>
      <c r="G490" s="144" t="s">
        <v>3007</v>
      </c>
      <c r="H490" s="123">
        <v>1285</v>
      </c>
    </row>
    <row r="491" spans="1:8" ht="31.5" x14ac:dyDescent="0.25">
      <c r="A491" s="134" t="s">
        <v>3794</v>
      </c>
      <c r="B491" s="134" t="s">
        <v>3861</v>
      </c>
      <c r="C491" s="134" t="s">
        <v>3860</v>
      </c>
      <c r="D491" s="134" t="s">
        <v>3859</v>
      </c>
      <c r="E491" s="139">
        <v>1.86</v>
      </c>
      <c r="F491" s="134" t="s">
        <v>3858</v>
      </c>
      <c r="G491" s="144" t="s">
        <v>3007</v>
      </c>
      <c r="H491" s="123">
        <v>1286</v>
      </c>
    </row>
    <row r="492" spans="1:8" ht="31.5" x14ac:dyDescent="0.25">
      <c r="A492" s="134" t="s">
        <v>3794</v>
      </c>
      <c r="B492" s="134" t="s">
        <v>3857</v>
      </c>
      <c r="C492" s="134" t="s">
        <v>3856</v>
      </c>
      <c r="D492" s="134" t="s">
        <v>3855</v>
      </c>
      <c r="E492" s="139">
        <v>6.87</v>
      </c>
      <c r="F492" s="134" t="s">
        <v>3854</v>
      </c>
      <c r="G492" s="144" t="s">
        <v>3007</v>
      </c>
      <c r="H492" s="123">
        <v>1287</v>
      </c>
    </row>
    <row r="493" spans="1:8" ht="31.5" x14ac:dyDescent="0.25">
      <c r="A493" s="134" t="s">
        <v>3794</v>
      </c>
      <c r="B493" s="134" t="s">
        <v>3853</v>
      </c>
      <c r="C493" s="134" t="s">
        <v>3852</v>
      </c>
      <c r="D493" s="134" t="s">
        <v>3851</v>
      </c>
      <c r="E493" s="139">
        <v>23.26</v>
      </c>
      <c r="F493" s="134" t="s">
        <v>3847</v>
      </c>
      <c r="G493" s="144" t="s">
        <v>3007</v>
      </c>
      <c r="H493" s="123">
        <v>1288</v>
      </c>
    </row>
    <row r="494" spans="1:8" ht="31.5" x14ac:dyDescent="0.25">
      <c r="A494" s="134" t="s">
        <v>3794</v>
      </c>
      <c r="B494" s="134" t="s">
        <v>3850</v>
      </c>
      <c r="C494" s="134" t="s">
        <v>3849</v>
      </c>
      <c r="D494" s="134" t="s">
        <v>3848</v>
      </c>
      <c r="E494" s="139">
        <v>5.34</v>
      </c>
      <c r="F494" s="134" t="s">
        <v>3847</v>
      </c>
      <c r="G494" s="144" t="s">
        <v>3007</v>
      </c>
      <c r="H494" s="123">
        <v>1289</v>
      </c>
    </row>
    <row r="495" spans="1:8" ht="31.5" x14ac:dyDescent="0.25">
      <c r="A495" s="134" t="s">
        <v>3794</v>
      </c>
      <c r="B495" s="134" t="s">
        <v>3846</v>
      </c>
      <c r="C495" s="134" t="s">
        <v>3845</v>
      </c>
      <c r="D495" s="134" t="s">
        <v>3844</v>
      </c>
      <c r="E495" s="139">
        <v>8.0399999999999991</v>
      </c>
      <c r="F495" s="134" t="s">
        <v>3843</v>
      </c>
      <c r="G495" s="144" t="s">
        <v>3007</v>
      </c>
      <c r="H495" s="123">
        <v>1290</v>
      </c>
    </row>
    <row r="496" spans="1:8" ht="31.5" x14ac:dyDescent="0.25">
      <c r="A496" s="134" t="s">
        <v>3794</v>
      </c>
      <c r="B496" s="134" t="s">
        <v>3842</v>
      </c>
      <c r="C496" s="134" t="s">
        <v>3841</v>
      </c>
      <c r="D496" s="134" t="s">
        <v>3840</v>
      </c>
      <c r="E496" s="139">
        <v>16.760000000000002</v>
      </c>
      <c r="F496" s="134" t="s">
        <v>3839</v>
      </c>
      <c r="G496" s="144" t="s">
        <v>3007</v>
      </c>
      <c r="H496" s="123">
        <v>1291</v>
      </c>
    </row>
    <row r="497" spans="1:8" ht="31.5" x14ac:dyDescent="0.25">
      <c r="A497" s="134" t="s">
        <v>3794</v>
      </c>
      <c r="B497" s="134" t="s">
        <v>3838</v>
      </c>
      <c r="C497" s="134" t="s">
        <v>3837</v>
      </c>
      <c r="D497" s="134" t="s">
        <v>3836</v>
      </c>
      <c r="E497" s="139">
        <v>3.25</v>
      </c>
      <c r="F497" s="134" t="s">
        <v>3835</v>
      </c>
      <c r="G497" s="144" t="s">
        <v>3007</v>
      </c>
      <c r="H497" s="123">
        <v>1292</v>
      </c>
    </row>
    <row r="498" spans="1:8" ht="31.5" x14ac:dyDescent="0.25">
      <c r="A498" s="134" t="s">
        <v>3794</v>
      </c>
      <c r="B498" s="134" t="s">
        <v>3834</v>
      </c>
      <c r="C498" s="134" t="s">
        <v>3833</v>
      </c>
      <c r="D498" s="134" t="s">
        <v>3832</v>
      </c>
      <c r="E498" s="139">
        <v>11.29</v>
      </c>
      <c r="F498" s="134" t="s">
        <v>3831</v>
      </c>
      <c r="G498" s="144" t="s">
        <v>3007</v>
      </c>
      <c r="H498" s="123">
        <v>1293</v>
      </c>
    </row>
    <row r="499" spans="1:8" ht="31.5" x14ac:dyDescent="0.25">
      <c r="A499" s="134" t="s">
        <v>3794</v>
      </c>
      <c r="B499" s="134" t="s">
        <v>3830</v>
      </c>
      <c r="C499" s="134" t="s">
        <v>3829</v>
      </c>
      <c r="D499" s="134" t="s">
        <v>3828</v>
      </c>
      <c r="E499" s="139">
        <v>13.36</v>
      </c>
      <c r="F499" s="134" t="s">
        <v>3827</v>
      </c>
      <c r="G499" s="144" t="s">
        <v>3007</v>
      </c>
      <c r="H499" s="123">
        <v>1294</v>
      </c>
    </row>
    <row r="500" spans="1:8" ht="31.5" x14ac:dyDescent="0.25">
      <c r="A500" s="134" t="s">
        <v>3794</v>
      </c>
      <c r="B500" s="134" t="s">
        <v>3826</v>
      </c>
      <c r="C500" s="134" t="s">
        <v>3825</v>
      </c>
      <c r="D500" s="134" t="s">
        <v>3824</v>
      </c>
      <c r="E500" s="139">
        <v>25.14</v>
      </c>
      <c r="F500" s="134" t="s">
        <v>3823</v>
      </c>
      <c r="G500" s="144" t="s">
        <v>3007</v>
      </c>
      <c r="H500" s="123">
        <v>1295</v>
      </c>
    </row>
    <row r="501" spans="1:8" ht="31.5" x14ac:dyDescent="0.25">
      <c r="A501" s="134" t="s">
        <v>3794</v>
      </c>
      <c r="B501" s="134" t="s">
        <v>3822</v>
      </c>
      <c r="C501" s="134" t="s">
        <v>3821</v>
      </c>
      <c r="D501" s="134" t="s">
        <v>3820</v>
      </c>
      <c r="E501" s="139">
        <v>4.51</v>
      </c>
      <c r="F501" s="134" t="s">
        <v>3819</v>
      </c>
      <c r="G501" s="144" t="s">
        <v>3007</v>
      </c>
      <c r="H501" s="123">
        <v>1296</v>
      </c>
    </row>
    <row r="502" spans="1:8" ht="31.5" x14ac:dyDescent="0.25">
      <c r="A502" s="134" t="s">
        <v>3794</v>
      </c>
      <c r="B502" s="134" t="s">
        <v>3818</v>
      </c>
      <c r="C502" s="134" t="s">
        <v>3817</v>
      </c>
      <c r="D502" s="134" t="s">
        <v>3816</v>
      </c>
      <c r="E502" s="139">
        <v>5.96</v>
      </c>
      <c r="F502" s="134" t="s">
        <v>3815</v>
      </c>
      <c r="G502" s="144" t="s">
        <v>3007</v>
      </c>
      <c r="H502" s="123">
        <v>1297</v>
      </c>
    </row>
    <row r="503" spans="1:8" ht="31.5" x14ac:dyDescent="0.25">
      <c r="A503" s="134" t="s">
        <v>3794</v>
      </c>
      <c r="B503" s="134" t="s">
        <v>3814</v>
      </c>
      <c r="C503" s="134" t="s">
        <v>3813</v>
      </c>
      <c r="D503" s="134" t="s">
        <v>3812</v>
      </c>
      <c r="E503" s="139">
        <v>11.09</v>
      </c>
      <c r="F503" s="134" t="s">
        <v>3811</v>
      </c>
      <c r="G503" s="144" t="s">
        <v>3007</v>
      </c>
      <c r="H503" s="123">
        <v>1298</v>
      </c>
    </row>
    <row r="504" spans="1:8" ht="31.5" x14ac:dyDescent="0.25">
      <c r="A504" s="134" t="s">
        <v>3794</v>
      </c>
      <c r="B504" s="134" t="s">
        <v>3810</v>
      </c>
      <c r="C504" s="134" t="s">
        <v>3809</v>
      </c>
      <c r="D504" s="134" t="s">
        <v>3808</v>
      </c>
      <c r="E504" s="139">
        <v>2.19</v>
      </c>
      <c r="F504" s="134" t="s">
        <v>3807</v>
      </c>
      <c r="G504" s="144" t="s">
        <v>3007</v>
      </c>
      <c r="H504" s="123">
        <v>1299</v>
      </c>
    </row>
    <row r="505" spans="1:8" ht="31.5" x14ac:dyDescent="0.25">
      <c r="A505" s="134" t="s">
        <v>3794</v>
      </c>
      <c r="B505" s="134" t="s">
        <v>3806</v>
      </c>
      <c r="C505" s="134" t="s">
        <v>3805</v>
      </c>
      <c r="D505" s="134" t="s">
        <v>3804</v>
      </c>
      <c r="E505" s="139">
        <v>0.82</v>
      </c>
      <c r="F505" s="134" t="s">
        <v>3803</v>
      </c>
      <c r="G505" s="144" t="s">
        <v>3007</v>
      </c>
      <c r="H505" s="123">
        <v>1300</v>
      </c>
    </row>
    <row r="506" spans="1:8" ht="31.5" x14ac:dyDescent="0.25">
      <c r="A506" s="134" t="s">
        <v>3794</v>
      </c>
      <c r="B506" s="134" t="s">
        <v>3802</v>
      </c>
      <c r="C506" s="134" t="s">
        <v>3801</v>
      </c>
      <c r="D506" s="134" t="s">
        <v>3800</v>
      </c>
      <c r="E506" s="139">
        <v>3.36</v>
      </c>
      <c r="F506" s="134" t="s">
        <v>3799</v>
      </c>
      <c r="G506" s="144" t="s">
        <v>3007</v>
      </c>
      <c r="H506" s="123">
        <v>1301</v>
      </c>
    </row>
    <row r="507" spans="1:8" ht="31.5" x14ac:dyDescent="0.25">
      <c r="A507" s="134" t="s">
        <v>3794</v>
      </c>
      <c r="B507" s="134" t="s">
        <v>3798</v>
      </c>
      <c r="C507" s="134" t="s">
        <v>3797</v>
      </c>
      <c r="D507" s="134" t="s">
        <v>3796</v>
      </c>
      <c r="E507" s="139">
        <v>1.93</v>
      </c>
      <c r="F507" s="134" t="s">
        <v>3795</v>
      </c>
      <c r="G507" s="144" t="s">
        <v>3007</v>
      </c>
      <c r="H507" s="123">
        <v>1302</v>
      </c>
    </row>
    <row r="508" spans="1:8" ht="31.5" x14ac:dyDescent="0.25">
      <c r="A508" s="134" t="s">
        <v>3794</v>
      </c>
      <c r="B508" s="134" t="s">
        <v>3793</v>
      </c>
      <c r="C508" s="134" t="s">
        <v>3792</v>
      </c>
      <c r="D508" s="134" t="s">
        <v>3791</v>
      </c>
      <c r="E508" s="139">
        <v>1.68</v>
      </c>
      <c r="F508" s="134" t="s">
        <v>3790</v>
      </c>
      <c r="G508" s="144" t="s">
        <v>3007</v>
      </c>
      <c r="H508" s="123">
        <v>1303</v>
      </c>
    </row>
    <row r="509" spans="1:8" ht="31.5" x14ac:dyDescent="0.25">
      <c r="A509" s="134" t="s">
        <v>3650</v>
      </c>
      <c r="B509" s="134" t="s">
        <v>3789</v>
      </c>
      <c r="C509" s="134" t="s">
        <v>3788</v>
      </c>
      <c r="D509" s="134" t="s">
        <v>3787</v>
      </c>
      <c r="E509" s="139">
        <v>5.0199999999999996</v>
      </c>
      <c r="F509" s="134" t="s">
        <v>3786</v>
      </c>
      <c r="G509" s="144" t="s">
        <v>3007</v>
      </c>
      <c r="H509" s="123">
        <v>1348</v>
      </c>
    </row>
    <row r="510" spans="1:8" ht="31.5" x14ac:dyDescent="0.25">
      <c r="A510" s="134" t="s">
        <v>3650</v>
      </c>
      <c r="B510" s="134" t="s">
        <v>3785</v>
      </c>
      <c r="C510" s="134" t="s">
        <v>3784</v>
      </c>
      <c r="D510" s="134" t="s">
        <v>3783</v>
      </c>
      <c r="E510" s="139">
        <v>12.64</v>
      </c>
      <c r="F510" s="134" t="s">
        <v>3782</v>
      </c>
      <c r="G510" s="144" t="s">
        <v>3007</v>
      </c>
      <c r="H510" s="123">
        <v>1349</v>
      </c>
    </row>
    <row r="511" spans="1:8" ht="31.5" x14ac:dyDescent="0.25">
      <c r="A511" s="134" t="s">
        <v>3650</v>
      </c>
      <c r="B511" s="134" t="s">
        <v>3781</v>
      </c>
      <c r="C511" s="134" t="s">
        <v>3780</v>
      </c>
      <c r="D511" s="134" t="s">
        <v>3779</v>
      </c>
      <c r="E511" s="139">
        <v>9.14</v>
      </c>
      <c r="F511" s="134" t="s">
        <v>3778</v>
      </c>
      <c r="G511" s="144" t="s">
        <v>3007</v>
      </c>
      <c r="H511" s="123">
        <v>1350</v>
      </c>
    </row>
    <row r="512" spans="1:8" ht="31.5" x14ac:dyDescent="0.25">
      <c r="A512" s="134" t="s">
        <v>3650</v>
      </c>
      <c r="B512" s="134" t="s">
        <v>3777</v>
      </c>
      <c r="C512" s="134" t="s">
        <v>3776</v>
      </c>
      <c r="D512" s="134" t="s">
        <v>3775</v>
      </c>
      <c r="E512" s="139">
        <v>15.54</v>
      </c>
      <c r="F512" s="134" t="s">
        <v>3774</v>
      </c>
      <c r="G512" s="144" t="s">
        <v>3007</v>
      </c>
      <c r="H512" s="123">
        <v>1351</v>
      </c>
    </row>
    <row r="513" spans="1:8" ht="31.5" x14ac:dyDescent="0.25">
      <c r="A513" s="134" t="s">
        <v>3650</v>
      </c>
      <c r="B513" s="134" t="s">
        <v>3773</v>
      </c>
      <c r="C513" s="134" t="s">
        <v>3772</v>
      </c>
      <c r="D513" s="134" t="s">
        <v>3771</v>
      </c>
      <c r="E513" s="139">
        <v>4.54</v>
      </c>
      <c r="F513" s="134" t="s">
        <v>3770</v>
      </c>
      <c r="G513" s="144" t="s">
        <v>3007</v>
      </c>
      <c r="H513" s="123">
        <v>1352</v>
      </c>
    </row>
    <row r="514" spans="1:8" ht="31.5" x14ac:dyDescent="0.25">
      <c r="A514" s="134" t="s">
        <v>3650</v>
      </c>
      <c r="B514" s="134" t="s">
        <v>3769</v>
      </c>
      <c r="C514" s="134" t="s">
        <v>3768</v>
      </c>
      <c r="D514" s="134" t="s">
        <v>3767</v>
      </c>
      <c r="E514" s="139">
        <v>5.47</v>
      </c>
      <c r="F514" s="134" t="s">
        <v>3766</v>
      </c>
      <c r="G514" s="144" t="s">
        <v>3007</v>
      </c>
      <c r="H514" s="123">
        <v>1353</v>
      </c>
    </row>
    <row r="515" spans="1:8" ht="31.5" x14ac:dyDescent="0.25">
      <c r="A515" s="134" t="s">
        <v>3650</v>
      </c>
      <c r="B515" s="134" t="s">
        <v>3765</v>
      </c>
      <c r="C515" s="134" t="s">
        <v>3764</v>
      </c>
      <c r="D515" s="134" t="s">
        <v>3763</v>
      </c>
      <c r="E515" s="139">
        <v>2.11</v>
      </c>
      <c r="F515" s="134" t="s">
        <v>3762</v>
      </c>
      <c r="G515" s="144" t="s">
        <v>3007</v>
      </c>
      <c r="H515" s="123">
        <v>1354</v>
      </c>
    </row>
    <row r="516" spans="1:8" ht="31.5" x14ac:dyDescent="0.25">
      <c r="A516" s="134" t="s">
        <v>3650</v>
      </c>
      <c r="B516" s="134" t="s">
        <v>3761</v>
      </c>
      <c r="C516" s="134" t="s">
        <v>3760</v>
      </c>
      <c r="D516" s="134" t="s">
        <v>3759</v>
      </c>
      <c r="E516" s="139">
        <v>0.91</v>
      </c>
      <c r="F516" s="134" t="s">
        <v>3758</v>
      </c>
      <c r="G516" s="144" t="s">
        <v>3007</v>
      </c>
      <c r="H516" s="123">
        <v>1355</v>
      </c>
    </row>
    <row r="517" spans="1:8" ht="31.5" x14ac:dyDescent="0.25">
      <c r="A517" s="134" t="s">
        <v>3650</v>
      </c>
      <c r="B517" s="134" t="s">
        <v>3757</v>
      </c>
      <c r="C517" s="134" t="s">
        <v>3756</v>
      </c>
      <c r="D517" s="134" t="s">
        <v>3755</v>
      </c>
      <c r="E517" s="139">
        <v>5.56</v>
      </c>
      <c r="F517" s="134" t="s">
        <v>3754</v>
      </c>
      <c r="G517" s="144" t="s">
        <v>3007</v>
      </c>
      <c r="H517" s="123">
        <v>1356</v>
      </c>
    </row>
    <row r="518" spans="1:8" ht="31.5" x14ac:dyDescent="0.25">
      <c r="A518" s="134" t="s">
        <v>3650</v>
      </c>
      <c r="B518" s="134" t="s">
        <v>3753</v>
      </c>
      <c r="C518" s="134" t="s">
        <v>3752</v>
      </c>
      <c r="D518" s="134" t="s">
        <v>3751</v>
      </c>
      <c r="E518" s="139">
        <v>7.05</v>
      </c>
      <c r="F518" s="134" t="s">
        <v>3750</v>
      </c>
      <c r="G518" s="144" t="s">
        <v>3007</v>
      </c>
      <c r="H518" s="123">
        <v>1357</v>
      </c>
    </row>
    <row r="519" spans="1:8" ht="31.5" x14ac:dyDescent="0.25">
      <c r="A519" s="134" t="s">
        <v>3650</v>
      </c>
      <c r="B519" s="134" t="s">
        <v>3749</v>
      </c>
      <c r="C519" s="134" t="s">
        <v>3748</v>
      </c>
      <c r="D519" s="134" t="s">
        <v>3747</v>
      </c>
      <c r="E519" s="139">
        <v>6.11</v>
      </c>
      <c r="F519" s="134" t="s">
        <v>3746</v>
      </c>
      <c r="G519" s="144" t="s">
        <v>3007</v>
      </c>
      <c r="H519" s="123">
        <v>1358</v>
      </c>
    </row>
    <row r="520" spans="1:8" ht="31.5" x14ac:dyDescent="0.25">
      <c r="A520" s="134" t="s">
        <v>3650</v>
      </c>
      <c r="B520" s="134" t="s">
        <v>3745</v>
      </c>
      <c r="C520" s="134" t="s">
        <v>3744</v>
      </c>
      <c r="D520" s="134" t="s">
        <v>3743</v>
      </c>
      <c r="E520" s="139">
        <v>4.13</v>
      </c>
      <c r="F520" s="134" t="s">
        <v>3742</v>
      </c>
      <c r="G520" s="144" t="s">
        <v>3007</v>
      </c>
      <c r="H520" s="123">
        <v>1359</v>
      </c>
    </row>
    <row r="521" spans="1:8" ht="31.5" x14ac:dyDescent="0.25">
      <c r="A521" s="134" t="s">
        <v>3650</v>
      </c>
      <c r="B521" s="134" t="s">
        <v>3741</v>
      </c>
      <c r="C521" s="134" t="s">
        <v>3740</v>
      </c>
      <c r="D521" s="134" t="s">
        <v>3739</v>
      </c>
      <c r="E521" s="139">
        <v>1.79</v>
      </c>
      <c r="F521" s="134" t="s">
        <v>3738</v>
      </c>
      <c r="G521" s="144" t="s">
        <v>3007</v>
      </c>
      <c r="H521" s="123">
        <v>1360</v>
      </c>
    </row>
    <row r="522" spans="1:8" ht="31.5" x14ac:dyDescent="0.25">
      <c r="A522" s="134" t="s">
        <v>3650</v>
      </c>
      <c r="B522" s="134" t="s">
        <v>3737</v>
      </c>
      <c r="C522" s="134" t="s">
        <v>3736</v>
      </c>
      <c r="D522" s="134" t="s">
        <v>3735</v>
      </c>
      <c r="E522" s="139">
        <v>1.68</v>
      </c>
      <c r="F522" s="134" t="s">
        <v>3734</v>
      </c>
      <c r="G522" s="144" t="s">
        <v>3007</v>
      </c>
      <c r="H522" s="123">
        <v>1361</v>
      </c>
    </row>
    <row r="523" spans="1:8" ht="31.5" x14ac:dyDescent="0.25">
      <c r="A523" s="134" t="s">
        <v>3650</v>
      </c>
      <c r="B523" s="134" t="s">
        <v>3733</v>
      </c>
      <c r="C523" s="134" t="s">
        <v>3732</v>
      </c>
      <c r="D523" s="134" t="s">
        <v>3731</v>
      </c>
      <c r="E523" s="139">
        <v>1.75</v>
      </c>
      <c r="F523" s="134" t="s">
        <v>3730</v>
      </c>
      <c r="G523" s="144" t="s">
        <v>3007</v>
      </c>
      <c r="H523" s="123">
        <v>1362</v>
      </c>
    </row>
    <row r="524" spans="1:8" ht="31.5" x14ac:dyDescent="0.25">
      <c r="A524" s="134" t="s">
        <v>3650</v>
      </c>
      <c r="B524" s="134" t="s">
        <v>3729</v>
      </c>
      <c r="C524" s="134" t="s">
        <v>3728</v>
      </c>
      <c r="D524" s="134" t="s">
        <v>3727</v>
      </c>
      <c r="E524" s="139">
        <v>7.22</v>
      </c>
      <c r="F524" s="134" t="s">
        <v>3726</v>
      </c>
      <c r="G524" s="144" t="s">
        <v>3007</v>
      </c>
      <c r="H524" s="123">
        <v>1363</v>
      </c>
    </row>
    <row r="525" spans="1:8" ht="31.5" x14ac:dyDescent="0.25">
      <c r="A525" s="134" t="s">
        <v>3650</v>
      </c>
      <c r="B525" s="134" t="s">
        <v>3725</v>
      </c>
      <c r="C525" s="134" t="s">
        <v>3724</v>
      </c>
      <c r="D525" s="134" t="s">
        <v>3723</v>
      </c>
      <c r="E525" s="139">
        <v>16.760000000000002</v>
      </c>
      <c r="F525" s="134" t="s">
        <v>3722</v>
      </c>
      <c r="G525" s="144" t="s">
        <v>3007</v>
      </c>
      <c r="H525" s="123">
        <v>1364</v>
      </c>
    </row>
    <row r="526" spans="1:8" ht="31.5" x14ac:dyDescent="0.25">
      <c r="A526" s="134" t="s">
        <v>3650</v>
      </c>
      <c r="B526" s="134" t="s">
        <v>3721</v>
      </c>
      <c r="C526" s="134" t="s">
        <v>3720</v>
      </c>
      <c r="D526" s="134" t="s">
        <v>3719</v>
      </c>
      <c r="E526" s="139">
        <v>3.82</v>
      </c>
      <c r="F526" s="134" t="s">
        <v>3718</v>
      </c>
      <c r="G526" s="144" t="s">
        <v>3007</v>
      </c>
      <c r="H526" s="123">
        <v>1365</v>
      </c>
    </row>
    <row r="527" spans="1:8" ht="31.5" x14ac:dyDescent="0.25">
      <c r="A527" s="134" t="s">
        <v>3650</v>
      </c>
      <c r="B527" s="134" t="s">
        <v>3717</v>
      </c>
      <c r="C527" s="134" t="s">
        <v>3716</v>
      </c>
      <c r="D527" s="134" t="s">
        <v>3715</v>
      </c>
      <c r="E527" s="139">
        <v>3.06</v>
      </c>
      <c r="F527" s="134" t="s">
        <v>3714</v>
      </c>
      <c r="G527" s="144" t="s">
        <v>3007</v>
      </c>
      <c r="H527" s="123">
        <v>1366</v>
      </c>
    </row>
    <row r="528" spans="1:8" ht="31.5" x14ac:dyDescent="0.25">
      <c r="A528" s="134" t="s">
        <v>3650</v>
      </c>
      <c r="B528" s="134" t="s">
        <v>3713</v>
      </c>
      <c r="C528" s="134" t="s">
        <v>3712</v>
      </c>
      <c r="D528" s="134" t="s">
        <v>3711</v>
      </c>
      <c r="E528" s="139">
        <v>1.89</v>
      </c>
      <c r="F528" s="134" t="s">
        <v>3707</v>
      </c>
      <c r="G528" s="144" t="s">
        <v>3007</v>
      </c>
      <c r="H528" s="123">
        <v>1367</v>
      </c>
    </row>
    <row r="529" spans="1:8" ht="31.5" x14ac:dyDescent="0.25">
      <c r="A529" s="134" t="s">
        <v>3650</v>
      </c>
      <c r="B529" s="134" t="s">
        <v>3710</v>
      </c>
      <c r="C529" s="134" t="s">
        <v>3709</v>
      </c>
      <c r="D529" s="134" t="s">
        <v>3708</v>
      </c>
      <c r="E529" s="139">
        <v>3.36</v>
      </c>
      <c r="F529" s="134" t="s">
        <v>3707</v>
      </c>
      <c r="G529" s="144" t="s">
        <v>3007</v>
      </c>
      <c r="H529" s="123">
        <v>1368</v>
      </c>
    </row>
    <row r="530" spans="1:8" ht="31.5" x14ac:dyDescent="0.25">
      <c r="A530" s="134" t="s">
        <v>3650</v>
      </c>
      <c r="B530" s="134" t="s">
        <v>3706</v>
      </c>
      <c r="C530" s="134" t="s">
        <v>3705</v>
      </c>
      <c r="D530" s="134" t="s">
        <v>3704</v>
      </c>
      <c r="E530" s="139">
        <v>4.6100000000000003</v>
      </c>
      <c r="F530" s="134" t="s">
        <v>3703</v>
      </c>
      <c r="G530" s="144" t="s">
        <v>3007</v>
      </c>
      <c r="H530" s="123">
        <v>1370</v>
      </c>
    </row>
    <row r="531" spans="1:8" ht="31.5" x14ac:dyDescent="0.25">
      <c r="A531" s="134" t="s">
        <v>3650</v>
      </c>
      <c r="B531" s="134" t="s">
        <v>3702</v>
      </c>
      <c r="C531" s="134" t="s">
        <v>3701</v>
      </c>
      <c r="D531" s="134" t="s">
        <v>3700</v>
      </c>
      <c r="E531" s="139">
        <v>9.69</v>
      </c>
      <c r="F531" s="134" t="s">
        <v>3699</v>
      </c>
      <c r="G531" s="144" t="s">
        <v>3007</v>
      </c>
      <c r="H531" s="123">
        <v>1371</v>
      </c>
    </row>
    <row r="532" spans="1:8" ht="31.5" x14ac:dyDescent="0.25">
      <c r="A532" s="134" t="s">
        <v>3650</v>
      </c>
      <c r="B532" s="134" t="s">
        <v>3698</v>
      </c>
      <c r="C532" s="134" t="s">
        <v>3697</v>
      </c>
      <c r="D532" s="134" t="s">
        <v>3696</v>
      </c>
      <c r="E532" s="139">
        <v>0.33</v>
      </c>
      <c r="F532" s="134" t="s">
        <v>3695</v>
      </c>
      <c r="G532" s="144" t="s">
        <v>3007</v>
      </c>
      <c r="H532" s="123">
        <v>1372</v>
      </c>
    </row>
    <row r="533" spans="1:8" ht="31.5" x14ac:dyDescent="0.25">
      <c r="A533" s="134" t="s">
        <v>3650</v>
      </c>
      <c r="B533" s="134" t="s">
        <v>3694</v>
      </c>
      <c r="C533" s="134" t="s">
        <v>3693</v>
      </c>
      <c r="D533" s="134" t="s">
        <v>3692</v>
      </c>
      <c r="E533" s="139">
        <v>2.21</v>
      </c>
      <c r="F533" s="134" t="s">
        <v>3691</v>
      </c>
      <c r="G533" s="144" t="s">
        <v>3007</v>
      </c>
      <c r="H533" s="123">
        <v>1373</v>
      </c>
    </row>
    <row r="534" spans="1:8" ht="31.5" x14ac:dyDescent="0.25">
      <c r="A534" s="134" t="s">
        <v>3650</v>
      </c>
      <c r="B534" s="134" t="s">
        <v>3690</v>
      </c>
      <c r="C534" s="134" t="s">
        <v>3689</v>
      </c>
      <c r="D534" s="134" t="s">
        <v>3688</v>
      </c>
      <c r="E534" s="139">
        <v>12.17</v>
      </c>
      <c r="F534" s="134" t="s">
        <v>3687</v>
      </c>
      <c r="G534" s="144" t="s">
        <v>3007</v>
      </c>
      <c r="H534" s="123">
        <v>1374</v>
      </c>
    </row>
    <row r="535" spans="1:8" ht="31.5" x14ac:dyDescent="0.25">
      <c r="A535" s="134" t="s">
        <v>3650</v>
      </c>
      <c r="B535" s="134" t="s">
        <v>3686</v>
      </c>
      <c r="C535" s="134" t="s">
        <v>3685</v>
      </c>
      <c r="D535" s="134" t="s">
        <v>3684</v>
      </c>
      <c r="E535" s="139">
        <v>11.67</v>
      </c>
      <c r="F535" s="134" t="s">
        <v>3683</v>
      </c>
      <c r="G535" s="144" t="s">
        <v>3007</v>
      </c>
      <c r="H535" s="123">
        <v>1375</v>
      </c>
    </row>
    <row r="536" spans="1:8" ht="31.5" x14ac:dyDescent="0.25">
      <c r="A536" s="134" t="s">
        <v>3650</v>
      </c>
      <c r="B536" s="134" t="s">
        <v>3682</v>
      </c>
      <c r="C536" s="134" t="s">
        <v>3681</v>
      </c>
      <c r="D536" s="134" t="s">
        <v>3680</v>
      </c>
      <c r="E536" s="139">
        <v>11.08</v>
      </c>
      <c r="F536" s="134" t="s">
        <v>3679</v>
      </c>
      <c r="G536" s="144" t="s">
        <v>3007</v>
      </c>
      <c r="H536" s="123">
        <v>1376</v>
      </c>
    </row>
    <row r="537" spans="1:8" ht="31.5" x14ac:dyDescent="0.25">
      <c r="A537" s="134" t="s">
        <v>3650</v>
      </c>
      <c r="B537" s="134" t="s">
        <v>3678</v>
      </c>
      <c r="C537" s="134" t="s">
        <v>3677</v>
      </c>
      <c r="D537" s="134" t="s">
        <v>3676</v>
      </c>
      <c r="E537" s="139">
        <v>25.22</v>
      </c>
      <c r="F537" s="134" t="s">
        <v>3675</v>
      </c>
      <c r="G537" s="144" t="s">
        <v>3007</v>
      </c>
      <c r="H537" s="123">
        <v>1377</v>
      </c>
    </row>
    <row r="538" spans="1:8" ht="31.5" x14ac:dyDescent="0.25">
      <c r="A538" s="134" t="s">
        <v>3650</v>
      </c>
      <c r="B538" s="134" t="s">
        <v>3674</v>
      </c>
      <c r="C538" s="134" t="s">
        <v>3673</v>
      </c>
      <c r="D538" s="134" t="s">
        <v>3672</v>
      </c>
      <c r="E538" s="139">
        <v>27.77</v>
      </c>
      <c r="F538" s="134" t="s">
        <v>3671</v>
      </c>
      <c r="G538" s="144" t="s">
        <v>3007</v>
      </c>
      <c r="H538" s="123">
        <v>1378</v>
      </c>
    </row>
    <row r="539" spans="1:8" ht="31.5" x14ac:dyDescent="0.25">
      <c r="A539" s="134" t="s">
        <v>3650</v>
      </c>
      <c r="B539" s="134" t="s">
        <v>3670</v>
      </c>
      <c r="C539" s="134" t="s">
        <v>3669</v>
      </c>
      <c r="D539" s="134" t="s">
        <v>3668</v>
      </c>
      <c r="E539" s="139">
        <v>4.4000000000000004</v>
      </c>
      <c r="F539" s="134" t="s">
        <v>3667</v>
      </c>
      <c r="G539" s="144" t="s">
        <v>3007</v>
      </c>
      <c r="H539" s="123">
        <v>1379</v>
      </c>
    </row>
    <row r="540" spans="1:8" ht="31.5" x14ac:dyDescent="0.25">
      <c r="A540" s="134" t="s">
        <v>3650</v>
      </c>
      <c r="B540" s="134" t="s">
        <v>3666</v>
      </c>
      <c r="C540" s="134" t="s">
        <v>3665</v>
      </c>
      <c r="D540" s="134" t="s">
        <v>3664</v>
      </c>
      <c r="E540" s="139">
        <v>15.78</v>
      </c>
      <c r="F540" s="134" t="s">
        <v>3663</v>
      </c>
      <c r="G540" s="144" t="s">
        <v>3007</v>
      </c>
      <c r="H540" s="123">
        <v>1380</v>
      </c>
    </row>
    <row r="541" spans="1:8" ht="31.5" x14ac:dyDescent="0.25">
      <c r="A541" s="134" t="s">
        <v>3650</v>
      </c>
      <c r="B541" s="134" t="s">
        <v>3662</v>
      </c>
      <c r="C541" s="134" t="s">
        <v>3661</v>
      </c>
      <c r="D541" s="134" t="s">
        <v>3660</v>
      </c>
      <c r="E541" s="139">
        <v>10.5</v>
      </c>
      <c r="F541" s="134" t="s">
        <v>3659</v>
      </c>
      <c r="G541" s="144" t="s">
        <v>3007</v>
      </c>
      <c r="H541" s="123">
        <v>1381</v>
      </c>
    </row>
    <row r="542" spans="1:8" ht="31.5" x14ac:dyDescent="0.25">
      <c r="A542" s="134" t="s">
        <v>3650</v>
      </c>
      <c r="B542" s="134" t="s">
        <v>3658</v>
      </c>
      <c r="C542" s="134" t="s">
        <v>3657</v>
      </c>
      <c r="D542" s="134" t="s">
        <v>3656</v>
      </c>
      <c r="E542" s="139">
        <v>4.41</v>
      </c>
      <c r="F542" s="134" t="s">
        <v>3655</v>
      </c>
      <c r="G542" s="144" t="s">
        <v>3007</v>
      </c>
      <c r="H542" s="123">
        <v>1382</v>
      </c>
    </row>
    <row r="543" spans="1:8" ht="31.5" x14ac:dyDescent="0.25">
      <c r="A543" s="134" t="s">
        <v>3650</v>
      </c>
      <c r="B543" s="134" t="s">
        <v>3654</v>
      </c>
      <c r="C543" s="134" t="s">
        <v>3653</v>
      </c>
      <c r="D543" s="134" t="s">
        <v>3652</v>
      </c>
      <c r="E543" s="139">
        <v>5.49</v>
      </c>
      <c r="F543" s="134" t="s">
        <v>3651</v>
      </c>
      <c r="G543" s="144" t="s">
        <v>3007</v>
      </c>
      <c r="H543" s="123">
        <v>1383</v>
      </c>
    </row>
    <row r="544" spans="1:8" ht="31.5" x14ac:dyDescent="0.25">
      <c r="A544" s="134" t="s">
        <v>3650</v>
      </c>
      <c r="B544" s="134" t="s">
        <v>3649</v>
      </c>
      <c r="C544" s="134" t="s">
        <v>3648</v>
      </c>
      <c r="D544" s="134" t="s">
        <v>3647</v>
      </c>
      <c r="E544" s="139">
        <v>6.78</v>
      </c>
      <c r="F544" s="134" t="s">
        <v>3646</v>
      </c>
      <c r="G544" s="144" t="s">
        <v>3007</v>
      </c>
      <c r="H544" s="123">
        <v>1384</v>
      </c>
    </row>
    <row r="545" spans="1:8" s="195" customFormat="1" x14ac:dyDescent="0.25">
      <c r="A545" s="193"/>
      <c r="B545" s="193"/>
      <c r="C545" s="193" t="s">
        <v>5691</v>
      </c>
      <c r="D545" s="193" t="s">
        <v>14413</v>
      </c>
      <c r="E545" s="194">
        <f>SUM(E400:E544)</f>
        <v>1233.5899999999999</v>
      </c>
      <c r="F545" s="193"/>
      <c r="G545" s="193"/>
      <c r="H545" s="123"/>
    </row>
    <row r="546" spans="1:8" x14ac:dyDescent="0.25">
      <c r="A546" s="134"/>
      <c r="B546" s="134"/>
      <c r="C546" s="134"/>
      <c r="D546" s="134"/>
      <c r="E546" s="139"/>
      <c r="F546" s="134"/>
      <c r="G546" s="134"/>
      <c r="H546" s="123"/>
    </row>
    <row r="547" spans="1:8" ht="31.5" x14ac:dyDescent="0.25">
      <c r="A547" s="134" t="s">
        <v>3549</v>
      </c>
      <c r="B547" s="134" t="s">
        <v>3645</v>
      </c>
      <c r="C547" s="134" t="s">
        <v>3644</v>
      </c>
      <c r="D547" s="134" t="s">
        <v>3643</v>
      </c>
      <c r="E547" s="139">
        <v>10.72</v>
      </c>
      <c r="F547" s="134" t="s">
        <v>3642</v>
      </c>
      <c r="G547" s="144" t="s">
        <v>3007</v>
      </c>
      <c r="H547" s="123">
        <v>1432</v>
      </c>
    </row>
    <row r="548" spans="1:8" ht="31.5" x14ac:dyDescent="0.25">
      <c r="A548" s="134" t="s">
        <v>3549</v>
      </c>
      <c r="B548" s="134" t="s">
        <v>3641</v>
      </c>
      <c r="C548" s="134" t="s">
        <v>3640</v>
      </c>
      <c r="D548" s="134" t="s">
        <v>3639</v>
      </c>
      <c r="E548" s="139">
        <v>8.24</v>
      </c>
      <c r="F548" s="134" t="s">
        <v>3638</v>
      </c>
      <c r="G548" s="144" t="s">
        <v>3007</v>
      </c>
      <c r="H548" s="123">
        <v>1433</v>
      </c>
    </row>
    <row r="549" spans="1:8" ht="31.5" x14ac:dyDescent="0.25">
      <c r="A549" s="134" t="s">
        <v>3549</v>
      </c>
      <c r="B549" s="134" t="s">
        <v>3637</v>
      </c>
      <c r="C549" s="134" t="s">
        <v>3636</v>
      </c>
      <c r="D549" s="134" t="s">
        <v>3635</v>
      </c>
      <c r="E549" s="139">
        <v>27.76</v>
      </c>
      <c r="F549" s="134" t="s">
        <v>3634</v>
      </c>
      <c r="G549" s="144" t="s">
        <v>3007</v>
      </c>
      <c r="H549" s="123">
        <v>1434</v>
      </c>
    </row>
    <row r="550" spans="1:8" ht="31.5" x14ac:dyDescent="0.25">
      <c r="A550" s="134" t="s">
        <v>3549</v>
      </c>
      <c r="B550" s="134" t="s">
        <v>3633</v>
      </c>
      <c r="C550" s="134" t="s">
        <v>3632</v>
      </c>
      <c r="D550" s="134" t="s">
        <v>3631</v>
      </c>
      <c r="E550" s="139">
        <v>18.940000000000001</v>
      </c>
      <c r="F550" s="134" t="s">
        <v>3630</v>
      </c>
      <c r="G550" s="144" t="s">
        <v>3007</v>
      </c>
      <c r="H550" s="123">
        <v>1435</v>
      </c>
    </row>
    <row r="551" spans="1:8" ht="31.5" x14ac:dyDescent="0.25">
      <c r="A551" s="134" t="s">
        <v>3549</v>
      </c>
      <c r="B551" s="134" t="s">
        <v>3629</v>
      </c>
      <c r="C551" s="134" t="s">
        <v>3628</v>
      </c>
      <c r="D551" s="134" t="s">
        <v>3627</v>
      </c>
      <c r="E551" s="139">
        <v>8.3800000000000008</v>
      </c>
      <c r="F551" s="134" t="s">
        <v>3626</v>
      </c>
      <c r="G551" s="144" t="s">
        <v>3007</v>
      </c>
      <c r="H551" s="123">
        <v>1436</v>
      </c>
    </row>
    <row r="552" spans="1:8" ht="31.5" x14ac:dyDescent="0.25">
      <c r="A552" s="134" t="s">
        <v>3549</v>
      </c>
      <c r="B552" s="134" t="s">
        <v>3625</v>
      </c>
      <c r="C552" s="134" t="s">
        <v>3624</v>
      </c>
      <c r="D552" s="134" t="s">
        <v>3623</v>
      </c>
      <c r="E552" s="139">
        <v>23.64</v>
      </c>
      <c r="F552" s="134" t="s">
        <v>3622</v>
      </c>
      <c r="G552" s="144" t="s">
        <v>3007</v>
      </c>
      <c r="H552" s="123">
        <v>1437</v>
      </c>
    </row>
    <row r="553" spans="1:8" ht="31.5" x14ac:dyDescent="0.25">
      <c r="A553" s="134" t="s">
        <v>3549</v>
      </c>
      <c r="B553" s="134" t="s">
        <v>3621</v>
      </c>
      <c r="C553" s="134" t="s">
        <v>3620</v>
      </c>
      <c r="D553" s="134" t="s">
        <v>3619</v>
      </c>
      <c r="E553" s="139">
        <v>24.84</v>
      </c>
      <c r="F553" s="134" t="s">
        <v>3618</v>
      </c>
      <c r="G553" s="144" t="s">
        <v>3007</v>
      </c>
      <c r="H553" s="123">
        <v>1438</v>
      </c>
    </row>
    <row r="554" spans="1:8" ht="31.5" x14ac:dyDescent="0.25">
      <c r="A554" s="134" t="s">
        <v>3549</v>
      </c>
      <c r="B554" s="134" t="s">
        <v>3617</v>
      </c>
      <c r="C554" s="134" t="s">
        <v>3616</v>
      </c>
      <c r="D554" s="134" t="s">
        <v>3615</v>
      </c>
      <c r="E554" s="139">
        <v>7.95</v>
      </c>
      <c r="F554" s="134" t="s">
        <v>3614</v>
      </c>
      <c r="G554" s="144" t="s">
        <v>3007</v>
      </c>
      <c r="H554" s="123">
        <v>1439</v>
      </c>
    </row>
    <row r="555" spans="1:8" ht="31.5" x14ac:dyDescent="0.25">
      <c r="A555" s="134" t="s">
        <v>3549</v>
      </c>
      <c r="B555" s="134" t="s">
        <v>3613</v>
      </c>
      <c r="C555" s="134" t="s">
        <v>3612</v>
      </c>
      <c r="D555" s="134" t="s">
        <v>3611</v>
      </c>
      <c r="E555" s="139">
        <v>1.49</v>
      </c>
      <c r="F555" s="134" t="s">
        <v>3610</v>
      </c>
      <c r="G555" s="144" t="s">
        <v>3007</v>
      </c>
      <c r="H555" s="123">
        <v>1440</v>
      </c>
    </row>
    <row r="556" spans="1:8" ht="31.5" x14ac:dyDescent="0.25">
      <c r="A556" s="134" t="s">
        <v>3549</v>
      </c>
      <c r="B556" s="134" t="s">
        <v>3609</v>
      </c>
      <c r="C556" s="134" t="s">
        <v>3608</v>
      </c>
      <c r="D556" s="134" t="s">
        <v>3607</v>
      </c>
      <c r="E556" s="139">
        <v>4.24</v>
      </c>
      <c r="F556" s="134" t="s">
        <v>3606</v>
      </c>
      <c r="G556" s="144" t="s">
        <v>3007</v>
      </c>
      <c r="H556" s="123">
        <v>1441</v>
      </c>
    </row>
    <row r="557" spans="1:8" ht="31.5" x14ac:dyDescent="0.25">
      <c r="A557" s="134" t="s">
        <v>3549</v>
      </c>
      <c r="B557" s="134" t="s">
        <v>3605</v>
      </c>
      <c r="C557" s="134" t="s">
        <v>3604</v>
      </c>
      <c r="D557" s="134" t="s">
        <v>3603</v>
      </c>
      <c r="E557" s="139">
        <v>7.58</v>
      </c>
      <c r="F557" s="134" t="s">
        <v>3602</v>
      </c>
      <c r="G557" s="144" t="s">
        <v>3007</v>
      </c>
      <c r="H557" s="123">
        <v>1442</v>
      </c>
    </row>
    <row r="558" spans="1:8" ht="31.5" x14ac:dyDescent="0.25">
      <c r="A558" s="134" t="s">
        <v>3549</v>
      </c>
      <c r="B558" s="134" t="s">
        <v>3601</v>
      </c>
      <c r="C558" s="134" t="s">
        <v>3600</v>
      </c>
      <c r="D558" s="134" t="s">
        <v>3599</v>
      </c>
      <c r="E558" s="139">
        <v>6.24</v>
      </c>
      <c r="F558" s="134" t="s">
        <v>3598</v>
      </c>
      <c r="G558" s="144" t="s">
        <v>3007</v>
      </c>
      <c r="H558" s="123">
        <v>1443</v>
      </c>
    </row>
    <row r="559" spans="1:8" ht="31.5" x14ac:dyDescent="0.25">
      <c r="A559" s="134" t="s">
        <v>3549</v>
      </c>
      <c r="B559" s="134" t="s">
        <v>3597</v>
      </c>
      <c r="C559" s="134" t="s">
        <v>3596</v>
      </c>
      <c r="D559" s="134" t="s">
        <v>3595</v>
      </c>
      <c r="E559" s="139">
        <v>1.68</v>
      </c>
      <c r="F559" s="134" t="s">
        <v>3594</v>
      </c>
      <c r="G559" s="144" t="s">
        <v>3007</v>
      </c>
      <c r="H559" s="123">
        <v>1444</v>
      </c>
    </row>
    <row r="560" spans="1:8" ht="31.5" x14ac:dyDescent="0.25">
      <c r="A560" s="134" t="s">
        <v>3549</v>
      </c>
      <c r="B560" s="134" t="s">
        <v>3593</v>
      </c>
      <c r="C560" s="134" t="s">
        <v>3592</v>
      </c>
      <c r="D560" s="134" t="s">
        <v>3591</v>
      </c>
      <c r="E560" s="139">
        <v>3.47</v>
      </c>
      <c r="F560" s="134" t="s">
        <v>3590</v>
      </c>
      <c r="G560" s="144" t="s">
        <v>3007</v>
      </c>
      <c r="H560" s="123">
        <v>1445</v>
      </c>
    </row>
    <row r="561" spans="1:8" ht="31.5" x14ac:dyDescent="0.25">
      <c r="A561" s="134" t="s">
        <v>3549</v>
      </c>
      <c r="B561" s="134" t="s">
        <v>3589</v>
      </c>
      <c r="C561" s="134" t="s">
        <v>3588</v>
      </c>
      <c r="D561" s="134" t="s">
        <v>3587</v>
      </c>
      <c r="E561" s="139">
        <v>16.8</v>
      </c>
      <c r="F561" s="134" t="s">
        <v>3586</v>
      </c>
      <c r="G561" s="144" t="s">
        <v>3007</v>
      </c>
      <c r="H561" s="123">
        <v>1446</v>
      </c>
    </row>
    <row r="562" spans="1:8" ht="31.5" x14ac:dyDescent="0.25">
      <c r="A562" s="134" t="s">
        <v>3549</v>
      </c>
      <c r="B562" s="134" t="s">
        <v>3585</v>
      </c>
      <c r="C562" s="134" t="s">
        <v>3584</v>
      </c>
      <c r="D562" s="134" t="s">
        <v>3583</v>
      </c>
      <c r="E562" s="139">
        <v>11.93</v>
      </c>
      <c r="F562" s="134" t="s">
        <v>3582</v>
      </c>
      <c r="G562" s="144" t="s">
        <v>3007</v>
      </c>
      <c r="H562" s="123">
        <v>1447</v>
      </c>
    </row>
    <row r="563" spans="1:8" ht="31.5" x14ac:dyDescent="0.25">
      <c r="A563" s="134" t="s">
        <v>3549</v>
      </c>
      <c r="B563" s="134" t="s">
        <v>3581</v>
      </c>
      <c r="C563" s="134" t="s">
        <v>3580</v>
      </c>
      <c r="D563" s="134" t="s">
        <v>3579</v>
      </c>
      <c r="E563" s="139">
        <v>9.4</v>
      </c>
      <c r="F563" s="134" t="s">
        <v>3578</v>
      </c>
      <c r="G563" s="144" t="s">
        <v>3007</v>
      </c>
      <c r="H563" s="123">
        <v>1448</v>
      </c>
    </row>
    <row r="564" spans="1:8" ht="31.5" x14ac:dyDescent="0.25">
      <c r="A564" s="134" t="s">
        <v>3549</v>
      </c>
      <c r="B564" s="134" t="s">
        <v>3577</v>
      </c>
      <c r="C564" s="134" t="s">
        <v>3576</v>
      </c>
      <c r="D564" s="134" t="s">
        <v>3575</v>
      </c>
      <c r="E564" s="139">
        <v>2.23</v>
      </c>
      <c r="F564" s="134" t="s">
        <v>3574</v>
      </c>
      <c r="G564" s="144" t="s">
        <v>3007</v>
      </c>
      <c r="H564" s="123">
        <v>1449</v>
      </c>
    </row>
    <row r="565" spans="1:8" ht="31.5" x14ac:dyDescent="0.25">
      <c r="A565" s="134" t="s">
        <v>3549</v>
      </c>
      <c r="B565" s="134" t="s">
        <v>3573</v>
      </c>
      <c r="C565" s="134" t="s">
        <v>3572</v>
      </c>
      <c r="D565" s="134" t="s">
        <v>3571</v>
      </c>
      <c r="E565" s="139">
        <v>3.21</v>
      </c>
      <c r="F565" s="134" t="s">
        <v>3570</v>
      </c>
      <c r="G565" s="144" t="s">
        <v>3007</v>
      </c>
      <c r="H565" s="123">
        <v>1450</v>
      </c>
    </row>
    <row r="566" spans="1:8" ht="31.5" x14ac:dyDescent="0.25">
      <c r="A566" s="134" t="s">
        <v>3549</v>
      </c>
      <c r="B566" s="134" t="s">
        <v>3569</v>
      </c>
      <c r="C566" s="134" t="s">
        <v>3568</v>
      </c>
      <c r="D566" s="134" t="s">
        <v>3567</v>
      </c>
      <c r="E566" s="139">
        <v>1.8</v>
      </c>
      <c r="F566" s="134" t="s">
        <v>3566</v>
      </c>
      <c r="G566" s="144" t="s">
        <v>3007</v>
      </c>
      <c r="H566" s="123">
        <v>1451</v>
      </c>
    </row>
    <row r="567" spans="1:8" ht="31.5" x14ac:dyDescent="0.25">
      <c r="A567" s="134" t="s">
        <v>3549</v>
      </c>
      <c r="B567" s="134" t="s">
        <v>3565</v>
      </c>
      <c r="C567" s="134" t="s">
        <v>3564</v>
      </c>
      <c r="D567" s="134" t="s">
        <v>3563</v>
      </c>
      <c r="E567" s="139">
        <v>6.94</v>
      </c>
      <c r="F567" s="134" t="s">
        <v>3562</v>
      </c>
      <c r="G567" s="144" t="s">
        <v>3007</v>
      </c>
      <c r="H567" s="123">
        <v>1452</v>
      </c>
    </row>
    <row r="568" spans="1:8" ht="31.5" x14ac:dyDescent="0.25">
      <c r="A568" s="134" t="s">
        <v>3549</v>
      </c>
      <c r="B568" s="134" t="s">
        <v>3561</v>
      </c>
      <c r="C568" s="134" t="s">
        <v>3560</v>
      </c>
      <c r="D568" s="134" t="s">
        <v>3559</v>
      </c>
      <c r="E568" s="139">
        <v>1</v>
      </c>
      <c r="F568" s="134" t="s">
        <v>3558</v>
      </c>
      <c r="G568" s="144" t="s">
        <v>3007</v>
      </c>
      <c r="H568" s="123">
        <v>1453</v>
      </c>
    </row>
    <row r="569" spans="1:8" ht="31.5" x14ac:dyDescent="0.25">
      <c r="A569" s="134" t="s">
        <v>3549</v>
      </c>
      <c r="B569" s="134" t="s">
        <v>3557</v>
      </c>
      <c r="C569" s="134" t="s">
        <v>3556</v>
      </c>
      <c r="D569" s="134" t="s">
        <v>3555</v>
      </c>
      <c r="E569" s="139">
        <v>5.79</v>
      </c>
      <c r="F569" s="134" t="s">
        <v>3554</v>
      </c>
      <c r="G569" s="144" t="s">
        <v>3007</v>
      </c>
      <c r="H569" s="123">
        <v>1454</v>
      </c>
    </row>
    <row r="570" spans="1:8" ht="31.5" x14ac:dyDescent="0.25">
      <c r="A570" s="134" t="s">
        <v>3549</v>
      </c>
      <c r="B570" s="134" t="s">
        <v>3553</v>
      </c>
      <c r="C570" s="134" t="s">
        <v>3552</v>
      </c>
      <c r="D570" s="134" t="s">
        <v>3551</v>
      </c>
      <c r="E570" s="139">
        <v>1.99</v>
      </c>
      <c r="F570" s="134" t="s">
        <v>3550</v>
      </c>
      <c r="G570" s="144" t="s">
        <v>3007</v>
      </c>
      <c r="H570" s="123">
        <v>1455</v>
      </c>
    </row>
    <row r="571" spans="1:8" ht="31.5" x14ac:dyDescent="0.25">
      <c r="A571" s="134" t="s">
        <v>3549</v>
      </c>
      <c r="B571" s="134" t="s">
        <v>3548</v>
      </c>
      <c r="C571" s="134" t="s">
        <v>3547</v>
      </c>
      <c r="D571" s="134" t="s">
        <v>3546</v>
      </c>
      <c r="E571" s="139">
        <v>7.16</v>
      </c>
      <c r="F571" s="134" t="s">
        <v>3545</v>
      </c>
      <c r="G571" s="144" t="s">
        <v>3007</v>
      </c>
      <c r="H571" s="123">
        <v>1456</v>
      </c>
    </row>
    <row r="572" spans="1:8" ht="31.5" x14ac:dyDescent="0.25">
      <c r="A572" s="134" t="s">
        <v>3509</v>
      </c>
      <c r="B572" s="134" t="s">
        <v>3544</v>
      </c>
      <c r="C572" s="134" t="s">
        <v>3543</v>
      </c>
      <c r="D572" s="134" t="s">
        <v>3542</v>
      </c>
      <c r="E572" s="139">
        <v>1.75</v>
      </c>
      <c r="F572" s="134" t="s">
        <v>3541</v>
      </c>
      <c r="G572" s="144" t="s">
        <v>3007</v>
      </c>
      <c r="H572" s="123">
        <v>1464</v>
      </c>
    </row>
    <row r="573" spans="1:8" ht="31.5" x14ac:dyDescent="0.25">
      <c r="A573" s="134" t="s">
        <v>3509</v>
      </c>
      <c r="B573" s="134" t="s">
        <v>3540</v>
      </c>
      <c r="C573" s="134" t="s">
        <v>3539</v>
      </c>
      <c r="D573" s="134" t="s">
        <v>3538</v>
      </c>
      <c r="E573" s="139">
        <v>5.15</v>
      </c>
      <c r="F573" s="134" t="s">
        <v>3537</v>
      </c>
      <c r="G573" s="144" t="s">
        <v>3007</v>
      </c>
      <c r="H573" s="123">
        <v>1465</v>
      </c>
    </row>
    <row r="574" spans="1:8" ht="31.5" x14ac:dyDescent="0.25">
      <c r="A574" s="134" t="s">
        <v>3509</v>
      </c>
      <c r="B574" s="134" t="s">
        <v>3536</v>
      </c>
      <c r="C574" s="134" t="s">
        <v>3535</v>
      </c>
      <c r="D574" s="134" t="s">
        <v>3534</v>
      </c>
      <c r="E574" s="139">
        <v>5.92</v>
      </c>
      <c r="F574" s="134" t="s">
        <v>3533</v>
      </c>
      <c r="G574" s="144" t="s">
        <v>3007</v>
      </c>
      <c r="H574" s="123">
        <v>1466</v>
      </c>
    </row>
    <row r="575" spans="1:8" ht="31.5" x14ac:dyDescent="0.25">
      <c r="A575" s="134" t="s">
        <v>3509</v>
      </c>
      <c r="B575" s="134" t="s">
        <v>3532</v>
      </c>
      <c r="C575" s="134" t="s">
        <v>3531</v>
      </c>
      <c r="D575" s="134" t="s">
        <v>3530</v>
      </c>
      <c r="E575" s="139">
        <v>6.47</v>
      </c>
      <c r="F575" s="134" t="s">
        <v>3526</v>
      </c>
      <c r="G575" s="144" t="s">
        <v>3007</v>
      </c>
      <c r="H575" s="123">
        <v>1467</v>
      </c>
    </row>
    <row r="576" spans="1:8" ht="31.5" x14ac:dyDescent="0.25">
      <c r="A576" s="134" t="s">
        <v>3509</v>
      </c>
      <c r="B576" s="134" t="s">
        <v>3529</v>
      </c>
      <c r="C576" s="134" t="s">
        <v>3528</v>
      </c>
      <c r="D576" s="134" t="s">
        <v>3527</v>
      </c>
      <c r="E576" s="139">
        <v>4.09</v>
      </c>
      <c r="F576" s="134" t="s">
        <v>3526</v>
      </c>
      <c r="G576" s="144" t="s">
        <v>3007</v>
      </c>
      <c r="H576" s="123">
        <v>1468</v>
      </c>
    </row>
    <row r="577" spans="1:8" ht="31.5" x14ac:dyDescent="0.25">
      <c r="A577" s="134" t="s">
        <v>3509</v>
      </c>
      <c r="B577" s="134" t="s">
        <v>3525</v>
      </c>
      <c r="C577" s="134" t="s">
        <v>3524</v>
      </c>
      <c r="D577" s="134" t="s">
        <v>3523</v>
      </c>
      <c r="E577" s="139">
        <v>3.44</v>
      </c>
      <c r="F577" s="134" t="s">
        <v>3522</v>
      </c>
      <c r="G577" s="144" t="s">
        <v>3007</v>
      </c>
      <c r="H577" s="123">
        <v>1469</v>
      </c>
    </row>
    <row r="578" spans="1:8" ht="31.5" x14ac:dyDescent="0.25">
      <c r="A578" s="134" t="s">
        <v>3509</v>
      </c>
      <c r="B578" s="134" t="s">
        <v>3521</v>
      </c>
      <c r="C578" s="134" t="s">
        <v>3520</v>
      </c>
      <c r="D578" s="134" t="s">
        <v>3519</v>
      </c>
      <c r="E578" s="139">
        <v>3.37</v>
      </c>
      <c r="F578" s="134" t="s">
        <v>3518</v>
      </c>
      <c r="G578" s="144" t="s">
        <v>3007</v>
      </c>
      <c r="H578" s="123">
        <v>1470</v>
      </c>
    </row>
    <row r="579" spans="1:8" ht="31.5" x14ac:dyDescent="0.25">
      <c r="A579" s="134" t="s">
        <v>3509</v>
      </c>
      <c r="B579" s="134" t="s">
        <v>3517</v>
      </c>
      <c r="C579" s="134" t="s">
        <v>3516</v>
      </c>
      <c r="D579" s="134" t="s">
        <v>3515</v>
      </c>
      <c r="E579" s="139">
        <v>2.86</v>
      </c>
      <c r="F579" s="134" t="s">
        <v>3514</v>
      </c>
      <c r="G579" s="144" t="s">
        <v>3007</v>
      </c>
      <c r="H579" s="123">
        <v>1471</v>
      </c>
    </row>
    <row r="580" spans="1:8" ht="31.5" x14ac:dyDescent="0.25">
      <c r="A580" s="134" t="s">
        <v>3509</v>
      </c>
      <c r="B580" s="134" t="s">
        <v>3513</v>
      </c>
      <c r="C580" s="134" t="s">
        <v>3512</v>
      </c>
      <c r="D580" s="134" t="s">
        <v>3511</v>
      </c>
      <c r="E580" s="139">
        <v>7.78</v>
      </c>
      <c r="F580" s="134" t="s">
        <v>3510</v>
      </c>
      <c r="G580" s="144" t="s">
        <v>3007</v>
      </c>
      <c r="H580" s="123">
        <v>1472</v>
      </c>
    </row>
    <row r="581" spans="1:8" ht="31.5" x14ac:dyDescent="0.25">
      <c r="A581" s="134" t="s">
        <v>3509</v>
      </c>
      <c r="B581" s="134" t="s">
        <v>3508</v>
      </c>
      <c r="C581" s="134" t="s">
        <v>3507</v>
      </c>
      <c r="D581" s="134" t="s">
        <v>3506</v>
      </c>
      <c r="E581" s="139">
        <v>3.73</v>
      </c>
      <c r="F581" s="134" t="s">
        <v>3505</v>
      </c>
      <c r="G581" s="144" t="s">
        <v>3007</v>
      </c>
      <c r="H581" s="123">
        <v>1473</v>
      </c>
    </row>
    <row r="582" spans="1:8" ht="31.5" x14ac:dyDescent="0.25">
      <c r="A582" s="134" t="s">
        <v>3477</v>
      </c>
      <c r="B582" s="134" t="s">
        <v>3504</v>
      </c>
      <c r="C582" s="134" t="s">
        <v>3503</v>
      </c>
      <c r="D582" s="134" t="s">
        <v>3502</v>
      </c>
      <c r="E582" s="139">
        <v>3.85</v>
      </c>
      <c r="F582" s="134" t="s">
        <v>3498</v>
      </c>
      <c r="G582" s="144" t="s">
        <v>3007</v>
      </c>
      <c r="H582" s="123">
        <v>1474</v>
      </c>
    </row>
    <row r="583" spans="1:8" ht="31.5" x14ac:dyDescent="0.25">
      <c r="A583" s="134" t="s">
        <v>3477</v>
      </c>
      <c r="B583" s="134" t="s">
        <v>3501</v>
      </c>
      <c r="C583" s="134" t="s">
        <v>3500</v>
      </c>
      <c r="D583" s="134" t="s">
        <v>3499</v>
      </c>
      <c r="E583" s="139">
        <v>2.14</v>
      </c>
      <c r="F583" s="134" t="s">
        <v>3498</v>
      </c>
      <c r="G583" s="144" t="s">
        <v>3007</v>
      </c>
      <c r="H583" s="123">
        <v>1475</v>
      </c>
    </row>
    <row r="584" spans="1:8" ht="31.5" x14ac:dyDescent="0.25">
      <c r="A584" s="134" t="s">
        <v>3477</v>
      </c>
      <c r="B584" s="134" t="s">
        <v>3497</v>
      </c>
      <c r="C584" s="134" t="s">
        <v>3496</v>
      </c>
      <c r="D584" s="134" t="s">
        <v>3495</v>
      </c>
      <c r="E584" s="139">
        <v>3.86</v>
      </c>
      <c r="F584" s="134" t="s">
        <v>3494</v>
      </c>
      <c r="G584" s="144" t="s">
        <v>3007</v>
      </c>
      <c r="H584" s="123">
        <v>1476</v>
      </c>
    </row>
    <row r="585" spans="1:8" ht="31.5" x14ac:dyDescent="0.25">
      <c r="A585" s="134" t="s">
        <v>3477</v>
      </c>
      <c r="B585" s="134" t="s">
        <v>3493</v>
      </c>
      <c r="C585" s="134" t="s">
        <v>3492</v>
      </c>
      <c r="D585" s="134" t="s">
        <v>3491</v>
      </c>
      <c r="E585" s="139">
        <v>1.98</v>
      </c>
      <c r="F585" s="134" t="s">
        <v>3490</v>
      </c>
      <c r="G585" s="144" t="s">
        <v>3007</v>
      </c>
      <c r="H585" s="123">
        <v>1477</v>
      </c>
    </row>
    <row r="586" spans="1:8" ht="31.5" x14ac:dyDescent="0.25">
      <c r="A586" s="134" t="s">
        <v>3477</v>
      </c>
      <c r="B586" s="134" t="s">
        <v>3489</v>
      </c>
      <c r="C586" s="134" t="s">
        <v>3488</v>
      </c>
      <c r="D586" s="134" t="s">
        <v>3487</v>
      </c>
      <c r="E586" s="139">
        <v>0.42</v>
      </c>
      <c r="F586" s="134" t="s">
        <v>3486</v>
      </c>
      <c r="G586" s="144" t="s">
        <v>3007</v>
      </c>
      <c r="H586" s="123">
        <v>1478</v>
      </c>
    </row>
    <row r="587" spans="1:8" ht="31.5" x14ac:dyDescent="0.25">
      <c r="A587" s="134" t="s">
        <v>3477</v>
      </c>
      <c r="B587" s="134" t="s">
        <v>3485</v>
      </c>
      <c r="C587" s="134" t="s">
        <v>3484</v>
      </c>
      <c r="D587" s="134" t="s">
        <v>3483</v>
      </c>
      <c r="E587" s="139">
        <v>2.77</v>
      </c>
      <c r="F587" s="134" t="s">
        <v>3482</v>
      </c>
      <c r="G587" s="144" t="s">
        <v>3007</v>
      </c>
      <c r="H587" s="123">
        <v>1479</v>
      </c>
    </row>
    <row r="588" spans="1:8" ht="31.5" x14ac:dyDescent="0.25">
      <c r="A588" s="134" t="s">
        <v>3477</v>
      </c>
      <c r="B588" s="134" t="s">
        <v>3481</v>
      </c>
      <c r="C588" s="134" t="s">
        <v>3480</v>
      </c>
      <c r="D588" s="134" t="s">
        <v>3479</v>
      </c>
      <c r="E588" s="139">
        <v>3.3</v>
      </c>
      <c r="F588" s="134" t="s">
        <v>3478</v>
      </c>
      <c r="G588" s="144" t="s">
        <v>3007</v>
      </c>
      <c r="H588" s="123">
        <v>1480</v>
      </c>
    </row>
    <row r="589" spans="1:8" ht="31.5" x14ac:dyDescent="0.25">
      <c r="A589" s="134" t="s">
        <v>3477</v>
      </c>
      <c r="B589" s="134" t="s">
        <v>3476</v>
      </c>
      <c r="C589" s="134" t="s">
        <v>3475</v>
      </c>
      <c r="D589" s="134" t="s">
        <v>3474</v>
      </c>
      <c r="E589" s="139">
        <v>1.68</v>
      </c>
      <c r="F589" s="134" t="s">
        <v>3473</v>
      </c>
      <c r="G589" s="144" t="s">
        <v>3007</v>
      </c>
      <c r="H589" s="123">
        <v>1481</v>
      </c>
    </row>
    <row r="590" spans="1:8" ht="31.5" x14ac:dyDescent="0.25">
      <c r="A590" s="134" t="s">
        <v>3388</v>
      </c>
      <c r="B590" s="134" t="s">
        <v>3472</v>
      </c>
      <c r="C590" s="134" t="s">
        <v>3471</v>
      </c>
      <c r="D590" s="134" t="s">
        <v>3470</v>
      </c>
      <c r="E590" s="139">
        <v>10.32</v>
      </c>
      <c r="F590" s="134" t="s">
        <v>3469</v>
      </c>
      <c r="G590" s="144" t="s">
        <v>3007</v>
      </c>
      <c r="H590" s="123">
        <v>1533</v>
      </c>
    </row>
    <row r="591" spans="1:8" ht="31.5" x14ac:dyDescent="0.25">
      <c r="A591" s="134" t="s">
        <v>3388</v>
      </c>
      <c r="B591" s="134" t="s">
        <v>3468</v>
      </c>
      <c r="C591" s="134" t="s">
        <v>3467</v>
      </c>
      <c r="D591" s="134" t="s">
        <v>3466</v>
      </c>
      <c r="E591" s="139">
        <v>7.95</v>
      </c>
      <c r="F591" s="134" t="s">
        <v>3465</v>
      </c>
      <c r="G591" s="144" t="s">
        <v>3007</v>
      </c>
      <c r="H591" s="123">
        <v>1534</v>
      </c>
    </row>
    <row r="592" spans="1:8" ht="31.5" x14ac:dyDescent="0.25">
      <c r="A592" s="134" t="s">
        <v>3388</v>
      </c>
      <c r="B592" s="134" t="s">
        <v>3464</v>
      </c>
      <c r="C592" s="134" t="s">
        <v>3463</v>
      </c>
      <c r="D592" s="134" t="s">
        <v>3462</v>
      </c>
      <c r="E592" s="139">
        <v>3.83</v>
      </c>
      <c r="F592" s="134" t="s">
        <v>3461</v>
      </c>
      <c r="G592" s="144" t="s">
        <v>3007</v>
      </c>
      <c r="H592" s="123">
        <v>1535</v>
      </c>
    </row>
    <row r="593" spans="1:8" ht="31.5" x14ac:dyDescent="0.25">
      <c r="A593" s="134" t="s">
        <v>3388</v>
      </c>
      <c r="B593" s="134" t="s">
        <v>3460</v>
      </c>
      <c r="C593" s="134" t="s">
        <v>3459</v>
      </c>
      <c r="D593" s="134" t="s">
        <v>3458</v>
      </c>
      <c r="E593" s="139">
        <v>1.92</v>
      </c>
      <c r="F593" s="134" t="s">
        <v>3457</v>
      </c>
      <c r="G593" s="144" t="s">
        <v>3007</v>
      </c>
      <c r="H593" s="123">
        <v>1536</v>
      </c>
    </row>
    <row r="594" spans="1:8" ht="31.5" x14ac:dyDescent="0.25">
      <c r="A594" s="134" t="s">
        <v>3388</v>
      </c>
      <c r="B594" s="134" t="s">
        <v>3456</v>
      </c>
      <c r="C594" s="134" t="s">
        <v>3455</v>
      </c>
      <c r="D594" s="134" t="s">
        <v>3454</v>
      </c>
      <c r="E594" s="139">
        <v>36.04</v>
      </c>
      <c r="F594" s="134" t="s">
        <v>3453</v>
      </c>
      <c r="G594" s="144" t="s">
        <v>3007</v>
      </c>
      <c r="H594" s="123">
        <v>1537</v>
      </c>
    </row>
    <row r="595" spans="1:8" ht="31.5" x14ac:dyDescent="0.25">
      <c r="A595" s="134" t="s">
        <v>3388</v>
      </c>
      <c r="B595" s="134" t="s">
        <v>3452</v>
      </c>
      <c r="C595" s="134" t="s">
        <v>3451</v>
      </c>
      <c r="D595" s="134" t="s">
        <v>3450</v>
      </c>
      <c r="E595" s="139">
        <v>9.52</v>
      </c>
      <c r="F595" s="134" t="s">
        <v>3449</v>
      </c>
      <c r="G595" s="144" t="s">
        <v>3007</v>
      </c>
      <c r="H595" s="123">
        <v>1538</v>
      </c>
    </row>
    <row r="596" spans="1:8" ht="31.5" x14ac:dyDescent="0.25">
      <c r="A596" s="134" t="s">
        <v>3388</v>
      </c>
      <c r="B596" s="134" t="s">
        <v>3448</v>
      </c>
      <c r="C596" s="134" t="s">
        <v>3447</v>
      </c>
      <c r="D596" s="134" t="s">
        <v>3446</v>
      </c>
      <c r="E596" s="139">
        <v>4.43</v>
      </c>
      <c r="F596" s="134" t="s">
        <v>3445</v>
      </c>
      <c r="G596" s="144" t="s">
        <v>3007</v>
      </c>
      <c r="H596" s="123">
        <v>1539</v>
      </c>
    </row>
    <row r="597" spans="1:8" ht="31.5" x14ac:dyDescent="0.25">
      <c r="A597" s="134" t="s">
        <v>3388</v>
      </c>
      <c r="B597" s="134" t="s">
        <v>3444</v>
      </c>
      <c r="C597" s="134" t="s">
        <v>3443</v>
      </c>
      <c r="D597" s="134" t="s">
        <v>3442</v>
      </c>
      <c r="E597" s="139">
        <v>5.04</v>
      </c>
      <c r="F597" s="134" t="s">
        <v>3441</v>
      </c>
      <c r="G597" s="144" t="s">
        <v>3007</v>
      </c>
      <c r="H597" s="123">
        <v>1540</v>
      </c>
    </row>
    <row r="598" spans="1:8" ht="31.5" x14ac:dyDescent="0.25">
      <c r="A598" s="134" t="s">
        <v>3388</v>
      </c>
      <c r="B598" s="134" t="s">
        <v>3440</v>
      </c>
      <c r="C598" s="134" t="s">
        <v>3439</v>
      </c>
      <c r="D598" s="134" t="s">
        <v>3438</v>
      </c>
      <c r="E598" s="139">
        <v>3.14</v>
      </c>
      <c r="F598" s="134" t="s">
        <v>3437</v>
      </c>
      <c r="G598" s="144" t="s">
        <v>3007</v>
      </c>
      <c r="H598" s="123">
        <v>1541</v>
      </c>
    </row>
    <row r="599" spans="1:8" ht="31.5" x14ac:dyDescent="0.25">
      <c r="A599" s="134" t="s">
        <v>3388</v>
      </c>
      <c r="B599" s="134" t="s">
        <v>3436</v>
      </c>
      <c r="C599" s="134" t="s">
        <v>3435</v>
      </c>
      <c r="D599" s="134" t="s">
        <v>3434</v>
      </c>
      <c r="E599" s="139">
        <v>8.3800000000000008</v>
      </c>
      <c r="F599" s="134" t="s">
        <v>3433</v>
      </c>
      <c r="G599" s="144" t="s">
        <v>3007</v>
      </c>
      <c r="H599" s="123">
        <v>1542</v>
      </c>
    </row>
    <row r="600" spans="1:8" ht="31.5" x14ac:dyDescent="0.25">
      <c r="A600" s="134" t="s">
        <v>3388</v>
      </c>
      <c r="B600" s="134" t="s">
        <v>3432</v>
      </c>
      <c r="C600" s="134" t="s">
        <v>3431</v>
      </c>
      <c r="D600" s="134" t="s">
        <v>3430</v>
      </c>
      <c r="E600" s="139">
        <v>6.62</v>
      </c>
      <c r="F600" s="134" t="s">
        <v>3429</v>
      </c>
      <c r="G600" s="144" t="s">
        <v>3007</v>
      </c>
      <c r="H600" s="123">
        <v>1543</v>
      </c>
    </row>
    <row r="601" spans="1:8" ht="31.5" x14ac:dyDescent="0.25">
      <c r="A601" s="134" t="s">
        <v>3388</v>
      </c>
      <c r="B601" s="134" t="s">
        <v>3428</v>
      </c>
      <c r="C601" s="134" t="s">
        <v>3427</v>
      </c>
      <c r="D601" s="134" t="s">
        <v>3426</v>
      </c>
      <c r="E601" s="139">
        <v>4.4400000000000004</v>
      </c>
      <c r="F601" s="134" t="s">
        <v>3425</v>
      </c>
      <c r="G601" s="144" t="s">
        <v>3007</v>
      </c>
      <c r="H601" s="123">
        <v>1544</v>
      </c>
    </row>
    <row r="602" spans="1:8" ht="31.5" x14ac:dyDescent="0.25">
      <c r="A602" s="134" t="s">
        <v>3388</v>
      </c>
      <c r="B602" s="134" t="s">
        <v>3424</v>
      </c>
      <c r="C602" s="134" t="s">
        <v>3423</v>
      </c>
      <c r="D602" s="134" t="s">
        <v>3422</v>
      </c>
      <c r="E602" s="139">
        <v>2.5299999999999998</v>
      </c>
      <c r="F602" s="134" t="s">
        <v>3421</v>
      </c>
      <c r="G602" s="144" t="s">
        <v>3007</v>
      </c>
      <c r="H602" s="123">
        <v>1545</v>
      </c>
    </row>
    <row r="603" spans="1:8" ht="31.5" x14ac:dyDescent="0.25">
      <c r="A603" s="134" t="s">
        <v>3388</v>
      </c>
      <c r="B603" s="134" t="s">
        <v>3420</v>
      </c>
      <c r="C603" s="134" t="s">
        <v>3419</v>
      </c>
      <c r="D603" s="134" t="s">
        <v>3418</v>
      </c>
      <c r="E603" s="139">
        <v>7.37</v>
      </c>
      <c r="F603" s="134" t="s">
        <v>3417</v>
      </c>
      <c r="G603" s="144" t="s">
        <v>3007</v>
      </c>
      <c r="H603" s="123">
        <v>1546</v>
      </c>
    </row>
    <row r="604" spans="1:8" ht="31.5" x14ac:dyDescent="0.25">
      <c r="A604" s="134" t="s">
        <v>3388</v>
      </c>
      <c r="B604" s="134" t="s">
        <v>3416</v>
      </c>
      <c r="C604" s="134" t="s">
        <v>3415</v>
      </c>
      <c r="D604" s="134" t="s">
        <v>3414</v>
      </c>
      <c r="E604" s="139">
        <v>4.4800000000000004</v>
      </c>
      <c r="F604" s="134" t="s">
        <v>3413</v>
      </c>
      <c r="G604" s="144" t="s">
        <v>3007</v>
      </c>
      <c r="H604" s="123">
        <v>1547</v>
      </c>
    </row>
    <row r="605" spans="1:8" ht="31.5" x14ac:dyDescent="0.25">
      <c r="A605" s="134" t="s">
        <v>3388</v>
      </c>
      <c r="B605" s="134" t="s">
        <v>3412</v>
      </c>
      <c r="C605" s="134" t="s">
        <v>3411</v>
      </c>
      <c r="D605" s="134" t="s">
        <v>3410</v>
      </c>
      <c r="E605" s="139">
        <v>7.88</v>
      </c>
      <c r="F605" s="134" t="s">
        <v>3409</v>
      </c>
      <c r="G605" s="144" t="s">
        <v>3007</v>
      </c>
      <c r="H605" s="123">
        <v>1548</v>
      </c>
    </row>
    <row r="606" spans="1:8" ht="31.5" x14ac:dyDescent="0.25">
      <c r="A606" s="134" t="s">
        <v>3388</v>
      </c>
      <c r="B606" s="134" t="s">
        <v>3408</v>
      </c>
      <c r="C606" s="134" t="s">
        <v>3407</v>
      </c>
      <c r="D606" s="134" t="s">
        <v>3406</v>
      </c>
      <c r="E606" s="139">
        <v>5.04</v>
      </c>
      <c r="F606" s="134" t="s">
        <v>3405</v>
      </c>
      <c r="G606" s="144" t="s">
        <v>3007</v>
      </c>
      <c r="H606" s="123">
        <v>1549</v>
      </c>
    </row>
    <row r="607" spans="1:8" ht="31.5" x14ac:dyDescent="0.25">
      <c r="A607" s="134" t="s">
        <v>3388</v>
      </c>
      <c r="B607" s="134" t="s">
        <v>3404</v>
      </c>
      <c r="C607" s="134" t="s">
        <v>3403</v>
      </c>
      <c r="D607" s="134" t="s">
        <v>3402</v>
      </c>
      <c r="E607" s="139">
        <v>5.43</v>
      </c>
      <c r="F607" s="134" t="s">
        <v>3401</v>
      </c>
      <c r="G607" s="144" t="s">
        <v>3007</v>
      </c>
      <c r="H607" s="123">
        <v>1550</v>
      </c>
    </row>
    <row r="608" spans="1:8" ht="31.5" x14ac:dyDescent="0.25">
      <c r="A608" s="134" t="s">
        <v>3388</v>
      </c>
      <c r="B608" s="134" t="s">
        <v>3400</v>
      </c>
      <c r="C608" s="134" t="s">
        <v>3399</v>
      </c>
      <c r="D608" s="134" t="s">
        <v>3398</v>
      </c>
      <c r="E608" s="139">
        <v>11.01</v>
      </c>
      <c r="F608" s="134" t="s">
        <v>3397</v>
      </c>
      <c r="G608" s="144" t="s">
        <v>3007</v>
      </c>
      <c r="H608" s="123">
        <v>1551</v>
      </c>
    </row>
    <row r="609" spans="1:8" ht="31.5" x14ac:dyDescent="0.25">
      <c r="A609" s="134" t="s">
        <v>3388</v>
      </c>
      <c r="B609" s="134" t="s">
        <v>3396</v>
      </c>
      <c r="C609" s="134" t="s">
        <v>3395</v>
      </c>
      <c r="D609" s="134" t="s">
        <v>3394</v>
      </c>
      <c r="E609" s="139">
        <v>4.8899999999999997</v>
      </c>
      <c r="F609" s="134" t="s">
        <v>3393</v>
      </c>
      <c r="G609" s="144" t="s">
        <v>3007</v>
      </c>
      <c r="H609" s="123">
        <v>1552</v>
      </c>
    </row>
    <row r="610" spans="1:8" ht="31.5" x14ac:dyDescent="0.25">
      <c r="A610" s="134" t="s">
        <v>3388</v>
      </c>
      <c r="B610" s="134" t="s">
        <v>3392</v>
      </c>
      <c r="C610" s="134" t="s">
        <v>3391</v>
      </c>
      <c r="D610" s="134" t="s">
        <v>3390</v>
      </c>
      <c r="E610" s="139">
        <v>16.760000000000002</v>
      </c>
      <c r="F610" s="134" t="s">
        <v>3389</v>
      </c>
      <c r="G610" s="144" t="s">
        <v>3007</v>
      </c>
      <c r="H610" s="123">
        <v>1553</v>
      </c>
    </row>
    <row r="611" spans="1:8" ht="31.5" x14ac:dyDescent="0.25">
      <c r="A611" s="134" t="s">
        <v>3388</v>
      </c>
      <c r="B611" s="134" t="s">
        <v>3387</v>
      </c>
      <c r="C611" s="134" t="s">
        <v>3386</v>
      </c>
      <c r="D611" s="134" t="s">
        <v>3385</v>
      </c>
      <c r="E611" s="139">
        <v>19.170000000000002</v>
      </c>
      <c r="F611" s="134" t="s">
        <v>3384</v>
      </c>
      <c r="G611" s="144" t="s">
        <v>3007</v>
      </c>
      <c r="H611" s="123">
        <v>1554</v>
      </c>
    </row>
    <row r="612" spans="1:8" ht="31.5" x14ac:dyDescent="0.25">
      <c r="A612" s="134" t="s">
        <v>3279</v>
      </c>
      <c r="B612" s="134" t="s">
        <v>3383</v>
      </c>
      <c r="C612" s="134" t="s">
        <v>3382</v>
      </c>
      <c r="D612" s="134" t="s">
        <v>3381</v>
      </c>
      <c r="E612" s="139">
        <v>3.36</v>
      </c>
      <c r="F612" s="134" t="s">
        <v>3380</v>
      </c>
      <c r="G612" s="144" t="s">
        <v>3007</v>
      </c>
      <c r="H612" s="123">
        <v>1603</v>
      </c>
    </row>
    <row r="613" spans="1:8" ht="31.5" x14ac:dyDescent="0.25">
      <c r="A613" s="134" t="s">
        <v>3279</v>
      </c>
      <c r="B613" s="134" t="s">
        <v>3379</v>
      </c>
      <c r="C613" s="134" t="s">
        <v>3378</v>
      </c>
      <c r="D613" s="134" t="s">
        <v>3377</v>
      </c>
      <c r="E613" s="139">
        <v>5.7</v>
      </c>
      <c r="F613" s="134" t="s">
        <v>3376</v>
      </c>
      <c r="G613" s="144" t="s">
        <v>3007</v>
      </c>
      <c r="H613" s="123">
        <v>1604</v>
      </c>
    </row>
    <row r="614" spans="1:8" ht="31.5" x14ac:dyDescent="0.25">
      <c r="A614" s="134" t="s">
        <v>3279</v>
      </c>
      <c r="B614" s="134" t="s">
        <v>3375</v>
      </c>
      <c r="C614" s="134" t="s">
        <v>3374</v>
      </c>
      <c r="D614" s="134" t="s">
        <v>3373</v>
      </c>
      <c r="E614" s="139">
        <v>3.01</v>
      </c>
      <c r="F614" s="134" t="s">
        <v>3372</v>
      </c>
      <c r="G614" s="144" t="s">
        <v>3007</v>
      </c>
      <c r="H614" s="123">
        <v>1605</v>
      </c>
    </row>
    <row r="615" spans="1:8" ht="31.5" x14ac:dyDescent="0.25">
      <c r="A615" s="134" t="s">
        <v>3279</v>
      </c>
      <c r="B615" s="134" t="s">
        <v>3371</v>
      </c>
      <c r="C615" s="134" t="s">
        <v>3370</v>
      </c>
      <c r="D615" s="134" t="s">
        <v>3369</v>
      </c>
      <c r="E615" s="139">
        <v>5.5</v>
      </c>
      <c r="F615" s="134" t="s">
        <v>3368</v>
      </c>
      <c r="G615" s="144" t="s">
        <v>3007</v>
      </c>
      <c r="H615" s="123">
        <v>1606</v>
      </c>
    </row>
    <row r="616" spans="1:8" ht="31.5" x14ac:dyDescent="0.25">
      <c r="A616" s="134" t="s">
        <v>3279</v>
      </c>
      <c r="B616" s="134" t="s">
        <v>3367</v>
      </c>
      <c r="C616" s="134" t="s">
        <v>3366</v>
      </c>
      <c r="D616" s="134" t="s">
        <v>3365</v>
      </c>
      <c r="E616" s="139">
        <v>6.73</v>
      </c>
      <c r="F616" s="134" t="s">
        <v>3364</v>
      </c>
      <c r="G616" s="144" t="s">
        <v>3007</v>
      </c>
      <c r="H616" s="123">
        <v>1607</v>
      </c>
    </row>
    <row r="617" spans="1:8" ht="31.5" x14ac:dyDescent="0.25">
      <c r="A617" s="134" t="s">
        <v>3279</v>
      </c>
      <c r="B617" s="134" t="s">
        <v>3363</v>
      </c>
      <c r="C617" s="134" t="s">
        <v>3362</v>
      </c>
      <c r="D617" s="134" t="s">
        <v>3361</v>
      </c>
      <c r="E617" s="139">
        <v>3.54</v>
      </c>
      <c r="F617" s="134" t="s">
        <v>3360</v>
      </c>
      <c r="G617" s="144" t="s">
        <v>3007</v>
      </c>
      <c r="H617" s="123">
        <v>1608</v>
      </c>
    </row>
    <row r="618" spans="1:8" ht="31.5" x14ac:dyDescent="0.25">
      <c r="A618" s="134" t="s">
        <v>3279</v>
      </c>
      <c r="B618" s="134" t="s">
        <v>3359</v>
      </c>
      <c r="C618" s="134" t="s">
        <v>3358</v>
      </c>
      <c r="D618" s="134" t="s">
        <v>3357</v>
      </c>
      <c r="E618" s="139">
        <v>7.47</v>
      </c>
      <c r="F618" s="134" t="s">
        <v>3356</v>
      </c>
      <c r="G618" s="144" t="s">
        <v>3007</v>
      </c>
      <c r="H618" s="123">
        <v>1609</v>
      </c>
    </row>
    <row r="619" spans="1:8" ht="31.5" x14ac:dyDescent="0.25">
      <c r="A619" s="134" t="s">
        <v>3279</v>
      </c>
      <c r="B619" s="134" t="s">
        <v>3355</v>
      </c>
      <c r="C619" s="134" t="s">
        <v>3354</v>
      </c>
      <c r="D619" s="134" t="s">
        <v>3353</v>
      </c>
      <c r="E619" s="139">
        <v>9.8699999999999992</v>
      </c>
      <c r="F619" s="134" t="s">
        <v>3352</v>
      </c>
      <c r="G619" s="144" t="s">
        <v>3007</v>
      </c>
      <c r="H619" s="123">
        <v>1610</v>
      </c>
    </row>
    <row r="620" spans="1:8" ht="31.5" x14ac:dyDescent="0.25">
      <c r="A620" s="134" t="s">
        <v>3279</v>
      </c>
      <c r="B620" s="134" t="s">
        <v>3351</v>
      </c>
      <c r="C620" s="134" t="s">
        <v>3350</v>
      </c>
      <c r="D620" s="134" t="s">
        <v>3349</v>
      </c>
      <c r="E620" s="139">
        <v>3.6</v>
      </c>
      <c r="F620" s="134" t="s">
        <v>3348</v>
      </c>
      <c r="G620" s="144" t="s">
        <v>3007</v>
      </c>
      <c r="H620" s="123">
        <v>1611</v>
      </c>
    </row>
    <row r="621" spans="1:8" ht="31.5" x14ac:dyDescent="0.25">
      <c r="A621" s="134" t="s">
        <v>3279</v>
      </c>
      <c r="B621" s="134" t="s">
        <v>3347</v>
      </c>
      <c r="C621" s="134" t="s">
        <v>3346</v>
      </c>
      <c r="D621" s="134" t="s">
        <v>3345</v>
      </c>
      <c r="E621" s="139">
        <v>1.68</v>
      </c>
      <c r="F621" s="134" t="s">
        <v>3344</v>
      </c>
      <c r="G621" s="144" t="s">
        <v>3007</v>
      </c>
      <c r="H621" s="123">
        <v>1612</v>
      </c>
    </row>
    <row r="622" spans="1:8" ht="31.5" x14ac:dyDescent="0.25">
      <c r="A622" s="134" t="s">
        <v>3279</v>
      </c>
      <c r="B622" s="134" t="s">
        <v>3343</v>
      </c>
      <c r="C622" s="134" t="s">
        <v>3342</v>
      </c>
      <c r="D622" s="134" t="s">
        <v>3341</v>
      </c>
      <c r="E622" s="139">
        <v>4.24</v>
      </c>
      <c r="F622" s="134" t="s">
        <v>3340</v>
      </c>
      <c r="G622" s="144" t="s">
        <v>3007</v>
      </c>
      <c r="H622" s="123">
        <v>1613</v>
      </c>
    </row>
    <row r="623" spans="1:8" ht="31.5" x14ac:dyDescent="0.25">
      <c r="A623" s="134" t="s">
        <v>3279</v>
      </c>
      <c r="B623" s="134" t="s">
        <v>3339</v>
      </c>
      <c r="C623" s="134" t="s">
        <v>3338</v>
      </c>
      <c r="D623" s="134" t="s">
        <v>3337</v>
      </c>
      <c r="E623" s="139">
        <v>4.76</v>
      </c>
      <c r="F623" s="134" t="s">
        <v>3336</v>
      </c>
      <c r="G623" s="144" t="s">
        <v>3007</v>
      </c>
      <c r="H623" s="123">
        <v>1614</v>
      </c>
    </row>
    <row r="624" spans="1:8" ht="31.5" x14ac:dyDescent="0.25">
      <c r="A624" s="134" t="s">
        <v>3279</v>
      </c>
      <c r="B624" s="134" t="s">
        <v>3335</v>
      </c>
      <c r="C624" s="134" t="s">
        <v>3334</v>
      </c>
      <c r="D624" s="134" t="s">
        <v>3333</v>
      </c>
      <c r="E624" s="139">
        <v>3.62</v>
      </c>
      <c r="F624" s="134" t="s">
        <v>3332</v>
      </c>
      <c r="G624" s="144" t="s">
        <v>3007</v>
      </c>
      <c r="H624" s="123">
        <v>1615</v>
      </c>
    </row>
    <row r="625" spans="1:8" ht="31.5" x14ac:dyDescent="0.25">
      <c r="A625" s="134" t="s">
        <v>3279</v>
      </c>
      <c r="B625" s="134" t="s">
        <v>3331</v>
      </c>
      <c r="C625" s="134" t="s">
        <v>3330</v>
      </c>
      <c r="D625" s="134" t="s">
        <v>3329</v>
      </c>
      <c r="E625" s="139">
        <v>2.2000000000000002</v>
      </c>
      <c r="F625" s="134" t="s">
        <v>3328</v>
      </c>
      <c r="G625" s="144" t="s">
        <v>3007</v>
      </c>
      <c r="H625" s="123">
        <v>1616</v>
      </c>
    </row>
    <row r="626" spans="1:8" ht="31.5" x14ac:dyDescent="0.25">
      <c r="A626" s="134" t="s">
        <v>3279</v>
      </c>
      <c r="B626" s="134" t="s">
        <v>3327</v>
      </c>
      <c r="C626" s="134" t="s">
        <v>3326</v>
      </c>
      <c r="D626" s="134" t="s">
        <v>3325</v>
      </c>
      <c r="E626" s="139">
        <v>8.3800000000000008</v>
      </c>
      <c r="F626" s="134" t="s">
        <v>3324</v>
      </c>
      <c r="G626" s="144" t="s">
        <v>3007</v>
      </c>
      <c r="H626" s="123">
        <v>1617</v>
      </c>
    </row>
    <row r="627" spans="1:8" ht="31.5" x14ac:dyDescent="0.25">
      <c r="A627" s="134" t="s">
        <v>3279</v>
      </c>
      <c r="B627" s="134" t="s">
        <v>3323</v>
      </c>
      <c r="C627" s="134" t="s">
        <v>3322</v>
      </c>
      <c r="D627" s="134" t="s">
        <v>3321</v>
      </c>
      <c r="E627" s="139">
        <v>8.5500000000000007</v>
      </c>
      <c r="F627" s="134" t="s">
        <v>3320</v>
      </c>
      <c r="G627" s="144" t="s">
        <v>3007</v>
      </c>
      <c r="H627" s="123">
        <v>1618</v>
      </c>
    </row>
    <row r="628" spans="1:8" ht="31.5" x14ac:dyDescent="0.25">
      <c r="A628" s="134" t="s">
        <v>3279</v>
      </c>
      <c r="B628" s="134" t="s">
        <v>3319</v>
      </c>
      <c r="C628" s="134" t="s">
        <v>3318</v>
      </c>
      <c r="D628" s="134" t="s">
        <v>3317</v>
      </c>
      <c r="E628" s="139">
        <v>2.44</v>
      </c>
      <c r="F628" s="134" t="s">
        <v>3316</v>
      </c>
      <c r="G628" s="144" t="s">
        <v>3007</v>
      </c>
      <c r="H628" s="123">
        <v>1619</v>
      </c>
    </row>
    <row r="629" spans="1:8" ht="31.5" x14ac:dyDescent="0.25">
      <c r="A629" s="134" t="s">
        <v>3279</v>
      </c>
      <c r="B629" s="134" t="s">
        <v>3315</v>
      </c>
      <c r="C629" s="134" t="s">
        <v>3314</v>
      </c>
      <c r="D629" s="134" t="s">
        <v>3313</v>
      </c>
      <c r="E629" s="139">
        <v>5.0199999999999996</v>
      </c>
      <c r="F629" s="134" t="s">
        <v>3312</v>
      </c>
      <c r="G629" s="144" t="s">
        <v>3007</v>
      </c>
      <c r="H629" s="123">
        <v>1620</v>
      </c>
    </row>
    <row r="630" spans="1:8" ht="31.5" x14ac:dyDescent="0.25">
      <c r="A630" s="134" t="s">
        <v>3279</v>
      </c>
      <c r="B630" s="134" t="s">
        <v>3311</v>
      </c>
      <c r="C630" s="134" t="s">
        <v>3310</v>
      </c>
      <c r="D630" s="134" t="s">
        <v>3309</v>
      </c>
      <c r="E630" s="139">
        <v>4.88</v>
      </c>
      <c r="F630" s="134" t="s">
        <v>3308</v>
      </c>
      <c r="G630" s="144" t="s">
        <v>3007</v>
      </c>
      <c r="H630" s="123">
        <v>1621</v>
      </c>
    </row>
    <row r="631" spans="1:8" ht="31.5" x14ac:dyDescent="0.25">
      <c r="A631" s="134" t="s">
        <v>3279</v>
      </c>
      <c r="B631" s="134" t="s">
        <v>3307</v>
      </c>
      <c r="C631" s="134" t="s">
        <v>3306</v>
      </c>
      <c r="D631" s="134" t="s">
        <v>3305</v>
      </c>
      <c r="E631" s="139">
        <v>3.7</v>
      </c>
      <c r="F631" s="134" t="s">
        <v>3304</v>
      </c>
      <c r="G631" s="144" t="s">
        <v>3007</v>
      </c>
      <c r="H631" s="123">
        <v>1622</v>
      </c>
    </row>
    <row r="632" spans="1:8" ht="31.5" x14ac:dyDescent="0.25">
      <c r="A632" s="134" t="s">
        <v>3279</v>
      </c>
      <c r="B632" s="134" t="s">
        <v>3303</v>
      </c>
      <c r="C632" s="134" t="s">
        <v>3302</v>
      </c>
      <c r="D632" s="134" t="s">
        <v>3301</v>
      </c>
      <c r="E632" s="139">
        <v>7.56</v>
      </c>
      <c r="F632" s="134" t="s">
        <v>3300</v>
      </c>
      <c r="G632" s="144" t="s">
        <v>3007</v>
      </c>
      <c r="H632" s="123">
        <v>1623</v>
      </c>
    </row>
    <row r="633" spans="1:8" ht="31.5" x14ac:dyDescent="0.25">
      <c r="A633" s="134" t="s">
        <v>3279</v>
      </c>
      <c r="B633" s="134" t="s">
        <v>3299</v>
      </c>
      <c r="C633" s="134" t="s">
        <v>3298</v>
      </c>
      <c r="D633" s="134" t="s">
        <v>3297</v>
      </c>
      <c r="E633" s="139">
        <v>4.6100000000000003</v>
      </c>
      <c r="F633" s="134" t="s">
        <v>3296</v>
      </c>
      <c r="G633" s="144" t="s">
        <v>3007</v>
      </c>
      <c r="H633" s="123">
        <v>1624</v>
      </c>
    </row>
    <row r="634" spans="1:8" ht="31.5" x14ac:dyDescent="0.25">
      <c r="A634" s="134" t="s">
        <v>3279</v>
      </c>
      <c r="B634" s="134" t="s">
        <v>3295</v>
      </c>
      <c r="C634" s="134" t="s">
        <v>3294</v>
      </c>
      <c r="D634" s="134" t="s">
        <v>3293</v>
      </c>
      <c r="E634" s="139">
        <v>5.96</v>
      </c>
      <c r="F634" s="134" t="s">
        <v>3292</v>
      </c>
      <c r="G634" s="144" t="s">
        <v>3007</v>
      </c>
      <c r="H634" s="123">
        <v>1625</v>
      </c>
    </row>
    <row r="635" spans="1:8" ht="31.5" x14ac:dyDescent="0.25">
      <c r="A635" s="134" t="s">
        <v>3279</v>
      </c>
      <c r="B635" s="134" t="s">
        <v>3291</v>
      </c>
      <c r="C635" s="134" t="s">
        <v>3290</v>
      </c>
      <c r="D635" s="134" t="s">
        <v>3289</v>
      </c>
      <c r="E635" s="139">
        <v>10.32</v>
      </c>
      <c r="F635" s="134" t="s">
        <v>3288</v>
      </c>
      <c r="G635" s="144" t="s">
        <v>3007</v>
      </c>
      <c r="H635" s="123">
        <v>1626</v>
      </c>
    </row>
    <row r="636" spans="1:8" ht="31.5" x14ac:dyDescent="0.25">
      <c r="A636" s="134" t="s">
        <v>3279</v>
      </c>
      <c r="B636" s="134" t="s">
        <v>3287</v>
      </c>
      <c r="C636" s="134" t="s">
        <v>3286</v>
      </c>
      <c r="D636" s="134" t="s">
        <v>3285</v>
      </c>
      <c r="E636" s="139">
        <v>5.48</v>
      </c>
      <c r="F636" s="134" t="s">
        <v>3284</v>
      </c>
      <c r="G636" s="144" t="s">
        <v>3007</v>
      </c>
      <c r="H636" s="123">
        <v>1627</v>
      </c>
    </row>
    <row r="637" spans="1:8" ht="31.5" x14ac:dyDescent="0.25">
      <c r="A637" s="134" t="s">
        <v>3279</v>
      </c>
      <c r="B637" s="134" t="s">
        <v>3283</v>
      </c>
      <c r="C637" s="134" t="s">
        <v>3282</v>
      </c>
      <c r="D637" s="134" t="s">
        <v>3281</v>
      </c>
      <c r="E637" s="139">
        <v>11.6</v>
      </c>
      <c r="F637" s="134" t="s">
        <v>3280</v>
      </c>
      <c r="G637" s="144" t="s">
        <v>3007</v>
      </c>
      <c r="H637" s="123">
        <v>1628</v>
      </c>
    </row>
    <row r="638" spans="1:8" ht="31.5" x14ac:dyDescent="0.25">
      <c r="A638" s="134" t="s">
        <v>3279</v>
      </c>
      <c r="B638" s="134" t="s">
        <v>3278</v>
      </c>
      <c r="C638" s="134" t="s">
        <v>3277</v>
      </c>
      <c r="D638" s="134" t="s">
        <v>3276</v>
      </c>
      <c r="E638" s="139">
        <v>3.92</v>
      </c>
      <c r="F638" s="134" t="s">
        <v>3275</v>
      </c>
      <c r="G638" s="144" t="s">
        <v>3007</v>
      </c>
      <c r="H638" s="123" t="s">
        <v>3274</v>
      </c>
    </row>
    <row r="639" spans="1:8" ht="31.5" x14ac:dyDescent="0.25">
      <c r="A639" s="134" t="s">
        <v>3185</v>
      </c>
      <c r="B639" s="134" t="s">
        <v>3273</v>
      </c>
      <c r="C639" s="134" t="s">
        <v>3272</v>
      </c>
      <c r="D639" s="134" t="s">
        <v>3271</v>
      </c>
      <c r="E639" s="139">
        <v>1.68</v>
      </c>
      <c r="F639" s="134" t="s">
        <v>3270</v>
      </c>
      <c r="G639" s="144" t="s">
        <v>3007</v>
      </c>
      <c r="H639" s="123">
        <v>1689</v>
      </c>
    </row>
    <row r="640" spans="1:8" ht="31.5" x14ac:dyDescent="0.25">
      <c r="A640" s="134" t="s">
        <v>3185</v>
      </c>
      <c r="B640" s="134" t="s">
        <v>3269</v>
      </c>
      <c r="C640" s="134" t="s">
        <v>3268</v>
      </c>
      <c r="D640" s="134" t="s">
        <v>3267</v>
      </c>
      <c r="E640" s="139">
        <v>2.39</v>
      </c>
      <c r="F640" s="134" t="s">
        <v>3266</v>
      </c>
      <c r="G640" s="144" t="s">
        <v>3007</v>
      </c>
      <c r="H640" s="123">
        <v>1690</v>
      </c>
    </row>
    <row r="641" spans="1:8" ht="31.5" x14ac:dyDescent="0.25">
      <c r="A641" s="134" t="s">
        <v>3185</v>
      </c>
      <c r="B641" s="134" t="s">
        <v>3265</v>
      </c>
      <c r="C641" s="134" t="s">
        <v>3264</v>
      </c>
      <c r="D641" s="134" t="s">
        <v>3263</v>
      </c>
      <c r="E641" s="139">
        <v>1.78</v>
      </c>
      <c r="F641" s="134" t="s">
        <v>3262</v>
      </c>
      <c r="G641" s="144" t="s">
        <v>3007</v>
      </c>
      <c r="H641" s="123">
        <v>1691</v>
      </c>
    </row>
    <row r="642" spans="1:8" ht="31.5" x14ac:dyDescent="0.25">
      <c r="A642" s="134" t="s">
        <v>3185</v>
      </c>
      <c r="B642" s="134" t="s">
        <v>3261</v>
      </c>
      <c r="C642" s="134" t="s">
        <v>3260</v>
      </c>
      <c r="D642" s="134" t="s">
        <v>3259</v>
      </c>
      <c r="E642" s="139">
        <v>1.1200000000000001</v>
      </c>
      <c r="F642" s="134" t="s">
        <v>3258</v>
      </c>
      <c r="G642" s="144" t="s">
        <v>3007</v>
      </c>
      <c r="H642" s="123">
        <v>1692</v>
      </c>
    </row>
    <row r="643" spans="1:8" ht="31.5" x14ac:dyDescent="0.25">
      <c r="A643" s="134" t="s">
        <v>3185</v>
      </c>
      <c r="B643" s="134" t="s">
        <v>3257</v>
      </c>
      <c r="C643" s="134" t="s">
        <v>3256</v>
      </c>
      <c r="D643" s="134" t="s">
        <v>3255</v>
      </c>
      <c r="E643" s="139">
        <v>12.78</v>
      </c>
      <c r="F643" s="134" t="s">
        <v>3254</v>
      </c>
      <c r="G643" s="144" t="s">
        <v>3007</v>
      </c>
      <c r="H643" s="123">
        <v>1693</v>
      </c>
    </row>
    <row r="644" spans="1:8" ht="31.5" x14ac:dyDescent="0.25">
      <c r="A644" s="134" t="s">
        <v>3185</v>
      </c>
      <c r="B644" s="134" t="s">
        <v>3253</v>
      </c>
      <c r="C644" s="134" t="s">
        <v>3252</v>
      </c>
      <c r="D644" s="134" t="s">
        <v>3251</v>
      </c>
      <c r="E644" s="139">
        <v>2.58</v>
      </c>
      <c r="F644" s="134" t="s">
        <v>3250</v>
      </c>
      <c r="G644" s="144" t="s">
        <v>3007</v>
      </c>
      <c r="H644" s="123">
        <v>1694</v>
      </c>
    </row>
    <row r="645" spans="1:8" ht="31.5" x14ac:dyDescent="0.25">
      <c r="A645" s="134" t="s">
        <v>3185</v>
      </c>
      <c r="B645" s="134" t="s">
        <v>3249</v>
      </c>
      <c r="C645" s="134" t="s">
        <v>3248</v>
      </c>
      <c r="D645" s="134" t="s">
        <v>3247</v>
      </c>
      <c r="E645" s="139">
        <v>4.95</v>
      </c>
      <c r="F645" s="134" t="s">
        <v>3246</v>
      </c>
      <c r="G645" s="144" t="s">
        <v>3007</v>
      </c>
      <c r="H645" s="123">
        <v>1695</v>
      </c>
    </row>
    <row r="646" spans="1:8" ht="31.5" x14ac:dyDescent="0.25">
      <c r="A646" s="134" t="s">
        <v>3185</v>
      </c>
      <c r="B646" s="134" t="s">
        <v>3245</v>
      </c>
      <c r="C646" s="134" t="s">
        <v>3244</v>
      </c>
      <c r="D646" s="134" t="s">
        <v>3243</v>
      </c>
      <c r="E646" s="139">
        <v>20.66</v>
      </c>
      <c r="F646" s="134" t="s">
        <v>3242</v>
      </c>
      <c r="G646" s="144" t="s">
        <v>3007</v>
      </c>
      <c r="H646" s="123">
        <v>1696</v>
      </c>
    </row>
    <row r="647" spans="1:8" ht="31.5" x14ac:dyDescent="0.25">
      <c r="A647" s="134" t="s">
        <v>3185</v>
      </c>
      <c r="B647" s="134" t="s">
        <v>3241</v>
      </c>
      <c r="C647" s="134" t="s">
        <v>3240</v>
      </c>
      <c r="D647" s="134" t="s">
        <v>3239</v>
      </c>
      <c r="E647" s="139">
        <v>9.6300000000000008</v>
      </c>
      <c r="F647" s="134" t="s">
        <v>3238</v>
      </c>
      <c r="G647" s="144" t="s">
        <v>3007</v>
      </c>
      <c r="H647" s="123">
        <v>1697</v>
      </c>
    </row>
    <row r="648" spans="1:8" ht="31.5" x14ac:dyDescent="0.25">
      <c r="A648" s="134" t="s">
        <v>3185</v>
      </c>
      <c r="B648" s="134" t="s">
        <v>3237</v>
      </c>
      <c r="C648" s="134" t="s">
        <v>3236</v>
      </c>
      <c r="D648" s="134" t="s">
        <v>3235</v>
      </c>
      <c r="E648" s="139">
        <v>6.9</v>
      </c>
      <c r="F648" s="134" t="s">
        <v>3234</v>
      </c>
      <c r="G648" s="144" t="s">
        <v>3007</v>
      </c>
      <c r="H648" s="123">
        <v>1698</v>
      </c>
    </row>
    <row r="649" spans="1:8" ht="31.5" x14ac:dyDescent="0.25">
      <c r="A649" s="134" t="s">
        <v>3185</v>
      </c>
      <c r="B649" s="134" t="s">
        <v>3233</v>
      </c>
      <c r="C649" s="134" t="s">
        <v>3232</v>
      </c>
      <c r="D649" s="134" t="s">
        <v>3231</v>
      </c>
      <c r="E649" s="139">
        <v>1.87</v>
      </c>
      <c r="F649" s="134" t="s">
        <v>3230</v>
      </c>
      <c r="G649" s="144" t="s">
        <v>3007</v>
      </c>
      <c r="H649" s="123">
        <v>1699</v>
      </c>
    </row>
    <row r="650" spans="1:8" ht="31.5" x14ac:dyDescent="0.25">
      <c r="A650" s="134" t="s">
        <v>3185</v>
      </c>
      <c r="B650" s="134" t="s">
        <v>3229</v>
      </c>
      <c r="C650" s="134" t="s">
        <v>3228</v>
      </c>
      <c r="D650" s="134" t="s">
        <v>3227</v>
      </c>
      <c r="E650" s="139">
        <v>13.45</v>
      </c>
      <c r="F650" s="134" t="s">
        <v>3226</v>
      </c>
      <c r="G650" s="144" t="s">
        <v>3007</v>
      </c>
      <c r="H650" s="123">
        <v>1700</v>
      </c>
    </row>
    <row r="651" spans="1:8" ht="31.5" x14ac:dyDescent="0.25">
      <c r="A651" s="134" t="s">
        <v>3185</v>
      </c>
      <c r="B651" s="134" t="s">
        <v>3225</v>
      </c>
      <c r="C651" s="134" t="s">
        <v>3224</v>
      </c>
      <c r="D651" s="134" t="s">
        <v>3223</v>
      </c>
      <c r="E651" s="139">
        <v>3.36</v>
      </c>
      <c r="F651" s="134" t="s">
        <v>3222</v>
      </c>
      <c r="G651" s="144" t="s">
        <v>3007</v>
      </c>
      <c r="H651" s="123">
        <v>1701</v>
      </c>
    </row>
    <row r="652" spans="1:8" ht="31.5" x14ac:dyDescent="0.25">
      <c r="A652" s="134" t="s">
        <v>3185</v>
      </c>
      <c r="B652" s="134" t="s">
        <v>3221</v>
      </c>
      <c r="C652" s="134" t="s">
        <v>3220</v>
      </c>
      <c r="D652" s="134" t="s">
        <v>3219</v>
      </c>
      <c r="E652" s="139">
        <v>1.68</v>
      </c>
      <c r="F652" s="134" t="s">
        <v>3218</v>
      </c>
      <c r="G652" s="144" t="s">
        <v>3007</v>
      </c>
      <c r="H652" s="123">
        <v>1702</v>
      </c>
    </row>
    <row r="653" spans="1:8" ht="31.5" x14ac:dyDescent="0.25">
      <c r="A653" s="134" t="s">
        <v>3185</v>
      </c>
      <c r="B653" s="134" t="s">
        <v>3217</v>
      </c>
      <c r="C653" s="134" t="s">
        <v>3216</v>
      </c>
      <c r="D653" s="134" t="s">
        <v>3215</v>
      </c>
      <c r="E653" s="139">
        <v>3.38</v>
      </c>
      <c r="F653" s="134" t="s">
        <v>3214</v>
      </c>
      <c r="G653" s="144" t="s">
        <v>3007</v>
      </c>
      <c r="H653" s="123">
        <v>1703</v>
      </c>
    </row>
    <row r="654" spans="1:8" ht="31.5" x14ac:dyDescent="0.25">
      <c r="A654" s="134" t="s">
        <v>3185</v>
      </c>
      <c r="B654" s="134" t="s">
        <v>3213</v>
      </c>
      <c r="C654" s="134" t="s">
        <v>3212</v>
      </c>
      <c r="D654" s="134" t="s">
        <v>3211</v>
      </c>
      <c r="E654" s="139">
        <v>22.86</v>
      </c>
      <c r="F654" s="134" t="s">
        <v>3210</v>
      </c>
      <c r="G654" s="144" t="s">
        <v>3007</v>
      </c>
      <c r="H654" s="123">
        <v>1704</v>
      </c>
    </row>
    <row r="655" spans="1:8" ht="31.5" x14ac:dyDescent="0.25">
      <c r="A655" s="134" t="s">
        <v>3185</v>
      </c>
      <c r="B655" s="134" t="s">
        <v>3209</v>
      </c>
      <c r="C655" s="134" t="s">
        <v>3208</v>
      </c>
      <c r="D655" s="134" t="s">
        <v>3207</v>
      </c>
      <c r="E655" s="139">
        <v>0.56000000000000005</v>
      </c>
      <c r="F655" s="134" t="s">
        <v>3206</v>
      </c>
      <c r="G655" s="144" t="s">
        <v>3007</v>
      </c>
      <c r="H655" s="123">
        <v>1705</v>
      </c>
    </row>
    <row r="656" spans="1:8" ht="31.5" x14ac:dyDescent="0.25">
      <c r="A656" s="134" t="s">
        <v>3185</v>
      </c>
      <c r="B656" s="134" t="s">
        <v>3205</v>
      </c>
      <c r="C656" s="134" t="s">
        <v>3204</v>
      </c>
      <c r="D656" s="134" t="s">
        <v>3203</v>
      </c>
      <c r="E656" s="139">
        <v>6.93</v>
      </c>
      <c r="F656" s="134" t="s">
        <v>3202</v>
      </c>
      <c r="G656" s="144" t="s">
        <v>3007</v>
      </c>
      <c r="H656" s="123">
        <v>1706</v>
      </c>
    </row>
    <row r="657" spans="1:8" ht="31.5" x14ac:dyDescent="0.25">
      <c r="A657" s="134" t="s">
        <v>3185</v>
      </c>
      <c r="B657" s="134" t="s">
        <v>3201</v>
      </c>
      <c r="C657" s="134" t="s">
        <v>3200</v>
      </c>
      <c r="D657" s="134" t="s">
        <v>3199</v>
      </c>
      <c r="E657" s="139">
        <v>3.63</v>
      </c>
      <c r="F657" s="134" t="s">
        <v>3198</v>
      </c>
      <c r="G657" s="144" t="s">
        <v>3007</v>
      </c>
      <c r="H657" s="123">
        <v>1707</v>
      </c>
    </row>
    <row r="658" spans="1:8" ht="31.5" x14ac:dyDescent="0.25">
      <c r="A658" s="134" t="s">
        <v>3185</v>
      </c>
      <c r="B658" s="134" t="s">
        <v>3197</v>
      </c>
      <c r="C658" s="134" t="s">
        <v>3196</v>
      </c>
      <c r="D658" s="134" t="s">
        <v>3195</v>
      </c>
      <c r="E658" s="139">
        <v>3.35</v>
      </c>
      <c r="F658" s="134" t="s">
        <v>3194</v>
      </c>
      <c r="G658" s="144" t="s">
        <v>3007</v>
      </c>
      <c r="H658" s="123">
        <v>1708</v>
      </c>
    </row>
    <row r="659" spans="1:8" ht="31.5" x14ac:dyDescent="0.25">
      <c r="A659" s="134" t="s">
        <v>3185</v>
      </c>
      <c r="B659" s="134" t="s">
        <v>3193</v>
      </c>
      <c r="C659" s="134" t="s">
        <v>3192</v>
      </c>
      <c r="D659" s="134" t="s">
        <v>3191</v>
      </c>
      <c r="E659" s="139">
        <v>29.84</v>
      </c>
      <c r="F659" s="134" t="s">
        <v>3190</v>
      </c>
      <c r="G659" s="144" t="s">
        <v>3007</v>
      </c>
      <c r="H659" s="123">
        <v>1709</v>
      </c>
    </row>
    <row r="660" spans="1:8" ht="31.5" x14ac:dyDescent="0.25">
      <c r="A660" s="134" t="s">
        <v>3185</v>
      </c>
      <c r="B660" s="134" t="s">
        <v>3189</v>
      </c>
      <c r="C660" s="134" t="s">
        <v>3188</v>
      </c>
      <c r="D660" s="134" t="s">
        <v>3187</v>
      </c>
      <c r="E660" s="139">
        <v>3.36</v>
      </c>
      <c r="F660" s="134" t="s">
        <v>3186</v>
      </c>
      <c r="G660" s="144" t="s">
        <v>3007</v>
      </c>
      <c r="H660" s="123">
        <v>1710</v>
      </c>
    </row>
    <row r="661" spans="1:8" ht="31.5" x14ac:dyDescent="0.25">
      <c r="A661" s="134" t="s">
        <v>3185</v>
      </c>
      <c r="B661" s="134" t="s">
        <v>3184</v>
      </c>
      <c r="C661" s="134" t="s">
        <v>3183</v>
      </c>
      <c r="D661" s="134" t="s">
        <v>3182</v>
      </c>
      <c r="E661" s="139">
        <v>26.83</v>
      </c>
      <c r="F661" s="134" t="s">
        <v>3181</v>
      </c>
      <c r="G661" s="144" t="s">
        <v>3007</v>
      </c>
      <c r="H661" s="123">
        <v>1711</v>
      </c>
    </row>
    <row r="662" spans="1:8" ht="31.5" x14ac:dyDescent="0.25">
      <c r="A662" s="134" t="s">
        <v>3105</v>
      </c>
      <c r="B662" s="134" t="s">
        <v>3180</v>
      </c>
      <c r="C662" s="134" t="s">
        <v>3179</v>
      </c>
      <c r="D662" s="134" t="s">
        <v>3178</v>
      </c>
      <c r="E662" s="139">
        <v>13.06</v>
      </c>
      <c r="F662" s="134" t="s">
        <v>3177</v>
      </c>
      <c r="G662" s="144" t="s">
        <v>3007</v>
      </c>
      <c r="H662" s="123">
        <v>1747</v>
      </c>
    </row>
    <row r="663" spans="1:8" ht="31.5" x14ac:dyDescent="0.25">
      <c r="A663" s="134" t="s">
        <v>3105</v>
      </c>
      <c r="B663" s="134" t="s">
        <v>3176</v>
      </c>
      <c r="C663" s="134" t="s">
        <v>3175</v>
      </c>
      <c r="D663" s="134" t="s">
        <v>3174</v>
      </c>
      <c r="E663" s="139">
        <v>6.19</v>
      </c>
      <c r="F663" s="134" t="s">
        <v>3173</v>
      </c>
      <c r="G663" s="144" t="s">
        <v>3007</v>
      </c>
      <c r="H663" s="123">
        <v>1748</v>
      </c>
    </row>
    <row r="664" spans="1:8" ht="31.5" x14ac:dyDescent="0.25">
      <c r="A664" s="134" t="s">
        <v>3105</v>
      </c>
      <c r="B664" s="134" t="s">
        <v>3172</v>
      </c>
      <c r="C664" s="134" t="s">
        <v>3171</v>
      </c>
      <c r="D664" s="134" t="s">
        <v>3170</v>
      </c>
      <c r="E664" s="139">
        <v>5.13</v>
      </c>
      <c r="F664" s="134" t="s">
        <v>3169</v>
      </c>
      <c r="G664" s="144" t="s">
        <v>3007</v>
      </c>
      <c r="H664" s="123">
        <v>1749</v>
      </c>
    </row>
    <row r="665" spans="1:8" ht="31.5" x14ac:dyDescent="0.25">
      <c r="A665" s="134" t="s">
        <v>3105</v>
      </c>
      <c r="B665" s="134" t="s">
        <v>3168</v>
      </c>
      <c r="C665" s="134" t="s">
        <v>3167</v>
      </c>
      <c r="D665" s="134" t="s">
        <v>3166</v>
      </c>
      <c r="E665" s="139">
        <v>4.4800000000000004</v>
      </c>
      <c r="F665" s="134" t="s">
        <v>3165</v>
      </c>
      <c r="G665" s="144" t="s">
        <v>3007</v>
      </c>
      <c r="H665" s="123">
        <v>1751</v>
      </c>
    </row>
    <row r="666" spans="1:8" ht="31.5" x14ac:dyDescent="0.25">
      <c r="A666" s="134" t="s">
        <v>3105</v>
      </c>
      <c r="B666" s="134" t="s">
        <v>3164</v>
      </c>
      <c r="C666" s="134" t="s">
        <v>3163</v>
      </c>
      <c r="D666" s="134" t="s">
        <v>3162</v>
      </c>
      <c r="E666" s="139">
        <v>2.52</v>
      </c>
      <c r="F666" s="134" t="s">
        <v>3161</v>
      </c>
      <c r="G666" s="144" t="s">
        <v>3007</v>
      </c>
      <c r="H666" s="123">
        <v>1752</v>
      </c>
    </row>
    <row r="667" spans="1:8" ht="31.5" x14ac:dyDescent="0.25">
      <c r="A667" s="134" t="s">
        <v>3105</v>
      </c>
      <c r="B667" s="134" t="s">
        <v>3160</v>
      </c>
      <c r="C667" s="134" t="s">
        <v>3159</v>
      </c>
      <c r="D667" s="134" t="s">
        <v>3158</v>
      </c>
      <c r="E667" s="139">
        <v>5.48</v>
      </c>
      <c r="F667" s="134" t="s">
        <v>3157</v>
      </c>
      <c r="G667" s="144" t="s">
        <v>3007</v>
      </c>
      <c r="H667" s="123">
        <v>1753</v>
      </c>
    </row>
    <row r="668" spans="1:8" ht="31.5" x14ac:dyDescent="0.25">
      <c r="A668" s="134" t="s">
        <v>3105</v>
      </c>
      <c r="B668" s="134" t="s">
        <v>3156</v>
      </c>
      <c r="C668" s="134" t="s">
        <v>3155</v>
      </c>
      <c r="D668" s="134" t="s">
        <v>3154</v>
      </c>
      <c r="E668" s="139">
        <v>3.38</v>
      </c>
      <c r="F668" s="134" t="s">
        <v>3153</v>
      </c>
      <c r="G668" s="144" t="s">
        <v>3007</v>
      </c>
      <c r="H668" s="123">
        <v>1754</v>
      </c>
    </row>
    <row r="669" spans="1:8" ht="31.5" x14ac:dyDescent="0.25">
      <c r="A669" s="134" t="s">
        <v>3105</v>
      </c>
      <c r="B669" s="134" t="s">
        <v>3152</v>
      </c>
      <c r="C669" s="134" t="s">
        <v>3151</v>
      </c>
      <c r="D669" s="134" t="s">
        <v>3150</v>
      </c>
      <c r="E669" s="139">
        <v>12.56</v>
      </c>
      <c r="F669" s="134" t="s">
        <v>3149</v>
      </c>
      <c r="G669" s="144" t="s">
        <v>3007</v>
      </c>
      <c r="H669" s="123">
        <v>1755</v>
      </c>
    </row>
    <row r="670" spans="1:8" ht="31.5" x14ac:dyDescent="0.25">
      <c r="A670" s="134" t="s">
        <v>3105</v>
      </c>
      <c r="B670" s="134" t="s">
        <v>3148</v>
      </c>
      <c r="C670" s="134" t="s">
        <v>3147</v>
      </c>
      <c r="D670" s="134" t="s">
        <v>3146</v>
      </c>
      <c r="E670" s="139">
        <v>2.95</v>
      </c>
      <c r="F670" s="134" t="s">
        <v>3142</v>
      </c>
      <c r="G670" s="144" t="s">
        <v>3007</v>
      </c>
      <c r="H670" s="123">
        <v>1756</v>
      </c>
    </row>
    <row r="671" spans="1:8" ht="31.5" x14ac:dyDescent="0.25">
      <c r="A671" s="134" t="s">
        <v>3105</v>
      </c>
      <c r="B671" s="134" t="s">
        <v>3145</v>
      </c>
      <c r="C671" s="134" t="s">
        <v>3144</v>
      </c>
      <c r="D671" s="134" t="s">
        <v>3143</v>
      </c>
      <c r="E671" s="139">
        <v>2.23</v>
      </c>
      <c r="F671" s="134" t="s">
        <v>3142</v>
      </c>
      <c r="G671" s="144" t="s">
        <v>3007</v>
      </c>
      <c r="H671" s="123">
        <v>1757</v>
      </c>
    </row>
    <row r="672" spans="1:8" ht="31.5" x14ac:dyDescent="0.25">
      <c r="A672" s="134" t="s">
        <v>3105</v>
      </c>
      <c r="B672" s="134" t="s">
        <v>3141</v>
      </c>
      <c r="C672" s="134" t="s">
        <v>3140</v>
      </c>
      <c r="D672" s="134" t="s">
        <v>3139</v>
      </c>
      <c r="E672" s="139">
        <v>5.54</v>
      </c>
      <c r="F672" s="134" t="s">
        <v>3138</v>
      </c>
      <c r="G672" s="144" t="s">
        <v>3007</v>
      </c>
      <c r="H672" s="123">
        <v>1758</v>
      </c>
    </row>
    <row r="673" spans="1:8" ht="31.5" x14ac:dyDescent="0.25">
      <c r="A673" s="134" t="s">
        <v>3105</v>
      </c>
      <c r="B673" s="134" t="s">
        <v>3137</v>
      </c>
      <c r="C673" s="134" t="s">
        <v>3136</v>
      </c>
      <c r="D673" s="134" t="s">
        <v>3135</v>
      </c>
      <c r="E673" s="139">
        <v>11.33</v>
      </c>
      <c r="F673" s="134" t="s">
        <v>3134</v>
      </c>
      <c r="G673" s="144" t="s">
        <v>3007</v>
      </c>
      <c r="H673" s="123">
        <v>1759</v>
      </c>
    </row>
    <row r="674" spans="1:8" ht="31.5" x14ac:dyDescent="0.25">
      <c r="A674" s="134" t="s">
        <v>3105</v>
      </c>
      <c r="B674" s="134" t="s">
        <v>3133</v>
      </c>
      <c r="C674" s="134" t="s">
        <v>3132</v>
      </c>
      <c r="D674" s="134" t="s">
        <v>3131</v>
      </c>
      <c r="E674" s="139">
        <v>5.68</v>
      </c>
      <c r="F674" s="134" t="s">
        <v>3130</v>
      </c>
      <c r="G674" s="144" t="s">
        <v>3007</v>
      </c>
      <c r="H674" s="123">
        <v>1760</v>
      </c>
    </row>
    <row r="675" spans="1:8" ht="31.5" x14ac:dyDescent="0.25">
      <c r="A675" s="134" t="s">
        <v>3105</v>
      </c>
      <c r="B675" s="134" t="s">
        <v>3129</v>
      </c>
      <c r="C675" s="134" t="s">
        <v>3128</v>
      </c>
      <c r="D675" s="134" t="s">
        <v>3127</v>
      </c>
      <c r="E675" s="139">
        <v>2.8</v>
      </c>
      <c r="F675" s="134" t="s">
        <v>3126</v>
      </c>
      <c r="G675" s="144" t="s">
        <v>3007</v>
      </c>
      <c r="H675" s="123">
        <v>1764</v>
      </c>
    </row>
    <row r="676" spans="1:8" ht="31.5" x14ac:dyDescent="0.25">
      <c r="A676" s="134" t="s">
        <v>3105</v>
      </c>
      <c r="B676" s="134" t="s">
        <v>3125</v>
      </c>
      <c r="C676" s="134" t="s">
        <v>3124</v>
      </c>
      <c r="D676" s="134" t="s">
        <v>3123</v>
      </c>
      <c r="E676" s="139">
        <v>1.9</v>
      </c>
      <c r="F676" s="134" t="s">
        <v>3122</v>
      </c>
      <c r="G676" s="144" t="s">
        <v>3007</v>
      </c>
      <c r="H676" s="123">
        <v>1765</v>
      </c>
    </row>
    <row r="677" spans="1:8" ht="31.5" x14ac:dyDescent="0.25">
      <c r="A677" s="134" t="s">
        <v>3105</v>
      </c>
      <c r="B677" s="134" t="s">
        <v>3121</v>
      </c>
      <c r="C677" s="134" t="s">
        <v>3120</v>
      </c>
      <c r="D677" s="134" t="s">
        <v>3119</v>
      </c>
      <c r="E677" s="139">
        <v>3.23</v>
      </c>
      <c r="F677" s="134" t="s">
        <v>3118</v>
      </c>
      <c r="G677" s="144" t="s">
        <v>3007</v>
      </c>
      <c r="H677" s="123">
        <v>1767</v>
      </c>
    </row>
    <row r="678" spans="1:8" ht="31.5" x14ac:dyDescent="0.25">
      <c r="A678" s="134" t="s">
        <v>3105</v>
      </c>
      <c r="B678" s="134" t="s">
        <v>3117</v>
      </c>
      <c r="C678" s="134" t="s">
        <v>3116</v>
      </c>
      <c r="D678" s="134" t="s">
        <v>3115</v>
      </c>
      <c r="E678" s="139">
        <v>29.81</v>
      </c>
      <c r="F678" s="134" t="s">
        <v>3114</v>
      </c>
      <c r="G678" s="144" t="s">
        <v>3007</v>
      </c>
      <c r="H678" s="123">
        <v>1768</v>
      </c>
    </row>
    <row r="679" spans="1:8" ht="31.5" x14ac:dyDescent="0.25">
      <c r="A679" s="134" t="s">
        <v>3105</v>
      </c>
      <c r="B679" s="134" t="s">
        <v>3113</v>
      </c>
      <c r="C679" s="134" t="s">
        <v>3112</v>
      </c>
      <c r="D679" s="134" t="s">
        <v>3111</v>
      </c>
      <c r="E679" s="139">
        <v>3.37</v>
      </c>
      <c r="F679" s="134" t="s">
        <v>3110</v>
      </c>
      <c r="G679" s="144" t="s">
        <v>3007</v>
      </c>
      <c r="H679" s="123">
        <v>1769</v>
      </c>
    </row>
    <row r="680" spans="1:8" ht="31.5" x14ac:dyDescent="0.25">
      <c r="A680" s="134" t="s">
        <v>3105</v>
      </c>
      <c r="B680" s="134" t="s">
        <v>3109</v>
      </c>
      <c r="C680" s="134" t="s">
        <v>3108</v>
      </c>
      <c r="D680" s="134" t="s">
        <v>3107</v>
      </c>
      <c r="E680" s="139">
        <v>2.72</v>
      </c>
      <c r="F680" s="134" t="s">
        <v>3106</v>
      </c>
      <c r="G680" s="144" t="s">
        <v>3007</v>
      </c>
      <c r="H680" s="123">
        <v>1770</v>
      </c>
    </row>
    <row r="681" spans="1:8" ht="31.5" x14ac:dyDescent="0.25">
      <c r="A681" s="134" t="s">
        <v>3105</v>
      </c>
      <c r="B681" s="134" t="s">
        <v>3104</v>
      </c>
      <c r="C681" s="134" t="s">
        <v>3103</v>
      </c>
      <c r="D681" s="134" t="s">
        <v>3102</v>
      </c>
      <c r="E681" s="139">
        <v>5.05</v>
      </c>
      <c r="F681" s="134" t="s">
        <v>3101</v>
      </c>
      <c r="G681" s="144" t="s">
        <v>3007</v>
      </c>
      <c r="H681" s="123">
        <v>1771</v>
      </c>
    </row>
    <row r="682" spans="1:8" s="195" customFormat="1" x14ac:dyDescent="0.25">
      <c r="A682" s="193"/>
      <c r="B682" s="193"/>
      <c r="C682" s="193" t="s">
        <v>5691</v>
      </c>
      <c r="D682" s="193" t="s">
        <v>14414</v>
      </c>
      <c r="E682" s="194">
        <f>SUM(E547:E681)</f>
        <v>936.85</v>
      </c>
      <c r="F682" s="193"/>
      <c r="G682" s="193"/>
      <c r="H682" s="123"/>
    </row>
    <row r="683" spans="1:8" x14ac:dyDescent="0.25">
      <c r="A683" s="134"/>
      <c r="B683" s="134"/>
      <c r="C683" s="134"/>
      <c r="D683" s="134"/>
      <c r="E683" s="139"/>
      <c r="F683" s="134"/>
      <c r="G683" s="134"/>
      <c r="H683" s="123"/>
    </row>
    <row r="684" spans="1:8" ht="31.5" x14ac:dyDescent="0.25">
      <c r="A684" s="134" t="s">
        <v>3012</v>
      </c>
      <c r="B684" s="134" t="s">
        <v>3100</v>
      </c>
      <c r="C684" s="134" t="s">
        <v>3099</v>
      </c>
      <c r="D684" s="134" t="s">
        <v>3098</v>
      </c>
      <c r="E684" s="139">
        <v>11.98</v>
      </c>
      <c r="F684" s="134" t="s">
        <v>3097</v>
      </c>
      <c r="G684" s="144" t="s">
        <v>3007</v>
      </c>
      <c r="H684" s="123">
        <v>1791</v>
      </c>
    </row>
    <row r="685" spans="1:8" ht="31.5" x14ac:dyDescent="0.25">
      <c r="A685" s="134" t="s">
        <v>3012</v>
      </c>
      <c r="B685" s="134" t="s">
        <v>3096</v>
      </c>
      <c r="C685" s="134" t="s">
        <v>3095</v>
      </c>
      <c r="D685" s="134" t="s">
        <v>3094</v>
      </c>
      <c r="E685" s="139">
        <v>5.2</v>
      </c>
      <c r="F685" s="134" t="s">
        <v>3093</v>
      </c>
      <c r="G685" s="144" t="s">
        <v>3007</v>
      </c>
      <c r="H685" s="123">
        <v>1792</v>
      </c>
    </row>
    <row r="686" spans="1:8" ht="31.5" x14ac:dyDescent="0.25">
      <c r="A686" s="134" t="s">
        <v>3012</v>
      </c>
      <c r="B686" s="134" t="s">
        <v>3092</v>
      </c>
      <c r="C686" s="134" t="s">
        <v>3091</v>
      </c>
      <c r="D686" s="134" t="s">
        <v>3090</v>
      </c>
      <c r="E686" s="139">
        <v>5.44</v>
      </c>
      <c r="F686" s="134" t="s">
        <v>3089</v>
      </c>
      <c r="G686" s="144" t="s">
        <v>3007</v>
      </c>
      <c r="H686" s="123">
        <v>1793</v>
      </c>
    </row>
    <row r="687" spans="1:8" ht="31.5" x14ac:dyDescent="0.25">
      <c r="A687" s="134" t="s">
        <v>3012</v>
      </c>
      <c r="B687" s="134" t="s">
        <v>3088</v>
      </c>
      <c r="C687" s="134" t="s">
        <v>3087</v>
      </c>
      <c r="D687" s="134" t="s">
        <v>3086</v>
      </c>
      <c r="E687" s="139">
        <v>4.6900000000000004</v>
      </c>
      <c r="F687" s="134" t="s">
        <v>3085</v>
      </c>
      <c r="G687" s="144" t="s">
        <v>3007</v>
      </c>
      <c r="H687" s="123">
        <v>1794</v>
      </c>
    </row>
    <row r="688" spans="1:8" ht="31.5" x14ac:dyDescent="0.25">
      <c r="A688" s="134" t="s">
        <v>3012</v>
      </c>
      <c r="B688" s="134" t="s">
        <v>3084</v>
      </c>
      <c r="C688" s="134" t="s">
        <v>3083</v>
      </c>
      <c r="D688" s="134" t="s">
        <v>3082</v>
      </c>
      <c r="E688" s="139">
        <v>3.74</v>
      </c>
      <c r="F688" s="134" t="s">
        <v>3081</v>
      </c>
      <c r="G688" s="144" t="s">
        <v>3007</v>
      </c>
      <c r="H688" s="123">
        <v>1795</v>
      </c>
    </row>
    <row r="689" spans="1:8" ht="31.5" x14ac:dyDescent="0.25">
      <c r="A689" s="134" t="s">
        <v>3012</v>
      </c>
      <c r="B689" s="134" t="s">
        <v>3080</v>
      </c>
      <c r="C689" s="134" t="s">
        <v>3079</v>
      </c>
      <c r="D689" s="134" t="s">
        <v>3078</v>
      </c>
      <c r="E689" s="139">
        <v>10.039999999999999</v>
      </c>
      <c r="F689" s="134" t="s">
        <v>3077</v>
      </c>
      <c r="G689" s="144" t="s">
        <v>3007</v>
      </c>
      <c r="H689" s="123">
        <v>1796</v>
      </c>
    </row>
    <row r="690" spans="1:8" ht="31.5" x14ac:dyDescent="0.25">
      <c r="A690" s="134" t="s">
        <v>3012</v>
      </c>
      <c r="B690" s="134" t="s">
        <v>3076</v>
      </c>
      <c r="C690" s="134" t="s">
        <v>3075</v>
      </c>
      <c r="D690" s="134" t="s">
        <v>3074</v>
      </c>
      <c r="E690" s="139">
        <v>10.75</v>
      </c>
      <c r="F690" s="134" t="s">
        <v>3073</v>
      </c>
      <c r="G690" s="144" t="s">
        <v>3007</v>
      </c>
      <c r="H690" s="123">
        <v>1797</v>
      </c>
    </row>
    <row r="691" spans="1:8" ht="31.5" x14ac:dyDescent="0.25">
      <c r="A691" s="134" t="s">
        <v>3012</v>
      </c>
      <c r="B691" s="134" t="s">
        <v>3072</v>
      </c>
      <c r="C691" s="134" t="s">
        <v>3071</v>
      </c>
      <c r="D691" s="134" t="s">
        <v>3070</v>
      </c>
      <c r="E691" s="139">
        <v>1.68</v>
      </c>
      <c r="F691" s="134" t="s">
        <v>3069</v>
      </c>
      <c r="G691" s="144" t="s">
        <v>3007</v>
      </c>
      <c r="H691" s="123">
        <v>1798</v>
      </c>
    </row>
    <row r="692" spans="1:8" ht="31.5" x14ac:dyDescent="0.25">
      <c r="A692" s="134" t="s">
        <v>3012</v>
      </c>
      <c r="B692" s="134" t="s">
        <v>3068</v>
      </c>
      <c r="C692" s="134" t="s">
        <v>3067</v>
      </c>
      <c r="D692" s="134" t="s">
        <v>3066</v>
      </c>
      <c r="E692" s="139">
        <v>7.52</v>
      </c>
      <c r="F692" s="134" t="s">
        <v>3065</v>
      </c>
      <c r="G692" s="144" t="s">
        <v>3007</v>
      </c>
      <c r="H692" s="123">
        <v>1799</v>
      </c>
    </row>
    <row r="693" spans="1:8" ht="31.5" x14ac:dyDescent="0.25">
      <c r="A693" s="134" t="s">
        <v>3012</v>
      </c>
      <c r="B693" s="134" t="s">
        <v>3064</v>
      </c>
      <c r="C693" s="134" t="s">
        <v>3063</v>
      </c>
      <c r="D693" s="134" t="s">
        <v>3062</v>
      </c>
      <c r="E693" s="139">
        <v>0.72</v>
      </c>
      <c r="F693" s="134" t="s">
        <v>3061</v>
      </c>
      <c r="G693" s="144" t="s">
        <v>3007</v>
      </c>
      <c r="H693" s="123">
        <v>1800</v>
      </c>
    </row>
    <row r="694" spans="1:8" ht="31.5" x14ac:dyDescent="0.25">
      <c r="A694" s="134" t="s">
        <v>3012</v>
      </c>
      <c r="B694" s="134" t="s">
        <v>3060</v>
      </c>
      <c r="C694" s="134" t="s">
        <v>3059</v>
      </c>
      <c r="D694" s="134" t="s">
        <v>3058</v>
      </c>
      <c r="E694" s="139">
        <v>2.09</v>
      </c>
      <c r="F694" s="134" t="s">
        <v>3057</v>
      </c>
      <c r="G694" s="144" t="s">
        <v>3007</v>
      </c>
      <c r="H694" s="123">
        <v>1801</v>
      </c>
    </row>
    <row r="695" spans="1:8" ht="31.5" x14ac:dyDescent="0.25">
      <c r="A695" s="134" t="s">
        <v>3012</v>
      </c>
      <c r="B695" s="134" t="s">
        <v>3056</v>
      </c>
      <c r="C695" s="134" t="s">
        <v>3055</v>
      </c>
      <c r="D695" s="134" t="s">
        <v>3054</v>
      </c>
      <c r="E695" s="139">
        <v>10.09</v>
      </c>
      <c r="F695" s="134" t="s">
        <v>3053</v>
      </c>
      <c r="G695" s="144" t="s">
        <v>3007</v>
      </c>
      <c r="H695" s="123">
        <v>1802</v>
      </c>
    </row>
    <row r="696" spans="1:8" ht="31.5" x14ac:dyDescent="0.25">
      <c r="A696" s="134" t="s">
        <v>3012</v>
      </c>
      <c r="B696" s="134" t="s">
        <v>3052</v>
      </c>
      <c r="C696" s="134" t="s">
        <v>3051</v>
      </c>
      <c r="D696" s="134" t="s">
        <v>3050</v>
      </c>
      <c r="E696" s="139">
        <v>5.04</v>
      </c>
      <c r="F696" s="134" t="s">
        <v>3049</v>
      </c>
      <c r="G696" s="144" t="s">
        <v>3007</v>
      </c>
      <c r="H696" s="123">
        <v>1803</v>
      </c>
    </row>
    <row r="697" spans="1:8" ht="31.5" x14ac:dyDescent="0.25">
      <c r="A697" s="134" t="s">
        <v>3012</v>
      </c>
      <c r="B697" s="134" t="s">
        <v>3048</v>
      </c>
      <c r="C697" s="134" t="s">
        <v>3047</v>
      </c>
      <c r="D697" s="134" t="s">
        <v>3046</v>
      </c>
      <c r="E697" s="139">
        <v>2.4500000000000002</v>
      </c>
      <c r="F697" s="134" t="s">
        <v>3045</v>
      </c>
      <c r="G697" s="144" t="s">
        <v>3007</v>
      </c>
      <c r="H697" s="123">
        <v>1804</v>
      </c>
    </row>
    <row r="698" spans="1:8" ht="31.5" x14ac:dyDescent="0.25">
      <c r="A698" s="134" t="s">
        <v>3012</v>
      </c>
      <c r="B698" s="134" t="s">
        <v>3044</v>
      </c>
      <c r="C698" s="134" t="s">
        <v>3043</v>
      </c>
      <c r="D698" s="134" t="s">
        <v>3042</v>
      </c>
      <c r="E698" s="139">
        <v>7.93</v>
      </c>
      <c r="F698" s="134" t="s">
        <v>3041</v>
      </c>
      <c r="G698" s="144" t="s">
        <v>3007</v>
      </c>
      <c r="H698" s="123">
        <v>1805</v>
      </c>
    </row>
    <row r="699" spans="1:8" ht="31.5" x14ac:dyDescent="0.25">
      <c r="A699" s="134" t="s">
        <v>3012</v>
      </c>
      <c r="B699" s="134" t="s">
        <v>3040</v>
      </c>
      <c r="C699" s="134" t="s">
        <v>3039</v>
      </c>
      <c r="D699" s="134" t="s">
        <v>3038</v>
      </c>
      <c r="E699" s="139">
        <v>11.93</v>
      </c>
      <c r="F699" s="134" t="s">
        <v>3037</v>
      </c>
      <c r="G699" s="144" t="s">
        <v>3007</v>
      </c>
      <c r="H699" s="123">
        <v>1806</v>
      </c>
    </row>
    <row r="700" spans="1:8" ht="31.5" x14ac:dyDescent="0.25">
      <c r="A700" s="134" t="s">
        <v>3012</v>
      </c>
      <c r="B700" s="134" t="s">
        <v>3036</v>
      </c>
      <c r="C700" s="134" t="s">
        <v>3035</v>
      </c>
      <c r="D700" s="134" t="s">
        <v>3034</v>
      </c>
      <c r="E700" s="139">
        <v>6.05</v>
      </c>
      <c r="F700" s="134" t="s">
        <v>3033</v>
      </c>
      <c r="G700" s="144" t="s">
        <v>3007</v>
      </c>
      <c r="H700" s="123">
        <v>1807</v>
      </c>
    </row>
    <row r="701" spans="1:8" ht="31.5" x14ac:dyDescent="0.25">
      <c r="A701" s="134" t="s">
        <v>3012</v>
      </c>
      <c r="B701" s="134" t="s">
        <v>3032</v>
      </c>
      <c r="C701" s="134" t="s">
        <v>3031</v>
      </c>
      <c r="D701" s="134" t="s">
        <v>3030</v>
      </c>
      <c r="E701" s="139">
        <v>0.62</v>
      </c>
      <c r="F701" s="134" t="s">
        <v>3029</v>
      </c>
      <c r="G701" s="144" t="s">
        <v>3007</v>
      </c>
      <c r="H701" s="123">
        <v>1808</v>
      </c>
    </row>
    <row r="702" spans="1:8" ht="31.5" x14ac:dyDescent="0.25">
      <c r="A702" s="134" t="s">
        <v>3012</v>
      </c>
      <c r="B702" s="134" t="s">
        <v>3028</v>
      </c>
      <c r="C702" s="134" t="s">
        <v>3027</v>
      </c>
      <c r="D702" s="134" t="s">
        <v>3026</v>
      </c>
      <c r="E702" s="139">
        <v>3.38</v>
      </c>
      <c r="F702" s="134" t="s">
        <v>3025</v>
      </c>
      <c r="G702" s="144" t="s">
        <v>3007</v>
      </c>
      <c r="H702" s="123">
        <v>1809</v>
      </c>
    </row>
    <row r="703" spans="1:8" ht="31.5" x14ac:dyDescent="0.25">
      <c r="A703" s="134" t="s">
        <v>3012</v>
      </c>
      <c r="B703" s="134" t="s">
        <v>3024</v>
      </c>
      <c r="C703" s="134" t="s">
        <v>3023</v>
      </c>
      <c r="D703" s="134" t="s">
        <v>3022</v>
      </c>
      <c r="E703" s="139">
        <v>2.59</v>
      </c>
      <c r="F703" s="134" t="s">
        <v>3021</v>
      </c>
      <c r="G703" s="144" t="s">
        <v>3007</v>
      </c>
      <c r="H703" s="123">
        <v>1810</v>
      </c>
    </row>
    <row r="704" spans="1:8" ht="31.5" x14ac:dyDescent="0.25">
      <c r="A704" s="134" t="s">
        <v>3012</v>
      </c>
      <c r="B704" s="134" t="s">
        <v>3020</v>
      </c>
      <c r="C704" s="134" t="s">
        <v>3019</v>
      </c>
      <c r="D704" s="134" t="s">
        <v>3018</v>
      </c>
      <c r="E704" s="139">
        <v>4.16</v>
      </c>
      <c r="F704" s="134" t="s">
        <v>3017</v>
      </c>
      <c r="G704" s="144" t="s">
        <v>3007</v>
      </c>
      <c r="H704" s="123">
        <v>1811</v>
      </c>
    </row>
    <row r="705" spans="1:8" ht="31.5" x14ac:dyDescent="0.25">
      <c r="A705" s="134" t="s">
        <v>3012</v>
      </c>
      <c r="B705" s="134" t="s">
        <v>3016</v>
      </c>
      <c r="C705" s="134" t="s">
        <v>3015</v>
      </c>
      <c r="D705" s="134" t="s">
        <v>3014</v>
      </c>
      <c r="E705" s="139">
        <v>5.46</v>
      </c>
      <c r="F705" s="134" t="s">
        <v>3013</v>
      </c>
      <c r="G705" s="144" t="s">
        <v>3007</v>
      </c>
      <c r="H705" s="123">
        <v>1812</v>
      </c>
    </row>
    <row r="706" spans="1:8" ht="31.5" x14ac:dyDescent="0.25">
      <c r="A706" s="134" t="s">
        <v>3012</v>
      </c>
      <c r="B706" s="134" t="s">
        <v>3011</v>
      </c>
      <c r="C706" s="134" t="s">
        <v>3010</v>
      </c>
      <c r="D706" s="134" t="s">
        <v>3009</v>
      </c>
      <c r="E706" s="139">
        <v>1.78</v>
      </c>
      <c r="F706" s="134" t="s">
        <v>3008</v>
      </c>
      <c r="G706" s="144" t="s">
        <v>3007</v>
      </c>
      <c r="H706" s="123">
        <v>1813</v>
      </c>
    </row>
    <row r="707" spans="1:8" s="195" customFormat="1" x14ac:dyDescent="0.25">
      <c r="A707" s="193"/>
      <c r="B707" s="193"/>
      <c r="C707" s="193" t="s">
        <v>5691</v>
      </c>
      <c r="D707" s="193" t="s">
        <v>14415</v>
      </c>
      <c r="E707" s="194">
        <f>SUM(E684:E706)</f>
        <v>125.33000000000001</v>
      </c>
      <c r="F707" s="193"/>
      <c r="G707" s="193"/>
      <c r="H707" s="123"/>
    </row>
    <row r="708" spans="1:8" x14ac:dyDescent="0.25">
      <c r="A708" s="134"/>
      <c r="B708" s="134"/>
      <c r="C708" s="134"/>
      <c r="D708" s="134"/>
      <c r="E708" s="139"/>
      <c r="F708" s="134"/>
      <c r="G708" s="134"/>
      <c r="H708" s="123"/>
    </row>
  </sheetData>
  <sortState xmlns:xlrd2="http://schemas.microsoft.com/office/spreadsheetml/2017/richdata2" ref="A45:K264">
    <sortCondition ref="H45:H264"/>
  </sortState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1" fitToHeight="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77CEA-4090-4431-81EC-02FFDD9FF447}">
  <sheetPr>
    <pageSetUpPr fitToPage="1"/>
  </sheetPr>
  <dimension ref="A1:L75"/>
  <sheetViews>
    <sheetView zoomScaleNormal="100" workbookViewId="0">
      <selection activeCell="B32" sqref="B32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9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9" x14ac:dyDescent="0.2">
      <c r="A2" s="1"/>
      <c r="B2" s="2"/>
      <c r="C2" s="3"/>
      <c r="D2" s="3"/>
      <c r="E2" s="3"/>
      <c r="F2" s="4"/>
      <c r="G2" s="3"/>
      <c r="H2" s="5"/>
    </row>
    <row r="3" spans="1:9" x14ac:dyDescent="0.2">
      <c r="A3" s="1"/>
      <c r="B3" s="2"/>
      <c r="C3" s="3"/>
      <c r="D3" s="3"/>
      <c r="E3" s="3"/>
      <c r="F3" s="4"/>
      <c r="G3" s="3"/>
      <c r="H3" s="5"/>
    </row>
    <row r="4" spans="1:9" x14ac:dyDescent="0.2">
      <c r="A4" s="1" t="s">
        <v>1</v>
      </c>
      <c r="B4" s="1"/>
      <c r="D4" s="6"/>
      <c r="E4" s="6"/>
      <c r="G4" s="6"/>
    </row>
    <row r="5" spans="1:9" x14ac:dyDescent="0.2">
      <c r="A5" s="8"/>
      <c r="B5" s="2"/>
      <c r="C5" s="3"/>
      <c r="D5" s="3"/>
      <c r="E5" s="3"/>
      <c r="F5" s="4"/>
      <c r="G5" s="3"/>
      <c r="H5" s="5"/>
    </row>
    <row r="6" spans="1:9" x14ac:dyDescent="0.2">
      <c r="A6" s="8"/>
      <c r="B6" s="2"/>
      <c r="C6" s="3"/>
      <c r="D6" s="3"/>
      <c r="E6" s="3"/>
      <c r="F6" s="4"/>
      <c r="G6" s="3"/>
      <c r="H6" s="5"/>
    </row>
    <row r="7" spans="1:9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9" x14ac:dyDescent="0.2">
      <c r="A8" s="8"/>
      <c r="B8" s="2"/>
      <c r="C8" s="3"/>
      <c r="D8" s="3"/>
      <c r="E8" s="3"/>
      <c r="F8" s="4"/>
      <c r="G8" s="3"/>
      <c r="H8" s="5"/>
    </row>
    <row r="9" spans="1:9" ht="13.5" customHeight="1" x14ac:dyDescent="0.2">
      <c r="A9" s="10" t="s">
        <v>316</v>
      </c>
      <c r="B9" s="10"/>
      <c r="C9" s="11"/>
      <c r="D9" s="3"/>
      <c r="E9" s="3"/>
      <c r="F9" s="4"/>
      <c r="G9" s="12" t="s">
        <v>4</v>
      </c>
      <c r="H9" s="13">
        <v>20651.689999999999</v>
      </c>
    </row>
    <row r="10" spans="1:9" x14ac:dyDescent="0.2">
      <c r="A10" s="3"/>
      <c r="B10" s="9"/>
      <c r="C10" s="3"/>
      <c r="D10" s="3"/>
      <c r="E10" s="3"/>
      <c r="F10" s="4"/>
      <c r="G10" s="3"/>
      <c r="H10" s="5"/>
    </row>
    <row r="11" spans="1:9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9" ht="12.75" customHeight="1" x14ac:dyDescent="0.2">
      <c r="A12" s="14"/>
      <c r="B12" s="18" t="s">
        <v>6</v>
      </c>
      <c r="C12" s="3"/>
      <c r="D12" s="16"/>
      <c r="E12" s="16"/>
      <c r="F12" s="17"/>
      <c r="G12" s="3"/>
      <c r="H12" s="5"/>
    </row>
    <row r="13" spans="1:9" x14ac:dyDescent="0.2">
      <c r="A13" s="14"/>
      <c r="B13" s="9"/>
      <c r="C13" s="3"/>
      <c r="D13" s="16"/>
      <c r="E13" s="16"/>
      <c r="F13" s="17"/>
      <c r="G13" s="3"/>
      <c r="H13" s="5"/>
    </row>
    <row r="14" spans="1:9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9" ht="19.5" x14ac:dyDescent="0.2">
      <c r="A15" s="150">
        <v>43845</v>
      </c>
      <c r="B15" s="113" t="s">
        <v>1499</v>
      </c>
      <c r="C15" s="148" t="s">
        <v>1500</v>
      </c>
      <c r="D15" s="148">
        <v>3299</v>
      </c>
      <c r="E15" s="25"/>
      <c r="F15" s="359">
        <v>270</v>
      </c>
      <c r="G15" s="3"/>
      <c r="I15" s="33"/>
    </row>
    <row r="16" spans="1:9" x14ac:dyDescent="0.2">
      <c r="A16" s="37"/>
      <c r="B16" s="38"/>
      <c r="C16" s="39"/>
      <c r="D16" s="40"/>
      <c r="E16" s="22"/>
      <c r="F16" s="41"/>
      <c r="G16" s="3"/>
      <c r="H16" s="13">
        <f>SUM(F15:F15)</f>
        <v>270</v>
      </c>
    </row>
    <row r="17" spans="1:9" x14ac:dyDescent="0.2">
      <c r="A17" s="19"/>
      <c r="B17" s="42"/>
      <c r="C17" s="3"/>
      <c r="D17" s="22"/>
      <c r="E17" s="22"/>
      <c r="F17" s="43"/>
      <c r="G17" s="12"/>
      <c r="H17" s="5"/>
    </row>
    <row r="18" spans="1:9" x14ac:dyDescent="0.2">
      <c r="A18" s="3"/>
      <c r="B18" s="44" t="s">
        <v>5</v>
      </c>
      <c r="C18" s="3"/>
      <c r="D18" s="16"/>
      <c r="E18" s="16"/>
      <c r="F18" s="22" t="s">
        <v>11</v>
      </c>
      <c r="G18" s="3"/>
      <c r="H18" s="5"/>
    </row>
    <row r="19" spans="1:9" ht="13.5" customHeight="1" x14ac:dyDescent="0.2">
      <c r="A19" s="21" t="s">
        <v>7</v>
      </c>
      <c r="B19" s="18" t="s">
        <v>14</v>
      </c>
      <c r="C19" s="3"/>
      <c r="D19" s="16"/>
      <c r="E19" s="16"/>
      <c r="F19" s="43"/>
      <c r="G19" s="3"/>
      <c r="H19" s="5"/>
    </row>
    <row r="20" spans="1:9" ht="13.5" customHeight="1" x14ac:dyDescent="0.2">
      <c r="A20" s="54"/>
      <c r="B20" s="55"/>
      <c r="D20" s="51"/>
      <c r="E20" s="51"/>
      <c r="F20" s="56"/>
      <c r="H20" s="57"/>
    </row>
    <row r="21" spans="1:9" x14ac:dyDescent="0.2">
      <c r="A21" s="58"/>
      <c r="D21" s="51"/>
      <c r="E21" s="51"/>
      <c r="F21" s="57"/>
      <c r="H21" s="60">
        <f>SUM(F20:F20)</f>
        <v>0</v>
      </c>
    </row>
    <row r="22" spans="1:9" s="64" customFormat="1" x14ac:dyDescent="0.2">
      <c r="A22" s="61"/>
      <c r="B22" s="62" t="s">
        <v>29</v>
      </c>
      <c r="C22" s="63"/>
      <c r="D22" s="63"/>
      <c r="E22" s="63"/>
      <c r="G22" s="65"/>
    </row>
    <row r="23" spans="1:9" s="64" customFormat="1" x14ac:dyDescent="0.2">
      <c r="A23" s="21" t="s">
        <v>7</v>
      </c>
      <c r="B23" s="62" t="s">
        <v>30</v>
      </c>
      <c r="C23" s="63"/>
      <c r="D23" s="63"/>
      <c r="E23" s="63"/>
      <c r="F23" s="22" t="s">
        <v>11</v>
      </c>
      <c r="G23" s="65"/>
    </row>
    <row r="24" spans="1:9" x14ac:dyDescent="0.2">
      <c r="A24" s="45"/>
      <c r="B24" s="66"/>
      <c r="D24" s="51"/>
      <c r="E24" s="51"/>
      <c r="F24" s="56"/>
      <c r="G24" s="3"/>
      <c r="H24" s="5"/>
    </row>
    <row r="25" spans="1:9" x14ac:dyDescent="0.2">
      <c r="A25" s="75"/>
      <c r="B25" s="2"/>
      <c r="C25" s="3"/>
      <c r="D25" s="16"/>
      <c r="E25" s="16"/>
      <c r="F25" s="76"/>
      <c r="G25" s="3"/>
      <c r="H25" s="60">
        <f>SUM(F24:F24)</f>
        <v>0</v>
      </c>
    </row>
    <row r="26" spans="1:9" x14ac:dyDescent="0.2">
      <c r="C26" s="3"/>
      <c r="D26" s="16"/>
      <c r="E26" s="16"/>
      <c r="F26" s="76"/>
      <c r="G26" s="3"/>
      <c r="H26" s="5"/>
    </row>
    <row r="27" spans="1:9" x14ac:dyDescent="0.2">
      <c r="B27" s="62" t="s">
        <v>29</v>
      </c>
      <c r="C27" s="3"/>
      <c r="D27" s="16"/>
      <c r="E27" s="16"/>
      <c r="F27" s="22" t="s">
        <v>11</v>
      </c>
      <c r="G27" s="3"/>
      <c r="H27" s="5"/>
    </row>
    <row r="28" spans="1:9" x14ac:dyDescent="0.2">
      <c r="A28" s="21" t="s">
        <v>7</v>
      </c>
      <c r="B28" s="18" t="s">
        <v>44</v>
      </c>
      <c r="C28" s="3"/>
      <c r="D28" s="16"/>
      <c r="E28" s="16"/>
      <c r="F28" s="12"/>
      <c r="G28" s="3"/>
      <c r="H28" s="5"/>
    </row>
    <row r="29" spans="1:9" s="53" customFormat="1" ht="21" x14ac:dyDescent="0.2">
      <c r="A29" s="47">
        <v>43522</v>
      </c>
      <c r="B29" s="48" t="s">
        <v>45</v>
      </c>
      <c r="C29" s="49" t="s">
        <v>46</v>
      </c>
      <c r="D29" s="73"/>
      <c r="E29" s="49"/>
      <c r="F29" s="270">
        <v>3.08</v>
      </c>
      <c r="G29" s="271"/>
      <c r="I29" s="272"/>
    </row>
    <row r="30" spans="1:9" s="53" customFormat="1" ht="21" x14ac:dyDescent="0.2">
      <c r="A30" s="47">
        <v>43549</v>
      </c>
      <c r="B30" s="48" t="s">
        <v>47</v>
      </c>
      <c r="C30" s="49" t="s">
        <v>48</v>
      </c>
      <c r="D30" s="73"/>
      <c r="E30" s="49"/>
      <c r="F30" s="270">
        <v>3.53</v>
      </c>
      <c r="G30" s="271"/>
      <c r="I30" s="272"/>
    </row>
    <row r="31" spans="1:9" s="53" customFormat="1" ht="15" x14ac:dyDescent="0.2">
      <c r="A31" s="47">
        <v>43823</v>
      </c>
      <c r="B31" s="48" t="s">
        <v>14461</v>
      </c>
      <c r="C31" s="49" t="s">
        <v>14462</v>
      </c>
      <c r="D31" s="73"/>
      <c r="E31" s="49"/>
      <c r="F31" s="270">
        <v>6.94</v>
      </c>
      <c r="G31" s="271"/>
      <c r="I31" s="272"/>
    </row>
    <row r="32" spans="1:9" ht="15" x14ac:dyDescent="0.2">
      <c r="A32" s="150">
        <v>43861</v>
      </c>
      <c r="B32" s="113" t="s">
        <v>402</v>
      </c>
      <c r="C32" s="148" t="s">
        <v>403</v>
      </c>
      <c r="D32" s="68"/>
      <c r="E32" s="25"/>
      <c r="F32" s="160">
        <v>2</v>
      </c>
      <c r="G32" s="3"/>
      <c r="I32" s="33"/>
    </row>
    <row r="33" spans="1:9" ht="15" x14ac:dyDescent="0.2">
      <c r="A33" s="150">
        <v>43861</v>
      </c>
      <c r="B33" s="113" t="s">
        <v>400</v>
      </c>
      <c r="C33" s="148" t="s">
        <v>401</v>
      </c>
      <c r="D33" s="68"/>
      <c r="E33" s="25"/>
      <c r="F33" s="160">
        <v>0.15</v>
      </c>
      <c r="G33" s="3"/>
      <c r="I33" s="33"/>
    </row>
    <row r="34" spans="1:9" ht="15" x14ac:dyDescent="0.2">
      <c r="A34" s="150">
        <v>43861</v>
      </c>
      <c r="B34" s="113" t="s">
        <v>398</v>
      </c>
      <c r="C34" s="148" t="s">
        <v>399</v>
      </c>
      <c r="D34" s="68"/>
      <c r="E34" s="25"/>
      <c r="F34" s="160">
        <v>0.6</v>
      </c>
      <c r="G34" s="3"/>
      <c r="I34" s="33"/>
    </row>
    <row r="35" spans="1:9" ht="19.5" x14ac:dyDescent="0.2">
      <c r="A35" s="150">
        <v>43861</v>
      </c>
      <c r="B35" s="113" t="s">
        <v>392</v>
      </c>
      <c r="C35" s="148" t="s">
        <v>393</v>
      </c>
      <c r="D35" s="68"/>
      <c r="E35" s="25"/>
      <c r="F35" s="160">
        <v>57.57</v>
      </c>
      <c r="G35" s="3"/>
      <c r="I35" s="33"/>
    </row>
    <row r="36" spans="1:9" ht="15" x14ac:dyDescent="0.2">
      <c r="A36" s="150">
        <v>43861</v>
      </c>
      <c r="B36" s="113" t="s">
        <v>390</v>
      </c>
      <c r="C36" s="148" t="s">
        <v>391</v>
      </c>
      <c r="D36" s="68"/>
      <c r="E36" s="25"/>
      <c r="F36" s="160">
        <v>12.99</v>
      </c>
      <c r="G36" s="3"/>
      <c r="I36" s="33"/>
    </row>
    <row r="37" spans="1:9" ht="19.5" x14ac:dyDescent="0.2">
      <c r="A37" s="150">
        <v>43861</v>
      </c>
      <c r="B37" s="113" t="s">
        <v>388</v>
      </c>
      <c r="C37" s="148" t="s">
        <v>389</v>
      </c>
      <c r="D37" s="68"/>
      <c r="E37" s="25"/>
      <c r="F37" s="160">
        <v>5.62</v>
      </c>
      <c r="G37" s="3"/>
      <c r="I37" s="33"/>
    </row>
    <row r="38" spans="1:9" ht="19.5" x14ac:dyDescent="0.2">
      <c r="A38" s="150">
        <v>43861</v>
      </c>
      <c r="B38" s="113" t="s">
        <v>386</v>
      </c>
      <c r="C38" s="148" t="s">
        <v>387</v>
      </c>
      <c r="D38" s="68"/>
      <c r="E38" s="25"/>
      <c r="F38" s="160">
        <v>1.4</v>
      </c>
      <c r="G38" s="3"/>
      <c r="I38" s="33"/>
    </row>
    <row r="39" spans="1:9" ht="15" x14ac:dyDescent="0.2">
      <c r="A39" s="263">
        <v>43861</v>
      </c>
      <c r="B39" s="264" t="s">
        <v>384</v>
      </c>
      <c r="C39" s="262" t="s">
        <v>385</v>
      </c>
      <c r="D39" s="68"/>
      <c r="E39" s="25"/>
      <c r="F39" s="266">
        <v>11.98</v>
      </c>
      <c r="G39" s="3"/>
      <c r="I39" s="33"/>
    </row>
    <row r="40" spans="1:9" ht="15" x14ac:dyDescent="0.2">
      <c r="A40" s="263">
        <v>43861</v>
      </c>
      <c r="B40" s="264" t="s">
        <v>382</v>
      </c>
      <c r="C40" s="262" t="s">
        <v>383</v>
      </c>
      <c r="D40" s="68"/>
      <c r="E40" s="25"/>
      <c r="F40" s="266">
        <v>5.2</v>
      </c>
      <c r="G40" s="3"/>
      <c r="I40" s="33"/>
    </row>
    <row r="41" spans="1:9" ht="15" x14ac:dyDescent="0.2">
      <c r="A41" s="263">
        <v>43861</v>
      </c>
      <c r="B41" s="264" t="s">
        <v>380</v>
      </c>
      <c r="C41" s="262" t="s">
        <v>381</v>
      </c>
      <c r="D41" s="68"/>
      <c r="E41" s="25"/>
      <c r="F41" s="266">
        <v>5.44</v>
      </c>
      <c r="G41" s="3"/>
      <c r="I41" s="33"/>
    </row>
    <row r="42" spans="1:9" ht="15" x14ac:dyDescent="0.2">
      <c r="A42" s="263">
        <v>43861</v>
      </c>
      <c r="B42" s="264" t="s">
        <v>378</v>
      </c>
      <c r="C42" s="262" t="s">
        <v>379</v>
      </c>
      <c r="D42" s="68"/>
      <c r="E42" s="25"/>
      <c r="F42" s="266">
        <v>4.6900000000000004</v>
      </c>
      <c r="G42" s="3"/>
      <c r="I42" s="33"/>
    </row>
    <row r="43" spans="1:9" ht="15" x14ac:dyDescent="0.2">
      <c r="A43" s="263">
        <v>43861</v>
      </c>
      <c r="B43" s="264" t="s">
        <v>376</v>
      </c>
      <c r="C43" s="262" t="s">
        <v>377</v>
      </c>
      <c r="D43" s="68"/>
      <c r="E43" s="25"/>
      <c r="F43" s="266">
        <v>3.74</v>
      </c>
      <c r="G43" s="3"/>
      <c r="I43" s="33"/>
    </row>
    <row r="44" spans="1:9" ht="15" x14ac:dyDescent="0.2">
      <c r="A44" s="263">
        <v>43861</v>
      </c>
      <c r="B44" s="264" t="s">
        <v>374</v>
      </c>
      <c r="C44" s="262" t="s">
        <v>375</v>
      </c>
      <c r="D44" s="68"/>
      <c r="E44" s="25"/>
      <c r="F44" s="266">
        <v>10.039999999999999</v>
      </c>
      <c r="G44" s="3"/>
      <c r="I44" s="33"/>
    </row>
    <row r="45" spans="1:9" ht="15" x14ac:dyDescent="0.2">
      <c r="A45" s="263">
        <v>43861</v>
      </c>
      <c r="B45" s="264" t="s">
        <v>372</v>
      </c>
      <c r="C45" s="262" t="s">
        <v>373</v>
      </c>
      <c r="D45" s="68"/>
      <c r="E45" s="25"/>
      <c r="F45" s="266">
        <v>10.75</v>
      </c>
      <c r="G45" s="3"/>
      <c r="I45" s="33"/>
    </row>
    <row r="46" spans="1:9" ht="15" x14ac:dyDescent="0.2">
      <c r="A46" s="263">
        <v>43861</v>
      </c>
      <c r="B46" s="264" t="s">
        <v>370</v>
      </c>
      <c r="C46" s="262" t="s">
        <v>371</v>
      </c>
      <c r="D46" s="68"/>
      <c r="E46" s="25"/>
      <c r="F46" s="266">
        <v>1.68</v>
      </c>
      <c r="G46" s="3"/>
      <c r="I46" s="33"/>
    </row>
    <row r="47" spans="1:9" ht="19.5" x14ac:dyDescent="0.2">
      <c r="A47" s="263">
        <v>43861</v>
      </c>
      <c r="B47" s="264" t="s">
        <v>368</v>
      </c>
      <c r="C47" s="262" t="s">
        <v>369</v>
      </c>
      <c r="D47" s="68"/>
      <c r="E47" s="25"/>
      <c r="F47" s="266">
        <v>7.52</v>
      </c>
      <c r="G47" s="3"/>
      <c r="I47" s="33"/>
    </row>
    <row r="48" spans="1:9" ht="15" x14ac:dyDescent="0.2">
      <c r="A48" s="263">
        <v>43861</v>
      </c>
      <c r="B48" s="264" t="s">
        <v>366</v>
      </c>
      <c r="C48" s="262" t="s">
        <v>367</v>
      </c>
      <c r="D48" s="68"/>
      <c r="E48" s="25"/>
      <c r="F48" s="266">
        <v>0.72</v>
      </c>
      <c r="G48" s="3"/>
      <c r="I48" s="33"/>
    </row>
    <row r="49" spans="1:9" ht="15" x14ac:dyDescent="0.2">
      <c r="A49" s="263">
        <v>43861</v>
      </c>
      <c r="B49" s="264" t="s">
        <v>364</v>
      </c>
      <c r="C49" s="262" t="s">
        <v>365</v>
      </c>
      <c r="D49" s="68"/>
      <c r="E49" s="25"/>
      <c r="F49" s="266">
        <v>2.09</v>
      </c>
      <c r="G49" s="3"/>
      <c r="I49" s="33"/>
    </row>
    <row r="50" spans="1:9" ht="19.5" x14ac:dyDescent="0.2">
      <c r="A50" s="263">
        <v>43861</v>
      </c>
      <c r="B50" s="264" t="s">
        <v>362</v>
      </c>
      <c r="C50" s="262" t="s">
        <v>363</v>
      </c>
      <c r="D50" s="68"/>
      <c r="E50" s="25"/>
      <c r="F50" s="266">
        <v>10.09</v>
      </c>
      <c r="G50" s="3"/>
      <c r="I50" s="33"/>
    </row>
    <row r="51" spans="1:9" ht="19.5" x14ac:dyDescent="0.2">
      <c r="A51" s="263">
        <v>43861</v>
      </c>
      <c r="B51" s="264" t="s">
        <v>360</v>
      </c>
      <c r="C51" s="262" t="s">
        <v>361</v>
      </c>
      <c r="D51" s="68"/>
      <c r="E51" s="25"/>
      <c r="F51" s="266">
        <v>5.04</v>
      </c>
      <c r="G51" s="3"/>
      <c r="I51" s="33"/>
    </row>
    <row r="52" spans="1:9" ht="15" x14ac:dyDescent="0.2">
      <c r="A52" s="263">
        <v>43861</v>
      </c>
      <c r="B52" s="264" t="s">
        <v>358</v>
      </c>
      <c r="C52" s="262" t="s">
        <v>359</v>
      </c>
      <c r="D52" s="68"/>
      <c r="E52" s="25"/>
      <c r="F52" s="266">
        <v>2.4500000000000002</v>
      </c>
      <c r="G52" s="3"/>
      <c r="I52" s="33"/>
    </row>
    <row r="53" spans="1:9" ht="15" x14ac:dyDescent="0.2">
      <c r="A53" s="263">
        <v>43861</v>
      </c>
      <c r="B53" s="264" t="s">
        <v>356</v>
      </c>
      <c r="C53" s="262" t="s">
        <v>357</v>
      </c>
      <c r="D53" s="68"/>
      <c r="E53" s="25"/>
      <c r="F53" s="266">
        <v>7.93</v>
      </c>
      <c r="G53" s="3"/>
      <c r="I53" s="33"/>
    </row>
    <row r="54" spans="1:9" ht="15" x14ac:dyDescent="0.2">
      <c r="A54" s="263">
        <v>43861</v>
      </c>
      <c r="B54" s="264" t="s">
        <v>354</v>
      </c>
      <c r="C54" s="262" t="s">
        <v>355</v>
      </c>
      <c r="D54" s="68"/>
      <c r="E54" s="25"/>
      <c r="F54" s="266">
        <v>11.93</v>
      </c>
      <c r="G54" s="3"/>
      <c r="I54" s="33"/>
    </row>
    <row r="55" spans="1:9" ht="15" x14ac:dyDescent="0.2">
      <c r="A55" s="263">
        <v>43861</v>
      </c>
      <c r="B55" s="264" t="s">
        <v>352</v>
      </c>
      <c r="C55" s="262" t="s">
        <v>353</v>
      </c>
      <c r="D55" s="68"/>
      <c r="E55" s="25"/>
      <c r="F55" s="266">
        <v>6.05</v>
      </c>
      <c r="G55" s="3"/>
      <c r="I55" s="33"/>
    </row>
    <row r="56" spans="1:9" ht="15" x14ac:dyDescent="0.2">
      <c r="A56" s="263">
        <v>43861</v>
      </c>
      <c r="B56" s="264" t="s">
        <v>350</v>
      </c>
      <c r="C56" s="262" t="s">
        <v>351</v>
      </c>
      <c r="D56" s="68"/>
      <c r="E56" s="25"/>
      <c r="F56" s="266">
        <v>0.62</v>
      </c>
      <c r="G56" s="3"/>
      <c r="I56" s="33"/>
    </row>
    <row r="57" spans="1:9" ht="15" x14ac:dyDescent="0.2">
      <c r="A57" s="263">
        <v>43861</v>
      </c>
      <c r="B57" s="264" t="s">
        <v>348</v>
      </c>
      <c r="C57" s="262" t="s">
        <v>349</v>
      </c>
      <c r="D57" s="68"/>
      <c r="E57" s="25"/>
      <c r="F57" s="266">
        <v>3.38</v>
      </c>
      <c r="G57" s="3"/>
      <c r="I57" s="33"/>
    </row>
    <row r="58" spans="1:9" ht="15" x14ac:dyDescent="0.2">
      <c r="A58" s="263">
        <v>43861</v>
      </c>
      <c r="B58" s="264" t="s">
        <v>346</v>
      </c>
      <c r="C58" s="262" t="s">
        <v>347</v>
      </c>
      <c r="D58" s="68"/>
      <c r="E58" s="25"/>
      <c r="F58" s="266">
        <v>2.59</v>
      </c>
      <c r="G58" s="3"/>
      <c r="I58" s="33"/>
    </row>
    <row r="59" spans="1:9" ht="19.5" x14ac:dyDescent="0.2">
      <c r="A59" s="263">
        <v>43861</v>
      </c>
      <c r="B59" s="264" t="s">
        <v>344</v>
      </c>
      <c r="C59" s="262" t="s">
        <v>345</v>
      </c>
      <c r="D59" s="68"/>
      <c r="E59" s="25"/>
      <c r="F59" s="266">
        <v>4.16</v>
      </c>
      <c r="G59" s="3"/>
      <c r="I59" s="33"/>
    </row>
    <row r="60" spans="1:9" ht="15" x14ac:dyDescent="0.2">
      <c r="A60" s="263">
        <v>43861</v>
      </c>
      <c r="B60" s="264" t="s">
        <v>342</v>
      </c>
      <c r="C60" s="262" t="s">
        <v>343</v>
      </c>
      <c r="D60" s="68"/>
      <c r="E60" s="25"/>
      <c r="F60" s="266">
        <v>5.46</v>
      </c>
      <c r="G60" s="3"/>
      <c r="I60" s="33"/>
    </row>
    <row r="61" spans="1:9" ht="15" x14ac:dyDescent="0.2">
      <c r="A61" s="263">
        <v>43861</v>
      </c>
      <c r="B61" s="264" t="s">
        <v>340</v>
      </c>
      <c r="C61" s="262" t="s">
        <v>341</v>
      </c>
      <c r="D61" s="68"/>
      <c r="E61" s="25"/>
      <c r="F61" s="266">
        <v>1.78</v>
      </c>
      <c r="G61" s="3"/>
      <c r="I61" s="33"/>
    </row>
    <row r="62" spans="1:9" x14ac:dyDescent="0.2">
      <c r="A62" s="87"/>
      <c r="B62" s="88"/>
      <c r="C62" s="89"/>
      <c r="D62" s="68"/>
      <c r="E62" s="25"/>
      <c r="F62" s="90"/>
      <c r="G62" s="3"/>
      <c r="I62" s="33"/>
    </row>
    <row r="63" spans="1:9" x14ac:dyDescent="0.2">
      <c r="A63" s="37"/>
      <c r="B63" s="91"/>
      <c r="C63" s="39"/>
      <c r="D63" s="16"/>
      <c r="E63" s="16"/>
      <c r="F63" s="92"/>
      <c r="G63" s="3"/>
      <c r="H63" s="13">
        <f>SUM(F29:F63)</f>
        <v>219.21000000000004</v>
      </c>
    </row>
    <row r="64" spans="1:9" x14ac:dyDescent="0.2">
      <c r="A64" s="3"/>
      <c r="B64" s="2"/>
      <c r="C64" s="3"/>
      <c r="D64" s="3"/>
      <c r="E64" s="3"/>
      <c r="F64" s="5"/>
      <c r="G64" s="3"/>
      <c r="H64" s="5"/>
    </row>
    <row r="65" spans="1:12" s="99" customFormat="1" ht="20.25" customHeight="1" thickBot="1" x14ac:dyDescent="0.3">
      <c r="A65" s="93"/>
      <c r="B65" s="94" t="s">
        <v>317</v>
      </c>
      <c r="C65" s="95"/>
      <c r="D65" s="93"/>
      <c r="E65" s="93"/>
      <c r="F65" s="96"/>
      <c r="G65" s="97" t="s">
        <v>4</v>
      </c>
      <c r="H65" s="98">
        <f>+H9-H16-H21+H25+H63</f>
        <v>20600.899999999998</v>
      </c>
    </row>
    <row r="66" spans="1:12" ht="12" thickTop="1" x14ac:dyDescent="0.2">
      <c r="A66" s="3"/>
      <c r="B66" s="2"/>
      <c r="C66" s="3"/>
      <c r="D66" s="3"/>
      <c r="E66" s="3"/>
      <c r="F66" s="5"/>
      <c r="G66" s="3"/>
      <c r="H66" s="5"/>
      <c r="J66" s="13">
        <f>+'BP-ENE-20'!I1233</f>
        <v>20909.009999999998</v>
      </c>
    </row>
    <row r="67" spans="1:12" x14ac:dyDescent="0.2">
      <c r="A67" s="3"/>
      <c r="B67" s="2"/>
      <c r="C67" s="3"/>
      <c r="D67" s="3"/>
      <c r="E67" s="3"/>
      <c r="F67" s="5"/>
      <c r="G67" s="3"/>
      <c r="J67" s="5"/>
    </row>
    <row r="68" spans="1:12" x14ac:dyDescent="0.2">
      <c r="A68" s="3"/>
      <c r="B68" s="2"/>
      <c r="C68" s="3"/>
      <c r="D68" s="3"/>
      <c r="E68" s="3"/>
      <c r="G68" s="3"/>
      <c r="J68" s="5"/>
    </row>
    <row r="69" spans="1:12" ht="23.25" customHeight="1" thickBot="1" x14ac:dyDescent="0.25">
      <c r="A69" s="3"/>
      <c r="C69" s="100"/>
      <c r="D69" s="101"/>
      <c r="E69" s="3"/>
      <c r="F69" s="102"/>
      <c r="G69" s="3"/>
      <c r="H69" s="5"/>
      <c r="J69" s="98">
        <f>+H65-J66</f>
        <v>-308.11000000000058</v>
      </c>
      <c r="L69" s="57"/>
    </row>
    <row r="70" spans="1:12" ht="26.25" customHeight="1" thickTop="1" x14ac:dyDescent="0.2">
      <c r="A70" s="3"/>
      <c r="C70" s="378" t="s">
        <v>314</v>
      </c>
      <c r="D70" s="378"/>
      <c r="E70" s="3"/>
      <c r="F70" s="378" t="s">
        <v>315</v>
      </c>
      <c r="G70" s="378"/>
      <c r="H70" s="5"/>
    </row>
    <row r="71" spans="1:12" ht="23.25" customHeight="1" thickBot="1" x14ac:dyDescent="0.25">
      <c r="J71" s="98">
        <f>+H65-J69</f>
        <v>20909.009999999998</v>
      </c>
    </row>
    <row r="72" spans="1:12" ht="12" thickTop="1" x14ac:dyDescent="0.2">
      <c r="L72" s="57"/>
    </row>
    <row r="74" spans="1:12" x14ac:dyDescent="0.2">
      <c r="L74" s="57"/>
    </row>
    <row r="75" spans="1:12" x14ac:dyDescent="0.2">
      <c r="A75" s="6"/>
      <c r="B75" s="6"/>
      <c r="C75" s="6"/>
      <c r="D75" s="6"/>
      <c r="E75" s="6"/>
      <c r="G75" s="6"/>
      <c r="J75" s="57"/>
    </row>
  </sheetData>
  <mergeCells count="2">
    <mergeCell ref="C70:D70"/>
    <mergeCell ref="F70:G70"/>
  </mergeCells>
  <phoneticPr fontId="15" type="noConversion"/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33A73-09BA-4BE2-97BF-D546D2DC755F}">
  <dimension ref="A2:I965"/>
  <sheetViews>
    <sheetView topLeftCell="A16" workbookViewId="0">
      <pane xSplit="5" ySplit="2" topLeftCell="F941" activePane="bottomRight" state="frozen"/>
      <selection activeCell="A16" sqref="A16"/>
      <selection pane="topRight" activeCell="F16" sqref="F16"/>
      <selection pane="bottomLeft" activeCell="A18" sqref="A18"/>
      <selection pane="bottomRight" activeCell="I962" sqref="I962"/>
    </sheetView>
  </sheetViews>
  <sheetFormatPr baseColWidth="10" defaultColWidth="11.5703125" defaultRowHeight="15.75" x14ac:dyDescent="0.25"/>
  <cols>
    <col min="1" max="1" width="11.5703125" style="103"/>
    <col min="2" max="4" width="11.5703125" style="145"/>
    <col min="5" max="5" width="58.28515625" style="111" customWidth="1"/>
    <col min="6" max="6" width="8" style="257" customWidth="1"/>
    <col min="7" max="7" width="12.42578125" style="152" bestFit="1" customWidth="1"/>
    <col min="8" max="8" width="18.5703125" style="152" bestFit="1" customWidth="1"/>
    <col min="9" max="16384" width="11.5703125" style="103"/>
  </cols>
  <sheetData>
    <row r="2" spans="1:9" ht="19.5" x14ac:dyDescent="0.25">
      <c r="E2" s="282" t="s">
        <v>2771</v>
      </c>
      <c r="H2" s="153" t="s">
        <v>2770</v>
      </c>
      <c r="I2" s="281">
        <v>1</v>
      </c>
    </row>
    <row r="3" spans="1:9" x14ac:dyDescent="0.25">
      <c r="H3" s="153" t="s">
        <v>2769</v>
      </c>
      <c r="I3" s="280">
        <v>44168</v>
      </c>
    </row>
    <row r="5" spans="1:9" x14ac:dyDescent="0.25">
      <c r="A5" s="283" t="s">
        <v>2768</v>
      </c>
      <c r="B5" s="286" t="s">
        <v>16347</v>
      </c>
      <c r="C5" s="286" t="s">
        <v>2767</v>
      </c>
      <c r="D5" s="286" t="s">
        <v>16347</v>
      </c>
      <c r="E5" s="103"/>
      <c r="H5" s="292">
        <v>0.49736111111111109</v>
      </c>
    </row>
    <row r="7" spans="1:9" x14ac:dyDescent="0.25">
      <c r="H7" s="153" t="s">
        <v>2765</v>
      </c>
      <c r="I7" s="260" t="s">
        <v>2764</v>
      </c>
    </row>
    <row r="8" spans="1:9" x14ac:dyDescent="0.2">
      <c r="B8" s="287"/>
      <c r="C8" s="287" t="s">
        <v>2763</v>
      </c>
      <c r="D8" s="286" t="s">
        <v>2762</v>
      </c>
      <c r="G8" s="158" t="s">
        <v>2760</v>
      </c>
      <c r="H8" s="159" t="s">
        <v>2759</v>
      </c>
    </row>
    <row r="9" spans="1:9" x14ac:dyDescent="0.2">
      <c r="G9" s="158" t="s">
        <v>2761</v>
      </c>
      <c r="H9" s="159" t="s">
        <v>2759</v>
      </c>
    </row>
    <row r="11" spans="1:9" x14ac:dyDescent="0.2">
      <c r="A11" s="278" t="s">
        <v>2758</v>
      </c>
      <c r="B11" s="279"/>
      <c r="C11" s="279" t="s">
        <v>2757</v>
      </c>
      <c r="D11" s="279" t="s">
        <v>2756</v>
      </c>
      <c r="E11" s="279" t="s">
        <v>2755</v>
      </c>
      <c r="G11" s="153" t="s">
        <v>322</v>
      </c>
      <c r="H11" s="153" t="s">
        <v>321</v>
      </c>
      <c r="I11" s="275" t="s">
        <v>2754</v>
      </c>
    </row>
    <row r="12" spans="1:9" x14ac:dyDescent="0.25">
      <c r="B12" s="293"/>
    </row>
    <row r="13" spans="1:9" x14ac:dyDescent="0.25">
      <c r="B13" s="293"/>
    </row>
    <row r="14" spans="1:9" x14ac:dyDescent="0.25">
      <c r="A14" s="278" t="s">
        <v>2753</v>
      </c>
      <c r="B14" s="293" t="s">
        <v>2752</v>
      </c>
    </row>
    <row r="15" spans="1:9" x14ac:dyDescent="0.25">
      <c r="B15" s="277"/>
    </row>
    <row r="16" spans="1:9" x14ac:dyDescent="0.25">
      <c r="A16" s="277" t="s">
        <v>2751</v>
      </c>
      <c r="B16" s="277" t="s">
        <v>2750</v>
      </c>
      <c r="H16" s="153" t="s">
        <v>323</v>
      </c>
      <c r="I16" s="276">
        <v>20909.009999999998</v>
      </c>
    </row>
    <row r="18" spans="2:9" x14ac:dyDescent="0.25">
      <c r="B18" s="260"/>
      <c r="C18" s="261" t="s">
        <v>16346</v>
      </c>
      <c r="D18" s="288">
        <v>43862</v>
      </c>
      <c r="E18" s="269" t="s">
        <v>16345</v>
      </c>
      <c r="F18" s="257" t="s">
        <v>14408</v>
      </c>
      <c r="G18" s="258">
        <v>2.2999999999999998</v>
      </c>
      <c r="I18" s="276">
        <f>+I16+G18-H18</f>
        <v>20911.309999999998</v>
      </c>
    </row>
    <row r="19" spans="2:9" x14ac:dyDescent="0.25">
      <c r="B19" s="260"/>
      <c r="C19" s="261" t="s">
        <v>16344</v>
      </c>
      <c r="D19" s="288">
        <v>43862</v>
      </c>
      <c r="E19" s="269" t="s">
        <v>16343</v>
      </c>
      <c r="F19" s="257" t="s">
        <v>14408</v>
      </c>
      <c r="G19" s="258">
        <v>12.32</v>
      </c>
      <c r="I19" s="276">
        <f>+I18+G19-H19</f>
        <v>20923.629999999997</v>
      </c>
    </row>
    <row r="20" spans="2:9" x14ac:dyDescent="0.25">
      <c r="B20" s="260"/>
      <c r="C20" s="261" t="s">
        <v>16342</v>
      </c>
      <c r="D20" s="288">
        <v>43862</v>
      </c>
      <c r="E20" s="269" t="s">
        <v>16341</v>
      </c>
      <c r="F20" s="257" t="s">
        <v>14408</v>
      </c>
      <c r="G20" s="258">
        <v>21.65</v>
      </c>
      <c r="I20" s="276">
        <f t="shared" ref="I20:I83" si="0">+I19+G20-H20</f>
        <v>20945.28</v>
      </c>
    </row>
    <row r="21" spans="2:9" x14ac:dyDescent="0.25">
      <c r="B21" s="260"/>
      <c r="C21" s="261" t="s">
        <v>16340</v>
      </c>
      <c r="D21" s="288">
        <v>43862</v>
      </c>
      <c r="E21" s="269" t="s">
        <v>16339</v>
      </c>
      <c r="F21" s="257" t="s">
        <v>14408</v>
      </c>
      <c r="G21" s="258">
        <v>3.37</v>
      </c>
      <c r="I21" s="276">
        <f t="shared" si="0"/>
        <v>20948.649999999998</v>
      </c>
    </row>
    <row r="22" spans="2:9" x14ac:dyDescent="0.25">
      <c r="B22" s="260"/>
      <c r="C22" s="261" t="s">
        <v>16338</v>
      </c>
      <c r="D22" s="288">
        <v>43862</v>
      </c>
      <c r="E22" s="269" t="s">
        <v>16337</v>
      </c>
      <c r="F22" s="257" t="s">
        <v>14408</v>
      </c>
      <c r="G22" s="258">
        <v>3.55</v>
      </c>
      <c r="I22" s="276">
        <f t="shared" si="0"/>
        <v>20952.199999999997</v>
      </c>
    </row>
    <row r="23" spans="2:9" x14ac:dyDescent="0.25">
      <c r="B23" s="260"/>
      <c r="C23" s="261" t="s">
        <v>16336</v>
      </c>
      <c r="D23" s="288">
        <v>43862</v>
      </c>
      <c r="E23" s="269" t="s">
        <v>16335</v>
      </c>
      <c r="F23" s="257" t="s">
        <v>14408</v>
      </c>
      <c r="G23" s="258">
        <v>1.68</v>
      </c>
      <c r="I23" s="276">
        <f t="shared" si="0"/>
        <v>20953.879999999997</v>
      </c>
    </row>
    <row r="24" spans="2:9" x14ac:dyDescent="0.25">
      <c r="B24" s="260"/>
      <c r="C24" s="261" t="s">
        <v>16334</v>
      </c>
      <c r="D24" s="288">
        <v>43862</v>
      </c>
      <c r="E24" s="269" t="s">
        <v>16333</v>
      </c>
      <c r="F24" s="257" t="s">
        <v>14408</v>
      </c>
      <c r="G24" s="258">
        <v>15.92</v>
      </c>
      <c r="I24" s="276">
        <f t="shared" si="0"/>
        <v>20969.799999999996</v>
      </c>
    </row>
    <row r="25" spans="2:9" x14ac:dyDescent="0.25">
      <c r="B25" s="260"/>
      <c r="C25" s="261" t="s">
        <v>16332</v>
      </c>
      <c r="D25" s="288">
        <v>43862</v>
      </c>
      <c r="E25" s="269" t="s">
        <v>16331</v>
      </c>
      <c r="F25" s="257" t="s">
        <v>14408</v>
      </c>
      <c r="G25" s="258">
        <v>1.93</v>
      </c>
      <c r="I25" s="276">
        <f t="shared" si="0"/>
        <v>20971.729999999996</v>
      </c>
    </row>
    <row r="26" spans="2:9" x14ac:dyDescent="0.25">
      <c r="B26" s="260"/>
      <c r="C26" s="261" t="s">
        <v>16330</v>
      </c>
      <c r="D26" s="288">
        <v>43862</v>
      </c>
      <c r="E26" s="269" t="s">
        <v>16329</v>
      </c>
      <c r="F26" s="257" t="s">
        <v>14408</v>
      </c>
      <c r="G26" s="258">
        <v>9.91</v>
      </c>
      <c r="I26" s="276">
        <f t="shared" si="0"/>
        <v>20981.639999999996</v>
      </c>
    </row>
    <row r="27" spans="2:9" x14ac:dyDescent="0.25">
      <c r="B27" s="260"/>
      <c r="C27" s="261" t="s">
        <v>16328</v>
      </c>
      <c r="D27" s="288">
        <v>43862</v>
      </c>
      <c r="E27" s="269" t="s">
        <v>16327</v>
      </c>
      <c r="F27" s="257" t="s">
        <v>14408</v>
      </c>
      <c r="G27" s="258">
        <v>8.3800000000000008</v>
      </c>
      <c r="I27" s="276">
        <f t="shared" si="0"/>
        <v>20990.019999999997</v>
      </c>
    </row>
    <row r="28" spans="2:9" x14ac:dyDescent="0.25">
      <c r="B28" s="260"/>
      <c r="C28" s="261" t="s">
        <v>16326</v>
      </c>
      <c r="D28" s="288">
        <v>43862</v>
      </c>
      <c r="E28" s="269" t="s">
        <v>16325</v>
      </c>
      <c r="F28" s="257" t="s">
        <v>14408</v>
      </c>
      <c r="G28" s="258">
        <v>5.3</v>
      </c>
      <c r="I28" s="276">
        <f t="shared" si="0"/>
        <v>20995.319999999996</v>
      </c>
    </row>
    <row r="29" spans="2:9" ht="19.5" x14ac:dyDescent="0.25">
      <c r="B29" s="260"/>
      <c r="C29" s="261" t="s">
        <v>16324</v>
      </c>
      <c r="D29" s="288">
        <v>43862</v>
      </c>
      <c r="E29" s="269" t="s">
        <v>16323</v>
      </c>
      <c r="F29" s="257" t="s">
        <v>14408</v>
      </c>
      <c r="G29" s="258">
        <v>6.75</v>
      </c>
      <c r="I29" s="276">
        <f t="shared" si="0"/>
        <v>21002.069999999996</v>
      </c>
    </row>
    <row r="30" spans="2:9" x14ac:dyDescent="0.25">
      <c r="B30" s="260"/>
      <c r="C30" s="261" t="s">
        <v>16322</v>
      </c>
      <c r="D30" s="288">
        <v>43862</v>
      </c>
      <c r="E30" s="269" t="s">
        <v>16321</v>
      </c>
      <c r="F30" s="257" t="s">
        <v>14408</v>
      </c>
      <c r="G30" s="258">
        <v>4.83</v>
      </c>
      <c r="I30" s="276">
        <f t="shared" si="0"/>
        <v>21006.899999999998</v>
      </c>
    </row>
    <row r="31" spans="2:9" x14ac:dyDescent="0.25">
      <c r="B31" s="260"/>
      <c r="C31" s="261" t="s">
        <v>16320</v>
      </c>
      <c r="D31" s="288">
        <v>43862</v>
      </c>
      <c r="E31" s="269" t="s">
        <v>16319</v>
      </c>
      <c r="F31" s="257" t="s">
        <v>14408</v>
      </c>
      <c r="G31" s="258">
        <v>4.1100000000000003</v>
      </c>
      <c r="I31" s="276">
        <f t="shared" si="0"/>
        <v>21011.01</v>
      </c>
    </row>
    <row r="32" spans="2:9" x14ac:dyDescent="0.25">
      <c r="B32" s="260"/>
      <c r="C32" s="261" t="s">
        <v>16318</v>
      </c>
      <c r="D32" s="288">
        <v>43862</v>
      </c>
      <c r="E32" s="269" t="s">
        <v>16317</v>
      </c>
      <c r="F32" s="257" t="s">
        <v>14408</v>
      </c>
      <c r="G32" s="258">
        <v>3.01</v>
      </c>
      <c r="I32" s="276">
        <f t="shared" si="0"/>
        <v>21014.019999999997</v>
      </c>
    </row>
    <row r="33" spans="2:9" x14ac:dyDescent="0.25">
      <c r="B33" s="260"/>
      <c r="C33" s="261" t="s">
        <v>16316</v>
      </c>
      <c r="D33" s="288">
        <v>43863</v>
      </c>
      <c r="E33" s="269" t="s">
        <v>16315</v>
      </c>
      <c r="F33" s="257" t="s">
        <v>14408</v>
      </c>
      <c r="G33" s="258">
        <v>1.1599999999999999</v>
      </c>
      <c r="I33" s="276">
        <f t="shared" si="0"/>
        <v>21015.179999999997</v>
      </c>
    </row>
    <row r="34" spans="2:9" x14ac:dyDescent="0.25">
      <c r="B34" s="260"/>
      <c r="C34" s="261" t="s">
        <v>16314</v>
      </c>
      <c r="D34" s="288">
        <v>43863</v>
      </c>
      <c r="E34" s="269" t="s">
        <v>16313</v>
      </c>
      <c r="F34" s="257" t="s">
        <v>14408</v>
      </c>
      <c r="G34" s="258">
        <v>3.36</v>
      </c>
      <c r="I34" s="276">
        <f t="shared" si="0"/>
        <v>21018.539999999997</v>
      </c>
    </row>
    <row r="35" spans="2:9" x14ac:dyDescent="0.25">
      <c r="B35" s="260"/>
      <c r="C35" s="261" t="s">
        <v>16312</v>
      </c>
      <c r="D35" s="288">
        <v>43863</v>
      </c>
      <c r="E35" s="269" t="s">
        <v>16311</v>
      </c>
      <c r="F35" s="257" t="s">
        <v>14408</v>
      </c>
      <c r="G35" s="258">
        <v>5.74</v>
      </c>
      <c r="I35" s="276">
        <f t="shared" si="0"/>
        <v>21024.28</v>
      </c>
    </row>
    <row r="36" spans="2:9" x14ac:dyDescent="0.25">
      <c r="B36" s="260"/>
      <c r="C36" s="261" t="s">
        <v>16310</v>
      </c>
      <c r="D36" s="288">
        <v>43863</v>
      </c>
      <c r="E36" s="269" t="s">
        <v>16309</v>
      </c>
      <c r="F36" s="257" t="s">
        <v>14408</v>
      </c>
      <c r="G36" s="258">
        <v>2.48</v>
      </c>
      <c r="I36" s="276">
        <f t="shared" si="0"/>
        <v>21026.76</v>
      </c>
    </row>
    <row r="37" spans="2:9" x14ac:dyDescent="0.25">
      <c r="B37" s="260"/>
      <c r="C37" s="261" t="s">
        <v>16308</v>
      </c>
      <c r="D37" s="288">
        <v>43863</v>
      </c>
      <c r="E37" s="269" t="s">
        <v>16307</v>
      </c>
      <c r="F37" s="257" t="s">
        <v>14408</v>
      </c>
      <c r="G37" s="258">
        <v>3.39</v>
      </c>
      <c r="I37" s="276">
        <f t="shared" si="0"/>
        <v>21030.149999999998</v>
      </c>
    </row>
    <row r="38" spans="2:9" x14ac:dyDescent="0.25">
      <c r="B38" s="260"/>
      <c r="C38" s="261" t="s">
        <v>16306</v>
      </c>
      <c r="D38" s="288">
        <v>43863</v>
      </c>
      <c r="E38" s="269" t="s">
        <v>16305</v>
      </c>
      <c r="F38" s="257" t="s">
        <v>14408</v>
      </c>
      <c r="G38" s="258">
        <v>3.19</v>
      </c>
      <c r="I38" s="276">
        <f t="shared" si="0"/>
        <v>21033.339999999997</v>
      </c>
    </row>
    <row r="39" spans="2:9" x14ac:dyDescent="0.25">
      <c r="B39" s="260"/>
      <c r="C39" s="261" t="s">
        <v>16304</v>
      </c>
      <c r="D39" s="288">
        <v>43863</v>
      </c>
      <c r="E39" s="269" t="s">
        <v>16303</v>
      </c>
      <c r="F39" s="257" t="s">
        <v>14408</v>
      </c>
      <c r="G39" s="258">
        <v>2.0699999999999998</v>
      </c>
      <c r="I39" s="276">
        <f t="shared" si="0"/>
        <v>21035.409999999996</v>
      </c>
    </row>
    <row r="40" spans="2:9" x14ac:dyDescent="0.25">
      <c r="B40" s="260"/>
      <c r="C40" s="261" t="s">
        <v>16302</v>
      </c>
      <c r="D40" s="288">
        <v>43863</v>
      </c>
      <c r="E40" s="269" t="s">
        <v>16301</v>
      </c>
      <c r="F40" s="257" t="s">
        <v>14408</v>
      </c>
      <c r="G40" s="258">
        <v>2.99</v>
      </c>
      <c r="I40" s="276">
        <f t="shared" si="0"/>
        <v>21038.399999999998</v>
      </c>
    </row>
    <row r="41" spans="2:9" x14ac:dyDescent="0.25">
      <c r="B41" s="260"/>
      <c r="C41" s="261" t="s">
        <v>16300</v>
      </c>
      <c r="D41" s="288">
        <v>43864</v>
      </c>
      <c r="E41" s="269" t="s">
        <v>16299</v>
      </c>
      <c r="F41" s="257" t="s">
        <v>14439</v>
      </c>
      <c r="G41" s="160">
        <v>5.54</v>
      </c>
      <c r="I41" s="276">
        <f t="shared" si="0"/>
        <v>21043.94</v>
      </c>
    </row>
    <row r="42" spans="2:9" x14ac:dyDescent="0.25">
      <c r="B42" s="260"/>
      <c r="C42" s="261" t="s">
        <v>16298</v>
      </c>
      <c r="D42" s="288">
        <v>43864</v>
      </c>
      <c r="E42" s="269" t="s">
        <v>16297</v>
      </c>
      <c r="F42" s="257" t="s">
        <v>14439</v>
      </c>
      <c r="G42" s="160">
        <v>8.3800000000000008</v>
      </c>
      <c r="I42" s="276">
        <f t="shared" si="0"/>
        <v>21052.32</v>
      </c>
    </row>
    <row r="43" spans="2:9" ht="19.5" x14ac:dyDescent="0.25">
      <c r="B43" s="260"/>
      <c r="C43" s="261" t="s">
        <v>16296</v>
      </c>
      <c r="D43" s="288">
        <v>43864</v>
      </c>
      <c r="E43" s="269" t="s">
        <v>16295</v>
      </c>
      <c r="F43" s="257" t="s">
        <v>14436</v>
      </c>
      <c r="G43" s="160">
        <v>15.3</v>
      </c>
      <c r="I43" s="276">
        <f t="shared" si="0"/>
        <v>21067.62</v>
      </c>
    </row>
    <row r="44" spans="2:9" ht="19.5" x14ac:dyDescent="0.25">
      <c r="B44" s="260"/>
      <c r="C44" s="261" t="s">
        <v>16294</v>
      </c>
      <c r="D44" s="288">
        <v>43864</v>
      </c>
      <c r="E44" s="269" t="s">
        <v>16293</v>
      </c>
      <c r="F44" s="257" t="s">
        <v>14436</v>
      </c>
      <c r="G44" s="160">
        <v>19.600000000000001</v>
      </c>
      <c r="I44" s="276">
        <f t="shared" si="0"/>
        <v>21087.219999999998</v>
      </c>
    </row>
    <row r="45" spans="2:9" x14ac:dyDescent="0.25">
      <c r="B45" s="260"/>
      <c r="C45" s="261" t="s">
        <v>16292</v>
      </c>
      <c r="D45" s="288">
        <v>43864</v>
      </c>
      <c r="E45" s="269" t="s">
        <v>16291</v>
      </c>
      <c r="F45" s="257" t="s">
        <v>14439</v>
      </c>
      <c r="G45" s="160">
        <v>0.48</v>
      </c>
      <c r="I45" s="276">
        <f t="shared" si="0"/>
        <v>21087.699999999997</v>
      </c>
    </row>
    <row r="46" spans="2:9" ht="19.5" x14ac:dyDescent="0.25">
      <c r="B46" s="260"/>
      <c r="C46" s="261" t="s">
        <v>16290</v>
      </c>
      <c r="D46" s="288">
        <v>43864</v>
      </c>
      <c r="E46" s="269" t="s">
        <v>16289</v>
      </c>
      <c r="F46" s="257" t="s">
        <v>14439</v>
      </c>
      <c r="G46" s="160">
        <v>5.08</v>
      </c>
      <c r="I46" s="276">
        <f t="shared" si="0"/>
        <v>21092.78</v>
      </c>
    </row>
    <row r="47" spans="2:9" x14ac:dyDescent="0.25">
      <c r="B47" s="260"/>
      <c r="C47" s="261" t="s">
        <v>16288</v>
      </c>
      <c r="D47" s="288">
        <v>43864</v>
      </c>
      <c r="E47" s="269" t="s">
        <v>16287</v>
      </c>
      <c r="F47" s="257" t="s">
        <v>14408</v>
      </c>
      <c r="G47" s="258">
        <v>40.299999999999997</v>
      </c>
      <c r="I47" s="276">
        <f t="shared" si="0"/>
        <v>21133.079999999998</v>
      </c>
    </row>
    <row r="48" spans="2:9" x14ac:dyDescent="0.25">
      <c r="B48" s="260"/>
      <c r="C48" s="261" t="s">
        <v>16286</v>
      </c>
      <c r="D48" s="288">
        <v>43864</v>
      </c>
      <c r="E48" s="269" t="s">
        <v>16285</v>
      </c>
      <c r="F48" s="257" t="s">
        <v>14408</v>
      </c>
      <c r="G48" s="258">
        <v>8.94</v>
      </c>
      <c r="I48" s="276">
        <f t="shared" si="0"/>
        <v>21142.019999999997</v>
      </c>
    </row>
    <row r="49" spans="2:9" x14ac:dyDescent="0.25">
      <c r="B49" s="260"/>
      <c r="C49" s="261" t="s">
        <v>16284</v>
      </c>
      <c r="D49" s="288">
        <v>43864</v>
      </c>
      <c r="E49" s="269" t="s">
        <v>16283</v>
      </c>
      <c r="F49" s="257" t="s">
        <v>14408</v>
      </c>
      <c r="G49" s="258">
        <v>16.23</v>
      </c>
      <c r="I49" s="276">
        <f t="shared" si="0"/>
        <v>21158.249999999996</v>
      </c>
    </row>
    <row r="50" spans="2:9" x14ac:dyDescent="0.25">
      <c r="B50" s="260"/>
      <c r="C50" s="261" t="s">
        <v>16282</v>
      </c>
      <c r="D50" s="288">
        <v>43864</v>
      </c>
      <c r="E50" s="269" t="s">
        <v>16281</v>
      </c>
      <c r="F50" s="257" t="s">
        <v>14408</v>
      </c>
      <c r="G50" s="258">
        <v>2.58</v>
      </c>
      <c r="I50" s="276">
        <f t="shared" si="0"/>
        <v>21160.829999999998</v>
      </c>
    </row>
    <row r="51" spans="2:9" x14ac:dyDescent="0.25">
      <c r="B51" s="260"/>
      <c r="C51" s="261" t="s">
        <v>16280</v>
      </c>
      <c r="D51" s="288">
        <v>43864</v>
      </c>
      <c r="E51" s="269" t="s">
        <v>16279</v>
      </c>
      <c r="F51" s="257" t="s">
        <v>14408</v>
      </c>
      <c r="G51" s="258">
        <v>9.41</v>
      </c>
      <c r="I51" s="276">
        <f t="shared" si="0"/>
        <v>21170.239999999998</v>
      </c>
    </row>
    <row r="52" spans="2:9" x14ac:dyDescent="0.25">
      <c r="B52" s="260"/>
      <c r="C52" s="261" t="s">
        <v>16278</v>
      </c>
      <c r="D52" s="288">
        <v>43864</v>
      </c>
      <c r="E52" s="269" t="s">
        <v>16277</v>
      </c>
      <c r="F52" s="257" t="s">
        <v>14408</v>
      </c>
      <c r="G52" s="258">
        <v>5.33</v>
      </c>
      <c r="I52" s="276">
        <f t="shared" si="0"/>
        <v>21175.57</v>
      </c>
    </row>
    <row r="53" spans="2:9" x14ac:dyDescent="0.25">
      <c r="B53" s="260"/>
      <c r="C53" s="261" t="s">
        <v>16276</v>
      </c>
      <c r="D53" s="288">
        <v>43864</v>
      </c>
      <c r="E53" s="269" t="s">
        <v>16275</v>
      </c>
      <c r="F53" s="257" t="s">
        <v>14408</v>
      </c>
      <c r="G53" s="258">
        <v>1.68</v>
      </c>
      <c r="I53" s="276">
        <f t="shared" si="0"/>
        <v>21177.25</v>
      </c>
    </row>
    <row r="54" spans="2:9" x14ac:dyDescent="0.25">
      <c r="B54" s="260"/>
      <c r="C54" s="261" t="s">
        <v>16274</v>
      </c>
      <c r="D54" s="288">
        <v>43864</v>
      </c>
      <c r="E54" s="269" t="s">
        <v>16273</v>
      </c>
      <c r="F54" s="257" t="s">
        <v>14408</v>
      </c>
      <c r="G54" s="258">
        <v>5.15</v>
      </c>
      <c r="I54" s="276">
        <f t="shared" si="0"/>
        <v>21182.400000000001</v>
      </c>
    </row>
    <row r="55" spans="2:9" x14ac:dyDescent="0.25">
      <c r="B55" s="260"/>
      <c r="C55" s="261" t="s">
        <v>16272</v>
      </c>
      <c r="D55" s="288">
        <v>43864</v>
      </c>
      <c r="E55" s="269" t="s">
        <v>16271</v>
      </c>
      <c r="F55" s="257" t="s">
        <v>14408</v>
      </c>
      <c r="G55" s="258">
        <v>30.31</v>
      </c>
      <c r="I55" s="276">
        <f t="shared" si="0"/>
        <v>21212.710000000003</v>
      </c>
    </row>
    <row r="56" spans="2:9" x14ac:dyDescent="0.25">
      <c r="B56" s="260"/>
      <c r="C56" s="261" t="s">
        <v>16270</v>
      </c>
      <c r="D56" s="288">
        <v>43864</v>
      </c>
      <c r="E56" s="269" t="s">
        <v>16269</v>
      </c>
      <c r="F56" s="257" t="s">
        <v>14408</v>
      </c>
      <c r="G56" s="258">
        <v>2.27</v>
      </c>
      <c r="I56" s="276">
        <f t="shared" si="0"/>
        <v>21214.980000000003</v>
      </c>
    </row>
    <row r="57" spans="2:9" x14ac:dyDescent="0.25">
      <c r="B57" s="260"/>
      <c r="C57" s="261" t="s">
        <v>16268</v>
      </c>
      <c r="D57" s="288">
        <v>43864</v>
      </c>
      <c r="E57" s="269" t="s">
        <v>16267</v>
      </c>
      <c r="F57" s="257" t="s">
        <v>14408</v>
      </c>
      <c r="G57" s="258">
        <v>2.2599999999999998</v>
      </c>
      <c r="I57" s="276">
        <f t="shared" si="0"/>
        <v>21217.24</v>
      </c>
    </row>
    <row r="58" spans="2:9" x14ac:dyDescent="0.25">
      <c r="B58" s="260"/>
      <c r="C58" s="261" t="s">
        <v>16266</v>
      </c>
      <c r="D58" s="288">
        <v>43864</v>
      </c>
      <c r="E58" s="269" t="s">
        <v>16265</v>
      </c>
      <c r="F58" s="257" t="s">
        <v>14408</v>
      </c>
      <c r="G58" s="258">
        <v>6.66</v>
      </c>
      <c r="I58" s="276">
        <f t="shared" si="0"/>
        <v>21223.9</v>
      </c>
    </row>
    <row r="59" spans="2:9" x14ac:dyDescent="0.25">
      <c r="B59" s="260"/>
      <c r="C59" s="261" t="s">
        <v>16264</v>
      </c>
      <c r="D59" s="288">
        <v>43864</v>
      </c>
      <c r="E59" s="269" t="s">
        <v>16263</v>
      </c>
      <c r="F59" s="257" t="s">
        <v>14408</v>
      </c>
      <c r="G59" s="258">
        <v>5.01</v>
      </c>
      <c r="I59" s="276">
        <f t="shared" si="0"/>
        <v>21228.91</v>
      </c>
    </row>
    <row r="60" spans="2:9" x14ac:dyDescent="0.25">
      <c r="B60" s="260"/>
      <c r="C60" s="261" t="s">
        <v>16262</v>
      </c>
      <c r="D60" s="288">
        <v>43864</v>
      </c>
      <c r="E60" s="269" t="s">
        <v>16261</v>
      </c>
      <c r="F60" s="257" t="s">
        <v>14408</v>
      </c>
      <c r="G60" s="258">
        <v>3.36</v>
      </c>
      <c r="I60" s="276">
        <f t="shared" si="0"/>
        <v>21232.27</v>
      </c>
    </row>
    <row r="61" spans="2:9" x14ac:dyDescent="0.25">
      <c r="B61" s="260"/>
      <c r="C61" s="261" t="s">
        <v>16260</v>
      </c>
      <c r="D61" s="288">
        <v>43864</v>
      </c>
      <c r="E61" s="269" t="s">
        <v>16259</v>
      </c>
      <c r="F61" s="257" t="s">
        <v>14408</v>
      </c>
      <c r="G61" s="258">
        <v>12.2</v>
      </c>
      <c r="I61" s="276">
        <f t="shared" si="0"/>
        <v>21244.47</v>
      </c>
    </row>
    <row r="62" spans="2:9" x14ac:dyDescent="0.25">
      <c r="B62" s="260"/>
      <c r="C62" s="261" t="s">
        <v>16258</v>
      </c>
      <c r="D62" s="288">
        <v>43864</v>
      </c>
      <c r="E62" s="269" t="s">
        <v>16257</v>
      </c>
      <c r="F62" s="257" t="s">
        <v>14408</v>
      </c>
      <c r="G62" s="258">
        <v>15.6</v>
      </c>
      <c r="I62" s="276">
        <f t="shared" si="0"/>
        <v>21260.07</v>
      </c>
    </row>
    <row r="63" spans="2:9" x14ac:dyDescent="0.25">
      <c r="B63" s="260"/>
      <c r="C63" s="261" t="s">
        <v>16256</v>
      </c>
      <c r="D63" s="288">
        <v>43864</v>
      </c>
      <c r="E63" s="269" t="s">
        <v>16255</v>
      </c>
      <c r="F63" s="257" t="s">
        <v>14408</v>
      </c>
      <c r="G63" s="258">
        <v>7.58</v>
      </c>
      <c r="I63" s="276">
        <f t="shared" si="0"/>
        <v>21267.65</v>
      </c>
    </row>
    <row r="64" spans="2:9" x14ac:dyDescent="0.25">
      <c r="B64" s="260"/>
      <c r="C64" s="261" t="s">
        <v>16254</v>
      </c>
      <c r="D64" s="288">
        <v>43864</v>
      </c>
      <c r="E64" s="269" t="s">
        <v>16253</v>
      </c>
      <c r="F64" s="257" t="s">
        <v>14408</v>
      </c>
      <c r="G64" s="258">
        <v>6.15</v>
      </c>
      <c r="I64" s="276">
        <f t="shared" si="0"/>
        <v>21273.800000000003</v>
      </c>
    </row>
    <row r="65" spans="2:9" x14ac:dyDescent="0.25">
      <c r="B65" s="260"/>
      <c r="C65" s="261" t="s">
        <v>16252</v>
      </c>
      <c r="D65" s="288">
        <v>43864</v>
      </c>
      <c r="E65" s="269" t="s">
        <v>16251</v>
      </c>
      <c r="F65" s="257" t="s">
        <v>14408</v>
      </c>
      <c r="G65" s="258">
        <v>2.04</v>
      </c>
      <c r="I65" s="276">
        <f t="shared" si="0"/>
        <v>21275.840000000004</v>
      </c>
    </row>
    <row r="66" spans="2:9" x14ac:dyDescent="0.25">
      <c r="B66" s="260"/>
      <c r="C66" s="261" t="s">
        <v>16250</v>
      </c>
      <c r="D66" s="288">
        <v>43864</v>
      </c>
      <c r="E66" s="269" t="s">
        <v>16249</v>
      </c>
      <c r="F66" s="257" t="s">
        <v>14408</v>
      </c>
      <c r="G66" s="258">
        <v>6.13</v>
      </c>
      <c r="I66" s="276">
        <f t="shared" si="0"/>
        <v>21281.970000000005</v>
      </c>
    </row>
    <row r="67" spans="2:9" x14ac:dyDescent="0.25">
      <c r="B67" s="260"/>
      <c r="C67" s="261" t="s">
        <v>16248</v>
      </c>
      <c r="D67" s="288">
        <v>43864</v>
      </c>
      <c r="E67" s="269" t="s">
        <v>16247</v>
      </c>
      <c r="F67" s="257" t="s">
        <v>14408</v>
      </c>
      <c r="G67" s="258">
        <v>11.6</v>
      </c>
      <c r="I67" s="276">
        <f t="shared" si="0"/>
        <v>21293.570000000003</v>
      </c>
    </row>
    <row r="68" spans="2:9" x14ac:dyDescent="0.25">
      <c r="B68" s="260"/>
      <c r="C68" s="261" t="s">
        <v>16246</v>
      </c>
      <c r="D68" s="288">
        <v>43864</v>
      </c>
      <c r="E68" s="269" t="s">
        <v>16245</v>
      </c>
      <c r="F68" s="257" t="s">
        <v>14408</v>
      </c>
      <c r="G68" s="258">
        <v>5.04</v>
      </c>
      <c r="I68" s="276">
        <f t="shared" si="0"/>
        <v>21298.610000000004</v>
      </c>
    </row>
    <row r="69" spans="2:9" x14ac:dyDescent="0.25">
      <c r="B69" s="260"/>
      <c r="C69" s="261" t="s">
        <v>16244</v>
      </c>
      <c r="D69" s="288">
        <v>43864</v>
      </c>
      <c r="E69" s="269" t="s">
        <v>16243</v>
      </c>
      <c r="F69" s="257" t="s">
        <v>14408</v>
      </c>
      <c r="G69" s="258">
        <v>10.6</v>
      </c>
      <c r="I69" s="276">
        <f t="shared" si="0"/>
        <v>21309.210000000003</v>
      </c>
    </row>
    <row r="70" spans="2:9" x14ac:dyDescent="0.25">
      <c r="B70" s="260"/>
      <c r="C70" s="261" t="s">
        <v>16242</v>
      </c>
      <c r="D70" s="288">
        <v>43864</v>
      </c>
      <c r="E70" s="269" t="s">
        <v>16241</v>
      </c>
      <c r="F70" s="257" t="s">
        <v>14408</v>
      </c>
      <c r="G70" s="258">
        <v>10.99</v>
      </c>
      <c r="I70" s="276">
        <f t="shared" si="0"/>
        <v>21320.200000000004</v>
      </c>
    </row>
    <row r="71" spans="2:9" x14ac:dyDescent="0.25">
      <c r="B71" s="260"/>
      <c r="C71" s="261" t="s">
        <v>16240</v>
      </c>
      <c r="D71" s="288">
        <v>43864</v>
      </c>
      <c r="E71" s="269" t="s">
        <v>16239</v>
      </c>
      <c r="F71" s="257" t="s">
        <v>14408</v>
      </c>
      <c r="G71" s="258">
        <v>5.19</v>
      </c>
      <c r="I71" s="276">
        <f t="shared" si="0"/>
        <v>21325.390000000003</v>
      </c>
    </row>
    <row r="72" spans="2:9" x14ac:dyDescent="0.25">
      <c r="B72" s="260"/>
      <c r="C72" s="261" t="s">
        <v>16238</v>
      </c>
      <c r="D72" s="288">
        <v>43864</v>
      </c>
      <c r="E72" s="269" t="s">
        <v>16237</v>
      </c>
      <c r="F72" s="257" t="s">
        <v>14408</v>
      </c>
      <c r="G72" s="258">
        <v>2.13</v>
      </c>
      <c r="I72" s="276">
        <f t="shared" si="0"/>
        <v>21327.520000000004</v>
      </c>
    </row>
    <row r="73" spans="2:9" x14ac:dyDescent="0.25">
      <c r="B73" s="260"/>
      <c r="C73" s="261" t="s">
        <v>16236</v>
      </c>
      <c r="D73" s="288">
        <v>43864</v>
      </c>
      <c r="E73" s="269" t="s">
        <v>16235</v>
      </c>
      <c r="F73" s="257" t="s">
        <v>14408</v>
      </c>
      <c r="G73" s="258">
        <v>6.71</v>
      </c>
      <c r="I73" s="276">
        <f t="shared" si="0"/>
        <v>21334.230000000003</v>
      </c>
    </row>
    <row r="74" spans="2:9" ht="19.5" x14ac:dyDescent="0.25">
      <c r="B74" s="260"/>
      <c r="C74" s="261" t="s">
        <v>16234</v>
      </c>
      <c r="D74" s="288">
        <v>43864</v>
      </c>
      <c r="E74" s="269" t="s">
        <v>16233</v>
      </c>
      <c r="F74" s="257" t="s">
        <v>14408</v>
      </c>
      <c r="G74" s="258">
        <v>50.18</v>
      </c>
      <c r="I74" s="276">
        <f t="shared" si="0"/>
        <v>21384.410000000003</v>
      </c>
    </row>
    <row r="75" spans="2:9" x14ac:dyDescent="0.25">
      <c r="B75" s="260"/>
      <c r="C75" s="261" t="s">
        <v>16232</v>
      </c>
      <c r="D75" s="288">
        <v>43864</v>
      </c>
      <c r="E75" s="269" t="s">
        <v>16231</v>
      </c>
      <c r="F75" s="257" t="s">
        <v>14408</v>
      </c>
      <c r="G75" s="258">
        <v>3.48</v>
      </c>
      <c r="I75" s="276">
        <f t="shared" si="0"/>
        <v>21387.890000000003</v>
      </c>
    </row>
    <row r="76" spans="2:9" x14ac:dyDescent="0.25">
      <c r="B76" s="260"/>
      <c r="C76" s="261" t="s">
        <v>16230</v>
      </c>
      <c r="D76" s="288">
        <v>43864</v>
      </c>
      <c r="E76" s="269" t="s">
        <v>16229</v>
      </c>
      <c r="F76" s="257" t="s">
        <v>14408</v>
      </c>
      <c r="G76" s="258">
        <v>2.06</v>
      </c>
      <c r="I76" s="276">
        <f t="shared" si="0"/>
        <v>21389.950000000004</v>
      </c>
    </row>
    <row r="77" spans="2:9" x14ac:dyDescent="0.25">
      <c r="B77" s="260"/>
      <c r="C77" s="261" t="s">
        <v>16228</v>
      </c>
      <c r="D77" s="288">
        <v>43864</v>
      </c>
      <c r="E77" s="269" t="s">
        <v>16227</v>
      </c>
      <c r="F77" s="257" t="s">
        <v>14408</v>
      </c>
      <c r="G77" s="258">
        <v>8.3800000000000008</v>
      </c>
      <c r="I77" s="276">
        <f t="shared" si="0"/>
        <v>21398.330000000005</v>
      </c>
    </row>
    <row r="78" spans="2:9" x14ac:dyDescent="0.25">
      <c r="B78" s="260"/>
      <c r="C78" s="261" t="s">
        <v>16226</v>
      </c>
      <c r="D78" s="288">
        <v>43864</v>
      </c>
      <c r="E78" s="269" t="s">
        <v>16225</v>
      </c>
      <c r="F78" s="257" t="s">
        <v>14408</v>
      </c>
      <c r="G78" s="258">
        <v>8.31</v>
      </c>
      <c r="I78" s="276">
        <f t="shared" si="0"/>
        <v>21406.640000000007</v>
      </c>
    </row>
    <row r="79" spans="2:9" x14ac:dyDescent="0.25">
      <c r="B79" s="260"/>
      <c r="C79" s="261" t="s">
        <v>16224</v>
      </c>
      <c r="D79" s="288">
        <v>43864</v>
      </c>
      <c r="E79" s="269" t="s">
        <v>16223</v>
      </c>
      <c r="F79" s="257" t="s">
        <v>14408</v>
      </c>
      <c r="G79" s="258">
        <v>2.2799999999999998</v>
      </c>
      <c r="I79" s="276">
        <f t="shared" si="0"/>
        <v>21408.920000000006</v>
      </c>
    </row>
    <row r="80" spans="2:9" ht="15" x14ac:dyDescent="0.2">
      <c r="B80" s="260"/>
      <c r="C80" s="261" t="s">
        <v>16222</v>
      </c>
      <c r="D80" s="288">
        <v>43864</v>
      </c>
      <c r="E80" s="269" t="s">
        <v>16221</v>
      </c>
      <c r="F80" s="290">
        <v>1</v>
      </c>
      <c r="G80" s="255">
        <v>9.6</v>
      </c>
      <c r="H80" s="103"/>
      <c r="I80" s="276">
        <f t="shared" si="0"/>
        <v>21418.520000000004</v>
      </c>
    </row>
    <row r="81" spans="2:9" ht="15" x14ac:dyDescent="0.2">
      <c r="B81" s="260"/>
      <c r="C81" s="261" t="s">
        <v>16220</v>
      </c>
      <c r="D81" s="288">
        <v>43864</v>
      </c>
      <c r="E81" s="269" t="s">
        <v>16219</v>
      </c>
      <c r="F81" s="290">
        <v>1</v>
      </c>
      <c r="G81" s="255">
        <v>5.16</v>
      </c>
      <c r="H81" s="103"/>
      <c r="I81" s="276">
        <f t="shared" si="0"/>
        <v>21423.680000000004</v>
      </c>
    </row>
    <row r="82" spans="2:9" ht="15" x14ac:dyDescent="0.2">
      <c r="B82" s="260"/>
      <c r="C82" s="261" t="s">
        <v>16218</v>
      </c>
      <c r="D82" s="288">
        <v>43864</v>
      </c>
      <c r="E82" s="269" t="s">
        <v>16217</v>
      </c>
      <c r="F82" s="290">
        <v>1</v>
      </c>
      <c r="G82" s="255">
        <v>17.850000000000001</v>
      </c>
      <c r="H82" s="103"/>
      <c r="I82" s="276">
        <f t="shared" si="0"/>
        <v>21441.530000000002</v>
      </c>
    </row>
    <row r="83" spans="2:9" ht="15" x14ac:dyDescent="0.2">
      <c r="B83" s="260"/>
      <c r="C83" s="261" t="s">
        <v>16216</v>
      </c>
      <c r="D83" s="288">
        <v>43864</v>
      </c>
      <c r="E83" s="269" t="s">
        <v>16215</v>
      </c>
      <c r="F83" s="290">
        <v>1</v>
      </c>
      <c r="G83" s="255">
        <v>2.09</v>
      </c>
      <c r="H83" s="103"/>
      <c r="I83" s="276">
        <f t="shared" si="0"/>
        <v>21443.620000000003</v>
      </c>
    </row>
    <row r="84" spans="2:9" ht="15" x14ac:dyDescent="0.2">
      <c r="B84" s="260"/>
      <c r="C84" s="261" t="s">
        <v>16214</v>
      </c>
      <c r="D84" s="288">
        <v>43864</v>
      </c>
      <c r="E84" s="269" t="s">
        <v>16213</v>
      </c>
      <c r="F84" s="290">
        <v>1</v>
      </c>
      <c r="G84" s="255">
        <v>4.72</v>
      </c>
      <c r="H84" s="103"/>
      <c r="I84" s="276">
        <f t="shared" ref="I84:I147" si="1">+I83+G84-H84</f>
        <v>21448.340000000004</v>
      </c>
    </row>
    <row r="85" spans="2:9" ht="15" x14ac:dyDescent="0.2">
      <c r="B85" s="260"/>
      <c r="C85" s="261" t="s">
        <v>16212</v>
      </c>
      <c r="D85" s="288">
        <v>43864</v>
      </c>
      <c r="E85" s="269" t="s">
        <v>16211</v>
      </c>
      <c r="F85" s="290">
        <v>1</v>
      </c>
      <c r="G85" s="255">
        <v>1.86</v>
      </c>
      <c r="H85" s="103"/>
      <c r="I85" s="276">
        <f t="shared" si="1"/>
        <v>21450.200000000004</v>
      </c>
    </row>
    <row r="86" spans="2:9" ht="15" x14ac:dyDescent="0.2">
      <c r="B86" s="260"/>
      <c r="C86" s="261" t="s">
        <v>16210</v>
      </c>
      <c r="D86" s="288">
        <v>43864</v>
      </c>
      <c r="E86" s="269" t="s">
        <v>16209</v>
      </c>
      <c r="F86" s="290">
        <v>1</v>
      </c>
      <c r="G86" s="255">
        <v>13.88</v>
      </c>
      <c r="H86" s="103"/>
      <c r="I86" s="276">
        <f t="shared" si="1"/>
        <v>21464.080000000005</v>
      </c>
    </row>
    <row r="87" spans="2:9" ht="15" x14ac:dyDescent="0.2">
      <c r="B87" s="260"/>
      <c r="C87" s="261" t="s">
        <v>16208</v>
      </c>
      <c r="D87" s="288">
        <v>43864</v>
      </c>
      <c r="E87" s="269" t="s">
        <v>16207</v>
      </c>
      <c r="F87" s="290">
        <v>1</v>
      </c>
      <c r="G87" s="255">
        <v>1.39</v>
      </c>
      <c r="H87" s="103"/>
      <c r="I87" s="276">
        <f t="shared" si="1"/>
        <v>21465.470000000005</v>
      </c>
    </row>
    <row r="88" spans="2:9" ht="15" x14ac:dyDescent="0.2">
      <c r="B88" s="260"/>
      <c r="C88" s="261" t="s">
        <v>16206</v>
      </c>
      <c r="D88" s="288">
        <v>43864</v>
      </c>
      <c r="E88" s="269" t="s">
        <v>16205</v>
      </c>
      <c r="F88" s="290">
        <v>1</v>
      </c>
      <c r="G88" s="255">
        <v>1.68</v>
      </c>
      <c r="H88" s="103"/>
      <c r="I88" s="276">
        <f t="shared" si="1"/>
        <v>21467.150000000005</v>
      </c>
    </row>
    <row r="89" spans="2:9" ht="15" x14ac:dyDescent="0.2">
      <c r="B89" s="260"/>
      <c r="C89" s="261" t="s">
        <v>16204</v>
      </c>
      <c r="D89" s="288">
        <v>43864</v>
      </c>
      <c r="E89" s="269" t="s">
        <v>16203</v>
      </c>
      <c r="F89" s="290">
        <v>1</v>
      </c>
      <c r="G89" s="255">
        <v>2.2400000000000002</v>
      </c>
      <c r="H89" s="103"/>
      <c r="I89" s="276">
        <f t="shared" si="1"/>
        <v>21469.390000000007</v>
      </c>
    </row>
    <row r="90" spans="2:9" ht="15" x14ac:dyDescent="0.2">
      <c r="B90" s="260"/>
      <c r="C90" s="261" t="s">
        <v>16202</v>
      </c>
      <c r="D90" s="288">
        <v>43864</v>
      </c>
      <c r="E90" s="269" t="s">
        <v>16201</v>
      </c>
      <c r="F90" s="290">
        <v>1</v>
      </c>
      <c r="G90" s="255">
        <v>2.83</v>
      </c>
      <c r="H90" s="103"/>
      <c r="I90" s="276">
        <f t="shared" si="1"/>
        <v>21472.220000000008</v>
      </c>
    </row>
    <row r="91" spans="2:9" ht="15" x14ac:dyDescent="0.2">
      <c r="B91" s="260"/>
      <c r="C91" s="261" t="s">
        <v>16200</v>
      </c>
      <c r="D91" s="288">
        <v>43864</v>
      </c>
      <c r="E91" s="269" t="s">
        <v>16199</v>
      </c>
      <c r="F91" s="290">
        <v>1</v>
      </c>
      <c r="G91" s="255">
        <v>6.48</v>
      </c>
      <c r="H91" s="103"/>
      <c r="I91" s="276">
        <f t="shared" si="1"/>
        <v>21478.700000000008</v>
      </c>
    </row>
    <row r="92" spans="2:9" ht="15" x14ac:dyDescent="0.2">
      <c r="B92" s="260"/>
      <c r="C92" s="261" t="s">
        <v>16198</v>
      </c>
      <c r="D92" s="288">
        <v>43864</v>
      </c>
      <c r="E92" s="269" t="s">
        <v>16197</v>
      </c>
      <c r="F92" s="290">
        <v>1</v>
      </c>
      <c r="G92" s="255">
        <v>27.94</v>
      </c>
      <c r="H92" s="103"/>
      <c r="I92" s="276">
        <f t="shared" si="1"/>
        <v>21506.640000000007</v>
      </c>
    </row>
    <row r="93" spans="2:9" ht="15" x14ac:dyDescent="0.2">
      <c r="B93" s="260"/>
      <c r="C93" s="261" t="s">
        <v>16196</v>
      </c>
      <c r="D93" s="288">
        <v>43864</v>
      </c>
      <c r="E93" s="269" t="s">
        <v>16195</v>
      </c>
      <c r="F93" s="290">
        <v>1</v>
      </c>
      <c r="G93" s="255">
        <v>4.3</v>
      </c>
      <c r="H93" s="103"/>
      <c r="I93" s="276">
        <f t="shared" si="1"/>
        <v>21510.940000000006</v>
      </c>
    </row>
    <row r="94" spans="2:9" ht="15" x14ac:dyDescent="0.2">
      <c r="B94" s="260"/>
      <c r="C94" s="261" t="s">
        <v>16194</v>
      </c>
      <c r="D94" s="288">
        <v>43864</v>
      </c>
      <c r="E94" s="269" t="s">
        <v>16193</v>
      </c>
      <c r="F94" s="290">
        <v>1</v>
      </c>
      <c r="G94" s="255">
        <v>8.3800000000000008</v>
      </c>
      <c r="H94" s="103"/>
      <c r="I94" s="276">
        <f t="shared" si="1"/>
        <v>21519.320000000007</v>
      </c>
    </row>
    <row r="95" spans="2:9" ht="15" x14ac:dyDescent="0.2">
      <c r="B95" s="260"/>
      <c r="C95" s="261" t="s">
        <v>16192</v>
      </c>
      <c r="D95" s="288">
        <v>43864</v>
      </c>
      <c r="E95" s="269" t="s">
        <v>16191</v>
      </c>
      <c r="F95" s="290">
        <v>1</v>
      </c>
      <c r="G95" s="255">
        <v>8.3800000000000008</v>
      </c>
      <c r="H95" s="103"/>
      <c r="I95" s="276">
        <f t="shared" si="1"/>
        <v>21527.700000000008</v>
      </c>
    </row>
    <row r="96" spans="2:9" x14ac:dyDescent="0.25">
      <c r="B96" s="260"/>
      <c r="C96" s="261" t="s">
        <v>16190</v>
      </c>
      <c r="D96" s="288">
        <v>43865</v>
      </c>
      <c r="E96" s="269" t="s">
        <v>16189</v>
      </c>
      <c r="F96" s="257" t="s">
        <v>14440</v>
      </c>
      <c r="G96" s="258">
        <v>44.78</v>
      </c>
      <c r="I96" s="276">
        <f t="shared" si="1"/>
        <v>21572.480000000007</v>
      </c>
    </row>
    <row r="97" spans="2:9" x14ac:dyDescent="0.25">
      <c r="B97" s="260"/>
      <c r="C97" s="261" t="s">
        <v>16188</v>
      </c>
      <c r="D97" s="288">
        <v>43865</v>
      </c>
      <c r="E97" s="269" t="s">
        <v>16187</v>
      </c>
      <c r="F97" s="257" t="s">
        <v>14440</v>
      </c>
      <c r="G97" s="258">
        <v>24.51</v>
      </c>
      <c r="I97" s="276">
        <f t="shared" si="1"/>
        <v>21596.990000000005</v>
      </c>
    </row>
    <row r="98" spans="2:9" x14ac:dyDescent="0.25">
      <c r="B98" s="260"/>
      <c r="C98" s="261" t="s">
        <v>16186</v>
      </c>
      <c r="D98" s="288">
        <v>43865</v>
      </c>
      <c r="E98" s="269" t="s">
        <v>16185</v>
      </c>
      <c r="F98" s="257" t="s">
        <v>14440</v>
      </c>
      <c r="G98" s="258">
        <v>16.760000000000002</v>
      </c>
      <c r="I98" s="276">
        <f t="shared" si="1"/>
        <v>21613.750000000004</v>
      </c>
    </row>
    <row r="99" spans="2:9" x14ac:dyDescent="0.25">
      <c r="B99" s="260"/>
      <c r="C99" s="261" t="s">
        <v>16184</v>
      </c>
      <c r="D99" s="288">
        <v>43865</v>
      </c>
      <c r="E99" s="269" t="s">
        <v>16183</v>
      </c>
      <c r="F99" s="257" t="s">
        <v>14440</v>
      </c>
      <c r="G99" s="258">
        <v>8.3800000000000008</v>
      </c>
      <c r="I99" s="276">
        <f t="shared" si="1"/>
        <v>21622.130000000005</v>
      </c>
    </row>
    <row r="100" spans="2:9" x14ac:dyDescent="0.25">
      <c r="B100" s="260"/>
      <c r="C100" s="261" t="s">
        <v>16182</v>
      </c>
      <c r="D100" s="288">
        <v>43865</v>
      </c>
      <c r="E100" s="269" t="s">
        <v>16181</v>
      </c>
      <c r="F100" s="257" t="s">
        <v>14440</v>
      </c>
      <c r="G100" s="258">
        <v>8.3800000000000008</v>
      </c>
      <c r="I100" s="276">
        <f t="shared" si="1"/>
        <v>21630.510000000006</v>
      </c>
    </row>
    <row r="101" spans="2:9" x14ac:dyDescent="0.25">
      <c r="B101" s="260"/>
      <c r="C101" s="261" t="s">
        <v>16180</v>
      </c>
      <c r="D101" s="288">
        <v>43865</v>
      </c>
      <c r="E101" s="269" t="s">
        <v>16179</v>
      </c>
      <c r="F101" s="257" t="s">
        <v>14440</v>
      </c>
      <c r="G101" s="258">
        <v>84.93</v>
      </c>
      <c r="I101" s="276">
        <f t="shared" si="1"/>
        <v>21715.440000000006</v>
      </c>
    </row>
    <row r="102" spans="2:9" x14ac:dyDescent="0.25">
      <c r="B102" s="260"/>
      <c r="C102" s="261" t="s">
        <v>16178</v>
      </c>
      <c r="D102" s="288">
        <v>43865</v>
      </c>
      <c r="E102" s="269" t="s">
        <v>16177</v>
      </c>
      <c r="F102" s="257" t="s">
        <v>14440</v>
      </c>
      <c r="G102" s="258">
        <v>4.68</v>
      </c>
      <c r="I102" s="276">
        <f t="shared" si="1"/>
        <v>21720.120000000006</v>
      </c>
    </row>
    <row r="103" spans="2:9" x14ac:dyDescent="0.25">
      <c r="B103" s="260"/>
      <c r="C103" s="261" t="s">
        <v>16176</v>
      </c>
      <c r="D103" s="288">
        <v>43865</v>
      </c>
      <c r="E103" s="269" t="s">
        <v>16175</v>
      </c>
      <c r="F103" s="257" t="s">
        <v>14437</v>
      </c>
      <c r="G103" s="160">
        <v>6.94</v>
      </c>
      <c r="I103" s="276">
        <f t="shared" si="1"/>
        <v>21727.060000000005</v>
      </c>
    </row>
    <row r="104" spans="2:9" x14ac:dyDescent="0.25">
      <c r="B104" s="260"/>
      <c r="C104" s="261" t="s">
        <v>16174</v>
      </c>
      <c r="D104" s="288">
        <v>43865</v>
      </c>
      <c r="E104" s="269" t="s">
        <v>16173</v>
      </c>
      <c r="F104" s="257" t="s">
        <v>14437</v>
      </c>
      <c r="G104" s="160">
        <v>35.08</v>
      </c>
      <c r="I104" s="276">
        <f t="shared" si="1"/>
        <v>21762.140000000007</v>
      </c>
    </row>
    <row r="105" spans="2:9" x14ac:dyDescent="0.25">
      <c r="B105" s="260"/>
      <c r="C105" s="261" t="s">
        <v>16172</v>
      </c>
      <c r="D105" s="288">
        <v>43865</v>
      </c>
      <c r="E105" s="269" t="s">
        <v>16171</v>
      </c>
      <c r="F105" s="257" t="s">
        <v>14440</v>
      </c>
      <c r="G105" s="258">
        <v>30.67</v>
      </c>
      <c r="I105" s="276">
        <f t="shared" si="1"/>
        <v>21792.810000000005</v>
      </c>
    </row>
    <row r="106" spans="2:9" ht="19.5" x14ac:dyDescent="0.25">
      <c r="B106" s="260"/>
      <c r="C106" s="261" t="s">
        <v>16170</v>
      </c>
      <c r="D106" s="288">
        <v>43865</v>
      </c>
      <c r="E106" s="269" t="s">
        <v>16169</v>
      </c>
      <c r="F106" s="257" t="s">
        <v>14436</v>
      </c>
      <c r="G106" s="160">
        <v>27.26</v>
      </c>
      <c r="I106" s="276">
        <f t="shared" si="1"/>
        <v>21820.070000000003</v>
      </c>
    </row>
    <row r="107" spans="2:9" x14ac:dyDescent="0.25">
      <c r="B107" s="260"/>
      <c r="C107" s="261" t="s">
        <v>16168</v>
      </c>
      <c r="D107" s="288">
        <v>43865</v>
      </c>
      <c r="E107" s="269" t="s">
        <v>16167</v>
      </c>
      <c r="F107" s="257" t="s">
        <v>14440</v>
      </c>
      <c r="G107" s="258">
        <v>16.8</v>
      </c>
      <c r="I107" s="276">
        <f t="shared" si="1"/>
        <v>21836.870000000003</v>
      </c>
    </row>
    <row r="108" spans="2:9" x14ac:dyDescent="0.25">
      <c r="B108" s="260"/>
      <c r="C108" s="261" t="s">
        <v>16166</v>
      </c>
      <c r="D108" s="288">
        <v>43865</v>
      </c>
      <c r="E108" s="269" t="s">
        <v>16165</v>
      </c>
      <c r="F108" s="257" t="s">
        <v>14437</v>
      </c>
      <c r="G108" s="160">
        <v>1</v>
      </c>
      <c r="I108" s="276">
        <f t="shared" si="1"/>
        <v>21837.870000000003</v>
      </c>
    </row>
    <row r="109" spans="2:9" ht="19.5" x14ac:dyDescent="0.25">
      <c r="B109" s="260"/>
      <c r="C109" s="261" t="s">
        <v>16164</v>
      </c>
      <c r="D109" s="288">
        <v>43865</v>
      </c>
      <c r="E109" s="269" t="s">
        <v>16163</v>
      </c>
      <c r="F109" s="257" t="s">
        <v>14440</v>
      </c>
      <c r="G109" s="258">
        <v>7.18</v>
      </c>
      <c r="I109" s="276">
        <f t="shared" si="1"/>
        <v>21845.050000000003</v>
      </c>
    </row>
    <row r="110" spans="2:9" x14ac:dyDescent="0.25">
      <c r="B110" s="260"/>
      <c r="C110" s="261" t="s">
        <v>16162</v>
      </c>
      <c r="D110" s="288">
        <v>43865</v>
      </c>
      <c r="E110" s="269" t="s">
        <v>16161</v>
      </c>
      <c r="F110" s="257" t="s">
        <v>14440</v>
      </c>
      <c r="G110" s="258">
        <v>7.34</v>
      </c>
      <c r="I110" s="276">
        <f t="shared" si="1"/>
        <v>21852.390000000003</v>
      </c>
    </row>
    <row r="111" spans="2:9" x14ac:dyDescent="0.25">
      <c r="B111" s="260"/>
      <c r="C111" s="261" t="s">
        <v>16160</v>
      </c>
      <c r="D111" s="288">
        <v>43865</v>
      </c>
      <c r="E111" s="269" t="s">
        <v>16159</v>
      </c>
      <c r="F111" s="257" t="s">
        <v>14408</v>
      </c>
      <c r="G111" s="258">
        <v>14.51</v>
      </c>
      <c r="I111" s="276">
        <f t="shared" si="1"/>
        <v>21866.9</v>
      </c>
    </row>
    <row r="112" spans="2:9" x14ac:dyDescent="0.25">
      <c r="B112" s="260"/>
      <c r="C112" s="261" t="s">
        <v>16158</v>
      </c>
      <c r="D112" s="288">
        <v>43865</v>
      </c>
      <c r="E112" s="269" t="s">
        <v>16157</v>
      </c>
      <c r="F112" s="257" t="s">
        <v>14408</v>
      </c>
      <c r="G112" s="258">
        <v>10.94</v>
      </c>
      <c r="I112" s="276">
        <f t="shared" si="1"/>
        <v>21877.84</v>
      </c>
    </row>
    <row r="113" spans="2:9" x14ac:dyDescent="0.25">
      <c r="B113" s="260"/>
      <c r="C113" s="261" t="s">
        <v>16156</v>
      </c>
      <c r="D113" s="288">
        <v>43865</v>
      </c>
      <c r="E113" s="269" t="s">
        <v>16155</v>
      </c>
      <c r="F113" s="257" t="s">
        <v>14408</v>
      </c>
      <c r="G113" s="258">
        <v>4.25</v>
      </c>
      <c r="I113" s="276">
        <f t="shared" si="1"/>
        <v>21882.09</v>
      </c>
    </row>
    <row r="114" spans="2:9" x14ac:dyDescent="0.25">
      <c r="B114" s="260"/>
      <c r="C114" s="261" t="s">
        <v>16154</v>
      </c>
      <c r="D114" s="288">
        <v>43865</v>
      </c>
      <c r="E114" s="269" t="s">
        <v>16153</v>
      </c>
      <c r="F114" s="257" t="s">
        <v>14408</v>
      </c>
      <c r="G114" s="258">
        <v>1.93</v>
      </c>
      <c r="I114" s="276">
        <f t="shared" si="1"/>
        <v>21884.02</v>
      </c>
    </row>
    <row r="115" spans="2:9" x14ac:dyDescent="0.25">
      <c r="B115" s="260"/>
      <c r="C115" s="261" t="s">
        <v>16152</v>
      </c>
      <c r="D115" s="288">
        <v>43865</v>
      </c>
      <c r="E115" s="269" t="s">
        <v>16151</v>
      </c>
      <c r="F115" s="257" t="s">
        <v>14408</v>
      </c>
      <c r="G115" s="258">
        <v>0.86</v>
      </c>
      <c r="I115" s="276">
        <f t="shared" si="1"/>
        <v>21884.880000000001</v>
      </c>
    </row>
    <row r="116" spans="2:9" x14ac:dyDescent="0.25">
      <c r="B116" s="260"/>
      <c r="C116" s="261" t="s">
        <v>16150</v>
      </c>
      <c r="D116" s="288">
        <v>43865</v>
      </c>
      <c r="E116" s="269" t="s">
        <v>16149</v>
      </c>
      <c r="F116" s="257" t="s">
        <v>14408</v>
      </c>
      <c r="G116" s="258">
        <v>1.68</v>
      </c>
      <c r="I116" s="276">
        <f t="shared" si="1"/>
        <v>21886.560000000001</v>
      </c>
    </row>
    <row r="117" spans="2:9" x14ac:dyDescent="0.25">
      <c r="B117" s="260"/>
      <c r="C117" s="261" t="s">
        <v>16148</v>
      </c>
      <c r="D117" s="288">
        <v>43865</v>
      </c>
      <c r="E117" s="269" t="s">
        <v>16147</v>
      </c>
      <c r="F117" s="257" t="s">
        <v>14408</v>
      </c>
      <c r="G117" s="258">
        <v>1.68</v>
      </c>
      <c r="I117" s="276">
        <f t="shared" si="1"/>
        <v>21888.240000000002</v>
      </c>
    </row>
    <row r="118" spans="2:9" x14ac:dyDescent="0.25">
      <c r="B118" s="260"/>
      <c r="C118" s="261" t="s">
        <v>16146</v>
      </c>
      <c r="D118" s="288">
        <v>43865</v>
      </c>
      <c r="E118" s="269" t="s">
        <v>16145</v>
      </c>
      <c r="F118" s="257" t="s">
        <v>14408</v>
      </c>
      <c r="G118" s="258">
        <v>13.88</v>
      </c>
      <c r="I118" s="276">
        <f t="shared" si="1"/>
        <v>21902.120000000003</v>
      </c>
    </row>
    <row r="119" spans="2:9" x14ac:dyDescent="0.25">
      <c r="B119" s="260"/>
      <c r="C119" s="261" t="s">
        <v>16144</v>
      </c>
      <c r="D119" s="288">
        <v>43865</v>
      </c>
      <c r="E119" s="269" t="s">
        <v>16143</v>
      </c>
      <c r="F119" s="257" t="s">
        <v>14408</v>
      </c>
      <c r="G119" s="258">
        <v>10.35</v>
      </c>
      <c r="I119" s="276">
        <f t="shared" si="1"/>
        <v>21912.47</v>
      </c>
    </row>
    <row r="120" spans="2:9" x14ac:dyDescent="0.25">
      <c r="B120" s="260"/>
      <c r="C120" s="261" t="s">
        <v>16142</v>
      </c>
      <c r="D120" s="288">
        <v>43865</v>
      </c>
      <c r="E120" s="269" t="s">
        <v>16141</v>
      </c>
      <c r="F120" s="257" t="s">
        <v>14408</v>
      </c>
      <c r="G120" s="258">
        <v>1.81</v>
      </c>
      <c r="I120" s="276">
        <f t="shared" si="1"/>
        <v>21914.280000000002</v>
      </c>
    </row>
    <row r="121" spans="2:9" x14ac:dyDescent="0.25">
      <c r="B121" s="260"/>
      <c r="C121" s="261" t="s">
        <v>16140</v>
      </c>
      <c r="D121" s="288">
        <v>43865</v>
      </c>
      <c r="E121" s="269" t="s">
        <v>16139</v>
      </c>
      <c r="F121" s="257" t="s">
        <v>14408</v>
      </c>
      <c r="G121" s="258">
        <v>2.2200000000000002</v>
      </c>
      <c r="I121" s="276">
        <f t="shared" si="1"/>
        <v>21916.500000000004</v>
      </c>
    </row>
    <row r="122" spans="2:9" x14ac:dyDescent="0.25">
      <c r="B122" s="260"/>
      <c r="C122" s="261" t="s">
        <v>16138</v>
      </c>
      <c r="D122" s="288">
        <v>43865</v>
      </c>
      <c r="E122" s="269" t="s">
        <v>16137</v>
      </c>
      <c r="F122" s="257" t="s">
        <v>14408</v>
      </c>
      <c r="G122" s="258">
        <v>21.25</v>
      </c>
      <c r="I122" s="276">
        <f t="shared" si="1"/>
        <v>21937.750000000004</v>
      </c>
    </row>
    <row r="123" spans="2:9" x14ac:dyDescent="0.25">
      <c r="B123" s="260"/>
      <c r="C123" s="261" t="s">
        <v>16136</v>
      </c>
      <c r="D123" s="288">
        <v>43865</v>
      </c>
      <c r="E123" s="269" t="s">
        <v>16135</v>
      </c>
      <c r="F123" s="257" t="s">
        <v>14408</v>
      </c>
      <c r="G123" s="258">
        <v>25.94</v>
      </c>
      <c r="I123" s="276">
        <f t="shared" si="1"/>
        <v>21963.690000000002</v>
      </c>
    </row>
    <row r="124" spans="2:9" x14ac:dyDescent="0.25">
      <c r="B124" s="260"/>
      <c r="C124" s="261" t="s">
        <v>16134</v>
      </c>
      <c r="D124" s="288">
        <v>43865</v>
      </c>
      <c r="E124" s="269" t="s">
        <v>16133</v>
      </c>
      <c r="F124" s="257" t="s">
        <v>14408</v>
      </c>
      <c r="G124" s="258">
        <v>2.2999999999999998</v>
      </c>
      <c r="I124" s="276">
        <f t="shared" si="1"/>
        <v>21965.99</v>
      </c>
    </row>
    <row r="125" spans="2:9" x14ac:dyDescent="0.25">
      <c r="B125" s="260"/>
      <c r="C125" s="261" t="s">
        <v>16132</v>
      </c>
      <c r="D125" s="288">
        <v>43865</v>
      </c>
      <c r="E125" s="269" t="s">
        <v>16131</v>
      </c>
      <c r="F125" s="257" t="s">
        <v>14408</v>
      </c>
      <c r="G125" s="258">
        <v>18.04</v>
      </c>
      <c r="I125" s="276">
        <f t="shared" si="1"/>
        <v>21984.030000000002</v>
      </c>
    </row>
    <row r="126" spans="2:9" x14ac:dyDescent="0.25">
      <c r="B126" s="260"/>
      <c r="C126" s="261" t="s">
        <v>16130</v>
      </c>
      <c r="D126" s="288">
        <v>43865</v>
      </c>
      <c r="E126" s="269" t="s">
        <v>16129</v>
      </c>
      <c r="F126" s="257" t="s">
        <v>14408</v>
      </c>
      <c r="G126" s="258">
        <v>8.3800000000000008</v>
      </c>
      <c r="I126" s="276">
        <f t="shared" si="1"/>
        <v>21992.410000000003</v>
      </c>
    </row>
    <row r="127" spans="2:9" x14ac:dyDescent="0.25">
      <c r="B127" s="260"/>
      <c r="C127" s="261" t="s">
        <v>16128</v>
      </c>
      <c r="D127" s="288">
        <v>43865</v>
      </c>
      <c r="E127" s="269" t="s">
        <v>16127</v>
      </c>
      <c r="F127" s="257" t="s">
        <v>14408</v>
      </c>
      <c r="G127" s="258">
        <v>2.25</v>
      </c>
      <c r="I127" s="276">
        <f t="shared" si="1"/>
        <v>21994.660000000003</v>
      </c>
    </row>
    <row r="128" spans="2:9" x14ac:dyDescent="0.25">
      <c r="B128" s="260"/>
      <c r="C128" s="261" t="s">
        <v>16126</v>
      </c>
      <c r="D128" s="288">
        <v>43865</v>
      </c>
      <c r="E128" s="269" t="s">
        <v>16125</v>
      </c>
      <c r="F128" s="257" t="s">
        <v>14408</v>
      </c>
      <c r="G128" s="258">
        <v>6</v>
      </c>
      <c r="I128" s="276">
        <f t="shared" si="1"/>
        <v>22000.660000000003</v>
      </c>
    </row>
    <row r="129" spans="2:9" x14ac:dyDescent="0.25">
      <c r="B129" s="260"/>
      <c r="C129" s="261" t="s">
        <v>16124</v>
      </c>
      <c r="D129" s="288">
        <v>43865</v>
      </c>
      <c r="E129" s="269" t="s">
        <v>16123</v>
      </c>
      <c r="F129" s="257" t="s">
        <v>14408</v>
      </c>
      <c r="G129" s="258">
        <v>5.13</v>
      </c>
      <c r="I129" s="276">
        <f t="shared" si="1"/>
        <v>22005.790000000005</v>
      </c>
    </row>
    <row r="130" spans="2:9" x14ac:dyDescent="0.25">
      <c r="B130" s="260"/>
      <c r="C130" s="261" t="s">
        <v>16122</v>
      </c>
      <c r="D130" s="288">
        <v>43865</v>
      </c>
      <c r="E130" s="269" t="s">
        <v>16121</v>
      </c>
      <c r="F130" s="257" t="s">
        <v>14408</v>
      </c>
      <c r="G130" s="258">
        <v>5.1100000000000003</v>
      </c>
      <c r="I130" s="276">
        <f t="shared" si="1"/>
        <v>22010.900000000005</v>
      </c>
    </row>
    <row r="131" spans="2:9" x14ac:dyDescent="0.25">
      <c r="B131" s="260"/>
      <c r="C131" s="261" t="s">
        <v>16120</v>
      </c>
      <c r="D131" s="288">
        <v>43865</v>
      </c>
      <c r="E131" s="269" t="s">
        <v>16119</v>
      </c>
      <c r="F131" s="257" t="s">
        <v>14408</v>
      </c>
      <c r="G131" s="258">
        <v>5.98</v>
      </c>
      <c r="I131" s="276">
        <f t="shared" si="1"/>
        <v>22016.880000000005</v>
      </c>
    </row>
    <row r="132" spans="2:9" x14ac:dyDescent="0.25">
      <c r="B132" s="260"/>
      <c r="C132" s="261" t="s">
        <v>16118</v>
      </c>
      <c r="D132" s="288">
        <v>43865</v>
      </c>
      <c r="E132" s="269" t="s">
        <v>16117</v>
      </c>
      <c r="F132" s="257" t="s">
        <v>14408</v>
      </c>
      <c r="G132" s="258">
        <v>13.4</v>
      </c>
      <c r="I132" s="276">
        <f t="shared" si="1"/>
        <v>22030.280000000006</v>
      </c>
    </row>
    <row r="133" spans="2:9" x14ac:dyDescent="0.25">
      <c r="B133" s="260"/>
      <c r="C133" s="261" t="s">
        <v>16116</v>
      </c>
      <c r="D133" s="288">
        <v>43865</v>
      </c>
      <c r="E133" s="269" t="s">
        <v>16115</v>
      </c>
      <c r="F133" s="257" t="s">
        <v>14408</v>
      </c>
      <c r="G133" s="258">
        <v>13.12</v>
      </c>
      <c r="I133" s="276">
        <f t="shared" si="1"/>
        <v>22043.400000000005</v>
      </c>
    </row>
    <row r="134" spans="2:9" x14ac:dyDescent="0.25">
      <c r="B134" s="260"/>
      <c r="C134" s="261" t="s">
        <v>16114</v>
      </c>
      <c r="D134" s="288">
        <v>43865</v>
      </c>
      <c r="E134" s="269" t="s">
        <v>16113</v>
      </c>
      <c r="F134" s="257" t="s">
        <v>14408</v>
      </c>
      <c r="G134" s="258">
        <v>12.88</v>
      </c>
      <c r="I134" s="276">
        <f t="shared" si="1"/>
        <v>22056.280000000006</v>
      </c>
    </row>
    <row r="135" spans="2:9" x14ac:dyDescent="0.25">
      <c r="B135" s="260"/>
      <c r="C135" s="261" t="s">
        <v>16112</v>
      </c>
      <c r="D135" s="288">
        <v>43865</v>
      </c>
      <c r="E135" s="269" t="s">
        <v>16111</v>
      </c>
      <c r="F135" s="257" t="s">
        <v>14408</v>
      </c>
      <c r="G135" s="258">
        <v>8.48</v>
      </c>
      <c r="I135" s="276">
        <f t="shared" si="1"/>
        <v>22064.760000000006</v>
      </c>
    </row>
    <row r="136" spans="2:9" x14ac:dyDescent="0.25">
      <c r="B136" s="260"/>
      <c r="C136" s="261" t="s">
        <v>16110</v>
      </c>
      <c r="D136" s="288">
        <v>43865</v>
      </c>
      <c r="E136" s="269" t="s">
        <v>16109</v>
      </c>
      <c r="F136" s="257" t="s">
        <v>14408</v>
      </c>
      <c r="G136" s="258">
        <v>40.46</v>
      </c>
      <c r="I136" s="276">
        <f t="shared" si="1"/>
        <v>22105.220000000005</v>
      </c>
    </row>
    <row r="137" spans="2:9" x14ac:dyDescent="0.25">
      <c r="B137" s="260"/>
      <c r="C137" s="261" t="s">
        <v>16108</v>
      </c>
      <c r="D137" s="288">
        <v>43865</v>
      </c>
      <c r="E137" s="269" t="s">
        <v>16107</v>
      </c>
      <c r="F137" s="257" t="s">
        <v>14408</v>
      </c>
      <c r="G137" s="258">
        <v>2.79</v>
      </c>
      <c r="I137" s="276">
        <f t="shared" si="1"/>
        <v>22108.010000000006</v>
      </c>
    </row>
    <row r="138" spans="2:9" x14ac:dyDescent="0.25">
      <c r="B138" s="260"/>
      <c r="C138" s="261" t="s">
        <v>16106</v>
      </c>
      <c r="D138" s="288">
        <v>43865</v>
      </c>
      <c r="E138" s="269" t="s">
        <v>16105</v>
      </c>
      <c r="F138" s="257" t="s">
        <v>14408</v>
      </c>
      <c r="G138" s="258">
        <v>2.2000000000000002</v>
      </c>
      <c r="I138" s="276">
        <f t="shared" si="1"/>
        <v>22110.210000000006</v>
      </c>
    </row>
    <row r="139" spans="2:9" x14ac:dyDescent="0.25">
      <c r="B139" s="260"/>
      <c r="C139" s="261" t="s">
        <v>16104</v>
      </c>
      <c r="D139" s="288">
        <v>43865</v>
      </c>
      <c r="E139" s="269" t="s">
        <v>16103</v>
      </c>
      <c r="F139" s="257" t="s">
        <v>14408</v>
      </c>
      <c r="G139" s="258">
        <v>3.23</v>
      </c>
      <c r="I139" s="276">
        <f t="shared" si="1"/>
        <v>22113.440000000006</v>
      </c>
    </row>
    <row r="140" spans="2:9" x14ac:dyDescent="0.25">
      <c r="B140" s="260"/>
      <c r="C140" s="261" t="s">
        <v>16102</v>
      </c>
      <c r="D140" s="288">
        <v>43865</v>
      </c>
      <c r="E140" s="269" t="s">
        <v>16101</v>
      </c>
      <c r="F140" s="257" t="s">
        <v>14408</v>
      </c>
      <c r="G140" s="258">
        <v>7.68</v>
      </c>
      <c r="I140" s="276">
        <f t="shared" si="1"/>
        <v>22121.120000000006</v>
      </c>
    </row>
    <row r="141" spans="2:9" x14ac:dyDescent="0.25">
      <c r="B141" s="260"/>
      <c r="C141" s="261" t="s">
        <v>16100</v>
      </c>
      <c r="D141" s="288">
        <v>43865</v>
      </c>
      <c r="E141" s="269" t="s">
        <v>16099</v>
      </c>
      <c r="F141" s="257" t="s">
        <v>14408</v>
      </c>
      <c r="G141" s="258">
        <v>15.57</v>
      </c>
      <c r="I141" s="276">
        <f t="shared" si="1"/>
        <v>22136.690000000006</v>
      </c>
    </row>
    <row r="142" spans="2:9" x14ac:dyDescent="0.25">
      <c r="B142" s="260"/>
      <c r="C142" s="261" t="s">
        <v>16098</v>
      </c>
      <c r="D142" s="288">
        <v>43865</v>
      </c>
      <c r="E142" s="269" t="s">
        <v>16097</v>
      </c>
      <c r="F142" s="257" t="s">
        <v>14408</v>
      </c>
      <c r="G142" s="258">
        <v>1.78</v>
      </c>
      <c r="I142" s="276">
        <f t="shared" si="1"/>
        <v>22138.470000000005</v>
      </c>
    </row>
    <row r="143" spans="2:9" x14ac:dyDescent="0.25">
      <c r="B143" s="260"/>
      <c r="C143" s="261" t="s">
        <v>16096</v>
      </c>
      <c r="D143" s="288">
        <v>43865</v>
      </c>
      <c r="E143" s="269" t="s">
        <v>16095</v>
      </c>
      <c r="F143" s="257" t="s">
        <v>14408</v>
      </c>
      <c r="G143" s="258">
        <v>5.17</v>
      </c>
      <c r="I143" s="276">
        <f t="shared" si="1"/>
        <v>22143.640000000003</v>
      </c>
    </row>
    <row r="144" spans="2:9" x14ac:dyDescent="0.25">
      <c r="B144" s="260"/>
      <c r="C144" s="261" t="s">
        <v>16094</v>
      </c>
      <c r="D144" s="288">
        <v>43865</v>
      </c>
      <c r="E144" s="269" t="s">
        <v>16093</v>
      </c>
      <c r="F144" s="257" t="s">
        <v>14408</v>
      </c>
      <c r="G144" s="258">
        <v>18.72</v>
      </c>
      <c r="I144" s="276">
        <f t="shared" si="1"/>
        <v>22162.360000000004</v>
      </c>
    </row>
    <row r="145" spans="2:9" x14ac:dyDescent="0.25">
      <c r="B145" s="260"/>
      <c r="C145" s="261" t="s">
        <v>16092</v>
      </c>
      <c r="D145" s="288">
        <v>43865</v>
      </c>
      <c r="E145" s="269" t="s">
        <v>16091</v>
      </c>
      <c r="F145" s="257" t="s">
        <v>14408</v>
      </c>
      <c r="G145" s="258">
        <v>2.06</v>
      </c>
      <c r="I145" s="276">
        <f t="shared" si="1"/>
        <v>22164.420000000006</v>
      </c>
    </row>
    <row r="146" spans="2:9" x14ac:dyDescent="0.2">
      <c r="B146" s="260"/>
      <c r="C146" s="261" t="s">
        <v>16090</v>
      </c>
      <c r="D146" s="288">
        <v>43865</v>
      </c>
      <c r="E146" s="269" t="s">
        <v>16089</v>
      </c>
      <c r="F146" s="257">
        <v>2</v>
      </c>
      <c r="G146" s="255">
        <v>1.68</v>
      </c>
      <c r="H146" s="103"/>
      <c r="I146" s="276">
        <f t="shared" si="1"/>
        <v>22166.100000000006</v>
      </c>
    </row>
    <row r="147" spans="2:9" x14ac:dyDescent="0.2">
      <c r="B147" s="260"/>
      <c r="C147" s="261" t="s">
        <v>16088</v>
      </c>
      <c r="D147" s="288">
        <v>43865</v>
      </c>
      <c r="E147" s="269" t="s">
        <v>16087</v>
      </c>
      <c r="F147" s="257">
        <v>2</v>
      </c>
      <c r="G147" s="255">
        <v>23.24</v>
      </c>
      <c r="H147" s="103"/>
      <c r="I147" s="276">
        <f t="shared" si="1"/>
        <v>22189.340000000007</v>
      </c>
    </row>
    <row r="148" spans="2:9" x14ac:dyDescent="0.2">
      <c r="B148" s="260"/>
      <c r="C148" s="261" t="s">
        <v>16086</v>
      </c>
      <c r="D148" s="288">
        <v>43865</v>
      </c>
      <c r="E148" s="269" t="s">
        <v>16085</v>
      </c>
      <c r="F148" s="257">
        <v>2</v>
      </c>
      <c r="G148" s="255">
        <v>15.3</v>
      </c>
      <c r="H148" s="103"/>
      <c r="I148" s="276">
        <f t="shared" ref="I148:I211" si="2">+I147+G148-H148</f>
        <v>22204.640000000007</v>
      </c>
    </row>
    <row r="149" spans="2:9" x14ac:dyDescent="0.2">
      <c r="B149" s="260"/>
      <c r="C149" s="261" t="s">
        <v>16084</v>
      </c>
      <c r="D149" s="288">
        <v>43865</v>
      </c>
      <c r="E149" s="269" t="s">
        <v>16083</v>
      </c>
      <c r="F149" s="257">
        <v>2</v>
      </c>
      <c r="G149" s="255">
        <v>15.3</v>
      </c>
      <c r="H149" s="103"/>
      <c r="I149" s="276">
        <f t="shared" si="2"/>
        <v>22219.940000000006</v>
      </c>
    </row>
    <row r="150" spans="2:9" x14ac:dyDescent="0.2">
      <c r="B150" s="260"/>
      <c r="C150" s="261" t="s">
        <v>16082</v>
      </c>
      <c r="D150" s="288">
        <v>43865</v>
      </c>
      <c r="E150" s="269" t="s">
        <v>16081</v>
      </c>
      <c r="F150" s="257">
        <v>2</v>
      </c>
      <c r="G150" s="255">
        <v>2.2400000000000002</v>
      </c>
      <c r="H150" s="103"/>
      <c r="I150" s="276">
        <f t="shared" si="2"/>
        <v>22222.180000000008</v>
      </c>
    </row>
    <row r="151" spans="2:9" x14ac:dyDescent="0.2">
      <c r="B151" s="260"/>
      <c r="C151" s="261" t="s">
        <v>16080</v>
      </c>
      <c r="D151" s="288">
        <v>43865</v>
      </c>
      <c r="E151" s="269" t="s">
        <v>16079</v>
      </c>
      <c r="F151" s="257">
        <v>2</v>
      </c>
      <c r="G151" s="255">
        <v>11.18</v>
      </c>
      <c r="H151" s="103"/>
      <c r="I151" s="276">
        <f t="shared" si="2"/>
        <v>22233.360000000008</v>
      </c>
    </row>
    <row r="152" spans="2:9" x14ac:dyDescent="0.2">
      <c r="B152" s="260"/>
      <c r="C152" s="261" t="s">
        <v>16078</v>
      </c>
      <c r="D152" s="288">
        <v>43865</v>
      </c>
      <c r="E152" s="269" t="s">
        <v>16077</v>
      </c>
      <c r="F152" s="257">
        <v>2</v>
      </c>
      <c r="G152" s="255">
        <v>7.82</v>
      </c>
      <c r="H152" s="103"/>
      <c r="I152" s="276">
        <f t="shared" si="2"/>
        <v>22241.180000000008</v>
      </c>
    </row>
    <row r="153" spans="2:9" ht="19.5" x14ac:dyDescent="0.2">
      <c r="B153" s="260"/>
      <c r="C153" s="261" t="s">
        <v>16076</v>
      </c>
      <c r="D153" s="288">
        <v>43865</v>
      </c>
      <c r="E153" s="269" t="s">
        <v>16075</v>
      </c>
      <c r="F153" s="257">
        <v>2</v>
      </c>
      <c r="G153" s="255">
        <v>5.04</v>
      </c>
      <c r="H153" s="103"/>
      <c r="I153" s="276">
        <f t="shared" si="2"/>
        <v>22246.220000000008</v>
      </c>
    </row>
    <row r="154" spans="2:9" ht="19.5" x14ac:dyDescent="0.2">
      <c r="B154" s="260"/>
      <c r="C154" s="261" t="s">
        <v>16074</v>
      </c>
      <c r="D154" s="288">
        <v>43865</v>
      </c>
      <c r="E154" s="269" t="s">
        <v>16073</v>
      </c>
      <c r="F154" s="257">
        <v>2</v>
      </c>
      <c r="G154" s="255">
        <v>10.08</v>
      </c>
      <c r="H154" s="103"/>
      <c r="I154" s="276">
        <f t="shared" si="2"/>
        <v>22256.30000000001</v>
      </c>
    </row>
    <row r="155" spans="2:9" x14ac:dyDescent="0.2">
      <c r="B155" s="260"/>
      <c r="C155" s="261" t="s">
        <v>16072</v>
      </c>
      <c r="D155" s="288">
        <v>43865</v>
      </c>
      <c r="E155" s="269" t="s">
        <v>16071</v>
      </c>
      <c r="F155" s="257">
        <v>2</v>
      </c>
      <c r="G155" s="255">
        <v>8.3800000000000008</v>
      </c>
      <c r="H155" s="103"/>
      <c r="I155" s="276">
        <f t="shared" si="2"/>
        <v>22264.680000000011</v>
      </c>
    </row>
    <row r="156" spans="2:9" x14ac:dyDescent="0.2">
      <c r="B156" s="260"/>
      <c r="C156" s="261" t="s">
        <v>16070</v>
      </c>
      <c r="D156" s="288">
        <v>43865</v>
      </c>
      <c r="E156" s="269" t="s">
        <v>16069</v>
      </c>
      <c r="F156" s="257">
        <v>2</v>
      </c>
      <c r="G156" s="255">
        <v>8.3800000000000008</v>
      </c>
      <c r="H156" s="103"/>
      <c r="I156" s="276">
        <f t="shared" si="2"/>
        <v>22273.060000000012</v>
      </c>
    </row>
    <row r="157" spans="2:9" x14ac:dyDescent="0.2">
      <c r="B157" s="260"/>
      <c r="C157" s="261" t="s">
        <v>16068</v>
      </c>
      <c r="D157" s="288">
        <v>43865</v>
      </c>
      <c r="E157" s="269" t="s">
        <v>16067</v>
      </c>
      <c r="F157" s="257">
        <v>2</v>
      </c>
      <c r="G157" s="255">
        <v>6.94</v>
      </c>
      <c r="H157" s="103"/>
      <c r="I157" s="276">
        <f t="shared" si="2"/>
        <v>22280.000000000011</v>
      </c>
    </row>
    <row r="158" spans="2:9" x14ac:dyDescent="0.2">
      <c r="B158" s="260"/>
      <c r="C158" s="261" t="s">
        <v>16066</v>
      </c>
      <c r="D158" s="288">
        <v>43865</v>
      </c>
      <c r="E158" s="269" t="s">
        <v>16065</v>
      </c>
      <c r="F158" s="257">
        <v>2</v>
      </c>
      <c r="G158" s="255">
        <v>10.85</v>
      </c>
      <c r="H158" s="103"/>
      <c r="I158" s="276">
        <f t="shared" si="2"/>
        <v>22290.850000000009</v>
      </c>
    </row>
    <row r="159" spans="2:9" x14ac:dyDescent="0.2">
      <c r="B159" s="260"/>
      <c r="C159" s="261" t="s">
        <v>16064</v>
      </c>
      <c r="D159" s="288">
        <v>43865</v>
      </c>
      <c r="E159" s="269" t="s">
        <v>16063</v>
      </c>
      <c r="F159" s="257">
        <v>2</v>
      </c>
      <c r="G159" s="255">
        <v>1.89</v>
      </c>
      <c r="H159" s="103"/>
      <c r="I159" s="276">
        <f t="shared" si="2"/>
        <v>22292.740000000009</v>
      </c>
    </row>
    <row r="160" spans="2:9" x14ac:dyDescent="0.2">
      <c r="B160" s="260"/>
      <c r="C160" s="261" t="s">
        <v>16062</v>
      </c>
      <c r="D160" s="288">
        <v>43865</v>
      </c>
      <c r="E160" s="269" t="s">
        <v>16061</v>
      </c>
      <c r="F160" s="257">
        <v>2</v>
      </c>
      <c r="G160" s="255">
        <v>4.4400000000000004</v>
      </c>
      <c r="H160" s="103"/>
      <c r="I160" s="276">
        <f t="shared" si="2"/>
        <v>22297.180000000008</v>
      </c>
    </row>
    <row r="161" spans="2:9" x14ac:dyDescent="0.2">
      <c r="B161" s="260"/>
      <c r="C161" s="261" t="s">
        <v>16060</v>
      </c>
      <c r="D161" s="288">
        <v>43865</v>
      </c>
      <c r="E161" s="269" t="s">
        <v>16059</v>
      </c>
      <c r="F161" s="257">
        <v>2</v>
      </c>
      <c r="G161" s="255">
        <v>6.03</v>
      </c>
      <c r="H161" s="103"/>
      <c r="I161" s="276">
        <f t="shared" si="2"/>
        <v>22303.210000000006</v>
      </c>
    </row>
    <row r="162" spans="2:9" x14ac:dyDescent="0.2">
      <c r="B162" s="260"/>
      <c r="C162" s="261" t="s">
        <v>16058</v>
      </c>
      <c r="D162" s="288">
        <v>43865</v>
      </c>
      <c r="E162" s="269" t="s">
        <v>16057</v>
      </c>
      <c r="F162" s="257">
        <v>2</v>
      </c>
      <c r="G162" s="255">
        <v>1.68</v>
      </c>
      <c r="H162" s="103"/>
      <c r="I162" s="276">
        <f t="shared" si="2"/>
        <v>22304.890000000007</v>
      </c>
    </row>
    <row r="163" spans="2:9" x14ac:dyDescent="0.2">
      <c r="B163" s="260"/>
      <c r="C163" s="261" t="s">
        <v>16056</v>
      </c>
      <c r="D163" s="288">
        <v>43865</v>
      </c>
      <c r="E163" s="269" t="s">
        <v>16055</v>
      </c>
      <c r="F163" s="257">
        <v>2</v>
      </c>
      <c r="G163" s="255">
        <v>3.46</v>
      </c>
      <c r="H163" s="103"/>
      <c r="I163" s="276">
        <f t="shared" si="2"/>
        <v>22308.350000000006</v>
      </c>
    </row>
    <row r="164" spans="2:9" x14ac:dyDescent="0.2">
      <c r="B164" s="260"/>
      <c r="C164" s="261" t="s">
        <v>16054</v>
      </c>
      <c r="D164" s="288">
        <v>43865</v>
      </c>
      <c r="E164" s="269" t="s">
        <v>16053</v>
      </c>
      <c r="F164" s="257">
        <v>2</v>
      </c>
      <c r="G164" s="255">
        <v>20.27</v>
      </c>
      <c r="H164" s="103"/>
      <c r="I164" s="276">
        <f t="shared" si="2"/>
        <v>22328.620000000006</v>
      </c>
    </row>
    <row r="165" spans="2:9" x14ac:dyDescent="0.2">
      <c r="B165" s="260"/>
      <c r="C165" s="261" t="s">
        <v>16052</v>
      </c>
      <c r="D165" s="288">
        <v>43865</v>
      </c>
      <c r="E165" s="269" t="s">
        <v>16051</v>
      </c>
      <c r="F165" s="257">
        <v>2</v>
      </c>
      <c r="G165" s="255">
        <v>16.760000000000002</v>
      </c>
      <c r="H165" s="103"/>
      <c r="I165" s="276">
        <f t="shared" si="2"/>
        <v>22345.380000000005</v>
      </c>
    </row>
    <row r="166" spans="2:9" x14ac:dyDescent="0.2">
      <c r="B166" s="260"/>
      <c r="C166" s="261" t="s">
        <v>16050</v>
      </c>
      <c r="D166" s="288">
        <v>43865</v>
      </c>
      <c r="E166" s="269" t="s">
        <v>16049</v>
      </c>
      <c r="F166" s="257">
        <v>2</v>
      </c>
      <c r="G166" s="255">
        <v>4.55</v>
      </c>
      <c r="H166" s="103"/>
      <c r="I166" s="276">
        <f t="shared" si="2"/>
        <v>22349.930000000004</v>
      </c>
    </row>
    <row r="167" spans="2:9" x14ac:dyDescent="0.2">
      <c r="B167" s="260"/>
      <c r="C167" s="261" t="s">
        <v>16048</v>
      </c>
      <c r="D167" s="288">
        <v>43865</v>
      </c>
      <c r="E167" s="269" t="s">
        <v>16047</v>
      </c>
      <c r="F167" s="257">
        <v>2</v>
      </c>
      <c r="G167" s="255">
        <v>8.3800000000000008</v>
      </c>
      <c r="H167" s="103"/>
      <c r="I167" s="276">
        <f t="shared" si="2"/>
        <v>22358.310000000005</v>
      </c>
    </row>
    <row r="168" spans="2:9" x14ac:dyDescent="0.2">
      <c r="B168" s="260"/>
      <c r="C168" s="261" t="s">
        <v>16046</v>
      </c>
      <c r="D168" s="288">
        <v>43865</v>
      </c>
      <c r="E168" s="269" t="s">
        <v>16045</v>
      </c>
      <c r="F168" s="257">
        <v>2</v>
      </c>
      <c r="G168" s="255">
        <v>4.1900000000000004</v>
      </c>
      <c r="H168" s="103"/>
      <c r="I168" s="276">
        <f t="shared" si="2"/>
        <v>22362.500000000004</v>
      </c>
    </row>
    <row r="169" spans="2:9" x14ac:dyDescent="0.2">
      <c r="B169" s="260"/>
      <c r="C169" s="261" t="s">
        <v>16044</v>
      </c>
      <c r="D169" s="288">
        <v>43865</v>
      </c>
      <c r="E169" s="269" t="s">
        <v>16043</v>
      </c>
      <c r="F169" s="257">
        <v>2</v>
      </c>
      <c r="G169" s="255">
        <v>1.75</v>
      </c>
      <c r="H169" s="103"/>
      <c r="I169" s="276">
        <f t="shared" si="2"/>
        <v>22364.250000000004</v>
      </c>
    </row>
    <row r="170" spans="2:9" x14ac:dyDescent="0.2">
      <c r="B170" s="260"/>
      <c r="C170" s="261" t="s">
        <v>16042</v>
      </c>
      <c r="D170" s="288">
        <v>43865</v>
      </c>
      <c r="E170" s="269" t="s">
        <v>16041</v>
      </c>
      <c r="F170" s="257">
        <v>2</v>
      </c>
      <c r="G170" s="255">
        <v>7.82</v>
      </c>
      <c r="H170" s="103"/>
      <c r="I170" s="276">
        <f t="shared" si="2"/>
        <v>22372.070000000003</v>
      </c>
    </row>
    <row r="171" spans="2:9" x14ac:dyDescent="0.2">
      <c r="B171" s="260"/>
      <c r="C171" s="261" t="s">
        <v>16040</v>
      </c>
      <c r="D171" s="288">
        <v>43865</v>
      </c>
      <c r="E171" s="269" t="s">
        <v>16039</v>
      </c>
      <c r="F171" s="257">
        <v>2</v>
      </c>
      <c r="G171" s="255">
        <v>4.09</v>
      </c>
      <c r="H171" s="103"/>
      <c r="I171" s="276">
        <f t="shared" si="2"/>
        <v>22376.160000000003</v>
      </c>
    </row>
    <row r="172" spans="2:9" x14ac:dyDescent="0.2">
      <c r="B172" s="260"/>
      <c r="C172" s="261" t="s">
        <v>16038</v>
      </c>
      <c r="D172" s="288">
        <v>43865</v>
      </c>
      <c r="E172" s="269" t="s">
        <v>16037</v>
      </c>
      <c r="F172" s="257">
        <v>2</v>
      </c>
      <c r="G172" s="255">
        <v>7.82</v>
      </c>
      <c r="H172" s="103"/>
      <c r="I172" s="276">
        <f t="shared" si="2"/>
        <v>22383.980000000003</v>
      </c>
    </row>
    <row r="173" spans="2:9" x14ac:dyDescent="0.2">
      <c r="B173" s="260"/>
      <c r="C173" s="261" t="s">
        <v>16036</v>
      </c>
      <c r="D173" s="288">
        <v>43865</v>
      </c>
      <c r="E173" s="269" t="s">
        <v>16035</v>
      </c>
      <c r="F173" s="257">
        <v>2</v>
      </c>
      <c r="G173" s="255">
        <v>6.94</v>
      </c>
      <c r="H173" s="103"/>
      <c r="I173" s="276">
        <f t="shared" si="2"/>
        <v>22390.920000000002</v>
      </c>
    </row>
    <row r="174" spans="2:9" x14ac:dyDescent="0.2">
      <c r="B174" s="260"/>
      <c r="C174" s="261" t="s">
        <v>16034</v>
      </c>
      <c r="D174" s="288">
        <v>43865</v>
      </c>
      <c r="E174" s="269" t="s">
        <v>16033</v>
      </c>
      <c r="F174" s="257">
        <v>2</v>
      </c>
      <c r="G174" s="255">
        <v>6.61</v>
      </c>
      <c r="H174" s="103"/>
      <c r="I174" s="276">
        <f t="shared" si="2"/>
        <v>22397.530000000002</v>
      </c>
    </row>
    <row r="175" spans="2:9" x14ac:dyDescent="0.2">
      <c r="B175" s="260"/>
      <c r="C175" s="261" t="s">
        <v>16032</v>
      </c>
      <c r="D175" s="288">
        <v>43865</v>
      </c>
      <c r="E175" s="269" t="s">
        <v>16031</v>
      </c>
      <c r="F175" s="257">
        <v>2</v>
      </c>
      <c r="G175" s="255">
        <v>2.54</v>
      </c>
      <c r="H175" s="103"/>
      <c r="I175" s="276">
        <f t="shared" si="2"/>
        <v>22400.070000000003</v>
      </c>
    </row>
    <row r="176" spans="2:9" x14ac:dyDescent="0.2">
      <c r="B176" s="260"/>
      <c r="C176" s="261" t="s">
        <v>16030</v>
      </c>
      <c r="D176" s="288">
        <v>43865</v>
      </c>
      <c r="E176" s="269" t="s">
        <v>16029</v>
      </c>
      <c r="F176" s="257">
        <v>2</v>
      </c>
      <c r="G176" s="255">
        <v>8.3800000000000008</v>
      </c>
      <c r="H176" s="103"/>
      <c r="I176" s="276">
        <f t="shared" si="2"/>
        <v>22408.450000000004</v>
      </c>
    </row>
    <row r="177" spans="2:9" x14ac:dyDescent="0.2">
      <c r="B177" s="260"/>
      <c r="C177" s="261" t="s">
        <v>16028</v>
      </c>
      <c r="D177" s="288">
        <v>43865</v>
      </c>
      <c r="E177" s="269" t="s">
        <v>16027</v>
      </c>
      <c r="F177" s="257">
        <v>2</v>
      </c>
      <c r="G177" s="255">
        <v>17.899999999999999</v>
      </c>
      <c r="H177" s="103"/>
      <c r="I177" s="276">
        <f t="shared" si="2"/>
        <v>22426.350000000006</v>
      </c>
    </row>
    <row r="178" spans="2:9" x14ac:dyDescent="0.2">
      <c r="B178" s="260"/>
      <c r="C178" s="261" t="s">
        <v>16026</v>
      </c>
      <c r="D178" s="288">
        <v>43865</v>
      </c>
      <c r="E178" s="269" t="s">
        <v>16025</v>
      </c>
      <c r="F178" s="257">
        <v>2</v>
      </c>
      <c r="G178" s="255">
        <v>8.3800000000000008</v>
      </c>
      <c r="H178" s="103"/>
      <c r="I178" s="276">
        <f t="shared" si="2"/>
        <v>22434.730000000007</v>
      </c>
    </row>
    <row r="179" spans="2:9" x14ac:dyDescent="0.2">
      <c r="B179" s="260"/>
      <c r="C179" s="261" t="s">
        <v>16024</v>
      </c>
      <c r="D179" s="288">
        <v>43865</v>
      </c>
      <c r="E179" s="269" t="s">
        <v>16023</v>
      </c>
      <c r="F179" s="257">
        <v>2</v>
      </c>
      <c r="G179" s="255">
        <v>4.1900000000000004</v>
      </c>
      <c r="H179" s="103"/>
      <c r="I179" s="276">
        <f t="shared" si="2"/>
        <v>22438.920000000006</v>
      </c>
    </row>
    <row r="180" spans="2:9" x14ac:dyDescent="0.2">
      <c r="B180" s="260"/>
      <c r="C180" s="261" t="s">
        <v>16022</v>
      </c>
      <c r="D180" s="288">
        <v>43865</v>
      </c>
      <c r="E180" s="269" t="s">
        <v>16021</v>
      </c>
      <c r="F180" s="257">
        <v>2</v>
      </c>
      <c r="G180" s="255">
        <v>7.82</v>
      </c>
      <c r="H180" s="103"/>
      <c r="I180" s="276">
        <f t="shared" si="2"/>
        <v>22446.740000000005</v>
      </c>
    </row>
    <row r="181" spans="2:9" x14ac:dyDescent="0.2">
      <c r="B181" s="260"/>
      <c r="C181" s="261" t="s">
        <v>16020</v>
      </c>
      <c r="D181" s="288">
        <v>43865</v>
      </c>
      <c r="E181" s="269" t="s">
        <v>16019</v>
      </c>
      <c r="F181" s="257">
        <v>2</v>
      </c>
      <c r="G181" s="255">
        <v>4.1900000000000004</v>
      </c>
      <c r="H181" s="103"/>
      <c r="I181" s="276">
        <f t="shared" si="2"/>
        <v>22450.930000000004</v>
      </c>
    </row>
    <row r="182" spans="2:9" x14ac:dyDescent="0.2">
      <c r="B182" s="260"/>
      <c r="C182" s="261" t="s">
        <v>16018</v>
      </c>
      <c r="D182" s="288">
        <v>43865</v>
      </c>
      <c r="E182" s="269" t="s">
        <v>16017</v>
      </c>
      <c r="F182" s="257">
        <v>2</v>
      </c>
      <c r="G182" s="255">
        <v>3.47</v>
      </c>
      <c r="H182" s="103"/>
      <c r="I182" s="276">
        <f t="shared" si="2"/>
        <v>22454.400000000005</v>
      </c>
    </row>
    <row r="183" spans="2:9" x14ac:dyDescent="0.2">
      <c r="B183" s="260"/>
      <c r="C183" s="261" t="s">
        <v>16016</v>
      </c>
      <c r="D183" s="288">
        <v>43865</v>
      </c>
      <c r="E183" s="269" t="s">
        <v>16015</v>
      </c>
      <c r="F183" s="257">
        <v>2</v>
      </c>
      <c r="G183" s="255">
        <v>4.1900000000000004</v>
      </c>
      <c r="H183" s="103"/>
      <c r="I183" s="276">
        <f t="shared" si="2"/>
        <v>22458.590000000004</v>
      </c>
    </row>
    <row r="184" spans="2:9" x14ac:dyDescent="0.2">
      <c r="B184" s="260"/>
      <c r="C184" s="261" t="s">
        <v>16014</v>
      </c>
      <c r="D184" s="288">
        <v>43865</v>
      </c>
      <c r="E184" s="269" t="s">
        <v>16013</v>
      </c>
      <c r="F184" s="257">
        <v>2</v>
      </c>
      <c r="G184" s="255">
        <v>1.77</v>
      </c>
      <c r="H184" s="103"/>
      <c r="I184" s="276">
        <f t="shared" si="2"/>
        <v>22460.360000000004</v>
      </c>
    </row>
    <row r="185" spans="2:9" x14ac:dyDescent="0.2">
      <c r="B185" s="260"/>
      <c r="C185" s="261" t="s">
        <v>16012</v>
      </c>
      <c r="D185" s="288">
        <v>43865</v>
      </c>
      <c r="E185" s="269" t="s">
        <v>16011</v>
      </c>
      <c r="F185" s="257">
        <v>2</v>
      </c>
      <c r="G185" s="255">
        <v>3.36</v>
      </c>
      <c r="H185" s="103"/>
      <c r="I185" s="276">
        <f t="shared" si="2"/>
        <v>22463.720000000005</v>
      </c>
    </row>
    <row r="186" spans="2:9" x14ac:dyDescent="0.2">
      <c r="B186" s="260"/>
      <c r="C186" s="261" t="s">
        <v>16010</v>
      </c>
      <c r="D186" s="288">
        <v>43865</v>
      </c>
      <c r="E186" s="269" t="s">
        <v>16009</v>
      </c>
      <c r="F186" s="257">
        <v>2</v>
      </c>
      <c r="G186" s="255">
        <v>7.92</v>
      </c>
      <c r="H186" s="103"/>
      <c r="I186" s="276">
        <f t="shared" si="2"/>
        <v>22471.640000000003</v>
      </c>
    </row>
    <row r="187" spans="2:9" x14ac:dyDescent="0.2">
      <c r="B187" s="260"/>
      <c r="C187" s="261" t="s">
        <v>16008</v>
      </c>
      <c r="D187" s="288">
        <v>43865</v>
      </c>
      <c r="E187" s="269" t="s">
        <v>16007</v>
      </c>
      <c r="F187" s="257">
        <v>2</v>
      </c>
      <c r="G187" s="255">
        <v>7.82</v>
      </c>
      <c r="H187" s="103"/>
      <c r="I187" s="276">
        <f t="shared" si="2"/>
        <v>22479.460000000003</v>
      </c>
    </row>
    <row r="188" spans="2:9" x14ac:dyDescent="0.2">
      <c r="B188" s="260"/>
      <c r="C188" s="261" t="s">
        <v>16006</v>
      </c>
      <c r="D188" s="288">
        <v>43865</v>
      </c>
      <c r="E188" s="269" t="s">
        <v>16005</v>
      </c>
      <c r="F188" s="257">
        <v>2</v>
      </c>
      <c r="G188" s="255">
        <v>2.08</v>
      </c>
      <c r="H188" s="103"/>
      <c r="I188" s="276">
        <f t="shared" si="2"/>
        <v>22481.540000000005</v>
      </c>
    </row>
    <row r="189" spans="2:9" x14ac:dyDescent="0.2">
      <c r="B189" s="260"/>
      <c r="C189" s="261" t="s">
        <v>16004</v>
      </c>
      <c r="D189" s="288">
        <v>43865</v>
      </c>
      <c r="E189" s="269" t="s">
        <v>16003</v>
      </c>
      <c r="F189" s="257">
        <v>2</v>
      </c>
      <c r="G189" s="255">
        <v>1.77</v>
      </c>
      <c r="H189" s="103"/>
      <c r="I189" s="276">
        <f t="shared" si="2"/>
        <v>22483.310000000005</v>
      </c>
    </row>
    <row r="190" spans="2:9" x14ac:dyDescent="0.2">
      <c r="B190" s="260"/>
      <c r="C190" s="261" t="s">
        <v>16002</v>
      </c>
      <c r="D190" s="288">
        <v>43865</v>
      </c>
      <c r="E190" s="269" t="s">
        <v>16001</v>
      </c>
      <c r="F190" s="257">
        <v>2</v>
      </c>
      <c r="G190" s="255">
        <v>1.75</v>
      </c>
      <c r="H190" s="103"/>
      <c r="I190" s="276">
        <f t="shared" si="2"/>
        <v>22485.060000000005</v>
      </c>
    </row>
    <row r="191" spans="2:9" x14ac:dyDescent="0.2">
      <c r="B191" s="260"/>
      <c r="C191" s="261" t="s">
        <v>16000</v>
      </c>
      <c r="D191" s="288">
        <v>43865</v>
      </c>
      <c r="E191" s="269" t="s">
        <v>15999</v>
      </c>
      <c r="F191" s="257">
        <v>2</v>
      </c>
      <c r="G191" s="255">
        <v>10.55</v>
      </c>
      <c r="H191" s="103"/>
      <c r="I191" s="276">
        <f t="shared" si="2"/>
        <v>22495.610000000004</v>
      </c>
    </row>
    <row r="192" spans="2:9" x14ac:dyDescent="0.2">
      <c r="B192" s="260"/>
      <c r="C192" s="261" t="s">
        <v>15998</v>
      </c>
      <c r="D192" s="288">
        <v>43865</v>
      </c>
      <c r="E192" s="269" t="s">
        <v>15997</v>
      </c>
      <c r="F192" s="257">
        <v>2</v>
      </c>
      <c r="G192" s="255">
        <v>1.68</v>
      </c>
      <c r="H192" s="103"/>
      <c r="I192" s="276">
        <f t="shared" si="2"/>
        <v>22497.290000000005</v>
      </c>
    </row>
    <row r="193" spans="2:9" x14ac:dyDescent="0.2">
      <c r="B193" s="260"/>
      <c r="C193" s="261" t="s">
        <v>15996</v>
      </c>
      <c r="D193" s="288">
        <v>43865</v>
      </c>
      <c r="E193" s="269" t="s">
        <v>15995</v>
      </c>
      <c r="F193" s="257">
        <v>2</v>
      </c>
      <c r="G193" s="255">
        <v>8.3000000000000007</v>
      </c>
      <c r="H193" s="103"/>
      <c r="I193" s="276">
        <f t="shared" si="2"/>
        <v>22505.590000000004</v>
      </c>
    </row>
    <row r="194" spans="2:9" x14ac:dyDescent="0.2">
      <c r="B194" s="260"/>
      <c r="C194" s="261" t="s">
        <v>15994</v>
      </c>
      <c r="D194" s="288">
        <v>43865</v>
      </c>
      <c r="E194" s="269" t="s">
        <v>15993</v>
      </c>
      <c r="F194" s="257">
        <v>2</v>
      </c>
      <c r="G194" s="255">
        <v>34.43</v>
      </c>
      <c r="H194" s="103"/>
      <c r="I194" s="276">
        <f t="shared" si="2"/>
        <v>22540.020000000004</v>
      </c>
    </row>
    <row r="195" spans="2:9" x14ac:dyDescent="0.2">
      <c r="B195" s="260"/>
      <c r="C195" s="261" t="s">
        <v>15992</v>
      </c>
      <c r="D195" s="288">
        <v>43865</v>
      </c>
      <c r="E195" s="269" t="s">
        <v>15991</v>
      </c>
      <c r="F195" s="257">
        <v>2</v>
      </c>
      <c r="G195" s="255">
        <v>2.3199999999999998</v>
      </c>
      <c r="H195" s="103"/>
      <c r="I195" s="276">
        <f t="shared" si="2"/>
        <v>22542.340000000004</v>
      </c>
    </row>
    <row r="196" spans="2:9" x14ac:dyDescent="0.2">
      <c r="B196" s="260"/>
      <c r="C196" s="261" t="s">
        <v>15990</v>
      </c>
      <c r="D196" s="288">
        <v>43865</v>
      </c>
      <c r="E196" s="269" t="s">
        <v>15989</v>
      </c>
      <c r="F196" s="257">
        <v>2</v>
      </c>
      <c r="G196" s="255">
        <v>1.84</v>
      </c>
      <c r="H196" s="103"/>
      <c r="I196" s="276">
        <f t="shared" si="2"/>
        <v>22544.180000000004</v>
      </c>
    </row>
    <row r="197" spans="2:9" x14ac:dyDescent="0.2">
      <c r="B197" s="260"/>
      <c r="C197" s="261" t="s">
        <v>15988</v>
      </c>
      <c r="D197" s="288">
        <v>43865</v>
      </c>
      <c r="E197" s="269" t="s">
        <v>15987</v>
      </c>
      <c r="F197" s="257">
        <v>2</v>
      </c>
      <c r="G197" s="255">
        <v>15.3</v>
      </c>
      <c r="H197" s="103"/>
      <c r="I197" s="276">
        <f t="shared" si="2"/>
        <v>22559.480000000003</v>
      </c>
    </row>
    <row r="198" spans="2:9" x14ac:dyDescent="0.2">
      <c r="B198" s="260"/>
      <c r="C198" s="261" t="s">
        <v>15986</v>
      </c>
      <c r="D198" s="288">
        <v>43865</v>
      </c>
      <c r="E198" s="269" t="s">
        <v>15985</v>
      </c>
      <c r="F198" s="257">
        <v>2</v>
      </c>
      <c r="G198" s="255">
        <v>15.3</v>
      </c>
      <c r="H198" s="103"/>
      <c r="I198" s="276">
        <f t="shared" si="2"/>
        <v>22574.780000000002</v>
      </c>
    </row>
    <row r="199" spans="2:9" x14ac:dyDescent="0.2">
      <c r="B199" s="260"/>
      <c r="C199" s="261" t="s">
        <v>15984</v>
      </c>
      <c r="D199" s="288">
        <v>43865</v>
      </c>
      <c r="E199" s="269" t="s">
        <v>15983</v>
      </c>
      <c r="F199" s="257">
        <v>2</v>
      </c>
      <c r="G199" s="255">
        <v>15.3</v>
      </c>
      <c r="H199" s="103"/>
      <c r="I199" s="276">
        <f t="shared" si="2"/>
        <v>22590.080000000002</v>
      </c>
    </row>
    <row r="200" spans="2:9" x14ac:dyDescent="0.2">
      <c r="B200" s="260"/>
      <c r="C200" s="261" t="s">
        <v>15982</v>
      </c>
      <c r="D200" s="288">
        <v>43865</v>
      </c>
      <c r="E200" s="269" t="s">
        <v>15981</v>
      </c>
      <c r="F200" s="257">
        <v>2</v>
      </c>
      <c r="G200" s="255">
        <v>5.23</v>
      </c>
      <c r="H200" s="103"/>
      <c r="I200" s="276">
        <f t="shared" si="2"/>
        <v>22595.31</v>
      </c>
    </row>
    <row r="201" spans="2:9" x14ac:dyDescent="0.2">
      <c r="B201" s="260"/>
      <c r="C201" s="261" t="s">
        <v>15980</v>
      </c>
      <c r="D201" s="288">
        <v>43865</v>
      </c>
      <c r="E201" s="269" t="s">
        <v>15979</v>
      </c>
      <c r="F201" s="257">
        <v>2</v>
      </c>
      <c r="G201" s="255">
        <v>15.3</v>
      </c>
      <c r="H201" s="103"/>
      <c r="I201" s="276">
        <f t="shared" si="2"/>
        <v>22610.61</v>
      </c>
    </row>
    <row r="202" spans="2:9" x14ac:dyDescent="0.2">
      <c r="B202" s="260"/>
      <c r="C202" s="261" t="s">
        <v>15978</v>
      </c>
      <c r="D202" s="288">
        <v>43865</v>
      </c>
      <c r="E202" s="269" t="s">
        <v>15977</v>
      </c>
      <c r="F202" s="257">
        <v>2</v>
      </c>
      <c r="G202" s="255">
        <v>36.06</v>
      </c>
      <c r="H202" s="103"/>
      <c r="I202" s="276">
        <f t="shared" si="2"/>
        <v>22646.670000000002</v>
      </c>
    </row>
    <row r="203" spans="2:9" x14ac:dyDescent="0.25">
      <c r="B203" s="260"/>
      <c r="C203" s="261" t="s">
        <v>15976</v>
      </c>
      <c r="D203" s="288">
        <v>43865</v>
      </c>
      <c r="E203" s="269" t="s">
        <v>15975</v>
      </c>
      <c r="F203" s="257" t="s">
        <v>14437</v>
      </c>
      <c r="G203" s="160">
        <v>22.92</v>
      </c>
      <c r="I203" s="276">
        <f t="shared" si="2"/>
        <v>22669.59</v>
      </c>
    </row>
    <row r="204" spans="2:9" x14ac:dyDescent="0.25">
      <c r="B204" s="260"/>
      <c r="C204" s="261" t="s">
        <v>15974</v>
      </c>
      <c r="D204" s="288">
        <v>43865</v>
      </c>
      <c r="E204" s="269" t="s">
        <v>15973</v>
      </c>
      <c r="F204" s="257" t="s">
        <v>14436</v>
      </c>
      <c r="G204" s="160">
        <v>4.54</v>
      </c>
      <c r="I204" s="276">
        <f t="shared" si="2"/>
        <v>22674.13</v>
      </c>
    </row>
    <row r="205" spans="2:9" ht="19.5" x14ac:dyDescent="0.25">
      <c r="B205" s="260"/>
      <c r="C205" s="261" t="s">
        <v>15972</v>
      </c>
      <c r="D205" s="288">
        <v>43865</v>
      </c>
      <c r="E205" s="269" t="s">
        <v>15971</v>
      </c>
      <c r="F205" s="257" t="s">
        <v>14438</v>
      </c>
      <c r="G205" s="160">
        <v>18.64</v>
      </c>
      <c r="I205" s="276">
        <f t="shared" si="2"/>
        <v>22692.77</v>
      </c>
    </row>
    <row r="206" spans="2:9" ht="29.25" x14ac:dyDescent="0.25">
      <c r="B206" s="260"/>
      <c r="C206" s="261" t="s">
        <v>1926</v>
      </c>
      <c r="D206" s="288">
        <v>43865</v>
      </c>
      <c r="E206" s="269" t="s">
        <v>15970</v>
      </c>
      <c r="F206" s="257" t="s">
        <v>14438</v>
      </c>
      <c r="G206" s="160">
        <v>224.97</v>
      </c>
      <c r="I206" s="276">
        <f t="shared" si="2"/>
        <v>22917.74</v>
      </c>
    </row>
    <row r="207" spans="2:9" ht="39" x14ac:dyDescent="0.25">
      <c r="B207" s="260"/>
      <c r="C207" s="261" t="s">
        <v>1924</v>
      </c>
      <c r="D207" s="288">
        <v>43865</v>
      </c>
      <c r="E207" s="269" t="s">
        <v>15969</v>
      </c>
      <c r="F207" s="257" t="s">
        <v>14438</v>
      </c>
      <c r="G207" s="160">
        <v>80.930000000000007</v>
      </c>
      <c r="I207" s="276">
        <f t="shared" si="2"/>
        <v>22998.670000000002</v>
      </c>
    </row>
    <row r="208" spans="2:9" x14ac:dyDescent="0.25">
      <c r="B208" s="260"/>
      <c r="C208" s="261" t="s">
        <v>15968</v>
      </c>
      <c r="D208" s="288">
        <v>43866</v>
      </c>
      <c r="E208" s="269" t="s">
        <v>15967</v>
      </c>
      <c r="F208" s="257" t="s">
        <v>14441</v>
      </c>
      <c r="G208" s="258">
        <v>43.7</v>
      </c>
      <c r="I208" s="276">
        <f t="shared" si="2"/>
        <v>23042.370000000003</v>
      </c>
    </row>
    <row r="209" spans="2:9" x14ac:dyDescent="0.25">
      <c r="B209" s="260"/>
      <c r="C209" s="261" t="s">
        <v>15966</v>
      </c>
      <c r="D209" s="288">
        <v>43866</v>
      </c>
      <c r="E209" s="269" t="s">
        <v>15965</v>
      </c>
      <c r="F209" s="257" t="s">
        <v>14441</v>
      </c>
      <c r="G209" s="258">
        <v>45.9</v>
      </c>
      <c r="I209" s="276">
        <f t="shared" si="2"/>
        <v>23088.270000000004</v>
      </c>
    </row>
    <row r="210" spans="2:9" ht="19.5" x14ac:dyDescent="0.25">
      <c r="B210" s="260"/>
      <c r="C210" s="261" t="s">
        <v>15964</v>
      </c>
      <c r="D210" s="288">
        <v>43866</v>
      </c>
      <c r="E210" s="269" t="s">
        <v>15963</v>
      </c>
      <c r="F210" s="257" t="s">
        <v>14436</v>
      </c>
      <c r="G210" s="160">
        <v>50.52</v>
      </c>
      <c r="I210" s="276">
        <f t="shared" si="2"/>
        <v>23138.790000000005</v>
      </c>
    </row>
    <row r="211" spans="2:9" x14ac:dyDescent="0.25">
      <c r="B211" s="260"/>
      <c r="C211" s="261" t="s">
        <v>15962</v>
      </c>
      <c r="D211" s="288">
        <v>43866</v>
      </c>
      <c r="E211" s="269" t="s">
        <v>15961</v>
      </c>
      <c r="F211" s="257" t="s">
        <v>14436</v>
      </c>
      <c r="G211" s="160">
        <v>4613.7</v>
      </c>
      <c r="I211" s="276">
        <f t="shared" si="2"/>
        <v>27752.490000000005</v>
      </c>
    </row>
    <row r="212" spans="2:9" x14ac:dyDescent="0.25">
      <c r="B212" s="260"/>
      <c r="C212" s="261" t="s">
        <v>15960</v>
      </c>
      <c r="D212" s="288">
        <v>43866</v>
      </c>
      <c r="E212" s="269" t="s">
        <v>15959</v>
      </c>
      <c r="F212" s="257" t="s">
        <v>14441</v>
      </c>
      <c r="G212" s="258">
        <v>23.49</v>
      </c>
      <c r="I212" s="276">
        <f t="shared" ref="I212:I275" si="3">+I211+G212-H212</f>
        <v>27775.980000000007</v>
      </c>
    </row>
    <row r="213" spans="2:9" ht="19.5" x14ac:dyDescent="0.25">
      <c r="B213" s="260"/>
      <c r="C213" s="261" t="s">
        <v>15958</v>
      </c>
      <c r="D213" s="288">
        <v>43866</v>
      </c>
      <c r="E213" s="269" t="s">
        <v>15957</v>
      </c>
      <c r="F213" s="257" t="s">
        <v>14436</v>
      </c>
      <c r="G213" s="160">
        <v>17.38</v>
      </c>
      <c r="I213" s="276">
        <f t="shared" si="3"/>
        <v>27793.360000000008</v>
      </c>
    </row>
    <row r="214" spans="2:9" x14ac:dyDescent="0.25">
      <c r="B214" s="260"/>
      <c r="C214" s="261" t="s">
        <v>15956</v>
      </c>
      <c r="D214" s="288">
        <v>43866</v>
      </c>
      <c r="E214" s="269" t="s">
        <v>15955</v>
      </c>
      <c r="F214" s="257" t="s">
        <v>14441</v>
      </c>
      <c r="G214" s="258">
        <v>0.92</v>
      </c>
      <c r="I214" s="276">
        <f t="shared" si="3"/>
        <v>27794.280000000006</v>
      </c>
    </row>
    <row r="215" spans="2:9" x14ac:dyDescent="0.25">
      <c r="B215" s="260"/>
      <c r="C215" s="261" t="s">
        <v>15954</v>
      </c>
      <c r="D215" s="288">
        <v>43866</v>
      </c>
      <c r="E215" s="269" t="s">
        <v>15953</v>
      </c>
      <c r="F215" s="257" t="s">
        <v>14408</v>
      </c>
      <c r="G215" s="258">
        <v>3.65</v>
      </c>
      <c r="I215" s="276">
        <f t="shared" si="3"/>
        <v>27797.930000000008</v>
      </c>
    </row>
    <row r="216" spans="2:9" x14ac:dyDescent="0.25">
      <c r="B216" s="260"/>
      <c r="C216" s="261" t="s">
        <v>15952</v>
      </c>
      <c r="D216" s="288">
        <v>43866</v>
      </c>
      <c r="E216" s="269" t="s">
        <v>15951</v>
      </c>
      <c r="F216" s="257" t="s">
        <v>14408</v>
      </c>
      <c r="G216" s="258">
        <v>4.79</v>
      </c>
      <c r="I216" s="276">
        <f t="shared" si="3"/>
        <v>27802.720000000008</v>
      </c>
    </row>
    <row r="217" spans="2:9" x14ac:dyDescent="0.25">
      <c r="B217" s="260"/>
      <c r="C217" s="261" t="s">
        <v>15950</v>
      </c>
      <c r="D217" s="288">
        <v>43866</v>
      </c>
      <c r="E217" s="269" t="s">
        <v>15949</v>
      </c>
      <c r="F217" s="257" t="s">
        <v>14408</v>
      </c>
      <c r="G217" s="258">
        <v>5.38</v>
      </c>
      <c r="I217" s="276">
        <f t="shared" si="3"/>
        <v>27808.100000000009</v>
      </c>
    </row>
    <row r="218" spans="2:9" x14ac:dyDescent="0.25">
      <c r="B218" s="260"/>
      <c r="C218" s="261" t="s">
        <v>15948</v>
      </c>
      <c r="D218" s="288">
        <v>43866</v>
      </c>
      <c r="E218" s="269" t="s">
        <v>15947</v>
      </c>
      <c r="F218" s="257" t="s">
        <v>14408</v>
      </c>
      <c r="G218" s="258">
        <v>7.57</v>
      </c>
      <c r="I218" s="276">
        <f t="shared" si="3"/>
        <v>27815.670000000009</v>
      </c>
    </row>
    <row r="219" spans="2:9" x14ac:dyDescent="0.25">
      <c r="B219" s="260"/>
      <c r="C219" s="261" t="s">
        <v>15946</v>
      </c>
      <c r="D219" s="288">
        <v>43866</v>
      </c>
      <c r="E219" s="269" t="s">
        <v>15945</v>
      </c>
      <c r="F219" s="257" t="s">
        <v>14408</v>
      </c>
      <c r="G219" s="258">
        <v>4.46</v>
      </c>
      <c r="I219" s="276">
        <f t="shared" si="3"/>
        <v>27820.130000000008</v>
      </c>
    </row>
    <row r="220" spans="2:9" x14ac:dyDescent="0.25">
      <c r="B220" s="260"/>
      <c r="C220" s="261" t="s">
        <v>15944</v>
      </c>
      <c r="D220" s="288">
        <v>43866</v>
      </c>
      <c r="E220" s="269" t="s">
        <v>15943</v>
      </c>
      <c r="F220" s="257" t="s">
        <v>14408</v>
      </c>
      <c r="G220" s="258">
        <v>4.8600000000000003</v>
      </c>
      <c r="I220" s="276">
        <f t="shared" si="3"/>
        <v>27824.990000000009</v>
      </c>
    </row>
    <row r="221" spans="2:9" ht="19.5" x14ac:dyDescent="0.25">
      <c r="B221" s="260"/>
      <c r="C221" s="261" t="s">
        <v>15942</v>
      </c>
      <c r="D221" s="288">
        <v>43866</v>
      </c>
      <c r="E221" s="269" t="s">
        <v>15941</v>
      </c>
      <c r="F221" s="257" t="s">
        <v>14408</v>
      </c>
      <c r="G221" s="258">
        <v>4.9400000000000004</v>
      </c>
      <c r="I221" s="276">
        <f t="shared" si="3"/>
        <v>27829.930000000008</v>
      </c>
    </row>
    <row r="222" spans="2:9" x14ac:dyDescent="0.25">
      <c r="B222" s="260"/>
      <c r="C222" s="261" t="s">
        <v>15940</v>
      </c>
      <c r="D222" s="288">
        <v>43866</v>
      </c>
      <c r="E222" s="269" t="s">
        <v>15939</v>
      </c>
      <c r="F222" s="257" t="s">
        <v>14408</v>
      </c>
      <c r="G222" s="258">
        <v>2.16</v>
      </c>
      <c r="I222" s="276">
        <f t="shared" si="3"/>
        <v>27832.090000000007</v>
      </c>
    </row>
    <row r="223" spans="2:9" x14ac:dyDescent="0.25">
      <c r="B223" s="260"/>
      <c r="C223" s="261" t="s">
        <v>15938</v>
      </c>
      <c r="D223" s="288">
        <v>43866</v>
      </c>
      <c r="E223" s="269" t="s">
        <v>15937</v>
      </c>
      <c r="F223" s="257" t="s">
        <v>14408</v>
      </c>
      <c r="G223" s="258">
        <v>3.18</v>
      </c>
      <c r="I223" s="276">
        <f t="shared" si="3"/>
        <v>27835.270000000008</v>
      </c>
    </row>
    <row r="224" spans="2:9" x14ac:dyDescent="0.25">
      <c r="B224" s="260"/>
      <c r="C224" s="261" t="s">
        <v>15936</v>
      </c>
      <c r="D224" s="288">
        <v>43866</v>
      </c>
      <c r="E224" s="269" t="s">
        <v>15935</v>
      </c>
      <c r="F224" s="257" t="s">
        <v>14408</v>
      </c>
      <c r="G224" s="258">
        <v>3.42</v>
      </c>
      <c r="I224" s="276">
        <f t="shared" si="3"/>
        <v>27838.690000000006</v>
      </c>
    </row>
    <row r="225" spans="2:9" x14ac:dyDescent="0.25">
      <c r="B225" s="260"/>
      <c r="C225" s="261" t="s">
        <v>15934</v>
      </c>
      <c r="D225" s="288">
        <v>43866</v>
      </c>
      <c r="E225" s="269" t="s">
        <v>15933</v>
      </c>
      <c r="F225" s="257" t="s">
        <v>14408</v>
      </c>
      <c r="G225" s="258">
        <v>4.1100000000000003</v>
      </c>
      <c r="I225" s="276">
        <f t="shared" si="3"/>
        <v>27842.800000000007</v>
      </c>
    </row>
    <row r="226" spans="2:9" x14ac:dyDescent="0.25">
      <c r="B226" s="260"/>
      <c r="C226" s="261" t="s">
        <v>15932</v>
      </c>
      <c r="D226" s="288">
        <v>43866</v>
      </c>
      <c r="E226" s="269" t="s">
        <v>15931</v>
      </c>
      <c r="F226" s="257" t="s">
        <v>14408</v>
      </c>
      <c r="G226" s="258">
        <v>6.46</v>
      </c>
      <c r="I226" s="276">
        <f t="shared" si="3"/>
        <v>27849.260000000006</v>
      </c>
    </row>
    <row r="227" spans="2:9" x14ac:dyDescent="0.25">
      <c r="B227" s="260"/>
      <c r="C227" s="261" t="s">
        <v>15930</v>
      </c>
      <c r="D227" s="288">
        <v>43866</v>
      </c>
      <c r="E227" s="269" t="s">
        <v>15929</v>
      </c>
      <c r="F227" s="257" t="s">
        <v>14408</v>
      </c>
      <c r="G227" s="258">
        <v>39.090000000000003</v>
      </c>
      <c r="I227" s="276">
        <f t="shared" si="3"/>
        <v>27888.350000000006</v>
      </c>
    </row>
    <row r="228" spans="2:9" x14ac:dyDescent="0.25">
      <c r="B228" s="260"/>
      <c r="C228" s="261" t="s">
        <v>15928</v>
      </c>
      <c r="D228" s="288">
        <v>43866</v>
      </c>
      <c r="E228" s="269" t="s">
        <v>15927</v>
      </c>
      <c r="F228" s="257" t="s">
        <v>14408</v>
      </c>
      <c r="G228" s="258">
        <v>5.64</v>
      </c>
      <c r="I228" s="276">
        <f t="shared" si="3"/>
        <v>27893.990000000005</v>
      </c>
    </row>
    <row r="229" spans="2:9" x14ac:dyDescent="0.25">
      <c r="B229" s="260"/>
      <c r="C229" s="261" t="s">
        <v>15926</v>
      </c>
      <c r="D229" s="288">
        <v>43866</v>
      </c>
      <c r="E229" s="269" t="s">
        <v>15925</v>
      </c>
      <c r="F229" s="257" t="s">
        <v>14408</v>
      </c>
      <c r="G229" s="258">
        <v>5.79</v>
      </c>
      <c r="I229" s="276">
        <f t="shared" si="3"/>
        <v>27899.780000000006</v>
      </c>
    </row>
    <row r="230" spans="2:9" x14ac:dyDescent="0.25">
      <c r="B230" s="260"/>
      <c r="C230" s="261" t="s">
        <v>15924</v>
      </c>
      <c r="D230" s="288">
        <v>43866</v>
      </c>
      <c r="E230" s="269" t="s">
        <v>15923</v>
      </c>
      <c r="F230" s="257" t="s">
        <v>14408</v>
      </c>
      <c r="G230" s="258">
        <v>22.69</v>
      </c>
      <c r="I230" s="276">
        <f t="shared" si="3"/>
        <v>27922.470000000005</v>
      </c>
    </row>
    <row r="231" spans="2:9" x14ac:dyDescent="0.25">
      <c r="B231" s="260"/>
      <c r="C231" s="261" t="s">
        <v>15922</v>
      </c>
      <c r="D231" s="288">
        <v>43866</v>
      </c>
      <c r="E231" s="269" t="s">
        <v>15921</v>
      </c>
      <c r="F231" s="257" t="s">
        <v>14408</v>
      </c>
      <c r="G231" s="258">
        <v>10.1</v>
      </c>
      <c r="I231" s="276">
        <f t="shared" si="3"/>
        <v>27932.570000000003</v>
      </c>
    </row>
    <row r="232" spans="2:9" x14ac:dyDescent="0.25">
      <c r="B232" s="260"/>
      <c r="C232" s="261" t="s">
        <v>15920</v>
      </c>
      <c r="D232" s="288">
        <v>43866</v>
      </c>
      <c r="E232" s="269" t="s">
        <v>15919</v>
      </c>
      <c r="F232" s="257" t="s">
        <v>14408</v>
      </c>
      <c r="G232" s="258">
        <v>32.479999999999997</v>
      </c>
      <c r="I232" s="276">
        <f t="shared" si="3"/>
        <v>27965.050000000003</v>
      </c>
    </row>
    <row r="233" spans="2:9" x14ac:dyDescent="0.25">
      <c r="B233" s="260"/>
      <c r="C233" s="261" t="s">
        <v>15918</v>
      </c>
      <c r="D233" s="288">
        <v>43866</v>
      </c>
      <c r="E233" s="269" t="s">
        <v>15917</v>
      </c>
      <c r="F233" s="257" t="s">
        <v>14408</v>
      </c>
      <c r="G233" s="258">
        <v>5.6</v>
      </c>
      <c r="I233" s="276">
        <f t="shared" si="3"/>
        <v>27970.65</v>
      </c>
    </row>
    <row r="234" spans="2:9" x14ac:dyDescent="0.25">
      <c r="B234" s="260"/>
      <c r="C234" s="261" t="s">
        <v>15916</v>
      </c>
      <c r="D234" s="288">
        <v>43866</v>
      </c>
      <c r="E234" s="269" t="s">
        <v>15915</v>
      </c>
      <c r="F234" s="257" t="s">
        <v>14408</v>
      </c>
      <c r="G234" s="258">
        <v>12.76</v>
      </c>
      <c r="I234" s="276">
        <f t="shared" si="3"/>
        <v>27983.41</v>
      </c>
    </row>
    <row r="235" spans="2:9" x14ac:dyDescent="0.25">
      <c r="B235" s="260"/>
      <c r="C235" s="261" t="s">
        <v>15914</v>
      </c>
      <c r="D235" s="288">
        <v>43866</v>
      </c>
      <c r="E235" s="269" t="s">
        <v>15913</v>
      </c>
      <c r="F235" s="257" t="s">
        <v>14408</v>
      </c>
      <c r="G235" s="258">
        <v>20.04</v>
      </c>
      <c r="I235" s="276">
        <f t="shared" si="3"/>
        <v>28003.45</v>
      </c>
    </row>
    <row r="236" spans="2:9" x14ac:dyDescent="0.25">
      <c r="B236" s="260"/>
      <c r="C236" s="261" t="s">
        <v>15912</v>
      </c>
      <c r="D236" s="288">
        <v>43866</v>
      </c>
      <c r="E236" s="269" t="s">
        <v>15911</v>
      </c>
      <c r="F236" s="257" t="s">
        <v>14408</v>
      </c>
      <c r="G236" s="258">
        <v>15.38</v>
      </c>
      <c r="I236" s="276">
        <f t="shared" si="3"/>
        <v>28018.83</v>
      </c>
    </row>
    <row r="237" spans="2:9" x14ac:dyDescent="0.25">
      <c r="B237" s="260"/>
      <c r="C237" s="261" t="s">
        <v>15910</v>
      </c>
      <c r="D237" s="288">
        <v>43866</v>
      </c>
      <c r="E237" s="269" t="s">
        <v>15909</v>
      </c>
      <c r="F237" s="257" t="s">
        <v>14408</v>
      </c>
      <c r="G237" s="258">
        <v>5.04</v>
      </c>
      <c r="I237" s="276">
        <f t="shared" si="3"/>
        <v>28023.870000000003</v>
      </c>
    </row>
    <row r="238" spans="2:9" x14ac:dyDescent="0.25">
      <c r="B238" s="260"/>
      <c r="C238" s="261" t="s">
        <v>15908</v>
      </c>
      <c r="D238" s="288">
        <v>43866</v>
      </c>
      <c r="E238" s="269" t="s">
        <v>15907</v>
      </c>
      <c r="F238" s="257" t="s">
        <v>14408</v>
      </c>
      <c r="G238" s="258">
        <v>25.14</v>
      </c>
      <c r="I238" s="276">
        <f t="shared" si="3"/>
        <v>28049.010000000002</v>
      </c>
    </row>
    <row r="239" spans="2:9" x14ac:dyDescent="0.25">
      <c r="B239" s="260"/>
      <c r="C239" s="261" t="s">
        <v>15906</v>
      </c>
      <c r="D239" s="288">
        <v>43866</v>
      </c>
      <c r="E239" s="269" t="s">
        <v>15905</v>
      </c>
      <c r="F239" s="257" t="s">
        <v>14408</v>
      </c>
      <c r="G239" s="258">
        <v>7.65</v>
      </c>
      <c r="I239" s="276">
        <f t="shared" si="3"/>
        <v>28056.660000000003</v>
      </c>
    </row>
    <row r="240" spans="2:9" x14ac:dyDescent="0.25">
      <c r="B240" s="260"/>
      <c r="C240" s="261" t="s">
        <v>15904</v>
      </c>
      <c r="D240" s="288">
        <v>43866</v>
      </c>
      <c r="E240" s="269" t="s">
        <v>15903</v>
      </c>
      <c r="F240" s="257" t="s">
        <v>14408</v>
      </c>
      <c r="G240" s="258">
        <v>2.42</v>
      </c>
      <c r="I240" s="276">
        <f t="shared" si="3"/>
        <v>28059.08</v>
      </c>
    </row>
    <row r="241" spans="2:9" x14ac:dyDescent="0.25">
      <c r="B241" s="260"/>
      <c r="C241" s="261" t="s">
        <v>15902</v>
      </c>
      <c r="D241" s="288">
        <v>43866</v>
      </c>
      <c r="E241" s="269" t="s">
        <v>15901</v>
      </c>
      <c r="F241" s="257" t="s">
        <v>14408</v>
      </c>
      <c r="G241" s="258">
        <v>4.42</v>
      </c>
      <c r="I241" s="276">
        <f t="shared" si="3"/>
        <v>28063.5</v>
      </c>
    </row>
    <row r="242" spans="2:9" x14ac:dyDescent="0.25">
      <c r="B242" s="260"/>
      <c r="C242" s="261" t="s">
        <v>15900</v>
      </c>
      <c r="D242" s="288">
        <v>43866</v>
      </c>
      <c r="E242" s="269" t="s">
        <v>15899</v>
      </c>
      <c r="F242" s="257" t="s">
        <v>14408</v>
      </c>
      <c r="G242" s="258">
        <v>8.3800000000000008</v>
      </c>
      <c r="I242" s="276">
        <f t="shared" si="3"/>
        <v>28071.88</v>
      </c>
    </row>
    <row r="243" spans="2:9" x14ac:dyDescent="0.25">
      <c r="B243" s="260"/>
      <c r="C243" s="261" t="s">
        <v>15898</v>
      </c>
      <c r="D243" s="288">
        <v>43866</v>
      </c>
      <c r="E243" s="269" t="s">
        <v>15897</v>
      </c>
      <c r="F243" s="257" t="s">
        <v>14408</v>
      </c>
      <c r="G243" s="258">
        <v>3.62</v>
      </c>
      <c r="I243" s="276">
        <f t="shared" si="3"/>
        <v>28075.5</v>
      </c>
    </row>
    <row r="244" spans="2:9" x14ac:dyDescent="0.25">
      <c r="B244" s="260"/>
      <c r="C244" s="261" t="s">
        <v>15896</v>
      </c>
      <c r="D244" s="288">
        <v>43866</v>
      </c>
      <c r="E244" s="269" t="s">
        <v>15895</v>
      </c>
      <c r="F244" s="257" t="s">
        <v>14408</v>
      </c>
      <c r="G244" s="258">
        <v>4.2300000000000004</v>
      </c>
      <c r="I244" s="276">
        <f t="shared" si="3"/>
        <v>28079.73</v>
      </c>
    </row>
    <row r="245" spans="2:9" x14ac:dyDescent="0.25">
      <c r="B245" s="260"/>
      <c r="C245" s="261" t="s">
        <v>15894</v>
      </c>
      <c r="D245" s="288">
        <v>43866</v>
      </c>
      <c r="E245" s="269" t="s">
        <v>15893</v>
      </c>
      <c r="F245" s="257" t="s">
        <v>14408</v>
      </c>
      <c r="G245" s="258">
        <v>7.82</v>
      </c>
      <c r="I245" s="276">
        <f t="shared" si="3"/>
        <v>28087.55</v>
      </c>
    </row>
    <row r="246" spans="2:9" x14ac:dyDescent="0.25">
      <c r="B246" s="260"/>
      <c r="C246" s="261" t="s">
        <v>15892</v>
      </c>
      <c r="D246" s="288">
        <v>43866</v>
      </c>
      <c r="E246" s="269" t="s">
        <v>15891</v>
      </c>
      <c r="F246" s="257" t="s">
        <v>14408</v>
      </c>
      <c r="G246" s="258">
        <v>30.58</v>
      </c>
      <c r="I246" s="276">
        <f t="shared" si="3"/>
        <v>28118.13</v>
      </c>
    </row>
    <row r="247" spans="2:9" x14ac:dyDescent="0.25">
      <c r="B247" s="260"/>
      <c r="C247" s="261" t="s">
        <v>15890</v>
      </c>
      <c r="D247" s="288">
        <v>43866</v>
      </c>
      <c r="E247" s="269" t="s">
        <v>15889</v>
      </c>
      <c r="F247" s="257" t="s">
        <v>14408</v>
      </c>
      <c r="G247" s="258">
        <v>10.28</v>
      </c>
      <c r="I247" s="276">
        <f t="shared" si="3"/>
        <v>28128.41</v>
      </c>
    </row>
    <row r="248" spans="2:9" x14ac:dyDescent="0.25">
      <c r="B248" s="260"/>
      <c r="C248" s="261" t="s">
        <v>15888</v>
      </c>
      <c r="D248" s="288">
        <v>43866</v>
      </c>
      <c r="E248" s="269" t="s">
        <v>15887</v>
      </c>
      <c r="F248" s="257" t="s">
        <v>14408</v>
      </c>
      <c r="G248" s="258">
        <v>0.56999999999999995</v>
      </c>
      <c r="I248" s="276">
        <f t="shared" si="3"/>
        <v>28128.98</v>
      </c>
    </row>
    <row r="249" spans="2:9" x14ac:dyDescent="0.25">
      <c r="B249" s="260"/>
      <c r="C249" s="261" t="s">
        <v>15886</v>
      </c>
      <c r="D249" s="288">
        <v>43866</v>
      </c>
      <c r="E249" s="269" t="s">
        <v>15885</v>
      </c>
      <c r="F249" s="257" t="s">
        <v>14408</v>
      </c>
      <c r="G249" s="258">
        <v>5.45</v>
      </c>
      <c r="I249" s="276">
        <f t="shared" si="3"/>
        <v>28134.43</v>
      </c>
    </row>
    <row r="250" spans="2:9" x14ac:dyDescent="0.25">
      <c r="B250" s="260"/>
      <c r="C250" s="261" t="s">
        <v>15884</v>
      </c>
      <c r="D250" s="288">
        <v>43866</v>
      </c>
      <c r="E250" s="269" t="s">
        <v>15883</v>
      </c>
      <c r="F250" s="257" t="s">
        <v>14408</v>
      </c>
      <c r="G250" s="258">
        <v>3.95</v>
      </c>
      <c r="I250" s="276">
        <f t="shared" si="3"/>
        <v>28138.38</v>
      </c>
    </row>
    <row r="251" spans="2:9" x14ac:dyDescent="0.25">
      <c r="B251" s="260"/>
      <c r="C251" s="261" t="s">
        <v>15882</v>
      </c>
      <c r="D251" s="288">
        <v>43866</v>
      </c>
      <c r="E251" s="269" t="s">
        <v>15881</v>
      </c>
      <c r="F251" s="257" t="s">
        <v>14408</v>
      </c>
      <c r="G251" s="258">
        <v>3.4</v>
      </c>
      <c r="I251" s="276">
        <f t="shared" si="3"/>
        <v>28141.780000000002</v>
      </c>
    </row>
    <row r="252" spans="2:9" x14ac:dyDescent="0.25">
      <c r="B252" s="260"/>
      <c r="C252" s="261" t="s">
        <v>15880</v>
      </c>
      <c r="D252" s="288">
        <v>43866</v>
      </c>
      <c r="E252" s="269" t="s">
        <v>15879</v>
      </c>
      <c r="F252" s="257" t="s">
        <v>14408</v>
      </c>
      <c r="G252" s="258">
        <v>3.91</v>
      </c>
      <c r="I252" s="276">
        <f t="shared" si="3"/>
        <v>28145.690000000002</v>
      </c>
    </row>
    <row r="253" spans="2:9" x14ac:dyDescent="0.25">
      <c r="B253" s="260"/>
      <c r="C253" s="261" t="s">
        <v>15878</v>
      </c>
      <c r="D253" s="288">
        <v>43866</v>
      </c>
      <c r="E253" s="269" t="s">
        <v>15877</v>
      </c>
      <c r="F253" s="257" t="s">
        <v>14408</v>
      </c>
      <c r="G253" s="258">
        <v>0.91</v>
      </c>
      <c r="I253" s="276">
        <f t="shared" si="3"/>
        <v>28146.600000000002</v>
      </c>
    </row>
    <row r="254" spans="2:9" x14ac:dyDescent="0.25">
      <c r="B254" s="260"/>
      <c r="C254" s="261" t="s">
        <v>15876</v>
      </c>
      <c r="D254" s="288">
        <v>43866</v>
      </c>
      <c r="E254" s="269" t="s">
        <v>15875</v>
      </c>
      <c r="F254" s="257" t="s">
        <v>14408</v>
      </c>
      <c r="G254" s="258">
        <v>6.1</v>
      </c>
      <c r="I254" s="276">
        <f t="shared" si="3"/>
        <v>28152.7</v>
      </c>
    </row>
    <row r="255" spans="2:9" x14ac:dyDescent="0.25">
      <c r="B255" s="260"/>
      <c r="C255" s="261" t="s">
        <v>15874</v>
      </c>
      <c r="D255" s="288">
        <v>43866</v>
      </c>
      <c r="E255" s="269" t="s">
        <v>15873</v>
      </c>
      <c r="F255" s="257" t="s">
        <v>14408</v>
      </c>
      <c r="G255" s="258">
        <v>11.25</v>
      </c>
      <c r="I255" s="276">
        <f t="shared" si="3"/>
        <v>28163.95</v>
      </c>
    </row>
    <row r="256" spans="2:9" ht="19.5" x14ac:dyDescent="0.25">
      <c r="B256" s="260"/>
      <c r="C256" s="261" t="s">
        <v>15872</v>
      </c>
      <c r="D256" s="288">
        <v>43866</v>
      </c>
      <c r="E256" s="269" t="s">
        <v>15871</v>
      </c>
      <c r="F256" s="257" t="s">
        <v>14408</v>
      </c>
      <c r="G256" s="258">
        <v>33.79</v>
      </c>
      <c r="I256" s="276">
        <f t="shared" si="3"/>
        <v>28197.74</v>
      </c>
    </row>
    <row r="257" spans="2:9" x14ac:dyDescent="0.25">
      <c r="B257" s="260"/>
      <c r="C257" s="261" t="s">
        <v>15870</v>
      </c>
      <c r="D257" s="288">
        <v>43866</v>
      </c>
      <c r="E257" s="269" t="s">
        <v>15869</v>
      </c>
      <c r="F257" s="257" t="s">
        <v>14408</v>
      </c>
      <c r="G257" s="258">
        <v>14.93</v>
      </c>
      <c r="I257" s="276">
        <f t="shared" si="3"/>
        <v>28212.670000000002</v>
      </c>
    </row>
    <row r="258" spans="2:9" x14ac:dyDescent="0.25">
      <c r="B258" s="260"/>
      <c r="C258" s="261" t="s">
        <v>15868</v>
      </c>
      <c r="D258" s="288">
        <v>43866</v>
      </c>
      <c r="E258" s="269" t="s">
        <v>15867</v>
      </c>
      <c r="F258" s="257" t="s">
        <v>14408</v>
      </c>
      <c r="G258" s="258">
        <v>7.31</v>
      </c>
      <c r="I258" s="276">
        <f t="shared" si="3"/>
        <v>28219.980000000003</v>
      </c>
    </row>
    <row r="259" spans="2:9" ht="19.5" x14ac:dyDescent="0.25">
      <c r="B259" s="260"/>
      <c r="C259" s="261" t="s">
        <v>15866</v>
      </c>
      <c r="D259" s="288">
        <v>43866</v>
      </c>
      <c r="E259" s="269" t="s">
        <v>15865</v>
      </c>
      <c r="F259" s="257" t="s">
        <v>14408</v>
      </c>
      <c r="G259" s="258">
        <v>17.75</v>
      </c>
      <c r="I259" s="276">
        <f t="shared" si="3"/>
        <v>28237.730000000003</v>
      </c>
    </row>
    <row r="260" spans="2:9" x14ac:dyDescent="0.25">
      <c r="B260" s="260"/>
      <c r="C260" s="261" t="s">
        <v>15864</v>
      </c>
      <c r="D260" s="288">
        <v>43866</v>
      </c>
      <c r="E260" s="269" t="s">
        <v>15863</v>
      </c>
      <c r="F260" s="257" t="s">
        <v>14408</v>
      </c>
      <c r="G260" s="258">
        <v>12.34</v>
      </c>
      <c r="I260" s="276">
        <f t="shared" si="3"/>
        <v>28250.070000000003</v>
      </c>
    </row>
    <row r="261" spans="2:9" x14ac:dyDescent="0.25">
      <c r="B261" s="260"/>
      <c r="C261" s="261" t="s">
        <v>15862</v>
      </c>
      <c r="D261" s="288">
        <v>43866</v>
      </c>
      <c r="E261" s="269" t="s">
        <v>15861</v>
      </c>
      <c r="F261" s="257" t="s">
        <v>14408</v>
      </c>
      <c r="G261" s="258">
        <v>3.8</v>
      </c>
      <c r="I261" s="276">
        <f t="shared" si="3"/>
        <v>28253.870000000003</v>
      </c>
    </row>
    <row r="262" spans="2:9" x14ac:dyDescent="0.25">
      <c r="B262" s="260"/>
      <c r="C262" s="261" t="s">
        <v>15860</v>
      </c>
      <c r="D262" s="288">
        <v>43866</v>
      </c>
      <c r="E262" s="269" t="s">
        <v>15859</v>
      </c>
      <c r="F262" s="257" t="s">
        <v>14408</v>
      </c>
      <c r="G262" s="258">
        <v>7.81</v>
      </c>
      <c r="I262" s="276">
        <f t="shared" si="3"/>
        <v>28261.680000000004</v>
      </c>
    </row>
    <row r="263" spans="2:9" x14ac:dyDescent="0.25">
      <c r="B263" s="260"/>
      <c r="C263" s="261" t="s">
        <v>15858</v>
      </c>
      <c r="D263" s="288">
        <v>43866</v>
      </c>
      <c r="E263" s="269" t="s">
        <v>15857</v>
      </c>
      <c r="F263" s="257" t="s">
        <v>14408</v>
      </c>
      <c r="G263" s="258">
        <v>16.760000000000002</v>
      </c>
      <c r="I263" s="276">
        <f t="shared" si="3"/>
        <v>28278.440000000002</v>
      </c>
    </row>
    <row r="264" spans="2:9" x14ac:dyDescent="0.25">
      <c r="B264" s="260"/>
      <c r="C264" s="261" t="s">
        <v>15856</v>
      </c>
      <c r="D264" s="288">
        <v>43866</v>
      </c>
      <c r="E264" s="269" t="s">
        <v>15855</v>
      </c>
      <c r="F264" s="257" t="s">
        <v>14408</v>
      </c>
      <c r="G264" s="258">
        <v>6.01</v>
      </c>
      <c r="I264" s="276">
        <f t="shared" si="3"/>
        <v>28284.45</v>
      </c>
    </row>
    <row r="265" spans="2:9" x14ac:dyDescent="0.2">
      <c r="B265" s="260"/>
      <c r="C265" s="261" t="s">
        <v>15854</v>
      </c>
      <c r="D265" s="288">
        <v>43866</v>
      </c>
      <c r="E265" s="269" t="s">
        <v>15853</v>
      </c>
      <c r="F265" s="257">
        <v>3</v>
      </c>
      <c r="G265" s="255">
        <v>1.74</v>
      </c>
      <c r="H265" s="103"/>
      <c r="I265" s="276">
        <f t="shared" si="3"/>
        <v>28286.190000000002</v>
      </c>
    </row>
    <row r="266" spans="2:9" x14ac:dyDescent="0.2">
      <c r="B266" s="260"/>
      <c r="C266" s="261" t="s">
        <v>15852</v>
      </c>
      <c r="D266" s="288">
        <v>43866</v>
      </c>
      <c r="E266" s="269" t="s">
        <v>15851</v>
      </c>
      <c r="F266" s="257">
        <v>3</v>
      </c>
      <c r="G266" s="255">
        <v>2.82</v>
      </c>
      <c r="H266" s="103"/>
      <c r="I266" s="276">
        <f t="shared" si="3"/>
        <v>28289.010000000002</v>
      </c>
    </row>
    <row r="267" spans="2:9" x14ac:dyDescent="0.2">
      <c r="B267" s="260"/>
      <c r="C267" s="261" t="s">
        <v>15850</v>
      </c>
      <c r="D267" s="288">
        <v>43866</v>
      </c>
      <c r="E267" s="269" t="s">
        <v>15849</v>
      </c>
      <c r="F267" s="257">
        <v>3</v>
      </c>
      <c r="G267" s="255">
        <v>13.88</v>
      </c>
      <c r="H267" s="103"/>
      <c r="I267" s="276">
        <f t="shared" si="3"/>
        <v>28302.890000000003</v>
      </c>
    </row>
    <row r="268" spans="2:9" x14ac:dyDescent="0.2">
      <c r="B268" s="260"/>
      <c r="C268" s="261" t="s">
        <v>15848</v>
      </c>
      <c r="D268" s="288">
        <v>43866</v>
      </c>
      <c r="E268" s="269" t="s">
        <v>15847</v>
      </c>
      <c r="F268" s="257">
        <v>3</v>
      </c>
      <c r="G268" s="255">
        <v>3.67</v>
      </c>
      <c r="H268" s="103"/>
      <c r="I268" s="276">
        <f t="shared" si="3"/>
        <v>28306.560000000001</v>
      </c>
    </row>
    <row r="269" spans="2:9" x14ac:dyDescent="0.2">
      <c r="B269" s="260"/>
      <c r="C269" s="261" t="s">
        <v>15846</v>
      </c>
      <c r="D269" s="288">
        <v>43866</v>
      </c>
      <c r="E269" s="269" t="s">
        <v>15845</v>
      </c>
      <c r="F269" s="257">
        <v>3</v>
      </c>
      <c r="G269" s="255">
        <v>4.26</v>
      </c>
      <c r="H269" s="103"/>
      <c r="I269" s="276">
        <f t="shared" si="3"/>
        <v>28310.82</v>
      </c>
    </row>
    <row r="270" spans="2:9" x14ac:dyDescent="0.2">
      <c r="B270" s="260"/>
      <c r="C270" s="261" t="s">
        <v>15844</v>
      </c>
      <c r="D270" s="288">
        <v>43866</v>
      </c>
      <c r="E270" s="269" t="s">
        <v>15843</v>
      </c>
      <c r="F270" s="257">
        <v>3</v>
      </c>
      <c r="G270" s="255">
        <v>3.47</v>
      </c>
      <c r="H270" s="103"/>
      <c r="I270" s="276">
        <f t="shared" si="3"/>
        <v>28314.29</v>
      </c>
    </row>
    <row r="271" spans="2:9" x14ac:dyDescent="0.2">
      <c r="B271" s="260"/>
      <c r="C271" s="261" t="s">
        <v>15842</v>
      </c>
      <c r="D271" s="288">
        <v>43866</v>
      </c>
      <c r="E271" s="269" t="s">
        <v>15841</v>
      </c>
      <c r="F271" s="257">
        <v>3</v>
      </c>
      <c r="G271" s="255">
        <v>2.52</v>
      </c>
      <c r="H271" s="103"/>
      <c r="I271" s="276">
        <f t="shared" si="3"/>
        <v>28316.81</v>
      </c>
    </row>
    <row r="272" spans="2:9" x14ac:dyDescent="0.2">
      <c r="B272" s="260"/>
      <c r="C272" s="261" t="s">
        <v>15840</v>
      </c>
      <c r="D272" s="288">
        <v>43866</v>
      </c>
      <c r="E272" s="269" t="s">
        <v>15839</v>
      </c>
      <c r="F272" s="257">
        <v>3</v>
      </c>
      <c r="G272" s="255">
        <v>3.85</v>
      </c>
      <c r="H272" s="103"/>
      <c r="I272" s="276">
        <f t="shared" si="3"/>
        <v>28320.66</v>
      </c>
    </row>
    <row r="273" spans="2:9" x14ac:dyDescent="0.2">
      <c r="B273" s="260"/>
      <c r="C273" s="261" t="s">
        <v>15838</v>
      </c>
      <c r="D273" s="288">
        <v>43866</v>
      </c>
      <c r="E273" s="269" t="s">
        <v>15837</v>
      </c>
      <c r="F273" s="257">
        <v>3</v>
      </c>
      <c r="G273" s="255">
        <v>3.4</v>
      </c>
      <c r="H273" s="103"/>
      <c r="I273" s="276">
        <f t="shared" si="3"/>
        <v>28324.06</v>
      </c>
    </row>
    <row r="274" spans="2:9" x14ac:dyDescent="0.2">
      <c r="B274" s="260"/>
      <c r="C274" s="261" t="s">
        <v>15836</v>
      </c>
      <c r="D274" s="288">
        <v>43866</v>
      </c>
      <c r="E274" s="269" t="s">
        <v>15835</v>
      </c>
      <c r="F274" s="257">
        <v>3</v>
      </c>
      <c r="G274" s="255">
        <v>1.94</v>
      </c>
      <c r="H274" s="103"/>
      <c r="I274" s="276">
        <f t="shared" si="3"/>
        <v>28326</v>
      </c>
    </row>
    <row r="275" spans="2:9" x14ac:dyDescent="0.2">
      <c r="B275" s="260"/>
      <c r="C275" s="261" t="s">
        <v>15834</v>
      </c>
      <c r="D275" s="288">
        <v>43866</v>
      </c>
      <c r="E275" s="269" t="s">
        <v>15833</v>
      </c>
      <c r="F275" s="257">
        <v>3</v>
      </c>
      <c r="G275" s="255">
        <v>15.3</v>
      </c>
      <c r="H275" s="103"/>
      <c r="I275" s="276">
        <f t="shared" si="3"/>
        <v>28341.3</v>
      </c>
    </row>
    <row r="276" spans="2:9" x14ac:dyDescent="0.2">
      <c r="B276" s="260"/>
      <c r="C276" s="261" t="s">
        <v>15832</v>
      </c>
      <c r="D276" s="288">
        <v>43866</v>
      </c>
      <c r="E276" s="269" t="s">
        <v>15831</v>
      </c>
      <c r="F276" s="257">
        <v>3</v>
      </c>
      <c r="G276" s="255">
        <v>8.3800000000000008</v>
      </c>
      <c r="H276" s="103"/>
      <c r="I276" s="276">
        <f t="shared" ref="I276:I339" si="4">+I275+G276-H276</f>
        <v>28349.68</v>
      </c>
    </row>
    <row r="277" spans="2:9" ht="19.5" x14ac:dyDescent="0.2">
      <c r="B277" s="260"/>
      <c r="C277" s="261" t="s">
        <v>15830</v>
      </c>
      <c r="D277" s="288">
        <v>43866</v>
      </c>
      <c r="E277" s="269" t="s">
        <v>15829</v>
      </c>
      <c r="F277" s="257">
        <v>3</v>
      </c>
      <c r="G277" s="255">
        <v>8.4600000000000009</v>
      </c>
      <c r="H277" s="103"/>
      <c r="I277" s="276">
        <f t="shared" si="4"/>
        <v>28358.14</v>
      </c>
    </row>
    <row r="278" spans="2:9" x14ac:dyDescent="0.2">
      <c r="B278" s="260"/>
      <c r="C278" s="261" t="s">
        <v>15828</v>
      </c>
      <c r="D278" s="288">
        <v>43866</v>
      </c>
      <c r="E278" s="269" t="s">
        <v>15827</v>
      </c>
      <c r="F278" s="257">
        <v>3</v>
      </c>
      <c r="G278" s="255">
        <v>5.04</v>
      </c>
      <c r="H278" s="103"/>
      <c r="I278" s="276">
        <f t="shared" si="4"/>
        <v>28363.18</v>
      </c>
    </row>
    <row r="279" spans="2:9" x14ac:dyDescent="0.2">
      <c r="B279" s="260"/>
      <c r="C279" s="261" t="s">
        <v>15826</v>
      </c>
      <c r="D279" s="288">
        <v>43866</v>
      </c>
      <c r="E279" s="269" t="s">
        <v>15825</v>
      </c>
      <c r="F279" s="257">
        <v>3</v>
      </c>
      <c r="G279" s="255">
        <v>18.18</v>
      </c>
      <c r="H279" s="103"/>
      <c r="I279" s="276">
        <f t="shared" si="4"/>
        <v>28381.360000000001</v>
      </c>
    </row>
    <row r="280" spans="2:9" x14ac:dyDescent="0.2">
      <c r="B280" s="260"/>
      <c r="C280" s="261" t="s">
        <v>15824</v>
      </c>
      <c r="D280" s="288">
        <v>43866</v>
      </c>
      <c r="E280" s="269" t="s">
        <v>15823</v>
      </c>
      <c r="F280" s="257">
        <v>3</v>
      </c>
      <c r="G280" s="255">
        <v>12.3</v>
      </c>
      <c r="H280" s="103"/>
      <c r="I280" s="276">
        <f t="shared" si="4"/>
        <v>28393.66</v>
      </c>
    </row>
    <row r="281" spans="2:9" x14ac:dyDescent="0.25">
      <c r="B281" s="260"/>
      <c r="C281" s="261" t="s">
        <v>15822</v>
      </c>
      <c r="D281" s="288">
        <v>43866</v>
      </c>
      <c r="E281" s="269" t="s">
        <v>15821</v>
      </c>
      <c r="F281" s="257" t="s">
        <v>14437</v>
      </c>
      <c r="G281" s="160">
        <v>9.09</v>
      </c>
      <c r="I281" s="276">
        <f t="shared" si="4"/>
        <v>28402.75</v>
      </c>
    </row>
    <row r="282" spans="2:9" x14ac:dyDescent="0.25">
      <c r="B282" s="260"/>
      <c r="C282" s="261" t="s">
        <v>15820</v>
      </c>
      <c r="D282" s="288">
        <v>43866</v>
      </c>
      <c r="E282" s="269" t="s">
        <v>15819</v>
      </c>
      <c r="F282" s="257" t="s">
        <v>14437</v>
      </c>
      <c r="G282" s="160">
        <v>19.3</v>
      </c>
      <c r="I282" s="276">
        <f t="shared" si="4"/>
        <v>28422.05</v>
      </c>
    </row>
    <row r="283" spans="2:9" x14ac:dyDescent="0.25">
      <c r="B283" s="260"/>
      <c r="C283" s="261" t="s">
        <v>15818</v>
      </c>
      <c r="D283" s="288">
        <v>43866</v>
      </c>
      <c r="E283" s="269" t="s">
        <v>15817</v>
      </c>
      <c r="F283" s="257" t="s">
        <v>14437</v>
      </c>
      <c r="G283" s="160">
        <v>10</v>
      </c>
      <c r="I283" s="276">
        <f t="shared" si="4"/>
        <v>28432.05</v>
      </c>
    </row>
    <row r="284" spans="2:9" x14ac:dyDescent="0.25">
      <c r="B284" s="260"/>
      <c r="C284" s="261" t="s">
        <v>15816</v>
      </c>
      <c r="D284" s="288">
        <v>43866</v>
      </c>
      <c r="E284" s="269" t="s">
        <v>15815</v>
      </c>
      <c r="F284" s="257" t="s">
        <v>14436</v>
      </c>
      <c r="G284" s="160">
        <v>77.19</v>
      </c>
      <c r="I284" s="276">
        <f t="shared" si="4"/>
        <v>28509.239999999998</v>
      </c>
    </row>
    <row r="285" spans="2:9" x14ac:dyDescent="0.25">
      <c r="B285" s="260"/>
      <c r="C285" s="261" t="s">
        <v>15814</v>
      </c>
      <c r="D285" s="288">
        <v>43866</v>
      </c>
      <c r="E285" s="269" t="s">
        <v>15813</v>
      </c>
      <c r="F285" s="257" t="s">
        <v>14436</v>
      </c>
      <c r="G285" s="160">
        <v>19.75</v>
      </c>
      <c r="I285" s="276">
        <f t="shared" si="4"/>
        <v>28528.989999999998</v>
      </c>
    </row>
    <row r="286" spans="2:9" x14ac:dyDescent="0.25">
      <c r="B286" s="260"/>
      <c r="C286" s="261" t="s">
        <v>15812</v>
      </c>
      <c r="D286" s="288">
        <v>43867</v>
      </c>
      <c r="E286" s="269" t="s">
        <v>15811</v>
      </c>
      <c r="F286" s="257" t="s">
        <v>14442</v>
      </c>
      <c r="G286" s="258">
        <v>24</v>
      </c>
      <c r="I286" s="276">
        <f t="shared" si="4"/>
        <v>28552.989999999998</v>
      </c>
    </row>
    <row r="287" spans="2:9" x14ac:dyDescent="0.25">
      <c r="B287" s="260"/>
      <c r="C287" s="261" t="s">
        <v>15810</v>
      </c>
      <c r="D287" s="288">
        <v>43867</v>
      </c>
      <c r="E287" s="269" t="s">
        <v>15809</v>
      </c>
      <c r="F287" s="257" t="s">
        <v>14442</v>
      </c>
      <c r="G287" s="258">
        <v>8.3800000000000008</v>
      </c>
      <c r="I287" s="276">
        <f t="shared" si="4"/>
        <v>28561.37</v>
      </c>
    </row>
    <row r="288" spans="2:9" x14ac:dyDescent="0.25">
      <c r="B288" s="260"/>
      <c r="C288" s="261" t="s">
        <v>15808</v>
      </c>
      <c r="D288" s="288">
        <v>43867</v>
      </c>
      <c r="E288" s="269" t="s">
        <v>15807</v>
      </c>
      <c r="F288" s="257" t="s">
        <v>14442</v>
      </c>
      <c r="G288" s="258">
        <v>5.17</v>
      </c>
      <c r="I288" s="276">
        <f t="shared" si="4"/>
        <v>28566.539999999997</v>
      </c>
    </row>
    <row r="289" spans="2:9" x14ac:dyDescent="0.25">
      <c r="B289" s="260"/>
      <c r="C289" s="261" t="s">
        <v>15806</v>
      </c>
      <c r="D289" s="288">
        <v>43867</v>
      </c>
      <c r="E289" s="269" t="s">
        <v>15805</v>
      </c>
      <c r="F289" s="257" t="s">
        <v>14442</v>
      </c>
      <c r="G289" s="258">
        <v>5.3</v>
      </c>
      <c r="I289" s="276">
        <f t="shared" si="4"/>
        <v>28571.839999999997</v>
      </c>
    </row>
    <row r="290" spans="2:9" x14ac:dyDescent="0.25">
      <c r="B290" s="260"/>
      <c r="C290" s="261" t="s">
        <v>15804</v>
      </c>
      <c r="D290" s="288">
        <v>43867</v>
      </c>
      <c r="E290" s="269" t="s">
        <v>15803</v>
      </c>
      <c r="F290" s="257" t="s">
        <v>14442</v>
      </c>
      <c r="G290" s="258">
        <v>1.28</v>
      </c>
      <c r="I290" s="276">
        <f t="shared" si="4"/>
        <v>28573.119999999995</v>
      </c>
    </row>
    <row r="291" spans="2:9" x14ac:dyDescent="0.25">
      <c r="B291" s="260"/>
      <c r="C291" s="261" t="s">
        <v>15802</v>
      </c>
      <c r="D291" s="288">
        <v>43867</v>
      </c>
      <c r="E291" s="269" t="s">
        <v>15801</v>
      </c>
      <c r="F291" s="257" t="s">
        <v>14442</v>
      </c>
      <c r="G291" s="258">
        <v>4.41</v>
      </c>
      <c r="I291" s="276">
        <f t="shared" si="4"/>
        <v>28577.529999999995</v>
      </c>
    </row>
    <row r="292" spans="2:9" x14ac:dyDescent="0.25">
      <c r="B292" s="260"/>
      <c r="C292" s="261" t="s">
        <v>15800</v>
      </c>
      <c r="D292" s="288">
        <v>43867</v>
      </c>
      <c r="E292" s="269" t="s">
        <v>15799</v>
      </c>
      <c r="F292" s="257" t="s">
        <v>14437</v>
      </c>
      <c r="G292" s="160">
        <v>8.69</v>
      </c>
      <c r="I292" s="276">
        <f t="shared" si="4"/>
        <v>28586.219999999994</v>
      </c>
    </row>
    <row r="293" spans="2:9" x14ac:dyDescent="0.25">
      <c r="B293" s="260"/>
      <c r="C293" s="261" t="s">
        <v>46</v>
      </c>
      <c r="D293" s="288">
        <v>43867</v>
      </c>
      <c r="E293" s="269" t="s">
        <v>15798</v>
      </c>
      <c r="F293" s="257" t="s">
        <v>14437</v>
      </c>
      <c r="G293" s="160">
        <v>1.8</v>
      </c>
      <c r="I293" s="276">
        <f t="shared" si="4"/>
        <v>28588.019999999993</v>
      </c>
    </row>
    <row r="294" spans="2:9" x14ac:dyDescent="0.25">
      <c r="B294" s="260"/>
      <c r="C294" s="261" t="s">
        <v>15797</v>
      </c>
      <c r="D294" s="288">
        <v>43867</v>
      </c>
      <c r="E294" s="269" t="s">
        <v>15796</v>
      </c>
      <c r="F294" s="257" t="s">
        <v>14442</v>
      </c>
      <c r="G294" s="258">
        <v>12.3</v>
      </c>
      <c r="I294" s="276">
        <f t="shared" si="4"/>
        <v>28600.319999999992</v>
      </c>
    </row>
    <row r="295" spans="2:9" x14ac:dyDescent="0.25">
      <c r="B295" s="260"/>
      <c r="C295" s="261" t="s">
        <v>15795</v>
      </c>
      <c r="D295" s="288">
        <v>43867</v>
      </c>
      <c r="E295" s="269" t="s">
        <v>15794</v>
      </c>
      <c r="F295" s="257" t="s">
        <v>14442</v>
      </c>
      <c r="G295" s="258">
        <v>1.27</v>
      </c>
      <c r="I295" s="276">
        <f t="shared" si="4"/>
        <v>28601.589999999993</v>
      </c>
    </row>
    <row r="296" spans="2:9" x14ac:dyDescent="0.25">
      <c r="B296" s="260"/>
      <c r="C296" s="261" t="s">
        <v>15793</v>
      </c>
      <c r="D296" s="288">
        <v>43867</v>
      </c>
      <c r="E296" s="269" t="s">
        <v>15792</v>
      </c>
      <c r="F296" s="257" t="s">
        <v>14408</v>
      </c>
      <c r="G296" s="258">
        <v>21.03</v>
      </c>
      <c r="I296" s="276">
        <f t="shared" si="4"/>
        <v>28622.619999999992</v>
      </c>
    </row>
    <row r="297" spans="2:9" x14ac:dyDescent="0.25">
      <c r="B297" s="260"/>
      <c r="C297" s="261" t="s">
        <v>15791</v>
      </c>
      <c r="D297" s="288">
        <v>43867</v>
      </c>
      <c r="E297" s="269" t="s">
        <v>15790</v>
      </c>
      <c r="F297" s="257" t="s">
        <v>14408</v>
      </c>
      <c r="G297" s="258">
        <v>12.84</v>
      </c>
      <c r="I297" s="276">
        <f t="shared" si="4"/>
        <v>28635.459999999992</v>
      </c>
    </row>
    <row r="298" spans="2:9" x14ac:dyDescent="0.25">
      <c r="B298" s="260"/>
      <c r="C298" s="261" t="s">
        <v>15789</v>
      </c>
      <c r="D298" s="288">
        <v>43867</v>
      </c>
      <c r="E298" s="269" t="s">
        <v>15788</v>
      </c>
      <c r="F298" s="257" t="s">
        <v>14408</v>
      </c>
      <c r="G298" s="258">
        <v>3.09</v>
      </c>
      <c r="I298" s="276">
        <f t="shared" si="4"/>
        <v>28638.549999999992</v>
      </c>
    </row>
    <row r="299" spans="2:9" x14ac:dyDescent="0.25">
      <c r="B299" s="260"/>
      <c r="C299" s="261" t="s">
        <v>15787</v>
      </c>
      <c r="D299" s="288">
        <v>43867</v>
      </c>
      <c r="E299" s="269" t="s">
        <v>15786</v>
      </c>
      <c r="F299" s="257" t="s">
        <v>14408</v>
      </c>
      <c r="G299" s="258">
        <v>5.04</v>
      </c>
      <c r="I299" s="276">
        <f t="shared" si="4"/>
        <v>28643.589999999993</v>
      </c>
    </row>
    <row r="300" spans="2:9" x14ac:dyDescent="0.25">
      <c r="B300" s="260"/>
      <c r="C300" s="261" t="s">
        <v>15785</v>
      </c>
      <c r="D300" s="288">
        <v>43867</v>
      </c>
      <c r="E300" s="269" t="s">
        <v>15784</v>
      </c>
      <c r="F300" s="257" t="s">
        <v>14408</v>
      </c>
      <c r="G300" s="258">
        <v>1.8</v>
      </c>
      <c r="I300" s="276">
        <f t="shared" si="4"/>
        <v>28645.389999999992</v>
      </c>
    </row>
    <row r="301" spans="2:9" ht="19.5" x14ac:dyDescent="0.25">
      <c r="B301" s="260"/>
      <c r="C301" s="261" t="s">
        <v>15783</v>
      </c>
      <c r="D301" s="288">
        <v>43867</v>
      </c>
      <c r="E301" s="269" t="s">
        <v>15782</v>
      </c>
      <c r="F301" s="257" t="s">
        <v>14408</v>
      </c>
      <c r="G301" s="258">
        <v>4.5</v>
      </c>
      <c r="I301" s="276">
        <f t="shared" si="4"/>
        <v>28649.889999999992</v>
      </c>
    </row>
    <row r="302" spans="2:9" x14ac:dyDescent="0.25">
      <c r="B302" s="260"/>
      <c r="C302" s="261" t="s">
        <v>15781</v>
      </c>
      <c r="D302" s="288">
        <v>43867</v>
      </c>
      <c r="E302" s="269" t="s">
        <v>15780</v>
      </c>
      <c r="F302" s="257" t="s">
        <v>14408</v>
      </c>
      <c r="G302" s="258">
        <v>1.3</v>
      </c>
      <c r="I302" s="276">
        <f t="shared" si="4"/>
        <v>28651.189999999991</v>
      </c>
    </row>
    <row r="303" spans="2:9" x14ac:dyDescent="0.25">
      <c r="B303" s="260"/>
      <c r="C303" s="261" t="s">
        <v>15779</v>
      </c>
      <c r="D303" s="288">
        <v>43867</v>
      </c>
      <c r="E303" s="269" t="s">
        <v>15778</v>
      </c>
      <c r="F303" s="257" t="s">
        <v>14408</v>
      </c>
      <c r="G303" s="258">
        <v>17.93</v>
      </c>
      <c r="I303" s="276">
        <f t="shared" si="4"/>
        <v>28669.119999999992</v>
      </c>
    </row>
    <row r="304" spans="2:9" x14ac:dyDescent="0.25">
      <c r="B304" s="260"/>
      <c r="C304" s="261" t="s">
        <v>15777</v>
      </c>
      <c r="D304" s="288">
        <v>43867</v>
      </c>
      <c r="E304" s="269" t="s">
        <v>15776</v>
      </c>
      <c r="F304" s="257" t="s">
        <v>14408</v>
      </c>
      <c r="G304" s="258">
        <v>5.36</v>
      </c>
      <c r="I304" s="276">
        <f t="shared" si="4"/>
        <v>28674.479999999992</v>
      </c>
    </row>
    <row r="305" spans="2:9" x14ac:dyDescent="0.25">
      <c r="B305" s="260"/>
      <c r="C305" s="261" t="s">
        <v>15775</v>
      </c>
      <c r="D305" s="288">
        <v>43867</v>
      </c>
      <c r="E305" s="269" t="s">
        <v>15774</v>
      </c>
      <c r="F305" s="257" t="s">
        <v>14408</v>
      </c>
      <c r="G305" s="258">
        <v>1.0900000000000001</v>
      </c>
      <c r="I305" s="276">
        <f t="shared" si="4"/>
        <v>28675.569999999992</v>
      </c>
    </row>
    <row r="306" spans="2:9" x14ac:dyDescent="0.25">
      <c r="B306" s="260"/>
      <c r="C306" s="261" t="s">
        <v>15773</v>
      </c>
      <c r="D306" s="288">
        <v>43867</v>
      </c>
      <c r="E306" s="269" t="s">
        <v>15772</v>
      </c>
      <c r="F306" s="257" t="s">
        <v>14408</v>
      </c>
      <c r="G306" s="258">
        <v>5.35</v>
      </c>
      <c r="I306" s="276">
        <f t="shared" si="4"/>
        <v>28680.919999999991</v>
      </c>
    </row>
    <row r="307" spans="2:9" x14ac:dyDescent="0.25">
      <c r="B307" s="260"/>
      <c r="C307" s="261" t="s">
        <v>15771</v>
      </c>
      <c r="D307" s="288">
        <v>43867</v>
      </c>
      <c r="E307" s="269" t="s">
        <v>15770</v>
      </c>
      <c r="F307" s="257" t="s">
        <v>14408</v>
      </c>
      <c r="G307" s="258">
        <v>1.9</v>
      </c>
      <c r="I307" s="276">
        <f t="shared" si="4"/>
        <v>28682.819999999992</v>
      </c>
    </row>
    <row r="308" spans="2:9" x14ac:dyDescent="0.25">
      <c r="B308" s="260"/>
      <c r="C308" s="261" t="s">
        <v>15769</v>
      </c>
      <c r="D308" s="288">
        <v>43867</v>
      </c>
      <c r="E308" s="269" t="s">
        <v>15768</v>
      </c>
      <c r="F308" s="257" t="s">
        <v>14408</v>
      </c>
      <c r="G308" s="258">
        <v>4.6500000000000004</v>
      </c>
      <c r="I308" s="276">
        <f t="shared" si="4"/>
        <v>28687.469999999994</v>
      </c>
    </row>
    <row r="309" spans="2:9" x14ac:dyDescent="0.25">
      <c r="B309" s="260"/>
      <c r="C309" s="261" t="s">
        <v>15767</v>
      </c>
      <c r="D309" s="288">
        <v>43867</v>
      </c>
      <c r="E309" s="269" t="s">
        <v>15766</v>
      </c>
      <c r="F309" s="257" t="s">
        <v>14408</v>
      </c>
      <c r="G309" s="258">
        <v>1.66</v>
      </c>
      <c r="I309" s="276">
        <f t="shared" si="4"/>
        <v>28689.129999999994</v>
      </c>
    </row>
    <row r="310" spans="2:9" x14ac:dyDescent="0.25">
      <c r="B310" s="260"/>
      <c r="C310" s="261" t="s">
        <v>15765</v>
      </c>
      <c r="D310" s="288">
        <v>43867</v>
      </c>
      <c r="E310" s="269" t="s">
        <v>15764</v>
      </c>
      <c r="F310" s="257" t="s">
        <v>14408</v>
      </c>
      <c r="G310" s="258">
        <v>7.96</v>
      </c>
      <c r="I310" s="276">
        <f t="shared" si="4"/>
        <v>28697.089999999993</v>
      </c>
    </row>
    <row r="311" spans="2:9" x14ac:dyDescent="0.25">
      <c r="B311" s="260"/>
      <c r="C311" s="261" t="s">
        <v>15763</v>
      </c>
      <c r="D311" s="288">
        <v>43867</v>
      </c>
      <c r="E311" s="269" t="s">
        <v>15762</v>
      </c>
      <c r="F311" s="257" t="s">
        <v>14408</v>
      </c>
      <c r="G311" s="258">
        <v>4.9800000000000004</v>
      </c>
      <c r="I311" s="276">
        <f t="shared" si="4"/>
        <v>28702.069999999992</v>
      </c>
    </row>
    <row r="312" spans="2:9" x14ac:dyDescent="0.25">
      <c r="B312" s="260"/>
      <c r="C312" s="261" t="s">
        <v>15761</v>
      </c>
      <c r="D312" s="288">
        <v>43867</v>
      </c>
      <c r="E312" s="269" t="s">
        <v>15760</v>
      </c>
      <c r="F312" s="257" t="s">
        <v>14408</v>
      </c>
      <c r="G312" s="258">
        <v>1.68</v>
      </c>
      <c r="I312" s="276">
        <f t="shared" si="4"/>
        <v>28703.749999999993</v>
      </c>
    </row>
    <row r="313" spans="2:9" x14ac:dyDescent="0.25">
      <c r="B313" s="260"/>
      <c r="C313" s="261" t="s">
        <v>15759</v>
      </c>
      <c r="D313" s="288">
        <v>43867</v>
      </c>
      <c r="E313" s="269" t="s">
        <v>15758</v>
      </c>
      <c r="F313" s="257" t="s">
        <v>14408</v>
      </c>
      <c r="G313" s="258">
        <v>16.18</v>
      </c>
      <c r="I313" s="276">
        <f t="shared" si="4"/>
        <v>28719.929999999993</v>
      </c>
    </row>
    <row r="314" spans="2:9" x14ac:dyDescent="0.25">
      <c r="B314" s="260"/>
      <c r="C314" s="261" t="s">
        <v>15757</v>
      </c>
      <c r="D314" s="288">
        <v>43867</v>
      </c>
      <c r="E314" s="269" t="s">
        <v>15756</v>
      </c>
      <c r="F314" s="257" t="s">
        <v>14408</v>
      </c>
      <c r="G314" s="258">
        <v>13.88</v>
      </c>
      <c r="I314" s="276">
        <f t="shared" si="4"/>
        <v>28733.809999999994</v>
      </c>
    </row>
    <row r="315" spans="2:9" x14ac:dyDescent="0.25">
      <c r="B315" s="260"/>
      <c r="C315" s="261" t="s">
        <v>15755</v>
      </c>
      <c r="D315" s="288">
        <v>43867</v>
      </c>
      <c r="E315" s="269" t="s">
        <v>15754</v>
      </c>
      <c r="F315" s="257" t="s">
        <v>14408</v>
      </c>
      <c r="G315" s="258">
        <v>2.4500000000000002</v>
      </c>
      <c r="I315" s="276">
        <f t="shared" si="4"/>
        <v>28736.259999999995</v>
      </c>
    </row>
    <row r="316" spans="2:9" x14ac:dyDescent="0.25">
      <c r="B316" s="260"/>
      <c r="C316" s="261" t="s">
        <v>15753</v>
      </c>
      <c r="D316" s="288">
        <v>43867</v>
      </c>
      <c r="E316" s="269" t="s">
        <v>15752</v>
      </c>
      <c r="F316" s="257" t="s">
        <v>14408</v>
      </c>
      <c r="G316" s="258">
        <v>0.22</v>
      </c>
      <c r="I316" s="276">
        <f t="shared" si="4"/>
        <v>28736.479999999996</v>
      </c>
    </row>
    <row r="317" spans="2:9" x14ac:dyDescent="0.25">
      <c r="B317" s="260"/>
      <c r="C317" s="261" t="s">
        <v>15751</v>
      </c>
      <c r="D317" s="288">
        <v>43867</v>
      </c>
      <c r="E317" s="269" t="s">
        <v>15750</v>
      </c>
      <c r="F317" s="257" t="s">
        <v>14408</v>
      </c>
      <c r="G317" s="258">
        <v>3.2</v>
      </c>
      <c r="I317" s="276">
        <f t="shared" si="4"/>
        <v>28739.679999999997</v>
      </c>
    </row>
    <row r="318" spans="2:9" x14ac:dyDescent="0.25">
      <c r="B318" s="260"/>
      <c r="C318" s="261" t="s">
        <v>15749</v>
      </c>
      <c r="D318" s="288">
        <v>43867</v>
      </c>
      <c r="E318" s="269" t="s">
        <v>15748</v>
      </c>
      <c r="F318" s="257" t="s">
        <v>14408</v>
      </c>
      <c r="G318" s="258">
        <v>1.95</v>
      </c>
      <c r="I318" s="276">
        <f t="shared" si="4"/>
        <v>28741.629999999997</v>
      </c>
    </row>
    <row r="319" spans="2:9" x14ac:dyDescent="0.2">
      <c r="B319" s="260"/>
      <c r="C319" s="261" t="s">
        <v>15747</v>
      </c>
      <c r="D319" s="288">
        <v>43867</v>
      </c>
      <c r="E319" s="269" t="s">
        <v>15746</v>
      </c>
      <c r="F319" s="257">
        <v>4</v>
      </c>
      <c r="G319" s="255">
        <v>16.760000000000002</v>
      </c>
      <c r="H319" s="103"/>
      <c r="I319" s="276">
        <f t="shared" si="4"/>
        <v>28758.389999999996</v>
      </c>
    </row>
    <row r="320" spans="2:9" x14ac:dyDescent="0.2">
      <c r="B320" s="260"/>
      <c r="C320" s="261" t="s">
        <v>15745</v>
      </c>
      <c r="D320" s="288">
        <v>43867</v>
      </c>
      <c r="E320" s="269" t="s">
        <v>15744</v>
      </c>
      <c r="F320" s="257">
        <v>4</v>
      </c>
      <c r="G320" s="255">
        <v>3.79</v>
      </c>
      <c r="H320" s="103"/>
      <c r="I320" s="276">
        <f t="shared" si="4"/>
        <v>28762.179999999997</v>
      </c>
    </row>
    <row r="321" spans="2:9" x14ac:dyDescent="0.2">
      <c r="B321" s="260"/>
      <c r="C321" s="261" t="s">
        <v>15743</v>
      </c>
      <c r="D321" s="288">
        <v>43867</v>
      </c>
      <c r="E321" s="269" t="s">
        <v>15742</v>
      </c>
      <c r="F321" s="257">
        <v>4</v>
      </c>
      <c r="G321" s="255">
        <v>8.3800000000000008</v>
      </c>
      <c r="H321" s="103"/>
      <c r="I321" s="276">
        <f t="shared" si="4"/>
        <v>28770.559999999998</v>
      </c>
    </row>
    <row r="322" spans="2:9" x14ac:dyDescent="0.2">
      <c r="B322" s="260"/>
      <c r="C322" s="261" t="s">
        <v>15741</v>
      </c>
      <c r="D322" s="288">
        <v>43867</v>
      </c>
      <c r="E322" s="269" t="s">
        <v>15740</v>
      </c>
      <c r="F322" s="257">
        <v>4</v>
      </c>
      <c r="G322" s="255">
        <v>1.22</v>
      </c>
      <c r="H322" s="103"/>
      <c r="I322" s="276">
        <f t="shared" si="4"/>
        <v>28771.78</v>
      </c>
    </row>
    <row r="323" spans="2:9" x14ac:dyDescent="0.2">
      <c r="B323" s="260"/>
      <c r="C323" s="261" t="s">
        <v>15739</v>
      </c>
      <c r="D323" s="288">
        <v>43867</v>
      </c>
      <c r="E323" s="269" t="s">
        <v>15738</v>
      </c>
      <c r="F323" s="257">
        <v>4</v>
      </c>
      <c r="G323" s="255">
        <v>12.45</v>
      </c>
      <c r="H323" s="103"/>
      <c r="I323" s="276">
        <f t="shared" si="4"/>
        <v>28784.23</v>
      </c>
    </row>
    <row r="324" spans="2:9" x14ac:dyDescent="0.2">
      <c r="B324" s="260"/>
      <c r="C324" s="261" t="s">
        <v>15737</v>
      </c>
      <c r="D324" s="288">
        <v>43867</v>
      </c>
      <c r="E324" s="269" t="s">
        <v>15736</v>
      </c>
      <c r="F324" s="257">
        <v>4</v>
      </c>
      <c r="G324" s="255">
        <v>12.78</v>
      </c>
      <c r="H324" s="103"/>
      <c r="I324" s="276">
        <f t="shared" si="4"/>
        <v>28797.01</v>
      </c>
    </row>
    <row r="325" spans="2:9" x14ac:dyDescent="0.2">
      <c r="B325" s="260"/>
      <c r="C325" s="261" t="s">
        <v>15735</v>
      </c>
      <c r="D325" s="288">
        <v>43867</v>
      </c>
      <c r="E325" s="269" t="s">
        <v>15734</v>
      </c>
      <c r="F325" s="257">
        <v>4</v>
      </c>
      <c r="G325" s="255">
        <v>2.48</v>
      </c>
      <c r="H325" s="103"/>
      <c r="I325" s="276">
        <f t="shared" si="4"/>
        <v>28799.489999999998</v>
      </c>
    </row>
    <row r="326" spans="2:9" x14ac:dyDescent="0.2">
      <c r="B326" s="260"/>
      <c r="C326" s="261" t="s">
        <v>15733</v>
      </c>
      <c r="D326" s="288">
        <v>43867</v>
      </c>
      <c r="E326" s="269" t="s">
        <v>15732</v>
      </c>
      <c r="F326" s="257">
        <v>4</v>
      </c>
      <c r="G326" s="255">
        <v>2.93</v>
      </c>
      <c r="H326" s="103"/>
      <c r="I326" s="276">
        <f t="shared" si="4"/>
        <v>28802.42</v>
      </c>
    </row>
    <row r="327" spans="2:9" x14ac:dyDescent="0.2">
      <c r="B327" s="260"/>
      <c r="C327" s="261" t="s">
        <v>15731</v>
      </c>
      <c r="D327" s="288">
        <v>43867</v>
      </c>
      <c r="E327" s="269" t="s">
        <v>15730</v>
      </c>
      <c r="F327" s="257">
        <v>4</v>
      </c>
      <c r="G327" s="255">
        <v>2.56</v>
      </c>
      <c r="H327" s="103"/>
      <c r="I327" s="276">
        <f t="shared" si="4"/>
        <v>28804.98</v>
      </c>
    </row>
    <row r="328" spans="2:9" x14ac:dyDescent="0.2">
      <c r="B328" s="260"/>
      <c r="C328" s="261" t="s">
        <v>15729</v>
      </c>
      <c r="D328" s="288">
        <v>43867</v>
      </c>
      <c r="E328" s="269" t="s">
        <v>15728</v>
      </c>
      <c r="F328" s="257">
        <v>4</v>
      </c>
      <c r="G328" s="255">
        <v>3.37</v>
      </c>
      <c r="H328" s="103"/>
      <c r="I328" s="276">
        <f t="shared" si="4"/>
        <v>28808.35</v>
      </c>
    </row>
    <row r="329" spans="2:9" x14ac:dyDescent="0.2">
      <c r="B329" s="260"/>
      <c r="C329" s="261" t="s">
        <v>15727</v>
      </c>
      <c r="D329" s="288">
        <v>43867</v>
      </c>
      <c r="E329" s="269" t="s">
        <v>15726</v>
      </c>
      <c r="F329" s="257">
        <v>4</v>
      </c>
      <c r="G329" s="255">
        <v>3.91</v>
      </c>
      <c r="H329" s="103"/>
      <c r="I329" s="276">
        <f t="shared" si="4"/>
        <v>28812.26</v>
      </c>
    </row>
    <row r="330" spans="2:9" x14ac:dyDescent="0.2">
      <c r="B330" s="260"/>
      <c r="C330" s="261" t="s">
        <v>15725</v>
      </c>
      <c r="D330" s="288">
        <v>43867</v>
      </c>
      <c r="E330" s="269" t="s">
        <v>15724</v>
      </c>
      <c r="F330" s="257">
        <v>4</v>
      </c>
      <c r="G330" s="255">
        <v>7.82</v>
      </c>
      <c r="H330" s="103"/>
      <c r="I330" s="276">
        <f t="shared" si="4"/>
        <v>28820.079999999998</v>
      </c>
    </row>
    <row r="331" spans="2:9" ht="19.5" x14ac:dyDescent="0.25">
      <c r="B331" s="260"/>
      <c r="C331" s="261" t="s">
        <v>15723</v>
      </c>
      <c r="D331" s="288">
        <v>43867</v>
      </c>
      <c r="E331" s="269" t="s">
        <v>15722</v>
      </c>
      <c r="F331" s="257" t="s">
        <v>14437</v>
      </c>
      <c r="G331" s="160">
        <v>1512.08</v>
      </c>
      <c r="I331" s="276">
        <f t="shared" si="4"/>
        <v>30332.159999999996</v>
      </c>
    </row>
    <row r="332" spans="2:9" x14ac:dyDescent="0.25">
      <c r="B332" s="260"/>
      <c r="C332" s="261" t="s">
        <v>15721</v>
      </c>
      <c r="D332" s="288">
        <v>43868</v>
      </c>
      <c r="E332" s="269" t="s">
        <v>15720</v>
      </c>
      <c r="F332" s="257" t="s">
        <v>14443</v>
      </c>
      <c r="G332" s="258">
        <v>2.16</v>
      </c>
      <c r="I332" s="276">
        <f t="shared" si="4"/>
        <v>30334.319999999996</v>
      </c>
    </row>
    <row r="333" spans="2:9" x14ac:dyDescent="0.25">
      <c r="B333" s="260"/>
      <c r="C333" s="261" t="s">
        <v>15719</v>
      </c>
      <c r="D333" s="288">
        <v>43868</v>
      </c>
      <c r="E333" s="269" t="s">
        <v>15718</v>
      </c>
      <c r="F333" s="257" t="s">
        <v>14443</v>
      </c>
      <c r="G333" s="258">
        <v>4.08</v>
      </c>
      <c r="I333" s="276">
        <f t="shared" si="4"/>
        <v>30338.399999999998</v>
      </c>
    </row>
    <row r="334" spans="2:9" x14ac:dyDescent="0.25">
      <c r="B334" s="260"/>
      <c r="C334" s="261" t="s">
        <v>15717</v>
      </c>
      <c r="D334" s="288">
        <v>43868</v>
      </c>
      <c r="E334" s="269" t="s">
        <v>15716</v>
      </c>
      <c r="F334" s="257" t="s">
        <v>14443</v>
      </c>
      <c r="G334" s="258">
        <v>20.82</v>
      </c>
      <c r="I334" s="276">
        <f t="shared" si="4"/>
        <v>30359.219999999998</v>
      </c>
    </row>
    <row r="335" spans="2:9" x14ac:dyDescent="0.25">
      <c r="B335" s="260"/>
      <c r="C335" s="261" t="s">
        <v>15715</v>
      </c>
      <c r="D335" s="288">
        <v>43868</v>
      </c>
      <c r="E335" s="269" t="s">
        <v>15714</v>
      </c>
      <c r="F335" s="257" t="s">
        <v>14443</v>
      </c>
      <c r="G335" s="258">
        <v>2.54</v>
      </c>
      <c r="I335" s="276">
        <f t="shared" si="4"/>
        <v>30361.759999999998</v>
      </c>
    </row>
    <row r="336" spans="2:9" ht="19.5" x14ac:dyDescent="0.25">
      <c r="B336" s="260"/>
      <c r="C336" s="261" t="s">
        <v>15713</v>
      </c>
      <c r="D336" s="288">
        <v>43868</v>
      </c>
      <c r="E336" s="269" t="s">
        <v>15712</v>
      </c>
      <c r="F336" s="257" t="s">
        <v>14449</v>
      </c>
      <c r="G336" s="160">
        <v>163.16</v>
      </c>
      <c r="I336" s="276">
        <f t="shared" si="4"/>
        <v>30524.92</v>
      </c>
    </row>
    <row r="337" spans="2:9" x14ac:dyDescent="0.25">
      <c r="B337" s="260"/>
      <c r="C337" s="261" t="s">
        <v>15711</v>
      </c>
      <c r="D337" s="288">
        <v>43868</v>
      </c>
      <c r="E337" s="269" t="s">
        <v>15710</v>
      </c>
      <c r="F337" s="257" t="s">
        <v>14436</v>
      </c>
      <c r="G337" s="160">
        <v>55.4</v>
      </c>
      <c r="I337" s="276">
        <f t="shared" si="4"/>
        <v>30580.32</v>
      </c>
    </row>
    <row r="338" spans="2:9" x14ac:dyDescent="0.25">
      <c r="B338" s="260"/>
      <c r="C338" s="261" t="s">
        <v>15709</v>
      </c>
      <c r="D338" s="288">
        <v>43868</v>
      </c>
      <c r="E338" s="269" t="s">
        <v>15708</v>
      </c>
      <c r="F338" s="257" t="s">
        <v>14443</v>
      </c>
      <c r="G338" s="258">
        <v>3.57</v>
      </c>
      <c r="I338" s="276">
        <f t="shared" si="4"/>
        <v>30583.89</v>
      </c>
    </row>
    <row r="339" spans="2:9" x14ac:dyDescent="0.25">
      <c r="B339" s="260"/>
      <c r="C339" s="261" t="s">
        <v>15707</v>
      </c>
      <c r="D339" s="288">
        <v>43868</v>
      </c>
      <c r="E339" s="269" t="s">
        <v>15706</v>
      </c>
      <c r="F339" s="257" t="s">
        <v>14443</v>
      </c>
      <c r="G339" s="258">
        <v>11.62</v>
      </c>
      <c r="I339" s="276">
        <f t="shared" si="4"/>
        <v>30595.51</v>
      </c>
    </row>
    <row r="340" spans="2:9" x14ac:dyDescent="0.25">
      <c r="B340" s="260"/>
      <c r="C340" s="261" t="s">
        <v>15705</v>
      </c>
      <c r="D340" s="288">
        <v>43868</v>
      </c>
      <c r="E340" s="269" t="s">
        <v>15704</v>
      </c>
      <c r="F340" s="257" t="s">
        <v>14443</v>
      </c>
      <c r="G340" s="258">
        <v>16.37</v>
      </c>
      <c r="I340" s="276">
        <f t="shared" ref="I340:I403" si="5">+I339+G340-H340</f>
        <v>30611.879999999997</v>
      </c>
    </row>
    <row r="341" spans="2:9" x14ac:dyDescent="0.25">
      <c r="B341" s="260"/>
      <c r="C341" s="261" t="s">
        <v>15703</v>
      </c>
      <c r="D341" s="288">
        <v>43868</v>
      </c>
      <c r="E341" s="269" t="s">
        <v>15702</v>
      </c>
      <c r="F341" s="257" t="s">
        <v>14443</v>
      </c>
      <c r="G341" s="258">
        <v>0.86</v>
      </c>
      <c r="I341" s="276">
        <f t="shared" si="5"/>
        <v>30612.739999999998</v>
      </c>
    </row>
    <row r="342" spans="2:9" x14ac:dyDescent="0.25">
      <c r="B342" s="260"/>
      <c r="C342" s="261" t="s">
        <v>15701</v>
      </c>
      <c r="D342" s="288">
        <v>43868</v>
      </c>
      <c r="E342" s="269" t="s">
        <v>15700</v>
      </c>
      <c r="F342" s="257" t="s">
        <v>14443</v>
      </c>
      <c r="G342" s="258">
        <v>3</v>
      </c>
      <c r="I342" s="276">
        <f t="shared" si="5"/>
        <v>30615.739999999998</v>
      </c>
    </row>
    <row r="343" spans="2:9" x14ac:dyDescent="0.25">
      <c r="B343" s="260"/>
      <c r="C343" s="261" t="s">
        <v>15699</v>
      </c>
      <c r="D343" s="288">
        <v>43868</v>
      </c>
      <c r="E343" s="269" t="s">
        <v>15698</v>
      </c>
      <c r="F343" s="257" t="s">
        <v>14409</v>
      </c>
      <c r="G343" s="258">
        <v>4.8499999999999996</v>
      </c>
      <c r="I343" s="276">
        <f t="shared" si="5"/>
        <v>30620.589999999997</v>
      </c>
    </row>
    <row r="344" spans="2:9" x14ac:dyDescent="0.25">
      <c r="B344" s="260"/>
      <c r="C344" s="261" t="s">
        <v>15697</v>
      </c>
      <c r="D344" s="288">
        <v>43868</v>
      </c>
      <c r="E344" s="269" t="s">
        <v>15696</v>
      </c>
      <c r="F344" s="257" t="s">
        <v>14409</v>
      </c>
      <c r="G344" s="258">
        <v>9.15</v>
      </c>
      <c r="I344" s="276">
        <f t="shared" si="5"/>
        <v>30629.739999999998</v>
      </c>
    </row>
    <row r="345" spans="2:9" x14ac:dyDescent="0.25">
      <c r="B345" s="260"/>
      <c r="C345" s="261" t="s">
        <v>15695</v>
      </c>
      <c r="D345" s="288">
        <v>43868</v>
      </c>
      <c r="E345" s="269" t="s">
        <v>15694</v>
      </c>
      <c r="F345" s="257" t="s">
        <v>14409</v>
      </c>
      <c r="G345" s="258">
        <v>5.68</v>
      </c>
      <c r="I345" s="276">
        <f t="shared" si="5"/>
        <v>30635.42</v>
      </c>
    </row>
    <row r="346" spans="2:9" x14ac:dyDescent="0.25">
      <c r="B346" s="260"/>
      <c r="C346" s="261" t="s">
        <v>15693</v>
      </c>
      <c r="D346" s="288">
        <v>43868</v>
      </c>
      <c r="E346" s="269" t="s">
        <v>15692</v>
      </c>
      <c r="F346" s="257" t="s">
        <v>14409</v>
      </c>
      <c r="G346" s="258">
        <v>8.82</v>
      </c>
      <c r="I346" s="276">
        <f t="shared" si="5"/>
        <v>30644.239999999998</v>
      </c>
    </row>
    <row r="347" spans="2:9" x14ac:dyDescent="0.25">
      <c r="B347" s="260"/>
      <c r="C347" s="261" t="s">
        <v>15691</v>
      </c>
      <c r="D347" s="288">
        <v>43868</v>
      </c>
      <c r="E347" s="269" t="s">
        <v>15690</v>
      </c>
      <c r="F347" s="257" t="s">
        <v>14409</v>
      </c>
      <c r="G347" s="258">
        <v>0.52</v>
      </c>
      <c r="I347" s="276">
        <f t="shared" si="5"/>
        <v>30644.76</v>
      </c>
    </row>
    <row r="348" spans="2:9" x14ac:dyDescent="0.25">
      <c r="B348" s="260"/>
      <c r="C348" s="261" t="s">
        <v>15689</v>
      </c>
      <c r="D348" s="288">
        <v>43868</v>
      </c>
      <c r="E348" s="269" t="s">
        <v>15688</v>
      </c>
      <c r="F348" s="257" t="s">
        <v>14409</v>
      </c>
      <c r="G348" s="258">
        <v>2.46</v>
      </c>
      <c r="I348" s="276">
        <f t="shared" si="5"/>
        <v>30647.219999999998</v>
      </c>
    </row>
    <row r="349" spans="2:9" x14ac:dyDescent="0.25">
      <c r="B349" s="260"/>
      <c r="C349" s="261" t="s">
        <v>15687</v>
      </c>
      <c r="D349" s="288">
        <v>43868</v>
      </c>
      <c r="E349" s="269" t="s">
        <v>15686</v>
      </c>
      <c r="F349" s="257" t="s">
        <v>14409</v>
      </c>
      <c r="G349" s="258">
        <v>1.87</v>
      </c>
      <c r="I349" s="276">
        <f t="shared" si="5"/>
        <v>30649.089999999997</v>
      </c>
    </row>
    <row r="350" spans="2:9" x14ac:dyDescent="0.25">
      <c r="B350" s="260"/>
      <c r="C350" s="261" t="s">
        <v>15685</v>
      </c>
      <c r="D350" s="288">
        <v>43868</v>
      </c>
      <c r="E350" s="269" t="s">
        <v>15684</v>
      </c>
      <c r="F350" s="257" t="s">
        <v>14409</v>
      </c>
      <c r="G350" s="258">
        <v>3</v>
      </c>
      <c r="I350" s="276">
        <f t="shared" si="5"/>
        <v>30652.089999999997</v>
      </c>
    </row>
    <row r="351" spans="2:9" x14ac:dyDescent="0.25">
      <c r="B351" s="260"/>
      <c r="C351" s="261" t="s">
        <v>15683</v>
      </c>
      <c r="D351" s="288">
        <v>43868</v>
      </c>
      <c r="E351" s="269" t="s">
        <v>15682</v>
      </c>
      <c r="F351" s="257" t="s">
        <v>14409</v>
      </c>
      <c r="G351" s="258">
        <v>8.5</v>
      </c>
      <c r="I351" s="276">
        <f t="shared" si="5"/>
        <v>30660.589999999997</v>
      </c>
    </row>
    <row r="352" spans="2:9" x14ac:dyDescent="0.25">
      <c r="B352" s="260"/>
      <c r="C352" s="261" t="s">
        <v>15681</v>
      </c>
      <c r="D352" s="288">
        <v>43868</v>
      </c>
      <c r="E352" s="269" t="s">
        <v>15680</v>
      </c>
      <c r="F352" s="257" t="s">
        <v>14409</v>
      </c>
      <c r="G352" s="258">
        <v>2.31</v>
      </c>
      <c r="I352" s="276">
        <f t="shared" si="5"/>
        <v>30662.899999999998</v>
      </c>
    </row>
    <row r="353" spans="2:9" x14ac:dyDescent="0.25">
      <c r="B353" s="260"/>
      <c r="C353" s="261" t="s">
        <v>15679</v>
      </c>
      <c r="D353" s="288">
        <v>43868</v>
      </c>
      <c r="E353" s="269" t="s">
        <v>15678</v>
      </c>
      <c r="F353" s="257" t="s">
        <v>14409</v>
      </c>
      <c r="G353" s="258">
        <v>1.68</v>
      </c>
      <c r="I353" s="276">
        <f t="shared" si="5"/>
        <v>30664.579999999998</v>
      </c>
    </row>
    <row r="354" spans="2:9" x14ac:dyDescent="0.25">
      <c r="B354" s="260"/>
      <c r="C354" s="261" t="s">
        <v>15677</v>
      </c>
      <c r="D354" s="288">
        <v>43868</v>
      </c>
      <c r="E354" s="269" t="s">
        <v>15676</v>
      </c>
      <c r="F354" s="257" t="s">
        <v>14409</v>
      </c>
      <c r="G354" s="258">
        <v>4.3499999999999996</v>
      </c>
      <c r="I354" s="276">
        <f t="shared" si="5"/>
        <v>30668.929999999997</v>
      </c>
    </row>
    <row r="355" spans="2:9" x14ac:dyDescent="0.25">
      <c r="B355" s="260"/>
      <c r="C355" s="261" t="s">
        <v>15675</v>
      </c>
      <c r="D355" s="288">
        <v>43868</v>
      </c>
      <c r="E355" s="269" t="s">
        <v>15674</v>
      </c>
      <c r="F355" s="257" t="s">
        <v>14409</v>
      </c>
      <c r="G355" s="258">
        <v>2.3199999999999998</v>
      </c>
      <c r="I355" s="276">
        <f t="shared" si="5"/>
        <v>30671.249999999996</v>
      </c>
    </row>
    <row r="356" spans="2:9" x14ac:dyDescent="0.25">
      <c r="B356" s="260"/>
      <c r="C356" s="261" t="s">
        <v>15673</v>
      </c>
      <c r="D356" s="288">
        <v>43868</v>
      </c>
      <c r="E356" s="269" t="s">
        <v>15672</v>
      </c>
      <c r="F356" s="257" t="s">
        <v>14409</v>
      </c>
      <c r="G356" s="258">
        <v>6.04</v>
      </c>
      <c r="I356" s="276">
        <f t="shared" si="5"/>
        <v>30677.289999999997</v>
      </c>
    </row>
    <row r="357" spans="2:9" x14ac:dyDescent="0.25">
      <c r="B357" s="260"/>
      <c r="C357" s="261" t="s">
        <v>15671</v>
      </c>
      <c r="D357" s="288">
        <v>43868</v>
      </c>
      <c r="E357" s="269" t="s">
        <v>15670</v>
      </c>
      <c r="F357" s="257" t="s">
        <v>14409</v>
      </c>
      <c r="G357" s="258">
        <v>1.7</v>
      </c>
      <c r="I357" s="276">
        <f t="shared" si="5"/>
        <v>30678.989999999998</v>
      </c>
    </row>
    <row r="358" spans="2:9" x14ac:dyDescent="0.25">
      <c r="B358" s="260"/>
      <c r="C358" s="261" t="s">
        <v>15669</v>
      </c>
      <c r="D358" s="288">
        <v>43868</v>
      </c>
      <c r="E358" s="269" t="s">
        <v>15668</v>
      </c>
      <c r="F358" s="257" t="s">
        <v>14409</v>
      </c>
      <c r="G358" s="258">
        <v>0.96</v>
      </c>
      <c r="I358" s="276">
        <f t="shared" si="5"/>
        <v>30679.949999999997</v>
      </c>
    </row>
    <row r="359" spans="2:9" x14ac:dyDescent="0.25">
      <c r="B359" s="260"/>
      <c r="C359" s="261" t="s">
        <v>15667</v>
      </c>
      <c r="D359" s="288">
        <v>43868</v>
      </c>
      <c r="E359" s="269" t="s">
        <v>15666</v>
      </c>
      <c r="F359" s="257" t="s">
        <v>14409</v>
      </c>
      <c r="G359" s="258">
        <v>3.34</v>
      </c>
      <c r="I359" s="276">
        <f t="shared" si="5"/>
        <v>30683.289999999997</v>
      </c>
    </row>
    <row r="360" spans="2:9" x14ac:dyDescent="0.25">
      <c r="B360" s="260"/>
      <c r="C360" s="261" t="s">
        <v>15665</v>
      </c>
      <c r="D360" s="288">
        <v>43868</v>
      </c>
      <c r="E360" s="269" t="s">
        <v>15664</v>
      </c>
      <c r="F360" s="257" t="s">
        <v>14409</v>
      </c>
      <c r="G360" s="258">
        <v>3.31</v>
      </c>
      <c r="I360" s="276">
        <f t="shared" si="5"/>
        <v>30686.6</v>
      </c>
    </row>
    <row r="361" spans="2:9" x14ac:dyDescent="0.25">
      <c r="B361" s="260"/>
      <c r="C361" s="261" t="s">
        <v>15663</v>
      </c>
      <c r="D361" s="288">
        <v>43868</v>
      </c>
      <c r="E361" s="269" t="s">
        <v>15662</v>
      </c>
      <c r="F361" s="257" t="s">
        <v>14409</v>
      </c>
      <c r="G361" s="258">
        <v>3.04</v>
      </c>
      <c r="I361" s="276">
        <f t="shared" si="5"/>
        <v>30689.64</v>
      </c>
    </row>
    <row r="362" spans="2:9" x14ac:dyDescent="0.25">
      <c r="B362" s="260"/>
      <c r="C362" s="261" t="s">
        <v>15661</v>
      </c>
      <c r="D362" s="288">
        <v>43868</v>
      </c>
      <c r="E362" s="269" t="s">
        <v>15660</v>
      </c>
      <c r="F362" s="257" t="s">
        <v>14409</v>
      </c>
      <c r="G362" s="258">
        <v>7.09</v>
      </c>
      <c r="I362" s="276">
        <f t="shared" si="5"/>
        <v>30696.73</v>
      </c>
    </row>
    <row r="363" spans="2:9" x14ac:dyDescent="0.25">
      <c r="B363" s="260"/>
      <c r="C363" s="261" t="s">
        <v>15659</v>
      </c>
      <c r="D363" s="288">
        <v>43868</v>
      </c>
      <c r="E363" s="269" t="s">
        <v>15658</v>
      </c>
      <c r="F363" s="257" t="s">
        <v>14409</v>
      </c>
      <c r="G363" s="258">
        <v>5.34</v>
      </c>
      <c r="I363" s="276">
        <f t="shared" si="5"/>
        <v>30702.07</v>
      </c>
    </row>
    <row r="364" spans="2:9" x14ac:dyDescent="0.25">
      <c r="B364" s="260"/>
      <c r="C364" s="261" t="s">
        <v>15657</v>
      </c>
      <c r="D364" s="288">
        <v>43868</v>
      </c>
      <c r="E364" s="269" t="s">
        <v>15656</v>
      </c>
      <c r="F364" s="257" t="s">
        <v>14409</v>
      </c>
      <c r="G364" s="258">
        <v>3.64</v>
      </c>
      <c r="I364" s="276">
        <f t="shared" si="5"/>
        <v>30705.71</v>
      </c>
    </row>
    <row r="365" spans="2:9" ht="19.5" x14ac:dyDescent="0.25">
      <c r="B365" s="260"/>
      <c r="C365" s="261" t="s">
        <v>15655</v>
      </c>
      <c r="D365" s="288">
        <v>43868</v>
      </c>
      <c r="E365" s="269" t="s">
        <v>15654</v>
      </c>
      <c r="F365" s="257" t="s">
        <v>14409</v>
      </c>
      <c r="G365" s="258">
        <v>17.25</v>
      </c>
      <c r="I365" s="276">
        <f t="shared" si="5"/>
        <v>30722.959999999999</v>
      </c>
    </row>
    <row r="366" spans="2:9" x14ac:dyDescent="0.25">
      <c r="B366" s="260"/>
      <c r="C366" s="261" t="s">
        <v>15653</v>
      </c>
      <c r="D366" s="288">
        <v>43868</v>
      </c>
      <c r="E366" s="269" t="s">
        <v>15652</v>
      </c>
      <c r="F366" s="257" t="s">
        <v>14409</v>
      </c>
      <c r="G366" s="258">
        <v>7.28</v>
      </c>
      <c r="I366" s="276">
        <f t="shared" si="5"/>
        <v>30730.239999999998</v>
      </c>
    </row>
    <row r="367" spans="2:9" x14ac:dyDescent="0.2">
      <c r="B367" s="260"/>
      <c r="C367" s="261" t="s">
        <v>15651</v>
      </c>
      <c r="D367" s="288">
        <v>43868</v>
      </c>
      <c r="E367" s="269" t="s">
        <v>15650</v>
      </c>
      <c r="F367" s="257">
        <v>5</v>
      </c>
      <c r="G367" s="255">
        <v>10.5</v>
      </c>
      <c r="H367" s="103"/>
      <c r="I367" s="276">
        <f t="shared" si="5"/>
        <v>30740.739999999998</v>
      </c>
    </row>
    <row r="368" spans="2:9" x14ac:dyDescent="0.2">
      <c r="B368" s="260"/>
      <c r="C368" s="261" t="s">
        <v>15649</v>
      </c>
      <c r="D368" s="288">
        <v>43868</v>
      </c>
      <c r="E368" s="269" t="s">
        <v>15648</v>
      </c>
      <c r="F368" s="257">
        <v>5</v>
      </c>
      <c r="G368" s="255">
        <v>3.72</v>
      </c>
      <c r="H368" s="103"/>
      <c r="I368" s="276">
        <f t="shared" si="5"/>
        <v>30744.46</v>
      </c>
    </row>
    <row r="369" spans="2:9" x14ac:dyDescent="0.2">
      <c r="B369" s="260"/>
      <c r="C369" s="261" t="s">
        <v>15647</v>
      </c>
      <c r="D369" s="288">
        <v>43868</v>
      </c>
      <c r="E369" s="269" t="s">
        <v>15646</v>
      </c>
      <c r="F369" s="257">
        <v>5</v>
      </c>
      <c r="G369" s="255">
        <v>8.14</v>
      </c>
      <c r="H369" s="103"/>
      <c r="I369" s="276">
        <f t="shared" si="5"/>
        <v>30752.6</v>
      </c>
    </row>
    <row r="370" spans="2:9" x14ac:dyDescent="0.2">
      <c r="B370" s="260"/>
      <c r="C370" s="261" t="s">
        <v>15645</v>
      </c>
      <c r="D370" s="288">
        <v>43868</v>
      </c>
      <c r="E370" s="269" t="s">
        <v>15644</v>
      </c>
      <c r="F370" s="257">
        <v>5</v>
      </c>
      <c r="G370" s="255">
        <v>15.86</v>
      </c>
      <c r="H370" s="103"/>
      <c r="I370" s="276">
        <f t="shared" si="5"/>
        <v>30768.46</v>
      </c>
    </row>
    <row r="371" spans="2:9" x14ac:dyDescent="0.2">
      <c r="B371" s="260"/>
      <c r="C371" s="261" t="s">
        <v>15643</v>
      </c>
      <c r="D371" s="288">
        <v>43868</v>
      </c>
      <c r="E371" s="269" t="s">
        <v>15642</v>
      </c>
      <c r="F371" s="257">
        <v>5</v>
      </c>
      <c r="G371" s="255">
        <v>3.87</v>
      </c>
      <c r="H371" s="103"/>
      <c r="I371" s="276">
        <f t="shared" si="5"/>
        <v>30772.329999999998</v>
      </c>
    </row>
    <row r="372" spans="2:9" ht="19.5" x14ac:dyDescent="0.2">
      <c r="B372" s="260"/>
      <c r="C372" s="261" t="s">
        <v>15641</v>
      </c>
      <c r="D372" s="288">
        <v>43868</v>
      </c>
      <c r="E372" s="269" t="s">
        <v>15640</v>
      </c>
      <c r="F372" s="257">
        <v>5</v>
      </c>
      <c r="G372" s="255">
        <v>1.94</v>
      </c>
      <c r="H372" s="103"/>
      <c r="I372" s="276">
        <f t="shared" si="5"/>
        <v>30774.269999999997</v>
      </c>
    </row>
    <row r="373" spans="2:9" x14ac:dyDescent="0.2">
      <c r="B373" s="260"/>
      <c r="C373" s="261" t="s">
        <v>15639</v>
      </c>
      <c r="D373" s="288">
        <v>43868</v>
      </c>
      <c r="E373" s="269" t="s">
        <v>15638</v>
      </c>
      <c r="F373" s="257">
        <v>5</v>
      </c>
      <c r="G373" s="255">
        <v>3.68</v>
      </c>
      <c r="H373" s="103"/>
      <c r="I373" s="276">
        <f t="shared" si="5"/>
        <v>30777.949999999997</v>
      </c>
    </row>
    <row r="374" spans="2:9" x14ac:dyDescent="0.2">
      <c r="B374" s="260"/>
      <c r="C374" s="261" t="s">
        <v>15637</v>
      </c>
      <c r="D374" s="288">
        <v>43868</v>
      </c>
      <c r="E374" s="269" t="s">
        <v>15636</v>
      </c>
      <c r="F374" s="257">
        <v>5</v>
      </c>
      <c r="G374" s="255">
        <v>35.799999999999997</v>
      </c>
      <c r="H374" s="103"/>
      <c r="I374" s="276">
        <f t="shared" si="5"/>
        <v>30813.749999999996</v>
      </c>
    </row>
    <row r="375" spans="2:9" x14ac:dyDescent="0.2">
      <c r="B375" s="260"/>
      <c r="C375" s="261" t="s">
        <v>15635</v>
      </c>
      <c r="D375" s="288">
        <v>43868</v>
      </c>
      <c r="E375" s="269" t="s">
        <v>15634</v>
      </c>
      <c r="F375" s="257">
        <v>5</v>
      </c>
      <c r="G375" s="255">
        <v>2.95</v>
      </c>
      <c r="H375" s="103"/>
      <c r="I375" s="276">
        <f t="shared" si="5"/>
        <v>30816.699999999997</v>
      </c>
    </row>
    <row r="376" spans="2:9" x14ac:dyDescent="0.2">
      <c r="B376" s="260"/>
      <c r="C376" s="261" t="s">
        <v>15633</v>
      </c>
      <c r="D376" s="288">
        <v>43868</v>
      </c>
      <c r="E376" s="269" t="s">
        <v>15632</v>
      </c>
      <c r="F376" s="257">
        <v>5</v>
      </c>
      <c r="G376" s="255">
        <v>8.3800000000000008</v>
      </c>
      <c r="H376" s="103"/>
      <c r="I376" s="276">
        <f t="shared" si="5"/>
        <v>30825.079999999998</v>
      </c>
    </row>
    <row r="377" spans="2:9" x14ac:dyDescent="0.2">
      <c r="B377" s="260"/>
      <c r="C377" s="261" t="s">
        <v>15631</v>
      </c>
      <c r="D377" s="288">
        <v>43868</v>
      </c>
      <c r="E377" s="269" t="s">
        <v>15630</v>
      </c>
      <c r="F377" s="257">
        <v>5</v>
      </c>
      <c r="G377" s="255">
        <v>3.57</v>
      </c>
      <c r="H377" s="103"/>
      <c r="I377" s="276">
        <f t="shared" si="5"/>
        <v>30828.649999999998</v>
      </c>
    </row>
    <row r="378" spans="2:9" x14ac:dyDescent="0.25">
      <c r="B378" s="260"/>
      <c r="C378" s="261" t="s">
        <v>15629</v>
      </c>
      <c r="D378" s="288">
        <v>43869</v>
      </c>
      <c r="E378" s="269" t="s">
        <v>15628</v>
      </c>
      <c r="F378" s="257" t="s">
        <v>14409</v>
      </c>
      <c r="G378" s="258">
        <v>2.82</v>
      </c>
      <c r="I378" s="276">
        <f t="shared" si="5"/>
        <v>30831.469999999998</v>
      </c>
    </row>
    <row r="379" spans="2:9" x14ac:dyDescent="0.25">
      <c r="B379" s="260"/>
      <c r="C379" s="261" t="s">
        <v>15627</v>
      </c>
      <c r="D379" s="288">
        <v>43869</v>
      </c>
      <c r="E379" s="269" t="s">
        <v>15626</v>
      </c>
      <c r="F379" s="257" t="s">
        <v>14409</v>
      </c>
      <c r="G379" s="258">
        <v>7.9</v>
      </c>
      <c r="I379" s="276">
        <f t="shared" si="5"/>
        <v>30839.37</v>
      </c>
    </row>
    <row r="380" spans="2:9" x14ac:dyDescent="0.25">
      <c r="B380" s="260"/>
      <c r="C380" s="261" t="s">
        <v>15625</v>
      </c>
      <c r="D380" s="288">
        <v>43869</v>
      </c>
      <c r="E380" s="269" t="s">
        <v>15624</v>
      </c>
      <c r="F380" s="257" t="s">
        <v>14409</v>
      </c>
      <c r="G380" s="258">
        <v>0.19</v>
      </c>
      <c r="I380" s="276">
        <f t="shared" si="5"/>
        <v>30839.559999999998</v>
      </c>
    </row>
    <row r="381" spans="2:9" ht="19.5" x14ac:dyDescent="0.25">
      <c r="B381" s="260"/>
      <c r="C381" s="261" t="s">
        <v>15623</v>
      </c>
      <c r="D381" s="288">
        <v>43869</v>
      </c>
      <c r="E381" s="269" t="s">
        <v>15622</v>
      </c>
      <c r="F381" s="257" t="s">
        <v>14409</v>
      </c>
      <c r="G381" s="258">
        <v>70.38</v>
      </c>
      <c r="I381" s="276">
        <f t="shared" si="5"/>
        <v>30909.94</v>
      </c>
    </row>
    <row r="382" spans="2:9" x14ac:dyDescent="0.25">
      <c r="B382" s="260"/>
      <c r="C382" s="261" t="s">
        <v>15621</v>
      </c>
      <c r="D382" s="288">
        <v>43869</v>
      </c>
      <c r="E382" s="269" t="s">
        <v>15620</v>
      </c>
      <c r="F382" s="257" t="s">
        <v>14409</v>
      </c>
      <c r="G382" s="258">
        <v>1.68</v>
      </c>
      <c r="I382" s="276">
        <f t="shared" si="5"/>
        <v>30911.62</v>
      </c>
    </row>
    <row r="383" spans="2:9" x14ac:dyDescent="0.25">
      <c r="B383" s="260"/>
      <c r="C383" s="261" t="s">
        <v>15619</v>
      </c>
      <c r="D383" s="288">
        <v>43869</v>
      </c>
      <c r="E383" s="269" t="s">
        <v>15618</v>
      </c>
      <c r="F383" s="257" t="s">
        <v>14409</v>
      </c>
      <c r="G383" s="258">
        <v>1.84</v>
      </c>
      <c r="I383" s="276">
        <f t="shared" si="5"/>
        <v>30913.46</v>
      </c>
    </row>
    <row r="384" spans="2:9" x14ac:dyDescent="0.25">
      <c r="B384" s="260"/>
      <c r="C384" s="261" t="s">
        <v>15617</v>
      </c>
      <c r="D384" s="288">
        <v>43869</v>
      </c>
      <c r="E384" s="269" t="s">
        <v>15616</v>
      </c>
      <c r="F384" s="257" t="s">
        <v>14409</v>
      </c>
      <c r="G384" s="258">
        <v>5.57</v>
      </c>
      <c r="I384" s="276">
        <f t="shared" si="5"/>
        <v>30919.03</v>
      </c>
    </row>
    <row r="385" spans="2:9" x14ac:dyDescent="0.25">
      <c r="B385" s="260"/>
      <c r="C385" s="261" t="s">
        <v>15615</v>
      </c>
      <c r="D385" s="288">
        <v>43869</v>
      </c>
      <c r="E385" s="269" t="s">
        <v>15614</v>
      </c>
      <c r="F385" s="257" t="s">
        <v>14409</v>
      </c>
      <c r="G385" s="258">
        <v>31.67</v>
      </c>
      <c r="I385" s="276">
        <f t="shared" si="5"/>
        <v>30950.699999999997</v>
      </c>
    </row>
    <row r="386" spans="2:9" x14ac:dyDescent="0.25">
      <c r="B386" s="260"/>
      <c r="C386" s="261" t="s">
        <v>15613</v>
      </c>
      <c r="D386" s="288">
        <v>43869</v>
      </c>
      <c r="E386" s="269" t="s">
        <v>15612</v>
      </c>
      <c r="F386" s="257" t="s">
        <v>14409</v>
      </c>
      <c r="G386" s="258">
        <v>14.27</v>
      </c>
      <c r="I386" s="276">
        <f t="shared" si="5"/>
        <v>30964.969999999998</v>
      </c>
    </row>
    <row r="387" spans="2:9" x14ac:dyDescent="0.25">
      <c r="B387" s="260"/>
      <c r="C387" s="261" t="s">
        <v>15611</v>
      </c>
      <c r="D387" s="288">
        <v>43869</v>
      </c>
      <c r="E387" s="269" t="s">
        <v>15610</v>
      </c>
      <c r="F387" s="257" t="s">
        <v>14409</v>
      </c>
      <c r="G387" s="258">
        <v>7.85</v>
      </c>
      <c r="I387" s="276">
        <f t="shared" si="5"/>
        <v>30972.819999999996</v>
      </c>
    </row>
    <row r="388" spans="2:9" x14ac:dyDescent="0.25">
      <c r="B388" s="260"/>
      <c r="C388" s="261" t="s">
        <v>15609</v>
      </c>
      <c r="D388" s="288">
        <v>43869</v>
      </c>
      <c r="E388" s="269" t="s">
        <v>15608</v>
      </c>
      <c r="F388" s="257" t="s">
        <v>14409</v>
      </c>
      <c r="G388" s="258">
        <v>2.67</v>
      </c>
      <c r="I388" s="276">
        <f t="shared" si="5"/>
        <v>30975.489999999994</v>
      </c>
    </row>
    <row r="389" spans="2:9" x14ac:dyDescent="0.25">
      <c r="B389" s="260"/>
      <c r="C389" s="261" t="s">
        <v>15607</v>
      </c>
      <c r="D389" s="288">
        <v>43869</v>
      </c>
      <c r="E389" s="269" t="s">
        <v>15606</v>
      </c>
      <c r="F389" s="257" t="s">
        <v>14409</v>
      </c>
      <c r="G389" s="258">
        <v>2.72</v>
      </c>
      <c r="I389" s="276">
        <f t="shared" si="5"/>
        <v>30978.209999999995</v>
      </c>
    </row>
    <row r="390" spans="2:9" x14ac:dyDescent="0.25">
      <c r="B390" s="260"/>
      <c r="C390" s="261" t="s">
        <v>15605</v>
      </c>
      <c r="D390" s="288">
        <v>43869</v>
      </c>
      <c r="E390" s="269" t="s">
        <v>15604</v>
      </c>
      <c r="F390" s="257" t="s">
        <v>14409</v>
      </c>
      <c r="G390" s="258">
        <v>5.38</v>
      </c>
      <c r="I390" s="276">
        <f t="shared" si="5"/>
        <v>30983.589999999997</v>
      </c>
    </row>
    <row r="391" spans="2:9" x14ac:dyDescent="0.25">
      <c r="B391" s="260"/>
      <c r="C391" s="261" t="s">
        <v>15603</v>
      </c>
      <c r="D391" s="288">
        <v>43869</v>
      </c>
      <c r="E391" s="269" t="s">
        <v>15602</v>
      </c>
      <c r="F391" s="257" t="s">
        <v>14409</v>
      </c>
      <c r="G391" s="258">
        <v>1.74</v>
      </c>
      <c r="I391" s="276">
        <f t="shared" si="5"/>
        <v>30985.329999999998</v>
      </c>
    </row>
    <row r="392" spans="2:9" x14ac:dyDescent="0.25">
      <c r="B392" s="260"/>
      <c r="C392" s="261" t="s">
        <v>15601</v>
      </c>
      <c r="D392" s="288">
        <v>43869</v>
      </c>
      <c r="E392" s="269" t="s">
        <v>15600</v>
      </c>
      <c r="F392" s="257" t="s">
        <v>14409</v>
      </c>
      <c r="G392" s="258">
        <v>1.68</v>
      </c>
      <c r="I392" s="276">
        <f t="shared" si="5"/>
        <v>30987.01</v>
      </c>
    </row>
    <row r="393" spans="2:9" x14ac:dyDescent="0.25">
      <c r="B393" s="260"/>
      <c r="C393" s="261" t="s">
        <v>15599</v>
      </c>
      <c r="D393" s="288">
        <v>43869</v>
      </c>
      <c r="E393" s="269" t="s">
        <v>15598</v>
      </c>
      <c r="F393" s="257" t="s">
        <v>14409</v>
      </c>
      <c r="G393" s="258">
        <v>4.9000000000000004</v>
      </c>
      <c r="I393" s="276">
        <f t="shared" si="5"/>
        <v>30991.91</v>
      </c>
    </row>
    <row r="394" spans="2:9" x14ac:dyDescent="0.25">
      <c r="B394" s="260"/>
      <c r="C394" s="261" t="s">
        <v>15597</v>
      </c>
      <c r="D394" s="288">
        <v>43870</v>
      </c>
      <c r="E394" s="269" t="s">
        <v>15596</v>
      </c>
      <c r="F394" s="257" t="s">
        <v>14409</v>
      </c>
      <c r="G394" s="258">
        <v>5.04</v>
      </c>
      <c r="I394" s="276">
        <f t="shared" si="5"/>
        <v>30996.95</v>
      </c>
    </row>
    <row r="395" spans="2:9" x14ac:dyDescent="0.25">
      <c r="B395" s="260"/>
      <c r="C395" s="261" t="s">
        <v>15595</v>
      </c>
      <c r="D395" s="288">
        <v>43870</v>
      </c>
      <c r="E395" s="269" t="s">
        <v>15594</v>
      </c>
      <c r="F395" s="257" t="s">
        <v>14409</v>
      </c>
      <c r="G395" s="258">
        <v>4.97</v>
      </c>
      <c r="I395" s="276">
        <f t="shared" si="5"/>
        <v>31001.920000000002</v>
      </c>
    </row>
    <row r="396" spans="2:9" x14ac:dyDescent="0.25">
      <c r="B396" s="260"/>
      <c r="C396" s="261" t="s">
        <v>15593</v>
      </c>
      <c r="D396" s="288">
        <v>43870</v>
      </c>
      <c r="E396" s="269" t="s">
        <v>15592</v>
      </c>
      <c r="F396" s="257" t="s">
        <v>14409</v>
      </c>
      <c r="G396" s="258">
        <v>3.43</v>
      </c>
      <c r="I396" s="276">
        <f t="shared" si="5"/>
        <v>31005.350000000002</v>
      </c>
    </row>
    <row r="397" spans="2:9" x14ac:dyDescent="0.25">
      <c r="B397" s="260"/>
      <c r="C397" s="261" t="s">
        <v>15591</v>
      </c>
      <c r="D397" s="288">
        <v>43870</v>
      </c>
      <c r="E397" s="269" t="s">
        <v>15590</v>
      </c>
      <c r="F397" s="257" t="s">
        <v>14409</v>
      </c>
      <c r="G397" s="258">
        <v>4.1399999999999997</v>
      </c>
      <c r="I397" s="276">
        <f t="shared" si="5"/>
        <v>31009.49</v>
      </c>
    </row>
    <row r="398" spans="2:9" x14ac:dyDescent="0.25">
      <c r="B398" s="260"/>
      <c r="C398" s="261" t="s">
        <v>15589</v>
      </c>
      <c r="D398" s="288">
        <v>43870</v>
      </c>
      <c r="E398" s="269" t="s">
        <v>15588</v>
      </c>
      <c r="F398" s="257" t="s">
        <v>14409</v>
      </c>
      <c r="G398" s="258">
        <v>6.76</v>
      </c>
      <c r="I398" s="276">
        <f t="shared" si="5"/>
        <v>31016.25</v>
      </c>
    </row>
    <row r="399" spans="2:9" x14ac:dyDescent="0.25">
      <c r="B399" s="260"/>
      <c r="C399" s="261" t="s">
        <v>15587</v>
      </c>
      <c r="D399" s="288">
        <v>43871</v>
      </c>
      <c r="E399" s="269" t="s">
        <v>15586</v>
      </c>
      <c r="F399" s="257" t="s">
        <v>14437</v>
      </c>
      <c r="G399" s="160">
        <v>3.9</v>
      </c>
      <c r="I399" s="276">
        <f t="shared" si="5"/>
        <v>31020.15</v>
      </c>
    </row>
    <row r="400" spans="2:9" x14ac:dyDescent="0.25">
      <c r="B400" s="260"/>
      <c r="C400" s="261" t="s">
        <v>15585</v>
      </c>
      <c r="D400" s="288">
        <v>43871</v>
      </c>
      <c r="E400" s="269" t="s">
        <v>15584</v>
      </c>
      <c r="F400" s="257" t="s">
        <v>14444</v>
      </c>
      <c r="G400" s="160">
        <v>10.63</v>
      </c>
      <c r="I400" s="276">
        <f t="shared" si="5"/>
        <v>31030.780000000002</v>
      </c>
    </row>
    <row r="401" spans="2:9" x14ac:dyDescent="0.25">
      <c r="B401" s="260"/>
      <c r="C401" s="261" t="s">
        <v>15583</v>
      </c>
      <c r="D401" s="288">
        <v>43871</v>
      </c>
      <c r="E401" s="269" t="s">
        <v>15582</v>
      </c>
      <c r="F401" s="257" t="s">
        <v>14444</v>
      </c>
      <c r="G401" s="160">
        <v>1.9</v>
      </c>
      <c r="I401" s="276">
        <f t="shared" si="5"/>
        <v>31032.680000000004</v>
      </c>
    </row>
    <row r="402" spans="2:9" x14ac:dyDescent="0.25">
      <c r="B402" s="260"/>
      <c r="C402" s="261" t="s">
        <v>15581</v>
      </c>
      <c r="D402" s="288">
        <v>43871</v>
      </c>
      <c r="E402" s="269" t="s">
        <v>15580</v>
      </c>
      <c r="F402" s="257" t="s">
        <v>14444</v>
      </c>
      <c r="G402" s="160">
        <v>12.56</v>
      </c>
      <c r="I402" s="276">
        <f t="shared" si="5"/>
        <v>31045.240000000005</v>
      </c>
    </row>
    <row r="403" spans="2:9" x14ac:dyDescent="0.25">
      <c r="B403" s="260"/>
      <c r="C403" s="261" t="s">
        <v>15579</v>
      </c>
      <c r="D403" s="288">
        <v>43871</v>
      </c>
      <c r="E403" s="269" t="s">
        <v>15578</v>
      </c>
      <c r="F403" s="257" t="s">
        <v>14444</v>
      </c>
      <c r="G403" s="160">
        <v>4.03</v>
      </c>
      <c r="I403" s="276">
        <f t="shared" si="5"/>
        <v>31049.270000000004</v>
      </c>
    </row>
    <row r="404" spans="2:9" ht="19.5" x14ac:dyDescent="0.25">
      <c r="B404" s="260"/>
      <c r="C404" s="261" t="s">
        <v>15577</v>
      </c>
      <c r="D404" s="288">
        <v>43871</v>
      </c>
      <c r="E404" s="269" t="s">
        <v>15576</v>
      </c>
      <c r="F404" s="257" t="s">
        <v>14436</v>
      </c>
      <c r="G404" s="160">
        <v>21.61</v>
      </c>
      <c r="I404" s="276">
        <f t="shared" ref="I404:I467" si="6">+I403+G404-H404</f>
        <v>31070.880000000005</v>
      </c>
    </row>
    <row r="405" spans="2:9" ht="19.5" x14ac:dyDescent="0.25">
      <c r="B405" s="260"/>
      <c r="C405" s="261" t="s">
        <v>15575</v>
      </c>
      <c r="D405" s="288">
        <v>43871</v>
      </c>
      <c r="E405" s="269" t="s">
        <v>15574</v>
      </c>
      <c r="F405" s="257" t="s">
        <v>14436</v>
      </c>
      <c r="G405" s="160">
        <v>11.04</v>
      </c>
      <c r="I405" s="276">
        <f t="shared" si="6"/>
        <v>31081.920000000006</v>
      </c>
    </row>
    <row r="406" spans="2:9" x14ac:dyDescent="0.25">
      <c r="B406" s="260"/>
      <c r="C406" s="261" t="s">
        <v>15573</v>
      </c>
      <c r="D406" s="288">
        <v>43871</v>
      </c>
      <c r="E406" s="269" t="s">
        <v>15572</v>
      </c>
      <c r="F406" s="257" t="s">
        <v>14444</v>
      </c>
      <c r="G406" s="160">
        <v>0.78</v>
      </c>
      <c r="I406" s="276">
        <f t="shared" si="6"/>
        <v>31082.700000000004</v>
      </c>
    </row>
    <row r="407" spans="2:9" x14ac:dyDescent="0.25">
      <c r="B407" s="260"/>
      <c r="C407" s="261" t="s">
        <v>15571</v>
      </c>
      <c r="D407" s="288">
        <v>43871</v>
      </c>
      <c r="E407" s="269" t="s">
        <v>15570</v>
      </c>
      <c r="F407" s="257" t="s">
        <v>14409</v>
      </c>
      <c r="G407" s="258">
        <v>10.55</v>
      </c>
      <c r="I407" s="276">
        <f t="shared" si="6"/>
        <v>31093.250000000004</v>
      </c>
    </row>
    <row r="408" spans="2:9" x14ac:dyDescent="0.25">
      <c r="B408" s="260"/>
      <c r="C408" s="261" t="s">
        <v>15569</v>
      </c>
      <c r="D408" s="288">
        <v>43871</v>
      </c>
      <c r="E408" s="269" t="s">
        <v>15568</v>
      </c>
      <c r="F408" s="257" t="s">
        <v>14409</v>
      </c>
      <c r="G408" s="258">
        <v>8.36</v>
      </c>
      <c r="I408" s="276">
        <f t="shared" si="6"/>
        <v>31101.610000000004</v>
      </c>
    </row>
    <row r="409" spans="2:9" x14ac:dyDescent="0.25">
      <c r="B409" s="260"/>
      <c r="C409" s="261" t="s">
        <v>15567</v>
      </c>
      <c r="D409" s="288">
        <v>43871</v>
      </c>
      <c r="E409" s="269" t="s">
        <v>15566</v>
      </c>
      <c r="F409" s="257" t="s">
        <v>14409</v>
      </c>
      <c r="G409" s="258">
        <v>3.52</v>
      </c>
      <c r="I409" s="276">
        <f t="shared" si="6"/>
        <v>31105.130000000005</v>
      </c>
    </row>
    <row r="410" spans="2:9" x14ac:dyDescent="0.25">
      <c r="B410" s="260"/>
      <c r="C410" s="261" t="s">
        <v>15565</v>
      </c>
      <c r="D410" s="288">
        <v>43871</v>
      </c>
      <c r="E410" s="269" t="s">
        <v>15564</v>
      </c>
      <c r="F410" s="257" t="s">
        <v>14409</v>
      </c>
      <c r="G410" s="258">
        <v>6.27</v>
      </c>
      <c r="I410" s="276">
        <f t="shared" si="6"/>
        <v>31111.400000000005</v>
      </c>
    </row>
    <row r="411" spans="2:9" ht="19.5" x14ac:dyDescent="0.25">
      <c r="B411" s="260"/>
      <c r="C411" s="261" t="s">
        <v>15563</v>
      </c>
      <c r="D411" s="288">
        <v>43871</v>
      </c>
      <c r="E411" s="269" t="s">
        <v>15562</v>
      </c>
      <c r="F411" s="257" t="s">
        <v>14409</v>
      </c>
      <c r="G411" s="258">
        <v>0.8</v>
      </c>
      <c r="I411" s="276">
        <f t="shared" si="6"/>
        <v>31112.200000000004</v>
      </c>
    </row>
    <row r="412" spans="2:9" x14ac:dyDescent="0.25">
      <c r="B412" s="260"/>
      <c r="C412" s="261" t="s">
        <v>15561</v>
      </c>
      <c r="D412" s="288">
        <v>43871</v>
      </c>
      <c r="E412" s="269" t="s">
        <v>15560</v>
      </c>
      <c r="F412" s="257" t="s">
        <v>14409</v>
      </c>
      <c r="G412" s="258">
        <v>8.59</v>
      </c>
      <c r="I412" s="276">
        <f t="shared" si="6"/>
        <v>31120.790000000005</v>
      </c>
    </row>
    <row r="413" spans="2:9" x14ac:dyDescent="0.25">
      <c r="B413" s="260"/>
      <c r="C413" s="261" t="s">
        <v>15559</v>
      </c>
      <c r="D413" s="288">
        <v>43871</v>
      </c>
      <c r="E413" s="269" t="s">
        <v>15558</v>
      </c>
      <c r="F413" s="257" t="s">
        <v>14409</v>
      </c>
      <c r="G413" s="258">
        <v>2.4</v>
      </c>
      <c r="I413" s="276">
        <f t="shared" si="6"/>
        <v>31123.190000000006</v>
      </c>
    </row>
    <row r="414" spans="2:9" x14ac:dyDescent="0.25">
      <c r="B414" s="260"/>
      <c r="C414" s="261" t="s">
        <v>15557</v>
      </c>
      <c r="D414" s="288">
        <v>43871</v>
      </c>
      <c r="E414" s="269" t="s">
        <v>15556</v>
      </c>
      <c r="F414" s="257" t="s">
        <v>14409</v>
      </c>
      <c r="G414" s="258">
        <v>4.37</v>
      </c>
      <c r="I414" s="276">
        <f t="shared" si="6"/>
        <v>31127.560000000005</v>
      </c>
    </row>
    <row r="415" spans="2:9" x14ac:dyDescent="0.25">
      <c r="B415" s="260"/>
      <c r="C415" s="261" t="s">
        <v>15555</v>
      </c>
      <c r="D415" s="288">
        <v>43871</v>
      </c>
      <c r="E415" s="269" t="s">
        <v>15554</v>
      </c>
      <c r="F415" s="257" t="s">
        <v>14409</v>
      </c>
      <c r="G415" s="258">
        <v>10.02</v>
      </c>
      <c r="I415" s="276">
        <f t="shared" si="6"/>
        <v>31137.580000000005</v>
      </c>
    </row>
    <row r="416" spans="2:9" x14ac:dyDescent="0.25">
      <c r="B416" s="260"/>
      <c r="C416" s="261" t="s">
        <v>15553</v>
      </c>
      <c r="D416" s="288">
        <v>43871</v>
      </c>
      <c r="E416" s="269" t="s">
        <v>15552</v>
      </c>
      <c r="F416" s="257" t="s">
        <v>14409</v>
      </c>
      <c r="G416" s="258">
        <v>2.5499999999999998</v>
      </c>
      <c r="I416" s="276">
        <f t="shared" si="6"/>
        <v>31140.130000000005</v>
      </c>
    </row>
    <row r="417" spans="2:9" x14ac:dyDescent="0.25">
      <c r="B417" s="260"/>
      <c r="C417" s="261" t="s">
        <v>15551</v>
      </c>
      <c r="D417" s="288">
        <v>43871</v>
      </c>
      <c r="E417" s="269" t="s">
        <v>15550</v>
      </c>
      <c r="F417" s="257" t="s">
        <v>14409</v>
      </c>
      <c r="G417" s="258">
        <v>15.32</v>
      </c>
      <c r="I417" s="276">
        <f t="shared" si="6"/>
        <v>31155.450000000004</v>
      </c>
    </row>
    <row r="418" spans="2:9" x14ac:dyDescent="0.25">
      <c r="B418" s="260"/>
      <c r="C418" s="261" t="s">
        <v>15549</v>
      </c>
      <c r="D418" s="288">
        <v>43871</v>
      </c>
      <c r="E418" s="269" t="s">
        <v>15548</v>
      </c>
      <c r="F418" s="257" t="s">
        <v>14409</v>
      </c>
      <c r="G418" s="258">
        <v>2.09</v>
      </c>
      <c r="I418" s="276">
        <f t="shared" si="6"/>
        <v>31157.540000000005</v>
      </c>
    </row>
    <row r="419" spans="2:9" x14ac:dyDescent="0.25">
      <c r="B419" s="260"/>
      <c r="C419" s="261" t="s">
        <v>15547</v>
      </c>
      <c r="D419" s="288">
        <v>43871</v>
      </c>
      <c r="E419" s="269" t="s">
        <v>15546</v>
      </c>
      <c r="F419" s="257" t="s">
        <v>14409</v>
      </c>
      <c r="G419" s="258">
        <v>10.76</v>
      </c>
      <c r="I419" s="276">
        <f t="shared" si="6"/>
        <v>31168.300000000003</v>
      </c>
    </row>
    <row r="420" spans="2:9" x14ac:dyDescent="0.25">
      <c r="B420" s="260"/>
      <c r="C420" s="261" t="s">
        <v>15545</v>
      </c>
      <c r="D420" s="288">
        <v>43871</v>
      </c>
      <c r="E420" s="269" t="s">
        <v>15544</v>
      </c>
      <c r="F420" s="257" t="s">
        <v>14409</v>
      </c>
      <c r="G420" s="258">
        <v>6.2</v>
      </c>
      <c r="I420" s="276">
        <f t="shared" si="6"/>
        <v>31174.500000000004</v>
      </c>
    </row>
    <row r="421" spans="2:9" x14ac:dyDescent="0.25">
      <c r="B421" s="260"/>
      <c r="C421" s="261" t="s">
        <v>15543</v>
      </c>
      <c r="D421" s="288">
        <v>43871</v>
      </c>
      <c r="E421" s="269" t="s">
        <v>15542</v>
      </c>
      <c r="F421" s="257" t="s">
        <v>14409</v>
      </c>
      <c r="G421" s="258">
        <v>4.7300000000000004</v>
      </c>
      <c r="I421" s="276">
        <f t="shared" si="6"/>
        <v>31179.230000000003</v>
      </c>
    </row>
    <row r="422" spans="2:9" x14ac:dyDescent="0.25">
      <c r="B422" s="260"/>
      <c r="C422" s="261" t="s">
        <v>15541</v>
      </c>
      <c r="D422" s="288">
        <v>43871</v>
      </c>
      <c r="E422" s="269" t="s">
        <v>15540</v>
      </c>
      <c r="F422" s="257" t="s">
        <v>14409</v>
      </c>
      <c r="G422" s="258">
        <v>6.38</v>
      </c>
      <c r="I422" s="276">
        <f t="shared" si="6"/>
        <v>31185.610000000004</v>
      </c>
    </row>
    <row r="423" spans="2:9" x14ac:dyDescent="0.25">
      <c r="B423" s="260"/>
      <c r="C423" s="261" t="s">
        <v>15539</v>
      </c>
      <c r="D423" s="288">
        <v>43871</v>
      </c>
      <c r="E423" s="269" t="s">
        <v>15538</v>
      </c>
      <c r="F423" s="257" t="s">
        <v>14409</v>
      </c>
      <c r="G423" s="258">
        <v>14.11</v>
      </c>
      <c r="I423" s="276">
        <f t="shared" si="6"/>
        <v>31199.720000000005</v>
      </c>
    </row>
    <row r="424" spans="2:9" x14ac:dyDescent="0.25">
      <c r="B424" s="260"/>
      <c r="C424" s="261" t="s">
        <v>15537</v>
      </c>
      <c r="D424" s="288">
        <v>43871</v>
      </c>
      <c r="E424" s="269" t="s">
        <v>15536</v>
      </c>
      <c r="F424" s="257" t="s">
        <v>14409</v>
      </c>
      <c r="G424" s="258">
        <v>1.69</v>
      </c>
      <c r="I424" s="276">
        <f t="shared" si="6"/>
        <v>31201.410000000003</v>
      </c>
    </row>
    <row r="425" spans="2:9" x14ac:dyDescent="0.25">
      <c r="B425" s="260"/>
      <c r="C425" s="261" t="s">
        <v>15535</v>
      </c>
      <c r="D425" s="288">
        <v>43871</v>
      </c>
      <c r="E425" s="269" t="s">
        <v>15534</v>
      </c>
      <c r="F425" s="257" t="s">
        <v>14409</v>
      </c>
      <c r="G425" s="258">
        <v>6.94</v>
      </c>
      <c r="I425" s="276">
        <f t="shared" si="6"/>
        <v>31208.350000000002</v>
      </c>
    </row>
    <row r="426" spans="2:9" x14ac:dyDescent="0.25">
      <c r="B426" s="260"/>
      <c r="C426" s="261" t="s">
        <v>15533</v>
      </c>
      <c r="D426" s="288">
        <v>43871</v>
      </c>
      <c r="E426" s="269" t="s">
        <v>15532</v>
      </c>
      <c r="F426" s="257" t="s">
        <v>14409</v>
      </c>
      <c r="G426" s="258">
        <v>8.3699999999999992</v>
      </c>
      <c r="I426" s="276">
        <f t="shared" si="6"/>
        <v>31216.720000000001</v>
      </c>
    </row>
    <row r="427" spans="2:9" x14ac:dyDescent="0.25">
      <c r="B427" s="260"/>
      <c r="C427" s="261" t="s">
        <v>15531</v>
      </c>
      <c r="D427" s="288">
        <v>43871</v>
      </c>
      <c r="E427" s="269" t="s">
        <v>15530</v>
      </c>
      <c r="F427" s="257" t="s">
        <v>14409</v>
      </c>
      <c r="G427" s="258">
        <v>4.09</v>
      </c>
      <c r="I427" s="276">
        <f t="shared" si="6"/>
        <v>31220.81</v>
      </c>
    </row>
    <row r="428" spans="2:9" x14ac:dyDescent="0.25">
      <c r="B428" s="260"/>
      <c r="C428" s="261" t="s">
        <v>15529</v>
      </c>
      <c r="D428" s="288">
        <v>43871</v>
      </c>
      <c r="E428" s="269" t="s">
        <v>15528</v>
      </c>
      <c r="F428" s="257" t="s">
        <v>14409</v>
      </c>
      <c r="G428" s="258">
        <v>8.98</v>
      </c>
      <c r="I428" s="276">
        <f t="shared" si="6"/>
        <v>31229.79</v>
      </c>
    </row>
    <row r="429" spans="2:9" x14ac:dyDescent="0.25">
      <c r="B429" s="260"/>
      <c r="C429" s="261" t="s">
        <v>15527</v>
      </c>
      <c r="D429" s="288">
        <v>43871</v>
      </c>
      <c r="E429" s="269" t="s">
        <v>15526</v>
      </c>
      <c r="F429" s="257" t="s">
        <v>14409</v>
      </c>
      <c r="G429" s="258">
        <v>1.72</v>
      </c>
      <c r="I429" s="276">
        <f t="shared" si="6"/>
        <v>31231.510000000002</v>
      </c>
    </row>
    <row r="430" spans="2:9" x14ac:dyDescent="0.25">
      <c r="B430" s="260"/>
      <c r="C430" s="261" t="s">
        <v>15525</v>
      </c>
      <c r="D430" s="288">
        <v>43871</v>
      </c>
      <c r="E430" s="269" t="s">
        <v>15524</v>
      </c>
      <c r="F430" s="257" t="s">
        <v>14409</v>
      </c>
      <c r="G430" s="258">
        <v>2.8</v>
      </c>
      <c r="I430" s="276">
        <f t="shared" si="6"/>
        <v>31234.31</v>
      </c>
    </row>
    <row r="431" spans="2:9" x14ac:dyDescent="0.25">
      <c r="B431" s="260"/>
      <c r="C431" s="261" t="s">
        <v>15523</v>
      </c>
      <c r="D431" s="288">
        <v>43871</v>
      </c>
      <c r="E431" s="269" t="s">
        <v>15522</v>
      </c>
      <c r="F431" s="257" t="s">
        <v>14409</v>
      </c>
      <c r="G431" s="258">
        <v>13.52</v>
      </c>
      <c r="I431" s="276">
        <f t="shared" si="6"/>
        <v>31247.83</v>
      </c>
    </row>
    <row r="432" spans="2:9" x14ac:dyDescent="0.25">
      <c r="B432" s="260"/>
      <c r="C432" s="261" t="s">
        <v>15521</v>
      </c>
      <c r="D432" s="288">
        <v>43871</v>
      </c>
      <c r="E432" s="269" t="s">
        <v>15520</v>
      </c>
      <c r="F432" s="257" t="s">
        <v>14409</v>
      </c>
      <c r="G432" s="258">
        <v>8.3800000000000008</v>
      </c>
      <c r="I432" s="276">
        <f t="shared" si="6"/>
        <v>31256.210000000003</v>
      </c>
    </row>
    <row r="433" spans="2:9" x14ac:dyDescent="0.25">
      <c r="B433" s="260"/>
      <c r="C433" s="261" t="s">
        <v>15519</v>
      </c>
      <c r="D433" s="288">
        <v>43871</v>
      </c>
      <c r="E433" s="269" t="s">
        <v>15518</v>
      </c>
      <c r="F433" s="257" t="s">
        <v>14409</v>
      </c>
      <c r="G433" s="258">
        <v>5.79</v>
      </c>
      <c r="I433" s="276">
        <f t="shared" si="6"/>
        <v>31262.000000000004</v>
      </c>
    </row>
    <row r="434" spans="2:9" x14ac:dyDescent="0.25">
      <c r="B434" s="260"/>
      <c r="C434" s="261" t="s">
        <v>15517</v>
      </c>
      <c r="D434" s="288">
        <v>43871</v>
      </c>
      <c r="E434" s="269" t="s">
        <v>15516</v>
      </c>
      <c r="F434" s="257" t="s">
        <v>14409</v>
      </c>
      <c r="G434" s="258">
        <v>8.07</v>
      </c>
      <c r="I434" s="276">
        <f t="shared" si="6"/>
        <v>31270.070000000003</v>
      </c>
    </row>
    <row r="435" spans="2:9" x14ac:dyDescent="0.2">
      <c r="B435" s="260"/>
      <c r="C435" s="261" t="s">
        <v>15515</v>
      </c>
      <c r="D435" s="288">
        <v>43871</v>
      </c>
      <c r="E435" s="269" t="s">
        <v>15514</v>
      </c>
      <c r="F435" s="257">
        <v>6</v>
      </c>
      <c r="G435" s="255">
        <v>8.67</v>
      </c>
      <c r="H435" s="103"/>
      <c r="I435" s="276">
        <f t="shared" si="6"/>
        <v>31278.74</v>
      </c>
    </row>
    <row r="436" spans="2:9" x14ac:dyDescent="0.2">
      <c r="B436" s="260"/>
      <c r="C436" s="261" t="s">
        <v>15513</v>
      </c>
      <c r="D436" s="288">
        <v>43871</v>
      </c>
      <c r="E436" s="269" t="s">
        <v>15512</v>
      </c>
      <c r="F436" s="257">
        <v>6</v>
      </c>
      <c r="G436" s="255">
        <v>9.6199999999999992</v>
      </c>
      <c r="H436" s="103"/>
      <c r="I436" s="276">
        <f t="shared" si="6"/>
        <v>31288.36</v>
      </c>
    </row>
    <row r="437" spans="2:9" x14ac:dyDescent="0.2">
      <c r="B437" s="260"/>
      <c r="C437" s="261" t="s">
        <v>15511</v>
      </c>
      <c r="D437" s="288">
        <v>43871</v>
      </c>
      <c r="E437" s="269" t="s">
        <v>15510</v>
      </c>
      <c r="F437" s="257">
        <v>6</v>
      </c>
      <c r="G437" s="255">
        <v>2.74</v>
      </c>
      <c r="H437" s="103"/>
      <c r="I437" s="276">
        <f t="shared" si="6"/>
        <v>31291.100000000002</v>
      </c>
    </row>
    <row r="438" spans="2:9" x14ac:dyDescent="0.2">
      <c r="B438" s="260"/>
      <c r="C438" s="261" t="s">
        <v>15509</v>
      </c>
      <c r="D438" s="288">
        <v>43871</v>
      </c>
      <c r="E438" s="269" t="s">
        <v>15508</v>
      </c>
      <c r="F438" s="257">
        <v>6</v>
      </c>
      <c r="G438" s="255">
        <v>4.37</v>
      </c>
      <c r="H438" s="103"/>
      <c r="I438" s="276">
        <f t="shared" si="6"/>
        <v>31295.47</v>
      </c>
    </row>
    <row r="439" spans="2:9" x14ac:dyDescent="0.2">
      <c r="B439" s="260"/>
      <c r="C439" s="261" t="s">
        <v>15507</v>
      </c>
      <c r="D439" s="288">
        <v>43871</v>
      </c>
      <c r="E439" s="269" t="s">
        <v>15506</v>
      </c>
      <c r="F439" s="257">
        <v>6</v>
      </c>
      <c r="G439" s="255">
        <v>16.760000000000002</v>
      </c>
      <c r="H439" s="103"/>
      <c r="I439" s="276">
        <f t="shared" si="6"/>
        <v>31312.23</v>
      </c>
    </row>
    <row r="440" spans="2:9" ht="19.5" x14ac:dyDescent="0.2">
      <c r="B440" s="260"/>
      <c r="C440" s="261" t="s">
        <v>15505</v>
      </c>
      <c r="D440" s="288">
        <v>43871</v>
      </c>
      <c r="E440" s="269" t="s">
        <v>15504</v>
      </c>
      <c r="F440" s="257">
        <v>6</v>
      </c>
      <c r="G440" s="255">
        <v>5.37</v>
      </c>
      <c r="H440" s="103"/>
      <c r="I440" s="276">
        <f t="shared" si="6"/>
        <v>31317.599999999999</v>
      </c>
    </row>
    <row r="441" spans="2:9" x14ac:dyDescent="0.2">
      <c r="B441" s="260"/>
      <c r="C441" s="261" t="s">
        <v>15503</v>
      </c>
      <c r="D441" s="288">
        <v>43871</v>
      </c>
      <c r="E441" s="269" t="s">
        <v>15502</v>
      </c>
      <c r="F441" s="257">
        <v>6</v>
      </c>
      <c r="G441" s="255">
        <v>1.68</v>
      </c>
      <c r="H441" s="103"/>
      <c r="I441" s="276">
        <f t="shared" si="6"/>
        <v>31319.279999999999</v>
      </c>
    </row>
    <row r="442" spans="2:9" x14ac:dyDescent="0.2">
      <c r="B442" s="260"/>
      <c r="C442" s="261" t="s">
        <v>15501</v>
      </c>
      <c r="D442" s="288">
        <v>43871</v>
      </c>
      <c r="E442" s="269" t="s">
        <v>15500</v>
      </c>
      <c r="F442" s="257">
        <v>6</v>
      </c>
      <c r="G442" s="255">
        <v>3.1</v>
      </c>
      <c r="H442" s="103"/>
      <c r="I442" s="276">
        <f t="shared" si="6"/>
        <v>31322.379999999997</v>
      </c>
    </row>
    <row r="443" spans="2:9" x14ac:dyDescent="0.2">
      <c r="B443" s="260"/>
      <c r="C443" s="261" t="s">
        <v>15499</v>
      </c>
      <c r="D443" s="288">
        <v>43871</v>
      </c>
      <c r="E443" s="269" t="s">
        <v>15498</v>
      </c>
      <c r="F443" s="257">
        <v>6</v>
      </c>
      <c r="G443" s="255">
        <v>4.83</v>
      </c>
      <c r="H443" s="103"/>
      <c r="I443" s="276">
        <f t="shared" si="6"/>
        <v>31327.21</v>
      </c>
    </row>
    <row r="444" spans="2:9" x14ac:dyDescent="0.2">
      <c r="B444" s="260"/>
      <c r="C444" s="261" t="s">
        <v>15497</v>
      </c>
      <c r="D444" s="288">
        <v>43871</v>
      </c>
      <c r="E444" s="269" t="s">
        <v>15496</v>
      </c>
      <c r="F444" s="257">
        <v>6</v>
      </c>
      <c r="G444" s="255">
        <v>13.31</v>
      </c>
      <c r="H444" s="103"/>
      <c r="I444" s="276">
        <f t="shared" si="6"/>
        <v>31340.52</v>
      </c>
    </row>
    <row r="445" spans="2:9" x14ac:dyDescent="0.25">
      <c r="B445" s="260"/>
      <c r="C445" s="261" t="s">
        <v>15495</v>
      </c>
      <c r="D445" s="288">
        <v>43871</v>
      </c>
      <c r="E445" s="269" t="s">
        <v>15494</v>
      </c>
      <c r="F445" s="257" t="s">
        <v>14437</v>
      </c>
      <c r="G445" s="160">
        <v>2</v>
      </c>
      <c r="I445" s="276">
        <f t="shared" si="6"/>
        <v>31342.52</v>
      </c>
    </row>
    <row r="446" spans="2:9" x14ac:dyDescent="0.25">
      <c r="B446" s="260"/>
      <c r="C446" s="261" t="s">
        <v>15493</v>
      </c>
      <c r="D446" s="288">
        <v>43871</v>
      </c>
      <c r="E446" s="269" t="s">
        <v>15492</v>
      </c>
      <c r="F446" s="257" t="s">
        <v>14436</v>
      </c>
      <c r="G446" s="160">
        <v>1.94</v>
      </c>
      <c r="I446" s="276">
        <f t="shared" si="6"/>
        <v>31344.46</v>
      </c>
    </row>
    <row r="447" spans="2:9" x14ac:dyDescent="0.25">
      <c r="B447" s="260"/>
      <c r="C447" s="261" t="s">
        <v>15491</v>
      </c>
      <c r="D447" s="288">
        <v>43871</v>
      </c>
      <c r="E447" s="269" t="s">
        <v>15490</v>
      </c>
      <c r="F447" s="257" t="s">
        <v>14436</v>
      </c>
      <c r="G447" s="160">
        <v>20.37</v>
      </c>
      <c r="I447" s="276">
        <f t="shared" si="6"/>
        <v>31364.829999999998</v>
      </c>
    </row>
    <row r="448" spans="2:9" x14ac:dyDescent="0.25">
      <c r="B448" s="260"/>
      <c r="C448" s="261" t="s">
        <v>15489</v>
      </c>
      <c r="D448" s="288">
        <v>43871</v>
      </c>
      <c r="E448" s="269" t="s">
        <v>15488</v>
      </c>
      <c r="F448" s="257" t="s">
        <v>14437</v>
      </c>
      <c r="G448" s="160">
        <v>4.93</v>
      </c>
      <c r="I448" s="276">
        <f t="shared" si="6"/>
        <v>31369.759999999998</v>
      </c>
    </row>
    <row r="449" spans="2:9" x14ac:dyDescent="0.25">
      <c r="B449" s="260"/>
      <c r="C449" s="261" t="s">
        <v>15487</v>
      </c>
      <c r="D449" s="288">
        <v>43871</v>
      </c>
      <c r="E449" s="269" t="s">
        <v>15486</v>
      </c>
      <c r="F449" s="257" t="s">
        <v>14437</v>
      </c>
      <c r="G449" s="160">
        <v>4.12</v>
      </c>
      <c r="I449" s="276">
        <f t="shared" si="6"/>
        <v>31373.879999999997</v>
      </c>
    </row>
    <row r="450" spans="2:9" ht="19.5" x14ac:dyDescent="0.25">
      <c r="B450" s="260"/>
      <c r="C450" s="261" t="s">
        <v>15485</v>
      </c>
      <c r="D450" s="288">
        <v>43871</v>
      </c>
      <c r="E450" s="269" t="s">
        <v>15484</v>
      </c>
      <c r="F450" s="257" t="s">
        <v>14436</v>
      </c>
      <c r="G450" s="160">
        <v>2.57</v>
      </c>
      <c r="I450" s="276">
        <f t="shared" si="6"/>
        <v>31376.449999999997</v>
      </c>
    </row>
    <row r="451" spans="2:9" x14ac:dyDescent="0.25">
      <c r="B451" s="260"/>
      <c r="C451" s="261" t="s">
        <v>15483</v>
      </c>
      <c r="D451" s="288">
        <v>43872</v>
      </c>
      <c r="E451" s="269" t="s">
        <v>15482</v>
      </c>
      <c r="F451" s="257" t="s">
        <v>14436</v>
      </c>
      <c r="G451" s="160">
        <v>16.260000000000002</v>
      </c>
      <c r="I451" s="276">
        <f t="shared" si="6"/>
        <v>31392.709999999995</v>
      </c>
    </row>
    <row r="452" spans="2:9" x14ac:dyDescent="0.25">
      <c r="B452" s="260"/>
      <c r="C452" s="261" t="s">
        <v>15481</v>
      </c>
      <c r="D452" s="288">
        <v>43872</v>
      </c>
      <c r="E452" s="269" t="s">
        <v>15480</v>
      </c>
      <c r="F452" s="257" t="s">
        <v>14436</v>
      </c>
      <c r="G452" s="160">
        <v>27.82</v>
      </c>
      <c r="I452" s="276">
        <f t="shared" si="6"/>
        <v>31420.529999999995</v>
      </c>
    </row>
    <row r="453" spans="2:9" ht="19.5" x14ac:dyDescent="0.25">
      <c r="B453" s="260"/>
      <c r="C453" s="261" t="s">
        <v>15479</v>
      </c>
      <c r="D453" s="288">
        <v>43872</v>
      </c>
      <c r="E453" s="269" t="s">
        <v>15478</v>
      </c>
      <c r="F453" s="257" t="s">
        <v>14436</v>
      </c>
      <c r="G453" s="160">
        <v>13.69</v>
      </c>
      <c r="I453" s="276">
        <f t="shared" si="6"/>
        <v>31434.219999999994</v>
      </c>
    </row>
    <row r="454" spans="2:9" ht="19.5" x14ac:dyDescent="0.25">
      <c r="B454" s="260"/>
      <c r="C454" s="261" t="s">
        <v>15477</v>
      </c>
      <c r="D454" s="288">
        <v>43872</v>
      </c>
      <c r="E454" s="269" t="s">
        <v>15476</v>
      </c>
      <c r="F454" s="257" t="s">
        <v>14436</v>
      </c>
      <c r="G454" s="160">
        <v>5.54</v>
      </c>
      <c r="I454" s="276">
        <f t="shared" si="6"/>
        <v>31439.759999999995</v>
      </c>
    </row>
    <row r="455" spans="2:9" x14ac:dyDescent="0.25">
      <c r="B455" s="260"/>
      <c r="C455" s="261" t="s">
        <v>15475</v>
      </c>
      <c r="D455" s="288">
        <v>43872</v>
      </c>
      <c r="E455" s="269" t="s">
        <v>15474</v>
      </c>
      <c r="F455" s="257" t="s">
        <v>14409</v>
      </c>
      <c r="G455" s="258">
        <v>5.01</v>
      </c>
      <c r="I455" s="276">
        <f t="shared" si="6"/>
        <v>31444.769999999993</v>
      </c>
    </row>
    <row r="456" spans="2:9" x14ac:dyDescent="0.25">
      <c r="B456" s="260"/>
      <c r="C456" s="261" t="s">
        <v>15473</v>
      </c>
      <c r="D456" s="288">
        <v>43872</v>
      </c>
      <c r="E456" s="269" t="s">
        <v>15472</v>
      </c>
      <c r="F456" s="257" t="s">
        <v>14409</v>
      </c>
      <c r="G456" s="258">
        <v>7.82</v>
      </c>
      <c r="I456" s="276">
        <f t="shared" si="6"/>
        <v>31452.589999999993</v>
      </c>
    </row>
    <row r="457" spans="2:9" x14ac:dyDescent="0.25">
      <c r="B457" s="260"/>
      <c r="C457" s="261" t="s">
        <v>15471</v>
      </c>
      <c r="D457" s="288">
        <v>43872</v>
      </c>
      <c r="E457" s="269" t="s">
        <v>15470</v>
      </c>
      <c r="F457" s="257" t="s">
        <v>14409</v>
      </c>
      <c r="G457" s="258">
        <v>5.97</v>
      </c>
      <c r="I457" s="276">
        <f t="shared" si="6"/>
        <v>31458.559999999994</v>
      </c>
    </row>
    <row r="458" spans="2:9" x14ac:dyDescent="0.25">
      <c r="B458" s="260"/>
      <c r="C458" s="261" t="s">
        <v>15469</v>
      </c>
      <c r="D458" s="288">
        <v>43872</v>
      </c>
      <c r="E458" s="269" t="s">
        <v>15468</v>
      </c>
      <c r="F458" s="257" t="s">
        <v>14409</v>
      </c>
      <c r="G458" s="258">
        <v>7.24</v>
      </c>
      <c r="I458" s="276">
        <f t="shared" si="6"/>
        <v>31465.799999999996</v>
      </c>
    </row>
    <row r="459" spans="2:9" x14ac:dyDescent="0.25">
      <c r="B459" s="260"/>
      <c r="C459" s="261" t="s">
        <v>15467</v>
      </c>
      <c r="D459" s="288">
        <v>43872</v>
      </c>
      <c r="E459" s="269" t="s">
        <v>15466</v>
      </c>
      <c r="F459" s="257" t="s">
        <v>14409</v>
      </c>
      <c r="G459" s="258">
        <v>17.22</v>
      </c>
      <c r="I459" s="276">
        <f t="shared" si="6"/>
        <v>31483.019999999997</v>
      </c>
    </row>
    <row r="460" spans="2:9" x14ac:dyDescent="0.25">
      <c r="B460" s="260"/>
      <c r="C460" s="261" t="s">
        <v>15465</v>
      </c>
      <c r="D460" s="288">
        <v>43872</v>
      </c>
      <c r="E460" s="269" t="s">
        <v>15464</v>
      </c>
      <c r="F460" s="257" t="s">
        <v>14409</v>
      </c>
      <c r="G460" s="258">
        <v>1.54</v>
      </c>
      <c r="I460" s="276">
        <f t="shared" si="6"/>
        <v>31484.559999999998</v>
      </c>
    </row>
    <row r="461" spans="2:9" x14ac:dyDescent="0.25">
      <c r="B461" s="260"/>
      <c r="C461" s="261" t="s">
        <v>15463</v>
      </c>
      <c r="D461" s="288">
        <v>43872</v>
      </c>
      <c r="E461" s="269" t="s">
        <v>15462</v>
      </c>
      <c r="F461" s="257" t="s">
        <v>14409</v>
      </c>
      <c r="G461" s="258">
        <v>8.3800000000000008</v>
      </c>
      <c r="I461" s="276">
        <f t="shared" si="6"/>
        <v>31492.94</v>
      </c>
    </row>
    <row r="462" spans="2:9" x14ac:dyDescent="0.25">
      <c r="B462" s="260"/>
      <c r="C462" s="261" t="s">
        <v>15461</v>
      </c>
      <c r="D462" s="288">
        <v>43872</v>
      </c>
      <c r="E462" s="269" t="s">
        <v>15460</v>
      </c>
      <c r="F462" s="257" t="s">
        <v>14409</v>
      </c>
      <c r="G462" s="258">
        <v>5.23</v>
      </c>
      <c r="I462" s="276">
        <f t="shared" si="6"/>
        <v>31498.17</v>
      </c>
    </row>
    <row r="463" spans="2:9" x14ac:dyDescent="0.25">
      <c r="B463" s="260"/>
      <c r="C463" s="261" t="s">
        <v>15459</v>
      </c>
      <c r="D463" s="288">
        <v>43872</v>
      </c>
      <c r="E463" s="269" t="s">
        <v>15458</v>
      </c>
      <c r="F463" s="257" t="s">
        <v>14409</v>
      </c>
      <c r="G463" s="258">
        <v>2.4</v>
      </c>
      <c r="I463" s="276">
        <f t="shared" si="6"/>
        <v>31500.57</v>
      </c>
    </row>
    <row r="464" spans="2:9" x14ac:dyDescent="0.25">
      <c r="B464" s="260"/>
      <c r="C464" s="261" t="s">
        <v>15457</v>
      </c>
      <c r="D464" s="288">
        <v>43872</v>
      </c>
      <c r="E464" s="269" t="s">
        <v>15456</v>
      </c>
      <c r="F464" s="257" t="s">
        <v>14409</v>
      </c>
      <c r="G464" s="258">
        <v>3.07</v>
      </c>
      <c r="I464" s="276">
        <f t="shared" si="6"/>
        <v>31503.64</v>
      </c>
    </row>
    <row r="465" spans="2:9" x14ac:dyDescent="0.25">
      <c r="B465" s="260"/>
      <c r="C465" s="261" t="s">
        <v>15455</v>
      </c>
      <c r="D465" s="288">
        <v>43872</v>
      </c>
      <c r="E465" s="269" t="s">
        <v>15454</v>
      </c>
      <c r="F465" s="257" t="s">
        <v>14409</v>
      </c>
      <c r="G465" s="258">
        <v>5.87</v>
      </c>
      <c r="I465" s="276">
        <f t="shared" si="6"/>
        <v>31509.51</v>
      </c>
    </row>
    <row r="466" spans="2:9" ht="19.5" x14ac:dyDescent="0.25">
      <c r="B466" s="260"/>
      <c r="C466" s="261" t="s">
        <v>15453</v>
      </c>
      <c r="D466" s="288">
        <v>43872</v>
      </c>
      <c r="E466" s="269" t="s">
        <v>15452</v>
      </c>
      <c r="F466" s="257" t="s">
        <v>14409</v>
      </c>
      <c r="G466" s="258">
        <v>2.59</v>
      </c>
      <c r="I466" s="276">
        <f t="shared" si="6"/>
        <v>31512.1</v>
      </c>
    </row>
    <row r="467" spans="2:9" x14ac:dyDescent="0.25">
      <c r="B467" s="260"/>
      <c r="C467" s="261" t="s">
        <v>15451</v>
      </c>
      <c r="D467" s="288">
        <v>43872</v>
      </c>
      <c r="E467" s="269" t="s">
        <v>15450</v>
      </c>
      <c r="F467" s="257" t="s">
        <v>14409</v>
      </c>
      <c r="G467" s="258">
        <v>16.670000000000002</v>
      </c>
      <c r="I467" s="276">
        <f t="shared" si="6"/>
        <v>31528.769999999997</v>
      </c>
    </row>
    <row r="468" spans="2:9" x14ac:dyDescent="0.25">
      <c r="B468" s="260"/>
      <c r="C468" s="261" t="s">
        <v>15449</v>
      </c>
      <c r="D468" s="288">
        <v>43872</v>
      </c>
      <c r="E468" s="269" t="s">
        <v>15448</v>
      </c>
      <c r="F468" s="257" t="s">
        <v>14409</v>
      </c>
      <c r="G468" s="258">
        <v>0.52</v>
      </c>
      <c r="I468" s="276">
        <f t="shared" ref="I468:I531" si="7">+I467+G468-H468</f>
        <v>31529.289999999997</v>
      </c>
    </row>
    <row r="469" spans="2:9" x14ac:dyDescent="0.25">
      <c r="B469" s="260"/>
      <c r="C469" s="261" t="s">
        <v>15447</v>
      </c>
      <c r="D469" s="288">
        <v>43872</v>
      </c>
      <c r="E469" s="269" t="s">
        <v>15446</v>
      </c>
      <c r="F469" s="257" t="s">
        <v>14409</v>
      </c>
      <c r="G469" s="258">
        <v>6.29</v>
      </c>
      <c r="I469" s="276">
        <f t="shared" si="7"/>
        <v>31535.579999999998</v>
      </c>
    </row>
    <row r="470" spans="2:9" x14ac:dyDescent="0.25">
      <c r="B470" s="260"/>
      <c r="C470" s="261" t="s">
        <v>15445</v>
      </c>
      <c r="D470" s="288">
        <v>43872</v>
      </c>
      <c r="E470" s="269" t="s">
        <v>15444</v>
      </c>
      <c r="F470" s="257" t="s">
        <v>14409</v>
      </c>
      <c r="G470" s="258">
        <v>27.3</v>
      </c>
      <c r="I470" s="276">
        <f t="shared" si="7"/>
        <v>31562.879999999997</v>
      </c>
    </row>
    <row r="471" spans="2:9" x14ac:dyDescent="0.25">
      <c r="B471" s="260"/>
      <c r="C471" s="261" t="s">
        <v>15443</v>
      </c>
      <c r="D471" s="288">
        <v>43872</v>
      </c>
      <c r="E471" s="269" t="s">
        <v>15442</v>
      </c>
      <c r="F471" s="257" t="s">
        <v>14409</v>
      </c>
      <c r="G471" s="258">
        <v>13.57</v>
      </c>
      <c r="I471" s="276">
        <f t="shared" si="7"/>
        <v>31576.449999999997</v>
      </c>
    </row>
    <row r="472" spans="2:9" x14ac:dyDescent="0.25">
      <c r="B472" s="260"/>
      <c r="C472" s="261" t="s">
        <v>15441</v>
      </c>
      <c r="D472" s="288">
        <v>43872</v>
      </c>
      <c r="E472" s="269" t="s">
        <v>15440</v>
      </c>
      <c r="F472" s="257" t="s">
        <v>14409</v>
      </c>
      <c r="G472" s="258">
        <v>5.04</v>
      </c>
      <c r="I472" s="276">
        <f t="shared" si="7"/>
        <v>31581.489999999998</v>
      </c>
    </row>
    <row r="473" spans="2:9" x14ac:dyDescent="0.25">
      <c r="B473" s="260"/>
      <c r="C473" s="261" t="s">
        <v>15439</v>
      </c>
      <c r="D473" s="288">
        <v>43872</v>
      </c>
      <c r="E473" s="269" t="s">
        <v>15438</v>
      </c>
      <c r="F473" s="257" t="s">
        <v>14409</v>
      </c>
      <c r="G473" s="258">
        <v>7.64</v>
      </c>
      <c r="I473" s="276">
        <f t="shared" si="7"/>
        <v>31589.129999999997</v>
      </c>
    </row>
    <row r="474" spans="2:9" x14ac:dyDescent="0.25">
      <c r="B474" s="260"/>
      <c r="C474" s="261" t="s">
        <v>15437</v>
      </c>
      <c r="D474" s="288">
        <v>43872</v>
      </c>
      <c r="E474" s="269" t="s">
        <v>15436</v>
      </c>
      <c r="F474" s="257" t="s">
        <v>14409</v>
      </c>
      <c r="G474" s="258">
        <v>4.47</v>
      </c>
      <c r="I474" s="276">
        <f t="shared" si="7"/>
        <v>31593.599999999999</v>
      </c>
    </row>
    <row r="475" spans="2:9" x14ac:dyDescent="0.2">
      <c r="B475" s="260"/>
      <c r="C475" s="261" t="s">
        <v>15435</v>
      </c>
      <c r="D475" s="288">
        <v>43872</v>
      </c>
      <c r="E475" s="269" t="s">
        <v>15434</v>
      </c>
      <c r="F475" s="257">
        <v>7</v>
      </c>
      <c r="G475" s="255">
        <v>8.9499999999999993</v>
      </c>
      <c r="H475" s="103"/>
      <c r="I475" s="276">
        <f t="shared" si="7"/>
        <v>31602.55</v>
      </c>
    </row>
    <row r="476" spans="2:9" x14ac:dyDescent="0.2">
      <c r="B476" s="260"/>
      <c r="C476" s="261" t="s">
        <v>15433</v>
      </c>
      <c r="D476" s="288">
        <v>43872</v>
      </c>
      <c r="E476" s="269" t="s">
        <v>15432</v>
      </c>
      <c r="F476" s="257">
        <v>7</v>
      </c>
      <c r="G476" s="255">
        <v>3.08</v>
      </c>
      <c r="H476" s="103"/>
      <c r="I476" s="276">
        <f t="shared" si="7"/>
        <v>31605.63</v>
      </c>
    </row>
    <row r="477" spans="2:9" x14ac:dyDescent="0.2">
      <c r="B477" s="260"/>
      <c r="C477" s="261" t="s">
        <v>15431</v>
      </c>
      <c r="D477" s="288">
        <v>43872</v>
      </c>
      <c r="E477" s="269" t="s">
        <v>15430</v>
      </c>
      <c r="F477" s="257">
        <v>7</v>
      </c>
      <c r="G477" s="255">
        <v>15.3</v>
      </c>
      <c r="H477" s="103"/>
      <c r="I477" s="276">
        <f t="shared" si="7"/>
        <v>31620.93</v>
      </c>
    </row>
    <row r="478" spans="2:9" x14ac:dyDescent="0.2">
      <c r="B478" s="260"/>
      <c r="C478" s="261" t="s">
        <v>15429</v>
      </c>
      <c r="D478" s="288">
        <v>43872</v>
      </c>
      <c r="E478" s="269" t="s">
        <v>15428</v>
      </c>
      <c r="F478" s="257">
        <v>7</v>
      </c>
      <c r="G478" s="255">
        <v>16.760000000000002</v>
      </c>
      <c r="H478" s="103"/>
      <c r="I478" s="276">
        <f t="shared" si="7"/>
        <v>31637.69</v>
      </c>
    </row>
    <row r="479" spans="2:9" x14ac:dyDescent="0.2">
      <c r="B479" s="260"/>
      <c r="C479" s="261" t="s">
        <v>15427</v>
      </c>
      <c r="D479" s="288">
        <v>43872</v>
      </c>
      <c r="E479" s="269" t="s">
        <v>15426</v>
      </c>
      <c r="F479" s="257">
        <v>7</v>
      </c>
      <c r="G479" s="255">
        <v>0.69</v>
      </c>
      <c r="H479" s="103"/>
      <c r="I479" s="276">
        <f t="shared" si="7"/>
        <v>31638.379999999997</v>
      </c>
    </row>
    <row r="480" spans="2:9" ht="19.5" x14ac:dyDescent="0.25">
      <c r="B480" s="261">
        <v>3306</v>
      </c>
      <c r="C480" s="261" t="s">
        <v>15425</v>
      </c>
      <c r="D480" s="288">
        <v>43873</v>
      </c>
      <c r="E480" s="269" t="s">
        <v>15424</v>
      </c>
      <c r="F480" s="257" t="s">
        <v>14432</v>
      </c>
      <c r="H480" s="161">
        <v>9.9700000000000006</v>
      </c>
      <c r="I480" s="276">
        <f t="shared" si="7"/>
        <v>31628.409999999996</v>
      </c>
    </row>
    <row r="481" spans="2:9" ht="19.5" x14ac:dyDescent="0.25">
      <c r="B481" s="261">
        <v>3307</v>
      </c>
      <c r="C481" s="261" t="s">
        <v>15423</v>
      </c>
      <c r="D481" s="288">
        <v>43873</v>
      </c>
      <c r="E481" s="269" t="s">
        <v>15422</v>
      </c>
      <c r="F481" s="257" t="s">
        <v>14432</v>
      </c>
      <c r="H481" s="161">
        <v>103.63</v>
      </c>
      <c r="I481" s="276">
        <f t="shared" si="7"/>
        <v>31524.779999999995</v>
      </c>
    </row>
    <row r="482" spans="2:9" ht="19.5" x14ac:dyDescent="0.25">
      <c r="B482" s="261">
        <v>3308</v>
      </c>
      <c r="C482" s="261" t="s">
        <v>15421</v>
      </c>
      <c r="D482" s="288">
        <v>43873</v>
      </c>
      <c r="E482" s="269" t="s">
        <v>15420</v>
      </c>
      <c r="F482" s="257" t="s">
        <v>14432</v>
      </c>
      <c r="H482" s="161">
        <v>19.920000000000002</v>
      </c>
      <c r="I482" s="276">
        <f t="shared" si="7"/>
        <v>31504.859999999997</v>
      </c>
    </row>
    <row r="483" spans="2:9" ht="19.5" x14ac:dyDescent="0.25">
      <c r="B483" s="261">
        <v>3309</v>
      </c>
      <c r="C483" s="261" t="s">
        <v>15419</v>
      </c>
      <c r="D483" s="288">
        <v>43873</v>
      </c>
      <c r="E483" s="269" t="s">
        <v>15418</v>
      </c>
      <c r="F483" s="257" t="s">
        <v>14432</v>
      </c>
      <c r="H483" s="161">
        <v>8.9499999999999993</v>
      </c>
      <c r="I483" s="276">
        <f t="shared" si="7"/>
        <v>31495.909999999996</v>
      </c>
    </row>
    <row r="484" spans="2:9" ht="19.5" x14ac:dyDescent="0.25">
      <c r="B484" s="261"/>
      <c r="C484" s="261" t="s">
        <v>15417</v>
      </c>
      <c r="D484" s="288">
        <v>43873</v>
      </c>
      <c r="E484" s="269" t="s">
        <v>15416</v>
      </c>
      <c r="F484" s="257" t="s">
        <v>14445</v>
      </c>
      <c r="G484" s="258">
        <v>6.2</v>
      </c>
      <c r="I484" s="276">
        <f t="shared" si="7"/>
        <v>31502.109999999997</v>
      </c>
    </row>
    <row r="485" spans="2:9" x14ac:dyDescent="0.25">
      <c r="B485" s="261"/>
      <c r="C485" s="261" t="s">
        <v>15415</v>
      </c>
      <c r="D485" s="288">
        <v>43873</v>
      </c>
      <c r="E485" s="269" t="s">
        <v>15414</v>
      </c>
      <c r="F485" s="257" t="s">
        <v>14436</v>
      </c>
      <c r="G485" s="160">
        <v>15.06</v>
      </c>
      <c r="I485" s="276">
        <f t="shared" si="7"/>
        <v>31517.17</v>
      </c>
    </row>
    <row r="486" spans="2:9" ht="19.5" x14ac:dyDescent="0.25">
      <c r="B486" s="261"/>
      <c r="C486" s="261" t="s">
        <v>15413</v>
      </c>
      <c r="D486" s="288">
        <v>43873</v>
      </c>
      <c r="E486" s="269" t="s">
        <v>15412</v>
      </c>
      <c r="F486" s="257" t="s">
        <v>14436</v>
      </c>
      <c r="G486" s="160">
        <v>38.799999999999997</v>
      </c>
      <c r="I486" s="276">
        <f t="shared" si="7"/>
        <v>31555.969999999998</v>
      </c>
    </row>
    <row r="487" spans="2:9" x14ac:dyDescent="0.25">
      <c r="B487" s="261"/>
      <c r="C487" s="261" t="s">
        <v>15411</v>
      </c>
      <c r="D487" s="288">
        <v>43873</v>
      </c>
      <c r="E487" s="269" t="s">
        <v>15410</v>
      </c>
      <c r="F487" s="257" t="s">
        <v>14445</v>
      </c>
      <c r="G487" s="258">
        <v>25.14</v>
      </c>
      <c r="I487" s="276">
        <f t="shared" si="7"/>
        <v>31581.109999999997</v>
      </c>
    </row>
    <row r="488" spans="2:9" ht="19.5" x14ac:dyDescent="0.25">
      <c r="B488" s="261"/>
      <c r="C488" s="261" t="s">
        <v>15409</v>
      </c>
      <c r="D488" s="288">
        <v>43873</v>
      </c>
      <c r="E488" s="269" t="s">
        <v>15408</v>
      </c>
      <c r="F488" s="257" t="s">
        <v>14436</v>
      </c>
      <c r="G488" s="160">
        <v>57.51</v>
      </c>
      <c r="I488" s="276">
        <f t="shared" si="7"/>
        <v>31638.619999999995</v>
      </c>
    </row>
    <row r="489" spans="2:9" x14ac:dyDescent="0.25">
      <c r="B489" s="261"/>
      <c r="C489" s="261" t="s">
        <v>15407</v>
      </c>
      <c r="D489" s="288">
        <v>43873</v>
      </c>
      <c r="E489" s="269" t="s">
        <v>15406</v>
      </c>
      <c r="F489" s="257" t="s">
        <v>14436</v>
      </c>
      <c r="G489" s="160">
        <v>161.93</v>
      </c>
      <c r="I489" s="276">
        <f t="shared" si="7"/>
        <v>31800.549999999996</v>
      </c>
    </row>
    <row r="490" spans="2:9" x14ac:dyDescent="0.25">
      <c r="B490" s="261"/>
      <c r="C490" s="261" t="s">
        <v>15405</v>
      </c>
      <c r="D490" s="288">
        <v>43873</v>
      </c>
      <c r="E490" s="269" t="s">
        <v>15404</v>
      </c>
      <c r="F490" s="257" t="s">
        <v>14436</v>
      </c>
      <c r="G490" s="160">
        <v>15.06</v>
      </c>
      <c r="I490" s="276">
        <f t="shared" si="7"/>
        <v>31815.609999999997</v>
      </c>
    </row>
    <row r="491" spans="2:9" x14ac:dyDescent="0.25">
      <c r="B491" s="260"/>
      <c r="C491" s="261" t="s">
        <v>15403</v>
      </c>
      <c r="D491" s="288">
        <v>43873</v>
      </c>
      <c r="E491" s="269" t="s">
        <v>15402</v>
      </c>
      <c r="F491" s="257" t="s">
        <v>14437</v>
      </c>
      <c r="G491" s="160">
        <v>1.83</v>
      </c>
      <c r="I491" s="276">
        <f t="shared" si="7"/>
        <v>31817.439999999999</v>
      </c>
    </row>
    <row r="492" spans="2:9" x14ac:dyDescent="0.25">
      <c r="B492" s="260"/>
      <c r="C492" s="261" t="s">
        <v>15401</v>
      </c>
      <c r="D492" s="288">
        <v>43873</v>
      </c>
      <c r="E492" s="269" t="s">
        <v>15400</v>
      </c>
      <c r="F492" s="257" t="s">
        <v>14437</v>
      </c>
      <c r="G492" s="160">
        <v>4.8</v>
      </c>
      <c r="I492" s="276">
        <f t="shared" si="7"/>
        <v>31822.239999999998</v>
      </c>
    </row>
    <row r="493" spans="2:9" x14ac:dyDescent="0.25">
      <c r="B493" s="261"/>
      <c r="C493" s="261" t="s">
        <v>15399</v>
      </c>
      <c r="D493" s="288">
        <v>43873</v>
      </c>
      <c r="E493" s="269" t="s">
        <v>15398</v>
      </c>
      <c r="F493" s="257" t="s">
        <v>14445</v>
      </c>
      <c r="G493" s="258">
        <v>11.48</v>
      </c>
      <c r="I493" s="276">
        <f t="shared" si="7"/>
        <v>31833.719999999998</v>
      </c>
    </row>
    <row r="494" spans="2:9" x14ac:dyDescent="0.25">
      <c r="B494" s="260"/>
      <c r="C494" s="261" t="s">
        <v>15397</v>
      </c>
      <c r="D494" s="288">
        <v>43873</v>
      </c>
      <c r="E494" s="269" t="s">
        <v>15396</v>
      </c>
      <c r="F494" s="257" t="s">
        <v>14409</v>
      </c>
      <c r="G494" s="258">
        <v>6.52</v>
      </c>
      <c r="I494" s="276">
        <f t="shared" si="7"/>
        <v>31840.239999999998</v>
      </c>
    </row>
    <row r="495" spans="2:9" x14ac:dyDescent="0.25">
      <c r="B495" s="260"/>
      <c r="C495" s="261" t="s">
        <v>15395</v>
      </c>
      <c r="D495" s="288">
        <v>43873</v>
      </c>
      <c r="E495" s="269" t="s">
        <v>15394</v>
      </c>
      <c r="F495" s="257" t="s">
        <v>14409</v>
      </c>
      <c r="G495" s="258">
        <v>5.01</v>
      </c>
      <c r="I495" s="276">
        <f t="shared" si="7"/>
        <v>31845.249999999996</v>
      </c>
    </row>
    <row r="496" spans="2:9" x14ac:dyDescent="0.25">
      <c r="B496" s="260"/>
      <c r="C496" s="261" t="s">
        <v>15393</v>
      </c>
      <c r="D496" s="288">
        <v>43873</v>
      </c>
      <c r="E496" s="269" t="s">
        <v>15392</v>
      </c>
      <c r="F496" s="257" t="s">
        <v>14409</v>
      </c>
      <c r="G496" s="258">
        <v>3.36</v>
      </c>
      <c r="I496" s="276">
        <f t="shared" si="7"/>
        <v>31848.609999999997</v>
      </c>
    </row>
    <row r="497" spans="2:9" x14ac:dyDescent="0.25">
      <c r="B497" s="260"/>
      <c r="C497" s="261" t="s">
        <v>15391</v>
      </c>
      <c r="D497" s="288">
        <v>43873</v>
      </c>
      <c r="E497" s="269" t="s">
        <v>15390</v>
      </c>
      <c r="F497" s="257" t="s">
        <v>14409</v>
      </c>
      <c r="G497" s="258">
        <v>9.7799999999999994</v>
      </c>
      <c r="I497" s="276">
        <f t="shared" si="7"/>
        <v>31858.389999999996</v>
      </c>
    </row>
    <row r="498" spans="2:9" x14ac:dyDescent="0.25">
      <c r="B498" s="260"/>
      <c r="C498" s="261" t="s">
        <v>15389</v>
      </c>
      <c r="D498" s="288">
        <v>43873</v>
      </c>
      <c r="E498" s="269" t="s">
        <v>15388</v>
      </c>
      <c r="F498" s="257" t="s">
        <v>14409</v>
      </c>
      <c r="G498" s="258">
        <v>13.88</v>
      </c>
      <c r="I498" s="276">
        <f t="shared" si="7"/>
        <v>31872.269999999997</v>
      </c>
    </row>
    <row r="499" spans="2:9" x14ac:dyDescent="0.25">
      <c r="B499" s="260"/>
      <c r="C499" s="261" t="s">
        <v>15387</v>
      </c>
      <c r="D499" s="288">
        <v>43873</v>
      </c>
      <c r="E499" s="269" t="s">
        <v>15386</v>
      </c>
      <c r="F499" s="257" t="s">
        <v>14409</v>
      </c>
      <c r="G499" s="258">
        <v>7.27</v>
      </c>
      <c r="I499" s="276">
        <f t="shared" si="7"/>
        <v>31879.539999999997</v>
      </c>
    </row>
    <row r="500" spans="2:9" x14ac:dyDescent="0.25">
      <c r="B500" s="260"/>
      <c r="C500" s="261" t="s">
        <v>15385</v>
      </c>
      <c r="D500" s="288">
        <v>43873</v>
      </c>
      <c r="E500" s="269" t="s">
        <v>15384</v>
      </c>
      <c r="F500" s="257" t="s">
        <v>14409</v>
      </c>
      <c r="G500" s="258">
        <v>10.7</v>
      </c>
      <c r="I500" s="276">
        <f t="shared" si="7"/>
        <v>31890.239999999998</v>
      </c>
    </row>
    <row r="501" spans="2:9" x14ac:dyDescent="0.25">
      <c r="B501" s="260"/>
      <c r="C501" s="261" t="s">
        <v>15383</v>
      </c>
      <c r="D501" s="288">
        <v>43873</v>
      </c>
      <c r="E501" s="269" t="s">
        <v>15382</v>
      </c>
      <c r="F501" s="257" t="s">
        <v>14409</v>
      </c>
      <c r="G501" s="258">
        <v>5.44</v>
      </c>
      <c r="I501" s="276">
        <f t="shared" si="7"/>
        <v>31895.679999999997</v>
      </c>
    </row>
    <row r="502" spans="2:9" x14ac:dyDescent="0.25">
      <c r="B502" s="260"/>
      <c r="C502" s="261" t="s">
        <v>15381</v>
      </c>
      <c r="D502" s="288">
        <v>43873</v>
      </c>
      <c r="E502" s="269" t="s">
        <v>15380</v>
      </c>
      <c r="F502" s="257" t="s">
        <v>14409</v>
      </c>
      <c r="G502" s="258">
        <v>3.24</v>
      </c>
      <c r="I502" s="276">
        <f t="shared" si="7"/>
        <v>31898.92</v>
      </c>
    </row>
    <row r="503" spans="2:9" x14ac:dyDescent="0.25">
      <c r="B503" s="260"/>
      <c r="C503" s="261" t="s">
        <v>15379</v>
      </c>
      <c r="D503" s="288">
        <v>43873</v>
      </c>
      <c r="E503" s="269" t="s">
        <v>15378</v>
      </c>
      <c r="F503" s="257" t="s">
        <v>14409</v>
      </c>
      <c r="G503" s="258">
        <v>2.08</v>
      </c>
      <c r="I503" s="276">
        <f t="shared" si="7"/>
        <v>31901</v>
      </c>
    </row>
    <row r="504" spans="2:9" x14ac:dyDescent="0.25">
      <c r="B504" s="260"/>
      <c r="C504" s="261" t="s">
        <v>15377</v>
      </c>
      <c r="D504" s="288">
        <v>43873</v>
      </c>
      <c r="E504" s="269" t="s">
        <v>15376</v>
      </c>
      <c r="F504" s="257" t="s">
        <v>14409</v>
      </c>
      <c r="G504" s="258">
        <v>2.52</v>
      </c>
      <c r="I504" s="276">
        <f t="shared" si="7"/>
        <v>31903.52</v>
      </c>
    </row>
    <row r="505" spans="2:9" x14ac:dyDescent="0.25">
      <c r="B505" s="260"/>
      <c r="C505" s="261" t="s">
        <v>15375</v>
      </c>
      <c r="D505" s="288">
        <v>43873</v>
      </c>
      <c r="E505" s="269" t="s">
        <v>15374</v>
      </c>
      <c r="F505" s="257" t="s">
        <v>14409</v>
      </c>
      <c r="G505" s="258">
        <v>2.09</v>
      </c>
      <c r="I505" s="276">
        <f t="shared" si="7"/>
        <v>31905.61</v>
      </c>
    </row>
    <row r="506" spans="2:9" x14ac:dyDescent="0.25">
      <c r="B506" s="260"/>
      <c r="C506" s="261" t="s">
        <v>15373</v>
      </c>
      <c r="D506" s="288">
        <v>43873</v>
      </c>
      <c r="E506" s="269" t="s">
        <v>15372</v>
      </c>
      <c r="F506" s="257" t="s">
        <v>14409</v>
      </c>
      <c r="G506" s="258">
        <v>0.27</v>
      </c>
      <c r="I506" s="276">
        <f t="shared" si="7"/>
        <v>31905.88</v>
      </c>
    </row>
    <row r="507" spans="2:9" x14ac:dyDescent="0.25">
      <c r="B507" s="260"/>
      <c r="C507" s="261" t="s">
        <v>15371</v>
      </c>
      <c r="D507" s="288">
        <v>43873</v>
      </c>
      <c r="E507" s="269" t="s">
        <v>15370</v>
      </c>
      <c r="F507" s="257" t="s">
        <v>14409</v>
      </c>
      <c r="G507" s="258">
        <v>2.14</v>
      </c>
      <c r="I507" s="276">
        <f t="shared" si="7"/>
        <v>31908.02</v>
      </c>
    </row>
    <row r="508" spans="2:9" x14ac:dyDescent="0.25">
      <c r="B508" s="260"/>
      <c r="C508" s="261" t="s">
        <v>15369</v>
      </c>
      <c r="D508" s="288">
        <v>43873</v>
      </c>
      <c r="E508" s="269" t="s">
        <v>15368</v>
      </c>
      <c r="F508" s="257" t="s">
        <v>14409</v>
      </c>
      <c r="G508" s="258">
        <v>9.49</v>
      </c>
      <c r="I508" s="276">
        <f t="shared" si="7"/>
        <v>31917.510000000002</v>
      </c>
    </row>
    <row r="509" spans="2:9" x14ac:dyDescent="0.25">
      <c r="B509" s="260"/>
      <c r="C509" s="261" t="s">
        <v>15367</v>
      </c>
      <c r="D509" s="288">
        <v>43873</v>
      </c>
      <c r="E509" s="269" t="s">
        <v>15366</v>
      </c>
      <c r="F509" s="257" t="s">
        <v>14409</v>
      </c>
      <c r="G509" s="258">
        <v>3.43</v>
      </c>
      <c r="I509" s="276">
        <f t="shared" si="7"/>
        <v>31920.940000000002</v>
      </c>
    </row>
    <row r="510" spans="2:9" x14ac:dyDescent="0.25">
      <c r="B510" s="260"/>
      <c r="C510" s="261" t="s">
        <v>15365</v>
      </c>
      <c r="D510" s="288">
        <v>43873</v>
      </c>
      <c r="E510" s="269" t="s">
        <v>15364</v>
      </c>
      <c r="F510" s="257" t="s">
        <v>14409</v>
      </c>
      <c r="G510" s="258">
        <v>7.83</v>
      </c>
      <c r="I510" s="276">
        <f t="shared" si="7"/>
        <v>31928.770000000004</v>
      </c>
    </row>
    <row r="511" spans="2:9" x14ac:dyDescent="0.25">
      <c r="B511" s="260"/>
      <c r="C511" s="261" t="s">
        <v>15363</v>
      </c>
      <c r="D511" s="288">
        <v>43873</v>
      </c>
      <c r="E511" s="269" t="s">
        <v>15362</v>
      </c>
      <c r="F511" s="257" t="s">
        <v>14409</v>
      </c>
      <c r="G511" s="258">
        <v>0.9</v>
      </c>
      <c r="I511" s="276">
        <f t="shared" si="7"/>
        <v>31929.670000000006</v>
      </c>
    </row>
    <row r="512" spans="2:9" x14ac:dyDescent="0.2">
      <c r="B512" s="260"/>
      <c r="C512" s="261" t="s">
        <v>15361</v>
      </c>
      <c r="D512" s="288">
        <v>43873</v>
      </c>
      <c r="E512" s="269" t="s">
        <v>15360</v>
      </c>
      <c r="F512" s="257">
        <v>8</v>
      </c>
      <c r="G512" s="255">
        <v>3.48</v>
      </c>
      <c r="H512" s="103"/>
      <c r="I512" s="276">
        <f t="shared" si="7"/>
        <v>31933.150000000005</v>
      </c>
    </row>
    <row r="513" spans="2:9" x14ac:dyDescent="0.2">
      <c r="B513" s="260"/>
      <c r="C513" s="261" t="s">
        <v>15359</v>
      </c>
      <c r="D513" s="288">
        <v>43873</v>
      </c>
      <c r="E513" s="269" t="s">
        <v>15358</v>
      </c>
      <c r="F513" s="257">
        <v>8</v>
      </c>
      <c r="G513" s="255">
        <v>2.23</v>
      </c>
      <c r="H513" s="103"/>
      <c r="I513" s="276">
        <f t="shared" si="7"/>
        <v>31935.380000000005</v>
      </c>
    </row>
    <row r="514" spans="2:9" x14ac:dyDescent="0.2">
      <c r="B514" s="260"/>
      <c r="C514" s="261" t="s">
        <v>15357</v>
      </c>
      <c r="D514" s="288">
        <v>43873</v>
      </c>
      <c r="E514" s="269" t="s">
        <v>15356</v>
      </c>
      <c r="F514" s="257">
        <v>8</v>
      </c>
      <c r="G514" s="255">
        <v>12.16</v>
      </c>
      <c r="H514" s="103"/>
      <c r="I514" s="276">
        <f t="shared" si="7"/>
        <v>31947.540000000005</v>
      </c>
    </row>
    <row r="515" spans="2:9" x14ac:dyDescent="0.2">
      <c r="B515" s="260"/>
      <c r="C515" s="261" t="s">
        <v>15355</v>
      </c>
      <c r="D515" s="288">
        <v>43873</v>
      </c>
      <c r="E515" s="269" t="s">
        <v>15354</v>
      </c>
      <c r="F515" s="257">
        <v>8</v>
      </c>
      <c r="G515" s="255">
        <v>5.05</v>
      </c>
      <c r="H515" s="103"/>
      <c r="I515" s="276">
        <f t="shared" si="7"/>
        <v>31952.590000000004</v>
      </c>
    </row>
    <row r="516" spans="2:9" x14ac:dyDescent="0.2">
      <c r="B516" s="260"/>
      <c r="C516" s="261" t="s">
        <v>15353</v>
      </c>
      <c r="D516" s="288">
        <v>43873</v>
      </c>
      <c r="E516" s="269" t="s">
        <v>15352</v>
      </c>
      <c r="F516" s="257">
        <v>8</v>
      </c>
      <c r="G516" s="255">
        <v>6.2</v>
      </c>
      <c r="H516" s="103"/>
      <c r="I516" s="276">
        <f t="shared" si="7"/>
        <v>31958.790000000005</v>
      </c>
    </row>
    <row r="517" spans="2:9" x14ac:dyDescent="0.25">
      <c r="B517" s="261"/>
      <c r="C517" s="261" t="s">
        <v>15351</v>
      </c>
      <c r="D517" s="288">
        <v>43873</v>
      </c>
      <c r="E517" s="269" t="s">
        <v>15350</v>
      </c>
      <c r="F517" s="257" t="s">
        <v>14436</v>
      </c>
      <c r="G517" s="160">
        <v>2.87</v>
      </c>
      <c r="I517" s="276">
        <f t="shared" si="7"/>
        <v>31961.660000000003</v>
      </c>
    </row>
    <row r="518" spans="2:9" ht="19.5" x14ac:dyDescent="0.25">
      <c r="B518" s="261"/>
      <c r="C518" s="261" t="s">
        <v>15349</v>
      </c>
      <c r="D518" s="288">
        <v>43874</v>
      </c>
      <c r="E518" s="269" t="s">
        <v>15348</v>
      </c>
      <c r="F518" s="257" t="s">
        <v>14446</v>
      </c>
      <c r="G518" s="258">
        <v>10</v>
      </c>
      <c r="I518" s="276">
        <f t="shared" si="7"/>
        <v>31971.660000000003</v>
      </c>
    </row>
    <row r="519" spans="2:9" ht="19.5" x14ac:dyDescent="0.25">
      <c r="B519" s="261">
        <v>3310</v>
      </c>
      <c r="C519" s="261" t="s">
        <v>15347</v>
      </c>
      <c r="D519" s="288">
        <v>43874</v>
      </c>
      <c r="E519" s="269" t="s">
        <v>15346</v>
      </c>
      <c r="F519" s="257" t="s">
        <v>14432</v>
      </c>
      <c r="H519" s="161">
        <v>13.52</v>
      </c>
      <c r="I519" s="276">
        <f t="shared" si="7"/>
        <v>31958.140000000003</v>
      </c>
    </row>
    <row r="520" spans="2:9" ht="19.5" x14ac:dyDescent="0.25">
      <c r="B520" s="261"/>
      <c r="C520" s="261" t="s">
        <v>15345</v>
      </c>
      <c r="D520" s="288">
        <v>43874</v>
      </c>
      <c r="E520" s="269" t="s">
        <v>15344</v>
      </c>
      <c r="F520" s="257" t="s">
        <v>14436</v>
      </c>
      <c r="G520" s="160">
        <v>15.06</v>
      </c>
      <c r="I520" s="276">
        <f t="shared" si="7"/>
        <v>31973.200000000004</v>
      </c>
    </row>
    <row r="521" spans="2:9" x14ac:dyDescent="0.25">
      <c r="B521" s="261"/>
      <c r="C521" s="261" t="s">
        <v>15343</v>
      </c>
      <c r="D521" s="288">
        <v>43874</v>
      </c>
      <c r="E521" s="269" t="s">
        <v>15342</v>
      </c>
      <c r="F521" s="257" t="s">
        <v>14446</v>
      </c>
      <c r="G521" s="258">
        <v>16.760000000000002</v>
      </c>
      <c r="I521" s="276">
        <f t="shared" si="7"/>
        <v>31989.960000000003</v>
      </c>
    </row>
    <row r="522" spans="2:9" x14ac:dyDescent="0.25">
      <c r="B522" s="261"/>
      <c r="C522" s="261" t="s">
        <v>15341</v>
      </c>
      <c r="D522" s="288">
        <v>43874</v>
      </c>
      <c r="E522" s="269" t="s">
        <v>15340</v>
      </c>
      <c r="F522" s="257" t="s">
        <v>14446</v>
      </c>
      <c r="G522" s="258">
        <v>9.43</v>
      </c>
      <c r="I522" s="276">
        <f t="shared" si="7"/>
        <v>31999.390000000003</v>
      </c>
    </row>
    <row r="523" spans="2:9" x14ac:dyDescent="0.25">
      <c r="B523" s="260"/>
      <c r="C523" s="261" t="s">
        <v>15339</v>
      </c>
      <c r="D523" s="288">
        <v>43874</v>
      </c>
      <c r="E523" s="269" t="s">
        <v>15338</v>
      </c>
      <c r="F523" s="257" t="s">
        <v>14437</v>
      </c>
      <c r="G523" s="160">
        <v>73.03</v>
      </c>
      <c r="I523" s="276">
        <f t="shared" si="7"/>
        <v>32072.420000000002</v>
      </c>
    </row>
    <row r="524" spans="2:9" x14ac:dyDescent="0.25">
      <c r="B524" s="261"/>
      <c r="C524" s="261" t="s">
        <v>15337</v>
      </c>
      <c r="D524" s="288">
        <v>43874</v>
      </c>
      <c r="E524" s="269" t="s">
        <v>15336</v>
      </c>
      <c r="F524" s="257" t="s">
        <v>14446</v>
      </c>
      <c r="G524" s="258">
        <v>8.3800000000000008</v>
      </c>
      <c r="I524" s="276">
        <f t="shared" si="7"/>
        <v>32080.800000000003</v>
      </c>
    </row>
    <row r="525" spans="2:9" x14ac:dyDescent="0.25">
      <c r="B525" s="261"/>
      <c r="C525" s="261" t="s">
        <v>15335</v>
      </c>
      <c r="D525" s="288">
        <v>43874</v>
      </c>
      <c r="E525" s="269" t="s">
        <v>15334</v>
      </c>
      <c r="F525" s="257" t="s">
        <v>14446</v>
      </c>
      <c r="G525" s="258">
        <v>2.2000000000000002</v>
      </c>
      <c r="I525" s="276">
        <f t="shared" si="7"/>
        <v>32083.000000000004</v>
      </c>
    </row>
    <row r="526" spans="2:9" x14ac:dyDescent="0.25">
      <c r="B526" s="261"/>
      <c r="C526" s="261" t="s">
        <v>15333</v>
      </c>
      <c r="D526" s="288">
        <v>43874</v>
      </c>
      <c r="E526" s="269" t="s">
        <v>15332</v>
      </c>
      <c r="F526" s="257" t="s">
        <v>14436</v>
      </c>
      <c r="G526" s="160">
        <v>31.68</v>
      </c>
      <c r="I526" s="276">
        <f t="shared" si="7"/>
        <v>32114.680000000004</v>
      </c>
    </row>
    <row r="527" spans="2:9" x14ac:dyDescent="0.25">
      <c r="B527" s="261"/>
      <c r="C527" s="261" t="s">
        <v>15331</v>
      </c>
      <c r="D527" s="288">
        <v>43874</v>
      </c>
      <c r="E527" s="269" t="s">
        <v>15330</v>
      </c>
      <c r="F527" s="257" t="s">
        <v>14436</v>
      </c>
      <c r="G527" s="160">
        <v>15.06</v>
      </c>
      <c r="I527" s="276">
        <f t="shared" si="7"/>
        <v>32129.740000000005</v>
      </c>
    </row>
    <row r="528" spans="2:9" x14ac:dyDescent="0.25">
      <c r="B528" s="261"/>
      <c r="C528" s="261" t="s">
        <v>15329</v>
      </c>
      <c r="D528" s="288">
        <v>43874</v>
      </c>
      <c r="E528" s="269" t="s">
        <v>15328</v>
      </c>
      <c r="F528" s="257" t="s">
        <v>14436</v>
      </c>
      <c r="G528" s="160">
        <v>55.67</v>
      </c>
      <c r="I528" s="276">
        <f t="shared" si="7"/>
        <v>32185.410000000003</v>
      </c>
    </row>
    <row r="529" spans="2:9" x14ac:dyDescent="0.25">
      <c r="B529" s="261"/>
      <c r="C529" s="261" t="s">
        <v>15327</v>
      </c>
      <c r="D529" s="288">
        <v>43874</v>
      </c>
      <c r="E529" s="269" t="s">
        <v>15326</v>
      </c>
      <c r="F529" s="257" t="s">
        <v>14436</v>
      </c>
      <c r="G529" s="160">
        <v>15.06</v>
      </c>
      <c r="I529" s="276">
        <f t="shared" si="7"/>
        <v>32200.470000000005</v>
      </c>
    </row>
    <row r="530" spans="2:9" x14ac:dyDescent="0.25">
      <c r="B530" s="260"/>
      <c r="C530" s="261" t="s">
        <v>15325</v>
      </c>
      <c r="D530" s="288">
        <v>43874</v>
      </c>
      <c r="E530" s="269" t="s">
        <v>15324</v>
      </c>
      <c r="F530" s="257" t="s">
        <v>14437</v>
      </c>
      <c r="G530" s="160">
        <v>22.19</v>
      </c>
      <c r="I530" s="276">
        <f t="shared" si="7"/>
        <v>32222.660000000003</v>
      </c>
    </row>
    <row r="531" spans="2:9" x14ac:dyDescent="0.25">
      <c r="B531" s="260"/>
      <c r="C531" s="261" t="s">
        <v>15323</v>
      </c>
      <c r="D531" s="288">
        <v>43874</v>
      </c>
      <c r="E531" s="269" t="s">
        <v>15322</v>
      </c>
      <c r="F531" s="257" t="s">
        <v>14409</v>
      </c>
      <c r="G531" s="258">
        <v>5.32</v>
      </c>
      <c r="I531" s="276">
        <f t="shared" si="7"/>
        <v>32227.980000000003</v>
      </c>
    </row>
    <row r="532" spans="2:9" x14ac:dyDescent="0.25">
      <c r="B532" s="260"/>
      <c r="C532" s="261" t="s">
        <v>15321</v>
      </c>
      <c r="D532" s="288">
        <v>43874</v>
      </c>
      <c r="E532" s="269" t="s">
        <v>15320</v>
      </c>
      <c r="F532" s="257" t="s">
        <v>14409</v>
      </c>
      <c r="G532" s="258">
        <v>3.21</v>
      </c>
      <c r="I532" s="276">
        <f t="shared" ref="I532:I595" si="8">+I531+G532-H532</f>
        <v>32231.190000000002</v>
      </c>
    </row>
    <row r="533" spans="2:9" x14ac:dyDescent="0.25">
      <c r="B533" s="260"/>
      <c r="C533" s="261" t="s">
        <v>15319</v>
      </c>
      <c r="D533" s="288">
        <v>43874</v>
      </c>
      <c r="E533" s="269" t="s">
        <v>15318</v>
      </c>
      <c r="F533" s="257" t="s">
        <v>14409</v>
      </c>
      <c r="G533" s="258">
        <v>16.21</v>
      </c>
      <c r="I533" s="276">
        <f t="shared" si="8"/>
        <v>32247.4</v>
      </c>
    </row>
    <row r="534" spans="2:9" x14ac:dyDescent="0.25">
      <c r="B534" s="260"/>
      <c r="C534" s="261" t="s">
        <v>15317</v>
      </c>
      <c r="D534" s="288">
        <v>43874</v>
      </c>
      <c r="E534" s="269" t="s">
        <v>15316</v>
      </c>
      <c r="F534" s="257" t="s">
        <v>14409</v>
      </c>
      <c r="G534" s="258">
        <v>1.7</v>
      </c>
      <c r="I534" s="276">
        <f t="shared" si="8"/>
        <v>32249.100000000002</v>
      </c>
    </row>
    <row r="535" spans="2:9" x14ac:dyDescent="0.25">
      <c r="B535" s="260"/>
      <c r="C535" s="261" t="s">
        <v>15315</v>
      </c>
      <c r="D535" s="288">
        <v>43874</v>
      </c>
      <c r="E535" s="269" t="s">
        <v>15314</v>
      </c>
      <c r="F535" s="257" t="s">
        <v>14409</v>
      </c>
      <c r="G535" s="258">
        <v>3.89</v>
      </c>
      <c r="I535" s="276">
        <f t="shared" si="8"/>
        <v>32252.99</v>
      </c>
    </row>
    <row r="536" spans="2:9" x14ac:dyDescent="0.25">
      <c r="B536" s="260"/>
      <c r="C536" s="261" t="s">
        <v>15313</v>
      </c>
      <c r="D536" s="288">
        <v>43874</v>
      </c>
      <c r="E536" s="269" t="s">
        <v>15312</v>
      </c>
      <c r="F536" s="257" t="s">
        <v>14409</v>
      </c>
      <c r="G536" s="258">
        <v>4.33</v>
      </c>
      <c r="I536" s="276">
        <f t="shared" si="8"/>
        <v>32257.320000000003</v>
      </c>
    </row>
    <row r="537" spans="2:9" x14ac:dyDescent="0.25">
      <c r="B537" s="260"/>
      <c r="C537" s="261" t="s">
        <v>15311</v>
      </c>
      <c r="D537" s="288">
        <v>43874</v>
      </c>
      <c r="E537" s="269" t="s">
        <v>15310</v>
      </c>
      <c r="F537" s="257" t="s">
        <v>14409</v>
      </c>
      <c r="G537" s="258">
        <v>8.16</v>
      </c>
      <c r="I537" s="276">
        <f t="shared" si="8"/>
        <v>32265.480000000003</v>
      </c>
    </row>
    <row r="538" spans="2:9" x14ac:dyDescent="0.25">
      <c r="B538" s="260"/>
      <c r="C538" s="261" t="s">
        <v>15309</v>
      </c>
      <c r="D538" s="288">
        <v>43874</v>
      </c>
      <c r="E538" s="269" t="s">
        <v>15308</v>
      </c>
      <c r="F538" s="257" t="s">
        <v>14409</v>
      </c>
      <c r="G538" s="258">
        <v>5.63</v>
      </c>
      <c r="I538" s="276">
        <f t="shared" si="8"/>
        <v>32271.110000000004</v>
      </c>
    </row>
    <row r="539" spans="2:9" x14ac:dyDescent="0.25">
      <c r="B539" s="260"/>
      <c r="C539" s="261" t="s">
        <v>15307</v>
      </c>
      <c r="D539" s="288">
        <v>43874</v>
      </c>
      <c r="E539" s="269" t="s">
        <v>15306</v>
      </c>
      <c r="F539" s="257" t="s">
        <v>14409</v>
      </c>
      <c r="G539" s="258">
        <v>19.600000000000001</v>
      </c>
      <c r="I539" s="276">
        <f t="shared" si="8"/>
        <v>32290.710000000003</v>
      </c>
    </row>
    <row r="540" spans="2:9" x14ac:dyDescent="0.25">
      <c r="B540" s="260"/>
      <c r="C540" s="261" t="s">
        <v>15305</v>
      </c>
      <c r="D540" s="288">
        <v>43874</v>
      </c>
      <c r="E540" s="269" t="s">
        <v>15304</v>
      </c>
      <c r="F540" s="257" t="s">
        <v>14409</v>
      </c>
      <c r="G540" s="258">
        <v>4.04</v>
      </c>
      <c r="I540" s="276">
        <f t="shared" si="8"/>
        <v>32294.750000000004</v>
      </c>
    </row>
    <row r="541" spans="2:9" x14ac:dyDescent="0.25">
      <c r="B541" s="260"/>
      <c r="C541" s="261" t="s">
        <v>15303</v>
      </c>
      <c r="D541" s="288">
        <v>43874</v>
      </c>
      <c r="E541" s="269" t="s">
        <v>15302</v>
      </c>
      <c r="F541" s="257" t="s">
        <v>14409</v>
      </c>
      <c r="G541" s="258">
        <v>3.71</v>
      </c>
      <c r="I541" s="276">
        <f t="shared" si="8"/>
        <v>32298.460000000003</v>
      </c>
    </row>
    <row r="542" spans="2:9" x14ac:dyDescent="0.25">
      <c r="B542" s="260"/>
      <c r="C542" s="261" t="s">
        <v>15301</v>
      </c>
      <c r="D542" s="288">
        <v>43874</v>
      </c>
      <c r="E542" s="269" t="s">
        <v>15300</v>
      </c>
      <c r="F542" s="257" t="s">
        <v>14409</v>
      </c>
      <c r="G542" s="258">
        <v>13.99</v>
      </c>
      <c r="I542" s="276">
        <f t="shared" si="8"/>
        <v>32312.450000000004</v>
      </c>
    </row>
    <row r="543" spans="2:9" x14ac:dyDescent="0.25">
      <c r="B543" s="260"/>
      <c r="C543" s="261" t="s">
        <v>15299</v>
      </c>
      <c r="D543" s="288">
        <v>43874</v>
      </c>
      <c r="E543" s="269" t="s">
        <v>15298</v>
      </c>
      <c r="F543" s="257" t="s">
        <v>14409</v>
      </c>
      <c r="G543" s="258">
        <v>4.34</v>
      </c>
      <c r="I543" s="276">
        <f t="shared" si="8"/>
        <v>32316.790000000005</v>
      </c>
    </row>
    <row r="544" spans="2:9" x14ac:dyDescent="0.25">
      <c r="B544" s="260"/>
      <c r="C544" s="261" t="s">
        <v>15297</v>
      </c>
      <c r="D544" s="288">
        <v>43874</v>
      </c>
      <c r="E544" s="269" t="s">
        <v>15296</v>
      </c>
      <c r="F544" s="257" t="s">
        <v>14409</v>
      </c>
      <c r="G544" s="258">
        <v>6.73</v>
      </c>
      <c r="I544" s="276">
        <f t="shared" si="8"/>
        <v>32323.520000000004</v>
      </c>
    </row>
    <row r="545" spans="2:9" x14ac:dyDescent="0.25">
      <c r="B545" s="260"/>
      <c r="C545" s="261" t="s">
        <v>15295</v>
      </c>
      <c r="D545" s="288">
        <v>43874</v>
      </c>
      <c r="E545" s="269" t="s">
        <v>15294</v>
      </c>
      <c r="F545" s="257" t="s">
        <v>14409</v>
      </c>
      <c r="G545" s="258">
        <v>7.25</v>
      </c>
      <c r="I545" s="276">
        <f t="shared" si="8"/>
        <v>32330.770000000004</v>
      </c>
    </row>
    <row r="546" spans="2:9" x14ac:dyDescent="0.25">
      <c r="B546" s="260"/>
      <c r="C546" s="261" t="s">
        <v>15293</v>
      </c>
      <c r="D546" s="288">
        <v>43874</v>
      </c>
      <c r="E546" s="269" t="s">
        <v>15292</v>
      </c>
      <c r="F546" s="257" t="s">
        <v>14409</v>
      </c>
      <c r="G546" s="258">
        <v>5.5</v>
      </c>
      <c r="I546" s="276">
        <f t="shared" si="8"/>
        <v>32336.270000000004</v>
      </c>
    </row>
    <row r="547" spans="2:9" x14ac:dyDescent="0.25">
      <c r="B547" s="260"/>
      <c r="C547" s="261" t="s">
        <v>15291</v>
      </c>
      <c r="D547" s="288">
        <v>43874</v>
      </c>
      <c r="E547" s="269" t="s">
        <v>15290</v>
      </c>
      <c r="F547" s="257" t="s">
        <v>14409</v>
      </c>
      <c r="G547" s="258">
        <v>0.16</v>
      </c>
      <c r="I547" s="276">
        <f t="shared" si="8"/>
        <v>32336.430000000004</v>
      </c>
    </row>
    <row r="548" spans="2:9" x14ac:dyDescent="0.25">
      <c r="B548" s="260"/>
      <c r="C548" s="261" t="s">
        <v>15289</v>
      </c>
      <c r="D548" s="288">
        <v>43874</v>
      </c>
      <c r="E548" s="269" t="s">
        <v>15288</v>
      </c>
      <c r="F548" s="257" t="s">
        <v>14409</v>
      </c>
      <c r="G548" s="258">
        <v>17.54</v>
      </c>
      <c r="I548" s="276">
        <f t="shared" si="8"/>
        <v>32353.970000000005</v>
      </c>
    </row>
    <row r="549" spans="2:9" x14ac:dyDescent="0.25">
      <c r="B549" s="260"/>
      <c r="C549" s="261" t="s">
        <v>15287</v>
      </c>
      <c r="D549" s="288">
        <v>43874</v>
      </c>
      <c r="E549" s="269" t="s">
        <v>15286</v>
      </c>
      <c r="F549" s="257" t="s">
        <v>14409</v>
      </c>
      <c r="G549" s="258">
        <v>2.71</v>
      </c>
      <c r="I549" s="276">
        <f t="shared" si="8"/>
        <v>32356.680000000004</v>
      </c>
    </row>
    <row r="550" spans="2:9" x14ac:dyDescent="0.25">
      <c r="B550" s="260"/>
      <c r="C550" s="261" t="s">
        <v>15285</v>
      </c>
      <c r="D550" s="288">
        <v>43874</v>
      </c>
      <c r="E550" s="269" t="s">
        <v>15284</v>
      </c>
      <c r="F550" s="257" t="s">
        <v>14409</v>
      </c>
      <c r="G550" s="258">
        <v>4.42</v>
      </c>
      <c r="I550" s="276">
        <f t="shared" si="8"/>
        <v>32361.100000000002</v>
      </c>
    </row>
    <row r="551" spans="2:9" x14ac:dyDescent="0.25">
      <c r="B551" s="260"/>
      <c r="C551" s="261" t="s">
        <v>15283</v>
      </c>
      <c r="D551" s="288">
        <v>43874</v>
      </c>
      <c r="E551" s="269" t="s">
        <v>15282</v>
      </c>
      <c r="F551" s="257" t="s">
        <v>14409</v>
      </c>
      <c r="G551" s="258">
        <v>3.38</v>
      </c>
      <c r="I551" s="276">
        <f t="shared" si="8"/>
        <v>32364.480000000003</v>
      </c>
    </row>
    <row r="552" spans="2:9" x14ac:dyDescent="0.2">
      <c r="B552" s="260"/>
      <c r="C552" s="261" t="s">
        <v>15281</v>
      </c>
      <c r="D552" s="288">
        <v>43874</v>
      </c>
      <c r="E552" s="269" t="s">
        <v>15280</v>
      </c>
      <c r="F552" s="257">
        <v>9</v>
      </c>
      <c r="G552" s="255">
        <v>9.17</v>
      </c>
      <c r="H552" s="103"/>
      <c r="I552" s="276">
        <f t="shared" si="8"/>
        <v>32373.65</v>
      </c>
    </row>
    <row r="553" spans="2:9" x14ac:dyDescent="0.2">
      <c r="B553" s="260"/>
      <c r="C553" s="261" t="s">
        <v>15279</v>
      </c>
      <c r="D553" s="288">
        <v>43874</v>
      </c>
      <c r="E553" s="269" t="s">
        <v>15278</v>
      </c>
      <c r="F553" s="257">
        <v>9</v>
      </c>
      <c r="G553" s="255">
        <v>1.89</v>
      </c>
      <c r="H553" s="103"/>
      <c r="I553" s="276">
        <f t="shared" si="8"/>
        <v>32375.54</v>
      </c>
    </row>
    <row r="554" spans="2:9" x14ac:dyDescent="0.2">
      <c r="B554" s="260"/>
      <c r="C554" s="261" t="s">
        <v>15277</v>
      </c>
      <c r="D554" s="288">
        <v>43874</v>
      </c>
      <c r="E554" s="269" t="s">
        <v>15276</v>
      </c>
      <c r="F554" s="257">
        <v>9</v>
      </c>
      <c r="G554" s="255">
        <v>39.53</v>
      </c>
      <c r="H554" s="103"/>
      <c r="I554" s="276">
        <f t="shared" si="8"/>
        <v>32415.07</v>
      </c>
    </row>
    <row r="555" spans="2:9" x14ac:dyDescent="0.2">
      <c r="B555" s="260"/>
      <c r="C555" s="261" t="s">
        <v>15275</v>
      </c>
      <c r="D555" s="288">
        <v>43874</v>
      </c>
      <c r="E555" s="269" t="s">
        <v>15274</v>
      </c>
      <c r="F555" s="257">
        <v>9</v>
      </c>
      <c r="G555" s="255">
        <v>5.71</v>
      </c>
      <c r="H555" s="103"/>
      <c r="I555" s="276">
        <f t="shared" si="8"/>
        <v>32420.78</v>
      </c>
    </row>
    <row r="556" spans="2:9" x14ac:dyDescent="0.2">
      <c r="B556" s="260"/>
      <c r="C556" s="261" t="s">
        <v>15273</v>
      </c>
      <c r="D556" s="288">
        <v>43874</v>
      </c>
      <c r="E556" s="269" t="s">
        <v>15272</v>
      </c>
      <c r="F556" s="257">
        <v>9</v>
      </c>
      <c r="G556" s="255">
        <v>8.3800000000000008</v>
      </c>
      <c r="H556" s="103"/>
      <c r="I556" s="276">
        <f t="shared" si="8"/>
        <v>32429.16</v>
      </c>
    </row>
    <row r="557" spans="2:9" x14ac:dyDescent="0.2">
      <c r="B557" s="260"/>
      <c r="C557" s="261" t="s">
        <v>15271</v>
      </c>
      <c r="D557" s="288">
        <v>43874</v>
      </c>
      <c r="E557" s="269" t="s">
        <v>15270</v>
      </c>
      <c r="F557" s="257">
        <v>9</v>
      </c>
      <c r="G557" s="255">
        <v>4.1900000000000004</v>
      </c>
      <c r="H557" s="103"/>
      <c r="I557" s="276">
        <f t="shared" si="8"/>
        <v>32433.35</v>
      </c>
    </row>
    <row r="558" spans="2:9" x14ac:dyDescent="0.2">
      <c r="B558" s="260"/>
      <c r="C558" s="261" t="s">
        <v>15269</v>
      </c>
      <c r="D558" s="288">
        <v>43874</v>
      </c>
      <c r="E558" s="269" t="s">
        <v>15268</v>
      </c>
      <c r="F558" s="257">
        <v>9</v>
      </c>
      <c r="G558" s="255">
        <v>4.18</v>
      </c>
      <c r="H558" s="103"/>
      <c r="I558" s="276">
        <f t="shared" si="8"/>
        <v>32437.53</v>
      </c>
    </row>
    <row r="559" spans="2:9" x14ac:dyDescent="0.2">
      <c r="B559" s="260"/>
      <c r="C559" s="261" t="s">
        <v>15267</v>
      </c>
      <c r="D559" s="288">
        <v>43874</v>
      </c>
      <c r="E559" s="269" t="s">
        <v>15266</v>
      </c>
      <c r="F559" s="257">
        <v>9</v>
      </c>
      <c r="G559" s="255">
        <v>7.55</v>
      </c>
      <c r="H559" s="103"/>
      <c r="I559" s="276">
        <f t="shared" si="8"/>
        <v>32445.079999999998</v>
      </c>
    </row>
    <row r="560" spans="2:9" x14ac:dyDescent="0.2">
      <c r="B560" s="260"/>
      <c r="C560" s="261" t="s">
        <v>15265</v>
      </c>
      <c r="D560" s="288">
        <v>43874</v>
      </c>
      <c r="E560" s="269" t="s">
        <v>15264</v>
      </c>
      <c r="F560" s="257">
        <v>9</v>
      </c>
      <c r="G560" s="255">
        <v>4.41</v>
      </c>
      <c r="H560" s="103"/>
      <c r="I560" s="276">
        <f t="shared" si="8"/>
        <v>32449.489999999998</v>
      </c>
    </row>
    <row r="561" spans="2:9" x14ac:dyDescent="0.2">
      <c r="B561" s="260"/>
      <c r="C561" s="261" t="s">
        <v>15263</v>
      </c>
      <c r="D561" s="288">
        <v>43874</v>
      </c>
      <c r="E561" s="269" t="s">
        <v>15262</v>
      </c>
      <c r="F561" s="257">
        <v>9</v>
      </c>
      <c r="G561" s="255">
        <v>12.57</v>
      </c>
      <c r="H561" s="103"/>
      <c r="I561" s="276">
        <f t="shared" si="8"/>
        <v>32462.059999999998</v>
      </c>
    </row>
    <row r="562" spans="2:9" ht="19.5" x14ac:dyDescent="0.2">
      <c r="B562" s="260"/>
      <c r="C562" s="261" t="s">
        <v>15261</v>
      </c>
      <c r="D562" s="288">
        <v>43874</v>
      </c>
      <c r="E562" s="269" t="s">
        <v>15260</v>
      </c>
      <c r="F562" s="257">
        <v>9</v>
      </c>
      <c r="G562" s="255">
        <v>16.940000000000001</v>
      </c>
      <c r="H562" s="103"/>
      <c r="I562" s="276">
        <f t="shared" si="8"/>
        <v>32478.999999999996</v>
      </c>
    </row>
    <row r="563" spans="2:9" ht="19.5" x14ac:dyDescent="0.25">
      <c r="B563" s="261"/>
      <c r="C563" s="261" t="s">
        <v>1742</v>
      </c>
      <c r="D563" s="288">
        <v>43874</v>
      </c>
      <c r="E563" s="269" t="s">
        <v>15259</v>
      </c>
      <c r="F563" s="257" t="s">
        <v>14433</v>
      </c>
      <c r="H563" s="161">
        <v>566.69000000000005</v>
      </c>
      <c r="I563" s="276">
        <f t="shared" si="8"/>
        <v>31912.309999999998</v>
      </c>
    </row>
    <row r="564" spans="2:9" ht="19.5" x14ac:dyDescent="0.25">
      <c r="B564" s="261"/>
      <c r="C564" s="261" t="s">
        <v>15258</v>
      </c>
      <c r="D564" s="288">
        <v>43875</v>
      </c>
      <c r="E564" s="269" t="s">
        <v>15257</v>
      </c>
      <c r="F564" s="257" t="s">
        <v>14412</v>
      </c>
      <c r="G564" s="258">
        <v>10.35</v>
      </c>
      <c r="I564" s="276">
        <f t="shared" si="8"/>
        <v>31922.659999999996</v>
      </c>
    </row>
    <row r="565" spans="2:9" x14ac:dyDescent="0.25">
      <c r="B565" s="261"/>
      <c r="C565" s="261" t="s">
        <v>15256</v>
      </c>
      <c r="D565" s="288">
        <v>43875</v>
      </c>
      <c r="E565" s="269" t="s">
        <v>15255</v>
      </c>
      <c r="F565" s="257" t="s">
        <v>14447</v>
      </c>
      <c r="G565" s="258">
        <v>13.95</v>
      </c>
      <c r="I565" s="276">
        <f t="shared" si="8"/>
        <v>31936.609999999997</v>
      </c>
    </row>
    <row r="566" spans="2:9" x14ac:dyDescent="0.25">
      <c r="B566" s="261"/>
      <c r="C566" s="261" t="s">
        <v>15254</v>
      </c>
      <c r="D566" s="288">
        <v>43875</v>
      </c>
      <c r="E566" s="269" t="s">
        <v>15253</v>
      </c>
      <c r="F566" s="257" t="s">
        <v>14447</v>
      </c>
      <c r="G566" s="258">
        <v>3.05</v>
      </c>
      <c r="I566" s="276">
        <f t="shared" si="8"/>
        <v>31939.659999999996</v>
      </c>
    </row>
    <row r="567" spans="2:9" x14ac:dyDescent="0.25">
      <c r="B567" s="261"/>
      <c r="C567" s="261" t="s">
        <v>15252</v>
      </c>
      <c r="D567" s="288">
        <v>43875</v>
      </c>
      <c r="E567" s="269" t="s">
        <v>15251</v>
      </c>
      <c r="F567" s="257" t="s">
        <v>14447</v>
      </c>
      <c r="G567" s="258">
        <v>27.82</v>
      </c>
      <c r="I567" s="276">
        <f t="shared" si="8"/>
        <v>31967.479999999996</v>
      </c>
    </row>
    <row r="568" spans="2:9" x14ac:dyDescent="0.25">
      <c r="B568" s="261"/>
      <c r="C568" s="261" t="s">
        <v>15250</v>
      </c>
      <c r="D568" s="288">
        <v>43875</v>
      </c>
      <c r="E568" s="269" t="s">
        <v>15249</v>
      </c>
      <c r="F568" s="257" t="s">
        <v>14447</v>
      </c>
      <c r="G568" s="258">
        <v>8.3800000000000008</v>
      </c>
      <c r="I568" s="276">
        <f t="shared" si="8"/>
        <v>31975.859999999997</v>
      </c>
    </row>
    <row r="569" spans="2:9" x14ac:dyDescent="0.25">
      <c r="B569" s="261"/>
      <c r="C569" s="261" t="s">
        <v>15248</v>
      </c>
      <c r="D569" s="288">
        <v>43875</v>
      </c>
      <c r="E569" s="269" t="s">
        <v>15247</v>
      </c>
      <c r="F569" s="257" t="s">
        <v>14412</v>
      </c>
      <c r="G569" s="258">
        <v>7.98</v>
      </c>
      <c r="I569" s="276">
        <f t="shared" si="8"/>
        <v>31983.839999999997</v>
      </c>
    </row>
    <row r="570" spans="2:9" x14ac:dyDescent="0.25">
      <c r="B570" s="261"/>
      <c r="C570" s="261" t="s">
        <v>15246</v>
      </c>
      <c r="D570" s="288">
        <v>43875</v>
      </c>
      <c r="E570" s="269" t="s">
        <v>15245</v>
      </c>
      <c r="F570" s="257" t="s">
        <v>14412</v>
      </c>
      <c r="G570" s="258">
        <v>11.2</v>
      </c>
      <c r="I570" s="276">
        <f t="shared" si="8"/>
        <v>31995.039999999997</v>
      </c>
    </row>
    <row r="571" spans="2:9" x14ac:dyDescent="0.25">
      <c r="B571" s="261"/>
      <c r="C571" s="261" t="s">
        <v>15244</v>
      </c>
      <c r="D571" s="288">
        <v>43875</v>
      </c>
      <c r="E571" s="269" t="s">
        <v>15243</v>
      </c>
      <c r="F571" s="257" t="s">
        <v>14412</v>
      </c>
      <c r="G571" s="258">
        <v>1.08</v>
      </c>
      <c r="I571" s="276">
        <f t="shared" si="8"/>
        <v>31996.12</v>
      </c>
    </row>
    <row r="572" spans="2:9" x14ac:dyDescent="0.25">
      <c r="B572" s="261"/>
      <c r="C572" s="261" t="s">
        <v>15242</v>
      </c>
      <c r="D572" s="288">
        <v>43875</v>
      </c>
      <c r="E572" s="269" t="s">
        <v>15241</v>
      </c>
      <c r="F572" s="257" t="s">
        <v>14412</v>
      </c>
      <c r="G572" s="258">
        <v>3.86</v>
      </c>
      <c r="I572" s="276">
        <f t="shared" si="8"/>
        <v>31999.98</v>
      </c>
    </row>
    <row r="573" spans="2:9" x14ac:dyDescent="0.25">
      <c r="B573" s="261"/>
      <c r="C573" s="261" t="s">
        <v>15240</v>
      </c>
      <c r="D573" s="288">
        <v>43875</v>
      </c>
      <c r="E573" s="269" t="s">
        <v>15239</v>
      </c>
      <c r="F573" s="257" t="s">
        <v>14412</v>
      </c>
      <c r="G573" s="258">
        <v>13.09</v>
      </c>
      <c r="I573" s="276">
        <f t="shared" si="8"/>
        <v>32013.07</v>
      </c>
    </row>
    <row r="574" spans="2:9" x14ac:dyDescent="0.25">
      <c r="B574" s="261"/>
      <c r="C574" s="261" t="s">
        <v>15238</v>
      </c>
      <c r="D574" s="288">
        <v>43875</v>
      </c>
      <c r="E574" s="269" t="s">
        <v>15237</v>
      </c>
      <c r="F574" s="257" t="s">
        <v>14412</v>
      </c>
      <c r="G574" s="258">
        <v>9.64</v>
      </c>
      <c r="I574" s="276">
        <f t="shared" si="8"/>
        <v>32022.71</v>
      </c>
    </row>
    <row r="575" spans="2:9" x14ac:dyDescent="0.25">
      <c r="B575" s="261"/>
      <c r="C575" s="261" t="s">
        <v>15236</v>
      </c>
      <c r="D575" s="288">
        <v>43875</v>
      </c>
      <c r="E575" s="269" t="s">
        <v>15235</v>
      </c>
      <c r="F575" s="257" t="s">
        <v>14412</v>
      </c>
      <c r="G575" s="258">
        <v>3.82</v>
      </c>
      <c r="I575" s="276">
        <f t="shared" si="8"/>
        <v>32026.53</v>
      </c>
    </row>
    <row r="576" spans="2:9" x14ac:dyDescent="0.25">
      <c r="B576" s="261"/>
      <c r="C576" s="261" t="s">
        <v>15234</v>
      </c>
      <c r="D576" s="288">
        <v>43875</v>
      </c>
      <c r="E576" s="269" t="s">
        <v>15233</v>
      </c>
      <c r="F576" s="257" t="s">
        <v>14412</v>
      </c>
      <c r="G576" s="258">
        <v>1.52</v>
      </c>
      <c r="I576" s="276">
        <f t="shared" si="8"/>
        <v>32028.05</v>
      </c>
    </row>
    <row r="577" spans="2:9" x14ac:dyDescent="0.25">
      <c r="B577" s="261"/>
      <c r="C577" s="261" t="s">
        <v>15232</v>
      </c>
      <c r="D577" s="288">
        <v>43875</v>
      </c>
      <c r="E577" s="269" t="s">
        <v>15231</v>
      </c>
      <c r="F577" s="257" t="s">
        <v>14412</v>
      </c>
      <c r="G577" s="258">
        <v>5.19</v>
      </c>
      <c r="I577" s="276">
        <f t="shared" si="8"/>
        <v>32033.239999999998</v>
      </c>
    </row>
    <row r="578" spans="2:9" x14ac:dyDescent="0.25">
      <c r="B578" s="261"/>
      <c r="C578" s="261" t="s">
        <v>15230</v>
      </c>
      <c r="D578" s="288">
        <v>43875</v>
      </c>
      <c r="E578" s="269" t="s">
        <v>15229</v>
      </c>
      <c r="F578" s="257" t="s">
        <v>14412</v>
      </c>
      <c r="G578" s="258">
        <v>3.97</v>
      </c>
      <c r="I578" s="276">
        <f t="shared" si="8"/>
        <v>32037.21</v>
      </c>
    </row>
    <row r="579" spans="2:9" x14ac:dyDescent="0.25">
      <c r="B579" s="261"/>
      <c r="C579" s="261" t="s">
        <v>15228</v>
      </c>
      <c r="D579" s="288">
        <v>43875</v>
      </c>
      <c r="E579" s="269" t="s">
        <v>15227</v>
      </c>
      <c r="F579" s="257" t="s">
        <v>14412</v>
      </c>
      <c r="G579" s="258">
        <v>3.28</v>
      </c>
      <c r="I579" s="276">
        <f t="shared" si="8"/>
        <v>32040.489999999998</v>
      </c>
    </row>
    <row r="580" spans="2:9" x14ac:dyDescent="0.25">
      <c r="B580" s="261"/>
      <c r="C580" s="261" t="s">
        <v>15226</v>
      </c>
      <c r="D580" s="288">
        <v>43875</v>
      </c>
      <c r="E580" s="269" t="s">
        <v>15225</v>
      </c>
      <c r="F580" s="257" t="s">
        <v>14412</v>
      </c>
      <c r="G580" s="258">
        <v>7.67</v>
      </c>
      <c r="I580" s="276">
        <f t="shared" si="8"/>
        <v>32048.159999999996</v>
      </c>
    </row>
    <row r="581" spans="2:9" x14ac:dyDescent="0.25">
      <c r="B581" s="261"/>
      <c r="C581" s="261" t="s">
        <v>15224</v>
      </c>
      <c r="D581" s="288">
        <v>43875</v>
      </c>
      <c r="E581" s="269" t="s">
        <v>15223</v>
      </c>
      <c r="F581" s="257" t="s">
        <v>14412</v>
      </c>
      <c r="G581" s="258">
        <v>4.1900000000000004</v>
      </c>
      <c r="I581" s="276">
        <f t="shared" si="8"/>
        <v>32052.349999999995</v>
      </c>
    </row>
    <row r="582" spans="2:9" x14ac:dyDescent="0.25">
      <c r="B582" s="261"/>
      <c r="C582" s="261" t="s">
        <v>15222</v>
      </c>
      <c r="D582" s="288">
        <v>43875</v>
      </c>
      <c r="E582" s="269" t="s">
        <v>15221</v>
      </c>
      <c r="F582" s="257" t="s">
        <v>14412</v>
      </c>
      <c r="G582" s="258">
        <v>3.96</v>
      </c>
      <c r="I582" s="276">
        <f t="shared" si="8"/>
        <v>32056.309999999994</v>
      </c>
    </row>
    <row r="583" spans="2:9" x14ac:dyDescent="0.25">
      <c r="B583" s="261"/>
      <c r="C583" s="261" t="s">
        <v>15220</v>
      </c>
      <c r="D583" s="288">
        <v>43875</v>
      </c>
      <c r="E583" s="269" t="s">
        <v>15219</v>
      </c>
      <c r="F583" s="257" t="s">
        <v>14412</v>
      </c>
      <c r="G583" s="258">
        <v>9.7799999999999994</v>
      </c>
      <c r="I583" s="276">
        <f t="shared" si="8"/>
        <v>32066.089999999993</v>
      </c>
    </row>
    <row r="584" spans="2:9" ht="19.5" x14ac:dyDescent="0.25">
      <c r="B584" s="261"/>
      <c r="C584" s="261" t="s">
        <v>15218</v>
      </c>
      <c r="D584" s="288">
        <v>43875</v>
      </c>
      <c r="E584" s="269" t="s">
        <v>15217</v>
      </c>
      <c r="F584" s="257" t="s">
        <v>14412</v>
      </c>
      <c r="G584" s="258">
        <v>22.15</v>
      </c>
      <c r="I584" s="276">
        <f t="shared" si="8"/>
        <v>32088.239999999994</v>
      </c>
    </row>
    <row r="585" spans="2:9" x14ac:dyDescent="0.25">
      <c r="B585" s="261"/>
      <c r="C585" s="261" t="s">
        <v>15216</v>
      </c>
      <c r="D585" s="288">
        <v>43875</v>
      </c>
      <c r="E585" s="269" t="s">
        <v>15215</v>
      </c>
      <c r="F585" s="257" t="s">
        <v>14412</v>
      </c>
      <c r="G585" s="258">
        <v>1.9</v>
      </c>
      <c r="I585" s="276">
        <f t="shared" si="8"/>
        <v>32090.139999999996</v>
      </c>
    </row>
    <row r="586" spans="2:9" x14ac:dyDescent="0.25">
      <c r="B586" s="261"/>
      <c r="C586" s="261" t="s">
        <v>15214</v>
      </c>
      <c r="D586" s="288">
        <v>43875</v>
      </c>
      <c r="E586" s="269" t="s">
        <v>15213</v>
      </c>
      <c r="F586" s="257" t="s">
        <v>14412</v>
      </c>
      <c r="G586" s="258">
        <v>0.92</v>
      </c>
      <c r="I586" s="276">
        <f t="shared" si="8"/>
        <v>32091.059999999994</v>
      </c>
    </row>
    <row r="587" spans="2:9" x14ac:dyDescent="0.25">
      <c r="B587" s="261"/>
      <c r="C587" s="261" t="s">
        <v>15212</v>
      </c>
      <c r="D587" s="288">
        <v>43875</v>
      </c>
      <c r="E587" s="269" t="s">
        <v>15211</v>
      </c>
      <c r="F587" s="257" t="s">
        <v>14412</v>
      </c>
      <c r="G587" s="258">
        <v>4.8</v>
      </c>
      <c r="I587" s="276">
        <f t="shared" si="8"/>
        <v>32095.859999999993</v>
      </c>
    </row>
    <row r="588" spans="2:9" x14ac:dyDescent="0.2">
      <c r="B588" s="260"/>
      <c r="C588" s="261" t="s">
        <v>15210</v>
      </c>
      <c r="D588" s="288">
        <v>43875</v>
      </c>
      <c r="E588" s="269" t="s">
        <v>15209</v>
      </c>
      <c r="F588" s="257">
        <v>10</v>
      </c>
      <c r="G588" s="255">
        <v>8.3800000000000008</v>
      </c>
      <c r="H588" s="103"/>
      <c r="I588" s="276">
        <f t="shared" si="8"/>
        <v>32104.239999999994</v>
      </c>
    </row>
    <row r="589" spans="2:9" x14ac:dyDescent="0.2">
      <c r="B589" s="260"/>
      <c r="C589" s="261" t="s">
        <v>15208</v>
      </c>
      <c r="D589" s="288">
        <v>43875</v>
      </c>
      <c r="E589" s="269" t="s">
        <v>15207</v>
      </c>
      <c r="F589" s="257">
        <v>10</v>
      </c>
      <c r="G589" s="255">
        <v>8.3800000000000008</v>
      </c>
      <c r="H589" s="103"/>
      <c r="I589" s="276">
        <f t="shared" si="8"/>
        <v>32112.619999999995</v>
      </c>
    </row>
    <row r="590" spans="2:9" x14ac:dyDescent="0.25">
      <c r="B590" s="260"/>
      <c r="C590" s="261" t="s">
        <v>15206</v>
      </c>
      <c r="D590" s="288">
        <v>43875</v>
      </c>
      <c r="E590" s="269" t="s">
        <v>15205</v>
      </c>
      <c r="F590" s="257" t="s">
        <v>14437</v>
      </c>
      <c r="G590" s="160">
        <v>7.57</v>
      </c>
      <c r="I590" s="276">
        <f t="shared" si="8"/>
        <v>32120.189999999995</v>
      </c>
    </row>
    <row r="591" spans="2:9" x14ac:dyDescent="0.25">
      <c r="B591" s="260"/>
      <c r="C591" s="261" t="s">
        <v>15204</v>
      </c>
      <c r="D591" s="288">
        <v>43875</v>
      </c>
      <c r="E591" s="269" t="s">
        <v>15203</v>
      </c>
      <c r="F591" s="257" t="s">
        <v>14437</v>
      </c>
      <c r="G591" s="160">
        <v>119.4</v>
      </c>
      <c r="I591" s="276">
        <f t="shared" si="8"/>
        <v>32239.589999999997</v>
      </c>
    </row>
    <row r="592" spans="2:9" x14ac:dyDescent="0.25">
      <c r="B592" s="261"/>
      <c r="C592" s="261" t="s">
        <v>15202</v>
      </c>
      <c r="D592" s="288">
        <v>43875</v>
      </c>
      <c r="E592" s="269" t="s">
        <v>15201</v>
      </c>
      <c r="F592" s="257" t="s">
        <v>14433</v>
      </c>
      <c r="H592" s="161">
        <v>2640</v>
      </c>
      <c r="I592" s="276">
        <f t="shared" si="8"/>
        <v>29599.589999999997</v>
      </c>
    </row>
    <row r="593" spans="2:9" x14ac:dyDescent="0.25">
      <c r="B593" s="261"/>
      <c r="C593" s="261" t="s">
        <v>15200</v>
      </c>
      <c r="D593" s="288">
        <v>43875</v>
      </c>
      <c r="E593" s="269" t="s">
        <v>15199</v>
      </c>
      <c r="F593" s="257" t="s">
        <v>14433</v>
      </c>
      <c r="H593" s="161">
        <v>479.64</v>
      </c>
      <c r="I593" s="276">
        <f t="shared" si="8"/>
        <v>29119.949999999997</v>
      </c>
    </row>
    <row r="594" spans="2:9" x14ac:dyDescent="0.25">
      <c r="B594" s="261"/>
      <c r="C594" s="261" t="s">
        <v>15198</v>
      </c>
      <c r="D594" s="288">
        <v>43876</v>
      </c>
      <c r="E594" s="269" t="s">
        <v>15197</v>
      </c>
      <c r="F594" s="257" t="s">
        <v>14412</v>
      </c>
      <c r="G594" s="258">
        <v>3.66</v>
      </c>
      <c r="I594" s="276">
        <f t="shared" si="8"/>
        <v>29123.609999999997</v>
      </c>
    </row>
    <row r="595" spans="2:9" x14ac:dyDescent="0.25">
      <c r="B595" s="261"/>
      <c r="C595" s="261" t="s">
        <v>15196</v>
      </c>
      <c r="D595" s="288">
        <v>43876</v>
      </c>
      <c r="E595" s="269" t="s">
        <v>15195</v>
      </c>
      <c r="F595" s="257" t="s">
        <v>14412</v>
      </c>
      <c r="G595" s="258">
        <v>3.98</v>
      </c>
      <c r="I595" s="276">
        <f t="shared" si="8"/>
        <v>29127.589999999997</v>
      </c>
    </row>
    <row r="596" spans="2:9" x14ac:dyDescent="0.25">
      <c r="B596" s="261"/>
      <c r="C596" s="261" t="s">
        <v>15194</v>
      </c>
      <c r="D596" s="288">
        <v>43876</v>
      </c>
      <c r="E596" s="269" t="s">
        <v>15193</v>
      </c>
      <c r="F596" s="257" t="s">
        <v>14412</v>
      </c>
      <c r="G596" s="258">
        <v>6.56</v>
      </c>
      <c r="I596" s="276">
        <f t="shared" ref="I596:I659" si="9">+I595+G596-H596</f>
        <v>29134.149999999998</v>
      </c>
    </row>
    <row r="597" spans="2:9" x14ac:dyDescent="0.25">
      <c r="B597" s="261"/>
      <c r="C597" s="261" t="s">
        <v>15192</v>
      </c>
      <c r="D597" s="288">
        <v>43876</v>
      </c>
      <c r="E597" s="269" t="s">
        <v>15191</v>
      </c>
      <c r="F597" s="257" t="s">
        <v>14412</v>
      </c>
      <c r="G597" s="258">
        <v>5.32</v>
      </c>
      <c r="I597" s="276">
        <f t="shared" si="9"/>
        <v>29139.469999999998</v>
      </c>
    </row>
    <row r="598" spans="2:9" x14ac:dyDescent="0.25">
      <c r="B598" s="261"/>
      <c r="C598" s="261" t="s">
        <v>15190</v>
      </c>
      <c r="D598" s="288">
        <v>43876</v>
      </c>
      <c r="E598" s="269" t="s">
        <v>15189</v>
      </c>
      <c r="F598" s="257" t="s">
        <v>14412</v>
      </c>
      <c r="G598" s="258">
        <v>9.4700000000000006</v>
      </c>
      <c r="I598" s="276">
        <f t="shared" si="9"/>
        <v>29148.94</v>
      </c>
    </row>
    <row r="599" spans="2:9" x14ac:dyDescent="0.25">
      <c r="B599" s="261"/>
      <c r="C599" s="261" t="s">
        <v>15188</v>
      </c>
      <c r="D599" s="288">
        <v>43876</v>
      </c>
      <c r="E599" s="269" t="s">
        <v>15187</v>
      </c>
      <c r="F599" s="257" t="s">
        <v>14412</v>
      </c>
      <c r="G599" s="258">
        <v>2.77</v>
      </c>
      <c r="I599" s="276">
        <f t="shared" si="9"/>
        <v>29151.71</v>
      </c>
    </row>
    <row r="600" spans="2:9" x14ac:dyDescent="0.25">
      <c r="B600" s="261"/>
      <c r="C600" s="261" t="s">
        <v>15186</v>
      </c>
      <c r="D600" s="288">
        <v>43876</v>
      </c>
      <c r="E600" s="269" t="s">
        <v>15185</v>
      </c>
      <c r="F600" s="257" t="s">
        <v>14412</v>
      </c>
      <c r="G600" s="258">
        <v>9.82</v>
      </c>
      <c r="I600" s="276">
        <f t="shared" si="9"/>
        <v>29161.53</v>
      </c>
    </row>
    <row r="601" spans="2:9" x14ac:dyDescent="0.25">
      <c r="B601" s="261"/>
      <c r="C601" s="261" t="s">
        <v>15184</v>
      </c>
      <c r="D601" s="288">
        <v>43876</v>
      </c>
      <c r="E601" s="269" t="s">
        <v>15183</v>
      </c>
      <c r="F601" s="257" t="s">
        <v>14412</v>
      </c>
      <c r="G601" s="258">
        <v>4.67</v>
      </c>
      <c r="I601" s="276">
        <f t="shared" si="9"/>
        <v>29166.199999999997</v>
      </c>
    </row>
    <row r="602" spans="2:9" x14ac:dyDescent="0.25">
      <c r="B602" s="261"/>
      <c r="C602" s="261" t="s">
        <v>15182</v>
      </c>
      <c r="D602" s="288">
        <v>43876</v>
      </c>
      <c r="E602" s="269" t="s">
        <v>15181</v>
      </c>
      <c r="F602" s="257" t="s">
        <v>14412</v>
      </c>
      <c r="G602" s="258">
        <v>3.17</v>
      </c>
      <c r="I602" s="276">
        <f t="shared" si="9"/>
        <v>29169.369999999995</v>
      </c>
    </row>
    <row r="603" spans="2:9" x14ac:dyDescent="0.25">
      <c r="B603" s="261"/>
      <c r="C603" s="261" t="s">
        <v>15180</v>
      </c>
      <c r="D603" s="288">
        <v>43876</v>
      </c>
      <c r="E603" s="269" t="s">
        <v>15179</v>
      </c>
      <c r="F603" s="257" t="s">
        <v>14412</v>
      </c>
      <c r="G603" s="258">
        <v>56.81</v>
      </c>
      <c r="I603" s="276">
        <f t="shared" si="9"/>
        <v>29226.179999999997</v>
      </c>
    </row>
    <row r="604" spans="2:9" x14ac:dyDescent="0.25">
      <c r="B604" s="261"/>
      <c r="C604" s="261" t="s">
        <v>15178</v>
      </c>
      <c r="D604" s="288">
        <v>43876</v>
      </c>
      <c r="E604" s="269" t="s">
        <v>15177</v>
      </c>
      <c r="F604" s="257" t="s">
        <v>14412</v>
      </c>
      <c r="G604" s="258">
        <v>4.0199999999999996</v>
      </c>
      <c r="I604" s="276">
        <f t="shared" si="9"/>
        <v>29230.199999999997</v>
      </c>
    </row>
    <row r="605" spans="2:9" x14ac:dyDescent="0.25">
      <c r="B605" s="261"/>
      <c r="C605" s="261" t="s">
        <v>15176</v>
      </c>
      <c r="D605" s="288">
        <v>43876</v>
      </c>
      <c r="E605" s="269" t="s">
        <v>15175</v>
      </c>
      <c r="F605" s="257" t="s">
        <v>14412</v>
      </c>
      <c r="G605" s="258">
        <v>10.77</v>
      </c>
      <c r="I605" s="276">
        <f t="shared" si="9"/>
        <v>29240.969999999998</v>
      </c>
    </row>
    <row r="606" spans="2:9" x14ac:dyDescent="0.25">
      <c r="B606" s="261"/>
      <c r="C606" s="261" t="s">
        <v>15174</v>
      </c>
      <c r="D606" s="288">
        <v>43877</v>
      </c>
      <c r="E606" s="269" t="s">
        <v>15173</v>
      </c>
      <c r="F606" s="257" t="s">
        <v>14412</v>
      </c>
      <c r="G606" s="258">
        <v>3.36</v>
      </c>
      <c r="I606" s="276">
        <f t="shared" si="9"/>
        <v>29244.329999999998</v>
      </c>
    </row>
    <row r="607" spans="2:9" x14ac:dyDescent="0.25">
      <c r="B607" s="261"/>
      <c r="C607" s="261" t="s">
        <v>15172</v>
      </c>
      <c r="D607" s="288">
        <v>43877</v>
      </c>
      <c r="E607" s="269" t="s">
        <v>15171</v>
      </c>
      <c r="F607" s="257" t="s">
        <v>14412</v>
      </c>
      <c r="G607" s="258">
        <v>7.03</v>
      </c>
      <c r="I607" s="276">
        <f t="shared" si="9"/>
        <v>29251.359999999997</v>
      </c>
    </row>
    <row r="608" spans="2:9" x14ac:dyDescent="0.25">
      <c r="B608" s="261"/>
      <c r="C608" s="261" t="s">
        <v>15170</v>
      </c>
      <c r="D608" s="288">
        <v>43877</v>
      </c>
      <c r="E608" s="269" t="s">
        <v>15169</v>
      </c>
      <c r="F608" s="257" t="s">
        <v>14412</v>
      </c>
      <c r="G608" s="258">
        <v>5.96</v>
      </c>
      <c r="I608" s="276">
        <f t="shared" si="9"/>
        <v>29257.319999999996</v>
      </c>
    </row>
    <row r="609" spans="2:9" x14ac:dyDescent="0.25">
      <c r="B609" s="261"/>
      <c r="C609" s="261" t="s">
        <v>15168</v>
      </c>
      <c r="D609" s="288">
        <v>43877</v>
      </c>
      <c r="E609" s="269" t="s">
        <v>15167</v>
      </c>
      <c r="F609" s="257" t="s">
        <v>14412</v>
      </c>
      <c r="G609" s="258">
        <v>0.09</v>
      </c>
      <c r="I609" s="276">
        <f t="shared" si="9"/>
        <v>29257.409999999996</v>
      </c>
    </row>
    <row r="610" spans="2:9" ht="19.5" x14ac:dyDescent="0.25">
      <c r="B610" s="261">
        <v>3311</v>
      </c>
      <c r="C610" s="261" t="s">
        <v>15166</v>
      </c>
      <c r="D610" s="288">
        <v>43878</v>
      </c>
      <c r="E610" s="269" t="s">
        <v>15165</v>
      </c>
      <c r="F610" s="257" t="s">
        <v>14432</v>
      </c>
      <c r="H610" s="161">
        <v>8.61</v>
      </c>
      <c r="I610" s="276">
        <f t="shared" si="9"/>
        <v>29248.799999999996</v>
      </c>
    </row>
    <row r="611" spans="2:9" ht="19.5" x14ac:dyDescent="0.25">
      <c r="B611" s="261">
        <v>3312</v>
      </c>
      <c r="C611" s="261" t="s">
        <v>15164</v>
      </c>
      <c r="D611" s="288">
        <v>43878</v>
      </c>
      <c r="E611" s="269" t="s">
        <v>15163</v>
      </c>
      <c r="F611" s="257" t="s">
        <v>14432</v>
      </c>
      <c r="H611" s="161">
        <v>14.78</v>
      </c>
      <c r="I611" s="276">
        <f t="shared" si="9"/>
        <v>29234.019999999997</v>
      </c>
    </row>
    <row r="612" spans="2:9" ht="19.5" x14ac:dyDescent="0.25">
      <c r="B612" s="261">
        <v>3313</v>
      </c>
      <c r="C612" s="261" t="s">
        <v>15162</v>
      </c>
      <c r="D612" s="288">
        <v>43878</v>
      </c>
      <c r="E612" s="269" t="s">
        <v>15161</v>
      </c>
      <c r="F612" s="257" t="s">
        <v>14432</v>
      </c>
      <c r="H612" s="161">
        <v>11.95</v>
      </c>
      <c r="I612" s="276">
        <f t="shared" si="9"/>
        <v>29222.069999999996</v>
      </c>
    </row>
    <row r="613" spans="2:9" ht="19.5" x14ac:dyDescent="0.25">
      <c r="B613" s="261">
        <v>3314</v>
      </c>
      <c r="C613" s="261" t="s">
        <v>15160</v>
      </c>
      <c r="D613" s="288">
        <v>43878</v>
      </c>
      <c r="E613" s="269" t="s">
        <v>15159</v>
      </c>
      <c r="F613" s="257" t="s">
        <v>14432</v>
      </c>
      <c r="H613" s="161">
        <v>10.84</v>
      </c>
      <c r="I613" s="276">
        <f t="shared" si="9"/>
        <v>29211.229999999996</v>
      </c>
    </row>
    <row r="614" spans="2:9" ht="19.5" x14ac:dyDescent="0.25">
      <c r="B614" s="261"/>
      <c r="C614" s="261" t="s">
        <v>15158</v>
      </c>
      <c r="D614" s="288">
        <v>43878</v>
      </c>
      <c r="E614" s="269" t="s">
        <v>15157</v>
      </c>
      <c r="F614" s="257" t="s">
        <v>14436</v>
      </c>
      <c r="G614" s="160">
        <v>7475.41</v>
      </c>
      <c r="I614" s="276">
        <f t="shared" si="9"/>
        <v>36686.639999999999</v>
      </c>
    </row>
    <row r="615" spans="2:9" x14ac:dyDescent="0.25">
      <c r="B615" s="261"/>
      <c r="C615" s="261" t="s">
        <v>15156</v>
      </c>
      <c r="D615" s="288">
        <v>43878</v>
      </c>
      <c r="E615" s="269" t="s">
        <v>15155</v>
      </c>
      <c r="F615" s="257" t="s">
        <v>14448</v>
      </c>
      <c r="G615" s="160">
        <v>0.01</v>
      </c>
      <c r="I615" s="276">
        <f t="shared" si="9"/>
        <v>36686.65</v>
      </c>
    </row>
    <row r="616" spans="2:9" x14ac:dyDescent="0.25">
      <c r="B616" s="261"/>
      <c r="C616" s="261" t="s">
        <v>15154</v>
      </c>
      <c r="D616" s="288">
        <v>43878</v>
      </c>
      <c r="E616" s="269" t="s">
        <v>15153</v>
      </c>
      <c r="F616" s="257" t="s">
        <v>14448</v>
      </c>
      <c r="G616" s="160">
        <v>16.760000000000002</v>
      </c>
      <c r="I616" s="276">
        <f t="shared" si="9"/>
        <v>36703.410000000003</v>
      </c>
    </row>
    <row r="617" spans="2:9" x14ac:dyDescent="0.25">
      <c r="B617" s="261"/>
      <c r="C617" s="261" t="s">
        <v>15152</v>
      </c>
      <c r="D617" s="288">
        <v>43878</v>
      </c>
      <c r="E617" s="269" t="s">
        <v>15151</v>
      </c>
      <c r="F617" s="257" t="s">
        <v>14448</v>
      </c>
      <c r="G617" s="160">
        <v>26.24</v>
      </c>
      <c r="I617" s="276">
        <f t="shared" si="9"/>
        <v>36729.65</v>
      </c>
    </row>
    <row r="618" spans="2:9" x14ac:dyDescent="0.25">
      <c r="B618" s="261"/>
      <c r="C618" s="261" t="s">
        <v>15150</v>
      </c>
      <c r="D618" s="288">
        <v>43878</v>
      </c>
      <c r="E618" s="269" t="s">
        <v>15149</v>
      </c>
      <c r="F618" s="257" t="s">
        <v>14448</v>
      </c>
      <c r="G618" s="160">
        <v>1.62</v>
      </c>
      <c r="I618" s="276">
        <f t="shared" si="9"/>
        <v>36731.270000000004</v>
      </c>
    </row>
    <row r="619" spans="2:9" x14ac:dyDescent="0.25">
      <c r="B619" s="260"/>
      <c r="C619" s="261" t="s">
        <v>15148</v>
      </c>
      <c r="D619" s="288">
        <v>43878</v>
      </c>
      <c r="E619" s="269" t="s">
        <v>15147</v>
      </c>
      <c r="F619" s="257" t="s">
        <v>14437</v>
      </c>
      <c r="G619" s="160">
        <v>64.069999999999993</v>
      </c>
      <c r="I619" s="276">
        <f t="shared" si="9"/>
        <v>36795.340000000004</v>
      </c>
    </row>
    <row r="620" spans="2:9" x14ac:dyDescent="0.25">
      <c r="B620" s="260"/>
      <c r="C620" s="261" t="s">
        <v>15146</v>
      </c>
      <c r="D620" s="288">
        <v>43878</v>
      </c>
      <c r="E620" s="269" t="s">
        <v>15145</v>
      </c>
      <c r="F620" s="257" t="s">
        <v>14437</v>
      </c>
      <c r="G620" s="160">
        <v>62.96</v>
      </c>
      <c r="I620" s="276">
        <f t="shared" si="9"/>
        <v>36858.300000000003</v>
      </c>
    </row>
    <row r="621" spans="2:9" ht="19.5" x14ac:dyDescent="0.25">
      <c r="B621" s="261"/>
      <c r="C621" s="261" t="s">
        <v>15144</v>
      </c>
      <c r="D621" s="288">
        <v>43878</v>
      </c>
      <c r="E621" s="269" t="s">
        <v>15143</v>
      </c>
      <c r="F621" s="257" t="s">
        <v>14436</v>
      </c>
      <c r="G621" s="160">
        <v>655.74</v>
      </c>
      <c r="I621" s="276">
        <f t="shared" si="9"/>
        <v>37514.04</v>
      </c>
    </row>
    <row r="622" spans="2:9" x14ac:dyDescent="0.25">
      <c r="B622" s="261"/>
      <c r="C622" s="261" t="s">
        <v>15142</v>
      </c>
      <c r="D622" s="288">
        <v>43878</v>
      </c>
      <c r="E622" s="269" t="s">
        <v>15141</v>
      </c>
      <c r="F622" s="257" t="s">
        <v>14412</v>
      </c>
      <c r="G622" s="258">
        <v>4.3899999999999997</v>
      </c>
      <c r="I622" s="276">
        <f t="shared" si="9"/>
        <v>37518.43</v>
      </c>
    </row>
    <row r="623" spans="2:9" x14ac:dyDescent="0.25">
      <c r="B623" s="261"/>
      <c r="C623" s="261" t="s">
        <v>15140</v>
      </c>
      <c r="D623" s="288">
        <v>43878</v>
      </c>
      <c r="E623" s="269" t="s">
        <v>15139</v>
      </c>
      <c r="F623" s="257" t="s">
        <v>14412</v>
      </c>
      <c r="G623" s="258">
        <v>4.1900000000000004</v>
      </c>
      <c r="I623" s="276">
        <f t="shared" si="9"/>
        <v>37522.620000000003</v>
      </c>
    </row>
    <row r="624" spans="2:9" x14ac:dyDescent="0.25">
      <c r="B624" s="261"/>
      <c r="C624" s="261" t="s">
        <v>15138</v>
      </c>
      <c r="D624" s="288">
        <v>43878</v>
      </c>
      <c r="E624" s="269" t="s">
        <v>15137</v>
      </c>
      <c r="F624" s="257" t="s">
        <v>14412</v>
      </c>
      <c r="G624" s="258">
        <v>0.36</v>
      </c>
      <c r="I624" s="276">
        <f t="shared" si="9"/>
        <v>37522.980000000003</v>
      </c>
    </row>
    <row r="625" spans="2:9" x14ac:dyDescent="0.25">
      <c r="B625" s="261"/>
      <c r="C625" s="261" t="s">
        <v>15136</v>
      </c>
      <c r="D625" s="288">
        <v>43878</v>
      </c>
      <c r="E625" s="269" t="s">
        <v>15135</v>
      </c>
      <c r="F625" s="257" t="s">
        <v>14412</v>
      </c>
      <c r="G625" s="258">
        <v>2.5499999999999998</v>
      </c>
      <c r="I625" s="276">
        <f t="shared" si="9"/>
        <v>37525.530000000006</v>
      </c>
    </row>
    <row r="626" spans="2:9" x14ac:dyDescent="0.25">
      <c r="B626" s="261"/>
      <c r="C626" s="261" t="s">
        <v>15134</v>
      </c>
      <c r="D626" s="288">
        <v>43878</v>
      </c>
      <c r="E626" s="269" t="s">
        <v>15133</v>
      </c>
      <c r="F626" s="257" t="s">
        <v>14412</v>
      </c>
      <c r="G626" s="258">
        <v>5.04</v>
      </c>
      <c r="I626" s="276">
        <f t="shared" si="9"/>
        <v>37530.570000000007</v>
      </c>
    </row>
    <row r="627" spans="2:9" x14ac:dyDescent="0.25">
      <c r="B627" s="261"/>
      <c r="C627" s="261" t="s">
        <v>15132</v>
      </c>
      <c r="D627" s="288">
        <v>43878</v>
      </c>
      <c r="E627" s="269" t="s">
        <v>15131</v>
      </c>
      <c r="F627" s="257" t="s">
        <v>14412</v>
      </c>
      <c r="G627" s="258">
        <v>1.9</v>
      </c>
      <c r="I627" s="276">
        <f t="shared" si="9"/>
        <v>37532.470000000008</v>
      </c>
    </row>
    <row r="628" spans="2:9" x14ac:dyDescent="0.25">
      <c r="B628" s="261"/>
      <c r="C628" s="261" t="s">
        <v>15130</v>
      </c>
      <c r="D628" s="288">
        <v>43878</v>
      </c>
      <c r="E628" s="269" t="s">
        <v>15129</v>
      </c>
      <c r="F628" s="257" t="s">
        <v>14412</v>
      </c>
      <c r="G628" s="258">
        <v>3.36</v>
      </c>
      <c r="I628" s="276">
        <f t="shared" si="9"/>
        <v>37535.830000000009</v>
      </c>
    </row>
    <row r="629" spans="2:9" x14ac:dyDescent="0.25">
      <c r="B629" s="261"/>
      <c r="C629" s="261" t="s">
        <v>15128</v>
      </c>
      <c r="D629" s="288">
        <v>43878</v>
      </c>
      <c r="E629" s="269" t="s">
        <v>15127</v>
      </c>
      <c r="F629" s="257" t="s">
        <v>14412</v>
      </c>
      <c r="G629" s="258">
        <v>13.53</v>
      </c>
      <c r="I629" s="276">
        <f t="shared" si="9"/>
        <v>37549.360000000008</v>
      </c>
    </row>
    <row r="630" spans="2:9" ht="19.5" x14ac:dyDescent="0.25">
      <c r="B630" s="261"/>
      <c r="C630" s="261" t="s">
        <v>15126</v>
      </c>
      <c r="D630" s="288">
        <v>43878</v>
      </c>
      <c r="E630" s="269" t="s">
        <v>15125</v>
      </c>
      <c r="F630" s="257" t="s">
        <v>14412</v>
      </c>
      <c r="G630" s="258">
        <v>5.86</v>
      </c>
      <c r="I630" s="276">
        <f t="shared" si="9"/>
        <v>37555.220000000008</v>
      </c>
    </row>
    <row r="631" spans="2:9" x14ac:dyDescent="0.25">
      <c r="B631" s="261"/>
      <c r="C631" s="261" t="s">
        <v>15124</v>
      </c>
      <c r="D631" s="288">
        <v>43878</v>
      </c>
      <c r="E631" s="269" t="s">
        <v>15123</v>
      </c>
      <c r="F631" s="257" t="s">
        <v>14412</v>
      </c>
      <c r="G631" s="258">
        <v>5.01</v>
      </c>
      <c r="I631" s="276">
        <f t="shared" si="9"/>
        <v>37560.23000000001</v>
      </c>
    </row>
    <row r="632" spans="2:9" x14ac:dyDescent="0.25">
      <c r="B632" s="261"/>
      <c r="C632" s="261" t="s">
        <v>15122</v>
      </c>
      <c r="D632" s="288">
        <v>43878</v>
      </c>
      <c r="E632" s="269" t="s">
        <v>15121</v>
      </c>
      <c r="F632" s="257" t="s">
        <v>14412</v>
      </c>
      <c r="G632" s="258">
        <v>1.68</v>
      </c>
      <c r="I632" s="276">
        <f t="shared" si="9"/>
        <v>37561.910000000011</v>
      </c>
    </row>
    <row r="633" spans="2:9" x14ac:dyDescent="0.25">
      <c r="B633" s="261"/>
      <c r="C633" s="261" t="s">
        <v>15120</v>
      </c>
      <c r="D633" s="288">
        <v>43878</v>
      </c>
      <c r="E633" s="269" t="s">
        <v>15119</v>
      </c>
      <c r="F633" s="257" t="s">
        <v>14412</v>
      </c>
      <c r="G633" s="258">
        <v>11.89</v>
      </c>
      <c r="I633" s="276">
        <f t="shared" si="9"/>
        <v>37573.80000000001</v>
      </c>
    </row>
    <row r="634" spans="2:9" x14ac:dyDescent="0.2">
      <c r="B634" s="260"/>
      <c r="C634" s="261" t="s">
        <v>15118</v>
      </c>
      <c r="D634" s="288">
        <v>43878</v>
      </c>
      <c r="E634" s="269" t="s">
        <v>15117</v>
      </c>
      <c r="F634" s="257">
        <v>11</v>
      </c>
      <c r="G634" s="255">
        <v>1.75</v>
      </c>
      <c r="H634" s="103"/>
      <c r="I634" s="276">
        <f t="shared" si="9"/>
        <v>37575.55000000001</v>
      </c>
    </row>
    <row r="635" spans="2:9" x14ac:dyDescent="0.2">
      <c r="B635" s="260"/>
      <c r="C635" s="261" t="s">
        <v>15116</v>
      </c>
      <c r="D635" s="288">
        <v>43878</v>
      </c>
      <c r="E635" s="269" t="s">
        <v>15115</v>
      </c>
      <c r="F635" s="257">
        <v>11</v>
      </c>
      <c r="G635" s="255">
        <v>12.3</v>
      </c>
      <c r="H635" s="103"/>
      <c r="I635" s="276">
        <f t="shared" si="9"/>
        <v>37587.850000000013</v>
      </c>
    </row>
    <row r="636" spans="2:9" x14ac:dyDescent="0.2">
      <c r="B636" s="260"/>
      <c r="C636" s="261" t="s">
        <v>15114</v>
      </c>
      <c r="D636" s="288">
        <v>43878</v>
      </c>
      <c r="E636" s="269" t="s">
        <v>15113</v>
      </c>
      <c r="F636" s="257">
        <v>11</v>
      </c>
      <c r="G636" s="255">
        <v>46.85</v>
      </c>
      <c r="H636" s="103"/>
      <c r="I636" s="276">
        <f t="shared" si="9"/>
        <v>37634.700000000012</v>
      </c>
    </row>
    <row r="637" spans="2:9" x14ac:dyDescent="0.2">
      <c r="B637" s="260"/>
      <c r="C637" s="261" t="s">
        <v>15112</v>
      </c>
      <c r="D637" s="288">
        <v>43878</v>
      </c>
      <c r="E637" s="269" t="s">
        <v>15111</v>
      </c>
      <c r="F637" s="257">
        <v>11</v>
      </c>
      <c r="G637" s="255">
        <v>3.36</v>
      </c>
      <c r="H637" s="103"/>
      <c r="I637" s="276">
        <f t="shared" si="9"/>
        <v>37638.060000000012</v>
      </c>
    </row>
    <row r="638" spans="2:9" x14ac:dyDescent="0.2">
      <c r="B638" s="260"/>
      <c r="C638" s="261" t="s">
        <v>15110</v>
      </c>
      <c r="D638" s="288">
        <v>43878</v>
      </c>
      <c r="E638" s="269" t="s">
        <v>15109</v>
      </c>
      <c r="F638" s="257">
        <v>11</v>
      </c>
      <c r="G638" s="255">
        <v>5.34</v>
      </c>
      <c r="H638" s="103"/>
      <c r="I638" s="276">
        <f t="shared" si="9"/>
        <v>37643.400000000009</v>
      </c>
    </row>
    <row r="639" spans="2:9" x14ac:dyDescent="0.2">
      <c r="B639" s="260"/>
      <c r="C639" s="261" t="s">
        <v>15108</v>
      </c>
      <c r="D639" s="288">
        <v>43878</v>
      </c>
      <c r="E639" s="269" t="s">
        <v>15107</v>
      </c>
      <c r="F639" s="257">
        <v>11</v>
      </c>
      <c r="G639" s="255">
        <v>17.899999999999999</v>
      </c>
      <c r="H639" s="103"/>
      <c r="I639" s="276">
        <f t="shared" si="9"/>
        <v>37661.30000000001</v>
      </c>
    </row>
    <row r="640" spans="2:9" ht="19.5" x14ac:dyDescent="0.25">
      <c r="B640" s="261"/>
      <c r="C640" s="261" t="s">
        <v>15106</v>
      </c>
      <c r="D640" s="288">
        <v>43878</v>
      </c>
      <c r="E640" s="269" t="s">
        <v>15105</v>
      </c>
      <c r="F640" s="257" t="s">
        <v>14412</v>
      </c>
      <c r="G640" s="258">
        <v>7.63</v>
      </c>
      <c r="I640" s="276">
        <f t="shared" si="9"/>
        <v>37668.930000000008</v>
      </c>
    </row>
    <row r="641" spans="2:9" x14ac:dyDescent="0.25">
      <c r="B641" s="261"/>
      <c r="C641" s="261" t="s">
        <v>15104</v>
      </c>
      <c r="D641" s="288">
        <v>43878</v>
      </c>
      <c r="E641" s="269" t="s">
        <v>15103</v>
      </c>
      <c r="F641" s="257" t="s">
        <v>14412</v>
      </c>
      <c r="G641" s="258">
        <v>2.7</v>
      </c>
      <c r="I641" s="276">
        <f t="shared" si="9"/>
        <v>37671.630000000005</v>
      </c>
    </row>
    <row r="642" spans="2:9" x14ac:dyDescent="0.25">
      <c r="B642" s="261"/>
      <c r="C642" s="261" t="s">
        <v>15102</v>
      </c>
      <c r="D642" s="288">
        <v>43878</v>
      </c>
      <c r="E642" s="269" t="s">
        <v>15101</v>
      </c>
      <c r="F642" s="257" t="s">
        <v>14412</v>
      </c>
      <c r="G642" s="258">
        <v>4.0199999999999996</v>
      </c>
      <c r="I642" s="276">
        <f t="shared" si="9"/>
        <v>37675.65</v>
      </c>
    </row>
    <row r="643" spans="2:9" x14ac:dyDescent="0.25">
      <c r="B643" s="261"/>
      <c r="C643" s="261" t="s">
        <v>15100</v>
      </c>
      <c r="D643" s="288">
        <v>43878</v>
      </c>
      <c r="E643" s="269" t="s">
        <v>15099</v>
      </c>
      <c r="F643" s="257" t="s">
        <v>14412</v>
      </c>
      <c r="G643" s="258">
        <v>4.21</v>
      </c>
      <c r="I643" s="276">
        <f t="shared" si="9"/>
        <v>37679.86</v>
      </c>
    </row>
    <row r="644" spans="2:9" x14ac:dyDescent="0.25">
      <c r="B644" s="261"/>
      <c r="C644" s="261" t="s">
        <v>15098</v>
      </c>
      <c r="D644" s="288">
        <v>43878</v>
      </c>
      <c r="E644" s="269" t="s">
        <v>15097</v>
      </c>
      <c r="F644" s="257" t="s">
        <v>14412</v>
      </c>
      <c r="G644" s="258">
        <v>8.3800000000000008</v>
      </c>
      <c r="I644" s="276">
        <f t="shared" si="9"/>
        <v>37688.239999999998</v>
      </c>
    </row>
    <row r="645" spans="2:9" x14ac:dyDescent="0.25">
      <c r="B645" s="261"/>
      <c r="C645" s="261" t="s">
        <v>15096</v>
      </c>
      <c r="D645" s="288">
        <v>43878</v>
      </c>
      <c r="E645" s="269" t="s">
        <v>15095</v>
      </c>
      <c r="F645" s="257" t="s">
        <v>14412</v>
      </c>
      <c r="G645" s="258">
        <v>4.4000000000000004</v>
      </c>
      <c r="I645" s="276">
        <f t="shared" si="9"/>
        <v>37692.639999999999</v>
      </c>
    </row>
    <row r="646" spans="2:9" x14ac:dyDescent="0.25">
      <c r="B646" s="261"/>
      <c r="C646" s="261" t="s">
        <v>15094</v>
      </c>
      <c r="D646" s="288">
        <v>43878</v>
      </c>
      <c r="E646" s="269" t="s">
        <v>15093</v>
      </c>
      <c r="F646" s="257" t="s">
        <v>14412</v>
      </c>
      <c r="G646" s="258">
        <v>9.1</v>
      </c>
      <c r="I646" s="276">
        <f t="shared" si="9"/>
        <v>37701.74</v>
      </c>
    </row>
    <row r="647" spans="2:9" x14ac:dyDescent="0.25">
      <c r="B647" s="261"/>
      <c r="C647" s="261" t="s">
        <v>15092</v>
      </c>
      <c r="D647" s="288">
        <v>43878</v>
      </c>
      <c r="E647" s="269" t="s">
        <v>15091</v>
      </c>
      <c r="F647" s="257" t="s">
        <v>14412</v>
      </c>
      <c r="G647" s="258">
        <v>4.1900000000000004</v>
      </c>
      <c r="I647" s="276">
        <f t="shared" si="9"/>
        <v>37705.93</v>
      </c>
    </row>
    <row r="648" spans="2:9" x14ac:dyDescent="0.25">
      <c r="B648" s="261"/>
      <c r="C648" s="261" t="s">
        <v>15090</v>
      </c>
      <c r="D648" s="288">
        <v>43878</v>
      </c>
      <c r="E648" s="269" t="s">
        <v>15089</v>
      </c>
      <c r="F648" s="257" t="s">
        <v>14412</v>
      </c>
      <c r="G648" s="258">
        <v>4.7300000000000004</v>
      </c>
      <c r="I648" s="276">
        <f t="shared" si="9"/>
        <v>37710.660000000003</v>
      </c>
    </row>
    <row r="649" spans="2:9" x14ac:dyDescent="0.25">
      <c r="B649" s="261"/>
      <c r="C649" s="261" t="s">
        <v>15088</v>
      </c>
      <c r="D649" s="288">
        <v>43878</v>
      </c>
      <c r="E649" s="269" t="s">
        <v>15087</v>
      </c>
      <c r="F649" s="257" t="s">
        <v>14412</v>
      </c>
      <c r="G649" s="258">
        <v>3.33</v>
      </c>
      <c r="I649" s="276">
        <f t="shared" si="9"/>
        <v>37713.990000000005</v>
      </c>
    </row>
    <row r="650" spans="2:9" x14ac:dyDescent="0.25">
      <c r="B650" s="261"/>
      <c r="C650" s="261" t="s">
        <v>15086</v>
      </c>
      <c r="D650" s="288">
        <v>43878</v>
      </c>
      <c r="E650" s="269" t="s">
        <v>15085</v>
      </c>
      <c r="F650" s="257" t="s">
        <v>14412</v>
      </c>
      <c r="G650" s="258">
        <v>6.31</v>
      </c>
      <c r="I650" s="276">
        <f t="shared" si="9"/>
        <v>37720.300000000003</v>
      </c>
    </row>
    <row r="651" spans="2:9" x14ac:dyDescent="0.25">
      <c r="B651" s="261"/>
      <c r="C651" s="261" t="s">
        <v>15084</v>
      </c>
      <c r="D651" s="288">
        <v>43878</v>
      </c>
      <c r="E651" s="269" t="s">
        <v>15083</v>
      </c>
      <c r="F651" s="257" t="s">
        <v>14412</v>
      </c>
      <c r="G651" s="258">
        <v>1.96</v>
      </c>
      <c r="I651" s="276">
        <f t="shared" si="9"/>
        <v>37722.26</v>
      </c>
    </row>
    <row r="652" spans="2:9" x14ac:dyDescent="0.25">
      <c r="B652" s="261"/>
      <c r="C652" s="261" t="s">
        <v>15082</v>
      </c>
      <c r="D652" s="288">
        <v>43878</v>
      </c>
      <c r="E652" s="269" t="s">
        <v>15081</v>
      </c>
      <c r="F652" s="257" t="s">
        <v>14412</v>
      </c>
      <c r="G652" s="258">
        <v>1.69</v>
      </c>
      <c r="I652" s="276">
        <f t="shared" si="9"/>
        <v>37723.950000000004</v>
      </c>
    </row>
    <row r="653" spans="2:9" x14ac:dyDescent="0.25">
      <c r="B653" s="261"/>
      <c r="C653" s="261" t="s">
        <v>15080</v>
      </c>
      <c r="D653" s="288">
        <v>43878</v>
      </c>
      <c r="E653" s="269" t="s">
        <v>15079</v>
      </c>
      <c r="F653" s="257" t="s">
        <v>14412</v>
      </c>
      <c r="G653" s="258">
        <v>8.3800000000000008</v>
      </c>
      <c r="I653" s="276">
        <f t="shared" si="9"/>
        <v>37732.33</v>
      </c>
    </row>
    <row r="654" spans="2:9" x14ac:dyDescent="0.25">
      <c r="B654" s="261"/>
      <c r="C654" s="261" t="s">
        <v>15078</v>
      </c>
      <c r="D654" s="288">
        <v>43879</v>
      </c>
      <c r="E654" s="269" t="s">
        <v>15077</v>
      </c>
      <c r="F654" s="257" t="s">
        <v>14454</v>
      </c>
      <c r="G654" s="160">
        <v>0.13</v>
      </c>
      <c r="I654" s="276">
        <f t="shared" si="9"/>
        <v>37732.46</v>
      </c>
    </row>
    <row r="655" spans="2:9" ht="19.5" x14ac:dyDescent="0.25">
      <c r="B655" s="261"/>
      <c r="C655" s="261" t="s">
        <v>15076</v>
      </c>
      <c r="D655" s="288">
        <v>43879</v>
      </c>
      <c r="E655" s="269" t="s">
        <v>15075</v>
      </c>
      <c r="F655" s="257" t="s">
        <v>14436</v>
      </c>
      <c r="G655" s="160">
        <v>27.82</v>
      </c>
      <c r="I655" s="276">
        <f t="shared" si="9"/>
        <v>37760.28</v>
      </c>
    </row>
    <row r="656" spans="2:9" x14ac:dyDescent="0.25">
      <c r="B656" s="261"/>
      <c r="C656" s="261" t="s">
        <v>15074</v>
      </c>
      <c r="D656" s="288">
        <v>43879</v>
      </c>
      <c r="E656" s="269" t="s">
        <v>15073</v>
      </c>
      <c r="F656" s="257" t="s">
        <v>14454</v>
      </c>
      <c r="G656" s="160">
        <v>15.06</v>
      </c>
      <c r="I656" s="276">
        <f t="shared" si="9"/>
        <v>37775.339999999997</v>
      </c>
    </row>
    <row r="657" spans="2:9" ht="19.5" x14ac:dyDescent="0.25">
      <c r="B657" s="261"/>
      <c r="C657" s="261" t="s">
        <v>15072</v>
      </c>
      <c r="D657" s="288">
        <v>43879</v>
      </c>
      <c r="E657" s="269" t="s">
        <v>15071</v>
      </c>
      <c r="F657" s="257" t="s">
        <v>14454</v>
      </c>
      <c r="G657" s="160">
        <v>8.17</v>
      </c>
      <c r="I657" s="276">
        <f t="shared" si="9"/>
        <v>37783.509999999995</v>
      </c>
    </row>
    <row r="658" spans="2:9" ht="19.5" x14ac:dyDescent="0.25">
      <c r="B658" s="261"/>
      <c r="C658" s="261" t="s">
        <v>15070</v>
      </c>
      <c r="D658" s="288">
        <v>43879</v>
      </c>
      <c r="E658" s="269" t="s">
        <v>15069</v>
      </c>
      <c r="F658" s="257" t="s">
        <v>14454</v>
      </c>
      <c r="G658" s="160">
        <v>43.59</v>
      </c>
      <c r="I658" s="276">
        <f t="shared" si="9"/>
        <v>37827.099999999991</v>
      </c>
    </row>
    <row r="659" spans="2:9" x14ac:dyDescent="0.25">
      <c r="B659" s="261"/>
      <c r="C659" s="261" t="s">
        <v>15068</v>
      </c>
      <c r="D659" s="288">
        <v>43879</v>
      </c>
      <c r="E659" s="269" t="s">
        <v>15067</v>
      </c>
      <c r="F659" s="257" t="s">
        <v>14454</v>
      </c>
      <c r="G659" s="160">
        <v>4.87</v>
      </c>
      <c r="I659" s="276">
        <f t="shared" si="9"/>
        <v>37831.969999999994</v>
      </c>
    </row>
    <row r="660" spans="2:9" ht="19.5" x14ac:dyDescent="0.25">
      <c r="B660" s="261"/>
      <c r="C660" s="261" t="s">
        <v>15066</v>
      </c>
      <c r="D660" s="288">
        <v>43879</v>
      </c>
      <c r="E660" s="269" t="s">
        <v>15065</v>
      </c>
      <c r="F660" s="257" t="s">
        <v>14436</v>
      </c>
      <c r="G660" s="160">
        <v>58.55</v>
      </c>
      <c r="I660" s="276">
        <f t="shared" ref="I660:I723" si="10">+I659+G660-H660</f>
        <v>37890.519999999997</v>
      </c>
    </row>
    <row r="661" spans="2:9" x14ac:dyDescent="0.25">
      <c r="B661" s="261"/>
      <c r="C661" s="261" t="s">
        <v>15064</v>
      </c>
      <c r="D661" s="288">
        <v>43879</v>
      </c>
      <c r="E661" s="269" t="s">
        <v>15063</v>
      </c>
      <c r="F661" s="257" t="s">
        <v>14454</v>
      </c>
      <c r="G661" s="160">
        <v>22.55</v>
      </c>
      <c r="I661" s="276">
        <f t="shared" si="10"/>
        <v>37913.07</v>
      </c>
    </row>
    <row r="662" spans="2:9" x14ac:dyDescent="0.2">
      <c r="B662" s="260"/>
      <c r="C662" s="261" t="s">
        <v>15062</v>
      </c>
      <c r="D662" s="288">
        <v>43879</v>
      </c>
      <c r="E662" s="269" t="s">
        <v>15061</v>
      </c>
      <c r="F662" s="257">
        <v>12</v>
      </c>
      <c r="G662" s="255">
        <v>2.87</v>
      </c>
      <c r="H662" s="103"/>
      <c r="I662" s="276">
        <f t="shared" si="10"/>
        <v>37915.94</v>
      </c>
    </row>
    <row r="663" spans="2:9" x14ac:dyDescent="0.2">
      <c r="B663" s="260"/>
      <c r="C663" s="261" t="s">
        <v>15060</v>
      </c>
      <c r="D663" s="288">
        <v>43879</v>
      </c>
      <c r="E663" s="269" t="s">
        <v>15059</v>
      </c>
      <c r="F663" s="257">
        <v>12</v>
      </c>
      <c r="G663" s="255">
        <v>6.85</v>
      </c>
      <c r="H663" s="103"/>
      <c r="I663" s="276">
        <f t="shared" si="10"/>
        <v>37922.79</v>
      </c>
    </row>
    <row r="664" spans="2:9" x14ac:dyDescent="0.2">
      <c r="B664" s="260"/>
      <c r="C664" s="261" t="s">
        <v>15058</v>
      </c>
      <c r="D664" s="288">
        <v>43879</v>
      </c>
      <c r="E664" s="269" t="s">
        <v>15057</v>
      </c>
      <c r="F664" s="257">
        <v>12</v>
      </c>
      <c r="G664" s="255">
        <v>12.3</v>
      </c>
      <c r="H664" s="103"/>
      <c r="I664" s="276">
        <f t="shared" si="10"/>
        <v>37935.090000000004</v>
      </c>
    </row>
    <row r="665" spans="2:9" x14ac:dyDescent="0.2">
      <c r="B665" s="260"/>
      <c r="C665" s="261" t="s">
        <v>15056</v>
      </c>
      <c r="D665" s="288">
        <v>43879</v>
      </c>
      <c r="E665" s="269" t="s">
        <v>15055</v>
      </c>
      <c r="F665" s="257">
        <v>12</v>
      </c>
      <c r="G665" s="255">
        <v>12.3</v>
      </c>
      <c r="H665" s="103"/>
      <c r="I665" s="276">
        <f t="shared" si="10"/>
        <v>37947.390000000007</v>
      </c>
    </row>
    <row r="666" spans="2:9" x14ac:dyDescent="0.25">
      <c r="B666" s="261"/>
      <c r="C666" s="261" t="s">
        <v>15054</v>
      </c>
      <c r="D666" s="288">
        <v>43879</v>
      </c>
      <c r="E666" s="269" t="s">
        <v>15053</v>
      </c>
      <c r="F666" s="257" t="s">
        <v>14412</v>
      </c>
      <c r="G666" s="258">
        <v>7.94</v>
      </c>
      <c r="I666" s="276">
        <f t="shared" si="10"/>
        <v>37955.330000000009</v>
      </c>
    </row>
    <row r="667" spans="2:9" ht="19.5" x14ac:dyDescent="0.25">
      <c r="B667" s="261"/>
      <c r="C667" s="261" t="s">
        <v>15052</v>
      </c>
      <c r="D667" s="288">
        <v>43879</v>
      </c>
      <c r="E667" s="269" t="s">
        <v>15051</v>
      </c>
      <c r="F667" s="257" t="s">
        <v>14412</v>
      </c>
      <c r="G667" s="258">
        <v>19.34</v>
      </c>
      <c r="I667" s="276">
        <f t="shared" si="10"/>
        <v>37974.670000000006</v>
      </c>
    </row>
    <row r="668" spans="2:9" x14ac:dyDescent="0.25">
      <c r="B668" s="261"/>
      <c r="C668" s="261" t="s">
        <v>15050</v>
      </c>
      <c r="D668" s="288">
        <v>43879</v>
      </c>
      <c r="E668" s="269" t="s">
        <v>15049</v>
      </c>
      <c r="F668" s="257" t="s">
        <v>14412</v>
      </c>
      <c r="G668" s="258">
        <v>1.68</v>
      </c>
      <c r="I668" s="276">
        <f t="shared" si="10"/>
        <v>37976.350000000006</v>
      </c>
    </row>
    <row r="669" spans="2:9" x14ac:dyDescent="0.25">
      <c r="B669" s="261"/>
      <c r="C669" s="261" t="s">
        <v>15048</v>
      </c>
      <c r="D669" s="288">
        <v>43879</v>
      </c>
      <c r="E669" s="269" t="s">
        <v>15047</v>
      </c>
      <c r="F669" s="257" t="s">
        <v>14412</v>
      </c>
      <c r="G669" s="258">
        <v>19.989999999999998</v>
      </c>
      <c r="I669" s="276">
        <f t="shared" si="10"/>
        <v>37996.340000000004</v>
      </c>
    </row>
    <row r="670" spans="2:9" x14ac:dyDescent="0.25">
      <c r="B670" s="261"/>
      <c r="C670" s="261" t="s">
        <v>15046</v>
      </c>
      <c r="D670" s="288">
        <v>43879</v>
      </c>
      <c r="E670" s="269" t="s">
        <v>15045</v>
      </c>
      <c r="F670" s="257" t="s">
        <v>14412</v>
      </c>
      <c r="G670" s="258">
        <v>0.69</v>
      </c>
      <c r="I670" s="276">
        <f t="shared" si="10"/>
        <v>37997.030000000006</v>
      </c>
    </row>
    <row r="671" spans="2:9" x14ac:dyDescent="0.25">
      <c r="B671" s="261"/>
      <c r="C671" s="261" t="s">
        <v>15044</v>
      </c>
      <c r="D671" s="288">
        <v>43879</v>
      </c>
      <c r="E671" s="269" t="s">
        <v>15043</v>
      </c>
      <c r="F671" s="257" t="s">
        <v>14412</v>
      </c>
      <c r="G671" s="258">
        <v>4.25</v>
      </c>
      <c r="I671" s="276">
        <f t="shared" si="10"/>
        <v>38001.280000000006</v>
      </c>
    </row>
    <row r="672" spans="2:9" x14ac:dyDescent="0.25">
      <c r="B672" s="261"/>
      <c r="C672" s="261" t="s">
        <v>15042</v>
      </c>
      <c r="D672" s="288">
        <v>43879</v>
      </c>
      <c r="E672" s="269" t="s">
        <v>15041</v>
      </c>
      <c r="F672" s="257" t="s">
        <v>14412</v>
      </c>
      <c r="G672" s="258">
        <v>1.88</v>
      </c>
      <c r="I672" s="276">
        <f t="shared" si="10"/>
        <v>38003.160000000003</v>
      </c>
    </row>
    <row r="673" spans="2:9" ht="19.5" x14ac:dyDescent="0.25">
      <c r="B673" s="261"/>
      <c r="C673" s="261" t="s">
        <v>15040</v>
      </c>
      <c r="D673" s="288">
        <v>43879</v>
      </c>
      <c r="E673" s="269" t="s">
        <v>15039</v>
      </c>
      <c r="F673" s="257" t="s">
        <v>14412</v>
      </c>
      <c r="G673" s="258">
        <v>8.36</v>
      </c>
      <c r="I673" s="276">
        <f t="shared" si="10"/>
        <v>38011.520000000004</v>
      </c>
    </row>
    <row r="674" spans="2:9" x14ac:dyDescent="0.25">
      <c r="B674" s="261"/>
      <c r="C674" s="261" t="s">
        <v>15038</v>
      </c>
      <c r="D674" s="288">
        <v>43879</v>
      </c>
      <c r="E674" s="269" t="s">
        <v>15037</v>
      </c>
      <c r="F674" s="257" t="s">
        <v>14412</v>
      </c>
      <c r="G674" s="258">
        <v>1.7</v>
      </c>
      <c r="I674" s="276">
        <f t="shared" si="10"/>
        <v>38013.22</v>
      </c>
    </row>
    <row r="675" spans="2:9" x14ac:dyDescent="0.25">
      <c r="B675" s="261"/>
      <c r="C675" s="261" t="s">
        <v>15036</v>
      </c>
      <c r="D675" s="288">
        <v>43879</v>
      </c>
      <c r="E675" s="269" t="s">
        <v>15035</v>
      </c>
      <c r="F675" s="257" t="s">
        <v>14412</v>
      </c>
      <c r="G675" s="258">
        <v>5.89</v>
      </c>
      <c r="I675" s="276">
        <f t="shared" si="10"/>
        <v>38019.11</v>
      </c>
    </row>
    <row r="676" spans="2:9" x14ac:dyDescent="0.25">
      <c r="B676" s="261"/>
      <c r="C676" s="261" t="s">
        <v>15034</v>
      </c>
      <c r="D676" s="288">
        <v>43879</v>
      </c>
      <c r="E676" s="269" t="s">
        <v>15033</v>
      </c>
      <c r="F676" s="257" t="s">
        <v>14412</v>
      </c>
      <c r="G676" s="258">
        <v>4.13</v>
      </c>
      <c r="I676" s="276">
        <f t="shared" si="10"/>
        <v>38023.24</v>
      </c>
    </row>
    <row r="677" spans="2:9" x14ac:dyDescent="0.25">
      <c r="B677" s="261"/>
      <c r="C677" s="261" t="s">
        <v>15032</v>
      </c>
      <c r="D677" s="288">
        <v>43879</v>
      </c>
      <c r="E677" s="269" t="s">
        <v>15031</v>
      </c>
      <c r="F677" s="257" t="s">
        <v>14412</v>
      </c>
      <c r="G677" s="258">
        <v>8.3800000000000008</v>
      </c>
      <c r="I677" s="276">
        <f t="shared" si="10"/>
        <v>38031.619999999995</v>
      </c>
    </row>
    <row r="678" spans="2:9" x14ac:dyDescent="0.25">
      <c r="B678" s="261"/>
      <c r="C678" s="261" t="s">
        <v>15030</v>
      </c>
      <c r="D678" s="288">
        <v>43879</v>
      </c>
      <c r="E678" s="269" t="s">
        <v>15029</v>
      </c>
      <c r="F678" s="257" t="s">
        <v>14412</v>
      </c>
      <c r="G678" s="258">
        <v>1.92</v>
      </c>
      <c r="I678" s="276">
        <f t="shared" si="10"/>
        <v>38033.539999999994</v>
      </c>
    </row>
    <row r="679" spans="2:9" x14ac:dyDescent="0.25">
      <c r="B679" s="261"/>
      <c r="C679" s="261" t="s">
        <v>15028</v>
      </c>
      <c r="D679" s="288">
        <v>43879</v>
      </c>
      <c r="E679" s="269" t="s">
        <v>15027</v>
      </c>
      <c r="F679" s="257" t="s">
        <v>14412</v>
      </c>
      <c r="G679" s="258">
        <v>1.68</v>
      </c>
      <c r="I679" s="276">
        <f t="shared" si="10"/>
        <v>38035.219999999994</v>
      </c>
    </row>
    <row r="680" spans="2:9" x14ac:dyDescent="0.25">
      <c r="B680" s="261"/>
      <c r="C680" s="261" t="s">
        <v>15026</v>
      </c>
      <c r="D680" s="288">
        <v>43879</v>
      </c>
      <c r="E680" s="269" t="s">
        <v>15025</v>
      </c>
      <c r="F680" s="257" t="s">
        <v>14412</v>
      </c>
      <c r="G680" s="258">
        <v>12.4</v>
      </c>
      <c r="I680" s="276">
        <f t="shared" si="10"/>
        <v>38047.619999999995</v>
      </c>
    </row>
    <row r="681" spans="2:9" x14ac:dyDescent="0.25">
      <c r="B681" s="261"/>
      <c r="C681" s="261" t="s">
        <v>15024</v>
      </c>
      <c r="D681" s="288">
        <v>43879</v>
      </c>
      <c r="E681" s="269" t="s">
        <v>15023</v>
      </c>
      <c r="F681" s="257" t="s">
        <v>14436</v>
      </c>
      <c r="G681" s="160">
        <v>9</v>
      </c>
      <c r="I681" s="276">
        <f t="shared" si="10"/>
        <v>38056.619999999995</v>
      </c>
    </row>
    <row r="682" spans="2:9" x14ac:dyDescent="0.25">
      <c r="B682" s="261"/>
      <c r="C682" s="261" t="s">
        <v>15022</v>
      </c>
      <c r="D682" s="288">
        <v>43879</v>
      </c>
      <c r="E682" s="269" t="s">
        <v>15021</v>
      </c>
      <c r="F682" s="257" t="s">
        <v>14412</v>
      </c>
      <c r="G682" s="258">
        <v>1.94</v>
      </c>
      <c r="I682" s="276">
        <f t="shared" si="10"/>
        <v>38058.559999999998</v>
      </c>
    </row>
    <row r="683" spans="2:9" x14ac:dyDescent="0.25">
      <c r="B683" s="261"/>
      <c r="C683" s="261" t="s">
        <v>15020</v>
      </c>
      <c r="D683" s="288">
        <v>43879</v>
      </c>
      <c r="E683" s="269" t="s">
        <v>15019</v>
      </c>
      <c r="F683" s="257" t="s">
        <v>14412</v>
      </c>
      <c r="G683" s="258">
        <v>4.4800000000000004</v>
      </c>
      <c r="I683" s="276">
        <f t="shared" si="10"/>
        <v>38063.040000000001</v>
      </c>
    </row>
    <row r="684" spans="2:9" x14ac:dyDescent="0.25">
      <c r="B684" s="261"/>
      <c r="C684" s="261" t="s">
        <v>15018</v>
      </c>
      <c r="D684" s="288">
        <v>43880</v>
      </c>
      <c r="E684" s="269" t="s">
        <v>15017</v>
      </c>
      <c r="F684" s="257" t="s">
        <v>14455</v>
      </c>
      <c r="G684" s="160">
        <v>2.73</v>
      </c>
      <c r="I684" s="276">
        <f t="shared" si="10"/>
        <v>38065.770000000004</v>
      </c>
    </row>
    <row r="685" spans="2:9" x14ac:dyDescent="0.25">
      <c r="B685" s="261"/>
      <c r="C685" s="261" t="s">
        <v>15016</v>
      </c>
      <c r="D685" s="288">
        <v>43880</v>
      </c>
      <c r="E685" s="269" t="s">
        <v>15015</v>
      </c>
      <c r="F685" s="257" t="s">
        <v>14455</v>
      </c>
      <c r="G685" s="160">
        <v>5.04</v>
      </c>
      <c r="I685" s="276">
        <f t="shared" si="10"/>
        <v>38070.810000000005</v>
      </c>
    </row>
    <row r="686" spans="2:9" x14ac:dyDescent="0.25">
      <c r="B686" s="261"/>
      <c r="C686" s="261" t="s">
        <v>15014</v>
      </c>
      <c r="D686" s="288">
        <v>43880</v>
      </c>
      <c r="E686" s="269" t="s">
        <v>15013</v>
      </c>
      <c r="F686" s="257" t="s">
        <v>14455</v>
      </c>
      <c r="G686" s="160">
        <v>2.8</v>
      </c>
      <c r="I686" s="276">
        <f t="shared" si="10"/>
        <v>38073.610000000008</v>
      </c>
    </row>
    <row r="687" spans="2:9" ht="19.5" x14ac:dyDescent="0.25">
      <c r="B687" s="261"/>
      <c r="C687" s="261" t="s">
        <v>15012</v>
      </c>
      <c r="D687" s="288">
        <v>43880</v>
      </c>
      <c r="E687" s="269" t="s">
        <v>15011</v>
      </c>
      <c r="F687" s="257" t="s">
        <v>14436</v>
      </c>
      <c r="G687" s="160">
        <v>15.06</v>
      </c>
      <c r="I687" s="276">
        <f t="shared" si="10"/>
        <v>38088.670000000006</v>
      </c>
    </row>
    <row r="688" spans="2:9" x14ac:dyDescent="0.25">
      <c r="B688" s="261"/>
      <c r="C688" s="261" t="s">
        <v>15010</v>
      </c>
      <c r="D688" s="288">
        <v>43880</v>
      </c>
      <c r="E688" s="269" t="s">
        <v>15009</v>
      </c>
      <c r="F688" s="257" t="s">
        <v>14436</v>
      </c>
      <c r="G688" s="160">
        <v>65.53</v>
      </c>
      <c r="I688" s="276">
        <f t="shared" si="10"/>
        <v>38154.200000000004</v>
      </c>
    </row>
    <row r="689" spans="2:9" x14ac:dyDescent="0.25">
      <c r="B689" s="261"/>
      <c r="C689" s="261" t="s">
        <v>15008</v>
      </c>
      <c r="D689" s="288">
        <v>43880</v>
      </c>
      <c r="E689" s="269" t="s">
        <v>15007</v>
      </c>
      <c r="F689" s="257" t="s">
        <v>14455</v>
      </c>
      <c r="G689" s="160">
        <v>8.3800000000000008</v>
      </c>
      <c r="I689" s="276">
        <f t="shared" si="10"/>
        <v>38162.58</v>
      </c>
    </row>
    <row r="690" spans="2:9" x14ac:dyDescent="0.25">
      <c r="B690" s="261"/>
      <c r="C690" s="261" t="s">
        <v>15006</v>
      </c>
      <c r="D690" s="288">
        <v>43880</v>
      </c>
      <c r="E690" s="269" t="s">
        <v>15005</v>
      </c>
      <c r="F690" s="257" t="s">
        <v>14455</v>
      </c>
      <c r="G690" s="160">
        <v>4.74</v>
      </c>
      <c r="I690" s="276">
        <f t="shared" si="10"/>
        <v>38167.32</v>
      </c>
    </row>
    <row r="691" spans="2:9" x14ac:dyDescent="0.25">
      <c r="B691" s="261"/>
      <c r="C691" s="261" t="s">
        <v>15004</v>
      </c>
      <c r="D691" s="288">
        <v>43880</v>
      </c>
      <c r="E691" s="269" t="s">
        <v>15003</v>
      </c>
      <c r="F691" s="257" t="s">
        <v>14412</v>
      </c>
      <c r="G691" s="258">
        <v>1.68</v>
      </c>
      <c r="I691" s="276">
        <f t="shared" si="10"/>
        <v>38169</v>
      </c>
    </row>
    <row r="692" spans="2:9" x14ac:dyDescent="0.25">
      <c r="B692" s="261"/>
      <c r="C692" s="261" t="s">
        <v>15002</v>
      </c>
      <c r="D692" s="288">
        <v>43880</v>
      </c>
      <c r="E692" s="269" t="s">
        <v>15001</v>
      </c>
      <c r="F692" s="257" t="s">
        <v>14412</v>
      </c>
      <c r="G692" s="258">
        <v>1.95</v>
      </c>
      <c r="I692" s="276">
        <f t="shared" si="10"/>
        <v>38170.949999999997</v>
      </c>
    </row>
    <row r="693" spans="2:9" x14ac:dyDescent="0.25">
      <c r="B693" s="261"/>
      <c r="C693" s="261" t="s">
        <v>15000</v>
      </c>
      <c r="D693" s="288">
        <v>43880</v>
      </c>
      <c r="E693" s="269" t="s">
        <v>14999</v>
      </c>
      <c r="F693" s="257" t="s">
        <v>14412</v>
      </c>
      <c r="G693" s="258">
        <v>2.62</v>
      </c>
      <c r="I693" s="276">
        <f t="shared" si="10"/>
        <v>38173.57</v>
      </c>
    </row>
    <row r="694" spans="2:9" x14ac:dyDescent="0.25">
      <c r="B694" s="261"/>
      <c r="C694" s="261" t="s">
        <v>14998</v>
      </c>
      <c r="D694" s="288">
        <v>43880</v>
      </c>
      <c r="E694" s="269" t="s">
        <v>14997</v>
      </c>
      <c r="F694" s="257" t="s">
        <v>14412</v>
      </c>
      <c r="G694" s="258">
        <v>2.54</v>
      </c>
      <c r="I694" s="276">
        <f t="shared" si="10"/>
        <v>38176.11</v>
      </c>
    </row>
    <row r="695" spans="2:9" x14ac:dyDescent="0.25">
      <c r="B695" s="261"/>
      <c r="C695" s="261" t="s">
        <v>14996</v>
      </c>
      <c r="D695" s="288">
        <v>43880</v>
      </c>
      <c r="E695" s="269" t="s">
        <v>14995</v>
      </c>
      <c r="F695" s="257" t="s">
        <v>14412</v>
      </c>
      <c r="G695" s="258">
        <v>11.6</v>
      </c>
      <c r="I695" s="276">
        <f t="shared" si="10"/>
        <v>38187.71</v>
      </c>
    </row>
    <row r="696" spans="2:9" x14ac:dyDescent="0.25">
      <c r="B696" s="261"/>
      <c r="C696" s="261" t="s">
        <v>14994</v>
      </c>
      <c r="D696" s="288">
        <v>43880</v>
      </c>
      <c r="E696" s="269" t="s">
        <v>14993</v>
      </c>
      <c r="F696" s="257" t="s">
        <v>14412</v>
      </c>
      <c r="G696" s="258">
        <v>5.62</v>
      </c>
      <c r="I696" s="276">
        <f t="shared" si="10"/>
        <v>38193.33</v>
      </c>
    </row>
    <row r="697" spans="2:9" x14ac:dyDescent="0.25">
      <c r="B697" s="261"/>
      <c r="C697" s="261" t="s">
        <v>14992</v>
      </c>
      <c r="D697" s="288">
        <v>43880</v>
      </c>
      <c r="E697" s="269" t="s">
        <v>14991</v>
      </c>
      <c r="F697" s="257" t="s">
        <v>14412</v>
      </c>
      <c r="G697" s="258">
        <v>6.19</v>
      </c>
      <c r="I697" s="276">
        <f t="shared" si="10"/>
        <v>38199.520000000004</v>
      </c>
    </row>
    <row r="698" spans="2:9" x14ac:dyDescent="0.25">
      <c r="B698" s="261"/>
      <c r="C698" s="261" t="s">
        <v>14990</v>
      </c>
      <c r="D698" s="288">
        <v>43880</v>
      </c>
      <c r="E698" s="269" t="s">
        <v>14989</v>
      </c>
      <c r="F698" s="257" t="s">
        <v>14412</v>
      </c>
      <c r="G698" s="258">
        <v>7.65</v>
      </c>
      <c r="I698" s="276">
        <f t="shared" si="10"/>
        <v>38207.170000000006</v>
      </c>
    </row>
    <row r="699" spans="2:9" x14ac:dyDescent="0.25">
      <c r="B699" s="261"/>
      <c r="C699" s="261" t="s">
        <v>14988</v>
      </c>
      <c r="D699" s="288">
        <v>43880</v>
      </c>
      <c r="E699" s="269" t="s">
        <v>14987</v>
      </c>
      <c r="F699" s="257" t="s">
        <v>14412</v>
      </c>
      <c r="G699" s="258">
        <v>3.83</v>
      </c>
      <c r="I699" s="276">
        <f t="shared" si="10"/>
        <v>38211.000000000007</v>
      </c>
    </row>
    <row r="700" spans="2:9" x14ac:dyDescent="0.25">
      <c r="B700" s="261"/>
      <c r="C700" s="261" t="s">
        <v>14986</v>
      </c>
      <c r="D700" s="288">
        <v>43880</v>
      </c>
      <c r="E700" s="269" t="s">
        <v>14985</v>
      </c>
      <c r="F700" s="257" t="s">
        <v>14412</v>
      </c>
      <c r="G700" s="258">
        <v>4.66</v>
      </c>
      <c r="I700" s="276">
        <f t="shared" si="10"/>
        <v>38215.660000000011</v>
      </c>
    </row>
    <row r="701" spans="2:9" x14ac:dyDescent="0.25">
      <c r="B701" s="261"/>
      <c r="C701" s="261" t="s">
        <v>14984</v>
      </c>
      <c r="D701" s="288">
        <v>43880</v>
      </c>
      <c r="E701" s="269" t="s">
        <v>14983</v>
      </c>
      <c r="F701" s="257" t="s">
        <v>14412</v>
      </c>
      <c r="G701" s="258">
        <v>45.03</v>
      </c>
      <c r="I701" s="276">
        <f t="shared" si="10"/>
        <v>38260.69000000001</v>
      </c>
    </row>
    <row r="702" spans="2:9" x14ac:dyDescent="0.25">
      <c r="B702" s="261"/>
      <c r="C702" s="261" t="s">
        <v>14982</v>
      </c>
      <c r="D702" s="288">
        <v>43880</v>
      </c>
      <c r="E702" s="269" t="s">
        <v>14981</v>
      </c>
      <c r="F702" s="257" t="s">
        <v>14412</v>
      </c>
      <c r="G702" s="258">
        <v>2.2799999999999998</v>
      </c>
      <c r="I702" s="276">
        <f t="shared" si="10"/>
        <v>38262.970000000008</v>
      </c>
    </row>
    <row r="703" spans="2:9" x14ac:dyDescent="0.25">
      <c r="B703" s="261"/>
      <c r="C703" s="261" t="s">
        <v>14980</v>
      </c>
      <c r="D703" s="288">
        <v>43880</v>
      </c>
      <c r="E703" s="269" t="s">
        <v>14979</v>
      </c>
      <c r="F703" s="257" t="s">
        <v>14412</v>
      </c>
      <c r="G703" s="258">
        <v>1.68</v>
      </c>
      <c r="I703" s="276">
        <f t="shared" si="10"/>
        <v>38264.650000000009</v>
      </c>
    </row>
    <row r="704" spans="2:9" x14ac:dyDescent="0.25">
      <c r="B704" s="261"/>
      <c r="C704" s="261" t="s">
        <v>14978</v>
      </c>
      <c r="D704" s="288">
        <v>43880</v>
      </c>
      <c r="E704" s="269" t="s">
        <v>14977</v>
      </c>
      <c r="F704" s="257" t="s">
        <v>14412</v>
      </c>
      <c r="G704" s="258">
        <v>3.33</v>
      </c>
      <c r="I704" s="276">
        <f t="shared" si="10"/>
        <v>38267.98000000001</v>
      </c>
    </row>
    <row r="705" spans="2:9" x14ac:dyDescent="0.25">
      <c r="B705" s="261"/>
      <c r="C705" s="261" t="s">
        <v>14976</v>
      </c>
      <c r="D705" s="288">
        <v>43880</v>
      </c>
      <c r="E705" s="269" t="s">
        <v>14975</v>
      </c>
      <c r="F705" s="257" t="s">
        <v>14412</v>
      </c>
      <c r="G705" s="258">
        <v>7.46</v>
      </c>
      <c r="I705" s="276">
        <f t="shared" si="10"/>
        <v>38275.44000000001</v>
      </c>
    </row>
    <row r="706" spans="2:9" x14ac:dyDescent="0.25">
      <c r="B706" s="261"/>
      <c r="C706" s="261" t="s">
        <v>14974</v>
      </c>
      <c r="D706" s="288">
        <v>43880</v>
      </c>
      <c r="E706" s="269" t="s">
        <v>14973</v>
      </c>
      <c r="F706" s="257" t="s">
        <v>14412</v>
      </c>
      <c r="G706" s="258">
        <v>0.4</v>
      </c>
      <c r="I706" s="276">
        <f t="shared" si="10"/>
        <v>38275.840000000011</v>
      </c>
    </row>
    <row r="707" spans="2:9" x14ac:dyDescent="0.2">
      <c r="B707" s="260"/>
      <c r="C707" s="261" t="s">
        <v>14972</v>
      </c>
      <c r="D707" s="288">
        <v>43880</v>
      </c>
      <c r="E707" s="269" t="s">
        <v>14971</v>
      </c>
      <c r="F707" s="257">
        <v>13</v>
      </c>
      <c r="G707" s="255">
        <v>10.84</v>
      </c>
      <c r="H707" s="103"/>
      <c r="I707" s="276">
        <f t="shared" si="10"/>
        <v>38286.680000000008</v>
      </c>
    </row>
    <row r="708" spans="2:9" x14ac:dyDescent="0.2">
      <c r="B708" s="260"/>
      <c r="C708" s="261" t="s">
        <v>14970</v>
      </c>
      <c r="D708" s="288">
        <v>43880</v>
      </c>
      <c r="E708" s="269" t="s">
        <v>14969</v>
      </c>
      <c r="F708" s="257">
        <v>13</v>
      </c>
      <c r="G708" s="255">
        <v>7.75</v>
      </c>
      <c r="H708" s="103"/>
      <c r="I708" s="276">
        <f t="shared" si="10"/>
        <v>38294.430000000008</v>
      </c>
    </row>
    <row r="709" spans="2:9" x14ac:dyDescent="0.2">
      <c r="B709" s="260"/>
      <c r="C709" s="261" t="s">
        <v>14968</v>
      </c>
      <c r="D709" s="288">
        <v>43880</v>
      </c>
      <c r="E709" s="269" t="s">
        <v>14967</v>
      </c>
      <c r="F709" s="257">
        <v>13</v>
      </c>
      <c r="G709" s="255">
        <v>8.3800000000000008</v>
      </c>
      <c r="H709" s="103"/>
      <c r="I709" s="276">
        <f t="shared" si="10"/>
        <v>38302.810000000005</v>
      </c>
    </row>
    <row r="710" spans="2:9" x14ac:dyDescent="0.2">
      <c r="B710" s="260"/>
      <c r="C710" s="261" t="s">
        <v>14966</v>
      </c>
      <c r="D710" s="288">
        <v>43880</v>
      </c>
      <c r="E710" s="269" t="s">
        <v>14965</v>
      </c>
      <c r="F710" s="257">
        <v>13</v>
      </c>
      <c r="G710" s="255">
        <v>1.94</v>
      </c>
      <c r="H710" s="103"/>
      <c r="I710" s="276">
        <f t="shared" si="10"/>
        <v>38304.750000000007</v>
      </c>
    </row>
    <row r="711" spans="2:9" x14ac:dyDescent="0.25">
      <c r="B711" s="261"/>
      <c r="C711" s="261" t="s">
        <v>14964</v>
      </c>
      <c r="D711" s="288">
        <v>43880</v>
      </c>
      <c r="E711" s="269" t="s">
        <v>14963</v>
      </c>
      <c r="F711" s="257" t="s">
        <v>14436</v>
      </c>
      <c r="G711" s="160">
        <v>4.1900000000000004</v>
      </c>
      <c r="I711" s="276">
        <f t="shared" si="10"/>
        <v>38308.94000000001</v>
      </c>
    </row>
    <row r="712" spans="2:9" ht="19.5" x14ac:dyDescent="0.25">
      <c r="B712" s="261"/>
      <c r="C712" s="261" t="s">
        <v>14962</v>
      </c>
      <c r="D712" s="288">
        <v>43881</v>
      </c>
      <c r="E712" s="269" t="s">
        <v>14961</v>
      </c>
      <c r="F712" s="257" t="s">
        <v>14436</v>
      </c>
      <c r="G712" s="160">
        <v>45.2</v>
      </c>
      <c r="I712" s="276">
        <f t="shared" si="10"/>
        <v>38354.140000000007</v>
      </c>
    </row>
    <row r="713" spans="2:9" x14ac:dyDescent="0.25">
      <c r="B713" s="261"/>
      <c r="C713" s="261" t="s">
        <v>14960</v>
      </c>
      <c r="D713" s="288">
        <v>43881</v>
      </c>
      <c r="E713" s="269" t="s">
        <v>14959</v>
      </c>
      <c r="F713" s="257" t="s">
        <v>14451</v>
      </c>
      <c r="G713" s="160">
        <v>3.36</v>
      </c>
      <c r="I713" s="276">
        <f t="shared" si="10"/>
        <v>38357.500000000007</v>
      </c>
    </row>
    <row r="714" spans="2:9" ht="19.5" x14ac:dyDescent="0.25">
      <c r="B714" s="261"/>
      <c r="C714" s="261" t="s">
        <v>14958</v>
      </c>
      <c r="D714" s="288">
        <v>43881</v>
      </c>
      <c r="E714" s="269" t="s">
        <v>14957</v>
      </c>
      <c r="F714" s="257" t="s">
        <v>14451</v>
      </c>
      <c r="G714" s="160">
        <v>41.81</v>
      </c>
      <c r="I714" s="276">
        <f t="shared" si="10"/>
        <v>38399.310000000005</v>
      </c>
    </row>
    <row r="715" spans="2:9" x14ac:dyDescent="0.25">
      <c r="B715" s="261"/>
      <c r="C715" s="261" t="s">
        <v>14956</v>
      </c>
      <c r="D715" s="288">
        <v>43881</v>
      </c>
      <c r="E715" s="269" t="s">
        <v>14955</v>
      </c>
      <c r="F715" s="257" t="s">
        <v>14451</v>
      </c>
      <c r="G715" s="160">
        <v>5.38</v>
      </c>
      <c r="I715" s="276">
        <f t="shared" si="10"/>
        <v>38404.69</v>
      </c>
    </row>
    <row r="716" spans="2:9" ht="19.5" x14ac:dyDescent="0.25">
      <c r="B716" s="261"/>
      <c r="C716" s="261" t="s">
        <v>14954</v>
      </c>
      <c r="D716" s="288">
        <v>43881</v>
      </c>
      <c r="E716" s="269" t="s">
        <v>14953</v>
      </c>
      <c r="F716" s="257" t="s">
        <v>14436</v>
      </c>
      <c r="G716" s="160">
        <v>30.6</v>
      </c>
      <c r="I716" s="276">
        <f t="shared" si="10"/>
        <v>38435.29</v>
      </c>
    </row>
    <row r="717" spans="2:9" x14ac:dyDescent="0.25">
      <c r="B717" s="261"/>
      <c r="C717" s="261" t="s">
        <v>14952</v>
      </c>
      <c r="D717" s="288">
        <v>43881</v>
      </c>
      <c r="E717" s="269" t="s">
        <v>14951</v>
      </c>
      <c r="F717" s="257" t="s">
        <v>14451</v>
      </c>
      <c r="G717" s="160">
        <v>1.84</v>
      </c>
      <c r="I717" s="276">
        <f t="shared" si="10"/>
        <v>38437.129999999997</v>
      </c>
    </row>
    <row r="718" spans="2:9" x14ac:dyDescent="0.25">
      <c r="B718" s="261"/>
      <c r="C718" s="261" t="s">
        <v>14950</v>
      </c>
      <c r="D718" s="288">
        <v>43881</v>
      </c>
      <c r="E718" s="269" t="s">
        <v>14949</v>
      </c>
      <c r="F718" s="257" t="s">
        <v>14436</v>
      </c>
      <c r="G718" s="160">
        <v>75.319999999999993</v>
      </c>
      <c r="I718" s="276">
        <f t="shared" si="10"/>
        <v>38512.449999999997</v>
      </c>
    </row>
    <row r="719" spans="2:9" x14ac:dyDescent="0.25">
      <c r="B719" s="261"/>
      <c r="C719" s="261" t="s">
        <v>14948</v>
      </c>
      <c r="D719" s="288">
        <v>43881</v>
      </c>
      <c r="E719" s="269" t="s">
        <v>14947</v>
      </c>
      <c r="F719" s="257" t="s">
        <v>14451</v>
      </c>
      <c r="G719" s="160">
        <v>14.76</v>
      </c>
      <c r="I719" s="276">
        <f t="shared" si="10"/>
        <v>38527.21</v>
      </c>
    </row>
    <row r="720" spans="2:9" x14ac:dyDescent="0.25">
      <c r="B720" s="261"/>
      <c r="C720" s="261" t="s">
        <v>14946</v>
      </c>
      <c r="D720" s="288">
        <v>43881</v>
      </c>
      <c r="E720" s="269" t="s">
        <v>14945</v>
      </c>
      <c r="F720" s="257" t="s">
        <v>14451</v>
      </c>
      <c r="G720" s="160">
        <v>3.88</v>
      </c>
      <c r="I720" s="276">
        <f t="shared" si="10"/>
        <v>38531.089999999997</v>
      </c>
    </row>
    <row r="721" spans="2:9" x14ac:dyDescent="0.25">
      <c r="B721" s="261"/>
      <c r="C721" s="261" t="s">
        <v>14944</v>
      </c>
      <c r="D721" s="288">
        <v>43881</v>
      </c>
      <c r="E721" s="269" t="s">
        <v>14943</v>
      </c>
      <c r="F721" s="257" t="s">
        <v>14451</v>
      </c>
      <c r="G721" s="160">
        <v>1.89</v>
      </c>
      <c r="I721" s="276">
        <f t="shared" si="10"/>
        <v>38532.979999999996</v>
      </c>
    </row>
    <row r="722" spans="2:9" x14ac:dyDescent="0.25">
      <c r="B722" s="261"/>
      <c r="C722" s="261" t="s">
        <v>14942</v>
      </c>
      <c r="D722" s="288">
        <v>43881</v>
      </c>
      <c r="E722" s="269" t="s">
        <v>14941</v>
      </c>
      <c r="F722" s="257" t="s">
        <v>14412</v>
      </c>
      <c r="G722" s="258">
        <v>1.78</v>
      </c>
      <c r="I722" s="276">
        <f t="shared" si="10"/>
        <v>38534.759999999995</v>
      </c>
    </row>
    <row r="723" spans="2:9" x14ac:dyDescent="0.25">
      <c r="B723" s="261"/>
      <c r="C723" s="261" t="s">
        <v>14940</v>
      </c>
      <c r="D723" s="288">
        <v>43881</v>
      </c>
      <c r="E723" s="269" t="s">
        <v>14939</v>
      </c>
      <c r="F723" s="257" t="s">
        <v>14412</v>
      </c>
      <c r="G723" s="258">
        <v>12.22</v>
      </c>
      <c r="I723" s="276">
        <f t="shared" si="10"/>
        <v>38546.979999999996</v>
      </c>
    </row>
    <row r="724" spans="2:9" x14ac:dyDescent="0.25">
      <c r="B724" s="261"/>
      <c r="C724" s="261" t="s">
        <v>14938</v>
      </c>
      <c r="D724" s="288">
        <v>43881</v>
      </c>
      <c r="E724" s="269" t="s">
        <v>14937</v>
      </c>
      <c r="F724" s="257" t="s">
        <v>14412</v>
      </c>
      <c r="G724" s="258">
        <v>25.14</v>
      </c>
      <c r="I724" s="276">
        <f t="shared" ref="I724:I787" si="11">+I723+G724-H724</f>
        <v>38572.119999999995</v>
      </c>
    </row>
    <row r="725" spans="2:9" x14ac:dyDescent="0.25">
      <c r="B725" s="261"/>
      <c r="C725" s="261" t="s">
        <v>14936</v>
      </c>
      <c r="D725" s="288">
        <v>43881</v>
      </c>
      <c r="E725" s="269" t="s">
        <v>14935</v>
      </c>
      <c r="F725" s="257" t="s">
        <v>14412</v>
      </c>
      <c r="G725" s="258">
        <v>1.74</v>
      </c>
      <c r="I725" s="276">
        <f t="shared" si="11"/>
        <v>38573.859999999993</v>
      </c>
    </row>
    <row r="726" spans="2:9" x14ac:dyDescent="0.25">
      <c r="B726" s="261"/>
      <c r="C726" s="261" t="s">
        <v>14934</v>
      </c>
      <c r="D726" s="288">
        <v>43881</v>
      </c>
      <c r="E726" s="269" t="s">
        <v>14933</v>
      </c>
      <c r="F726" s="257" t="s">
        <v>14412</v>
      </c>
      <c r="G726" s="258">
        <v>9.48</v>
      </c>
      <c r="I726" s="276">
        <f t="shared" si="11"/>
        <v>38583.339999999997</v>
      </c>
    </row>
    <row r="727" spans="2:9" x14ac:dyDescent="0.25">
      <c r="B727" s="261"/>
      <c r="C727" s="261" t="s">
        <v>14932</v>
      </c>
      <c r="D727" s="288">
        <v>43881</v>
      </c>
      <c r="E727" s="269" t="s">
        <v>14931</v>
      </c>
      <c r="F727" s="257" t="s">
        <v>14412</v>
      </c>
      <c r="G727" s="258">
        <v>11.14</v>
      </c>
      <c r="I727" s="276">
        <f t="shared" si="11"/>
        <v>38594.479999999996</v>
      </c>
    </row>
    <row r="728" spans="2:9" x14ac:dyDescent="0.25">
      <c r="B728" s="261"/>
      <c r="C728" s="261" t="s">
        <v>14930</v>
      </c>
      <c r="D728" s="288">
        <v>43881</v>
      </c>
      <c r="E728" s="269" t="s">
        <v>14929</v>
      </c>
      <c r="F728" s="257" t="s">
        <v>14412</v>
      </c>
      <c r="G728" s="258">
        <v>4.45</v>
      </c>
      <c r="I728" s="276">
        <f t="shared" si="11"/>
        <v>38598.929999999993</v>
      </c>
    </row>
    <row r="729" spans="2:9" x14ac:dyDescent="0.25">
      <c r="B729" s="261"/>
      <c r="C729" s="261" t="s">
        <v>14928</v>
      </c>
      <c r="D729" s="288">
        <v>43881</v>
      </c>
      <c r="E729" s="269" t="s">
        <v>14927</v>
      </c>
      <c r="F729" s="257" t="s">
        <v>14412</v>
      </c>
      <c r="G729" s="258">
        <v>219.93</v>
      </c>
      <c r="I729" s="276">
        <f t="shared" si="11"/>
        <v>38818.859999999993</v>
      </c>
    </row>
    <row r="730" spans="2:9" x14ac:dyDescent="0.25">
      <c r="B730" s="261"/>
      <c r="C730" s="261" t="s">
        <v>14926</v>
      </c>
      <c r="D730" s="288">
        <v>43881</v>
      </c>
      <c r="E730" s="269" t="s">
        <v>14925</v>
      </c>
      <c r="F730" s="257" t="s">
        <v>14412</v>
      </c>
      <c r="G730" s="258">
        <v>14.61</v>
      </c>
      <c r="I730" s="276">
        <f t="shared" si="11"/>
        <v>38833.469999999994</v>
      </c>
    </row>
    <row r="731" spans="2:9" x14ac:dyDescent="0.25">
      <c r="B731" s="261"/>
      <c r="C731" s="261" t="s">
        <v>14924</v>
      </c>
      <c r="D731" s="288">
        <v>43881</v>
      </c>
      <c r="E731" s="269" t="s">
        <v>14923</v>
      </c>
      <c r="F731" s="257" t="s">
        <v>14412</v>
      </c>
      <c r="G731" s="258">
        <v>4.66</v>
      </c>
      <c r="I731" s="276">
        <f t="shared" si="11"/>
        <v>38838.129999999997</v>
      </c>
    </row>
    <row r="732" spans="2:9" x14ac:dyDescent="0.25">
      <c r="B732" s="261"/>
      <c r="C732" s="261" t="s">
        <v>14922</v>
      </c>
      <c r="D732" s="288">
        <v>43881</v>
      </c>
      <c r="E732" s="269" t="s">
        <v>14921</v>
      </c>
      <c r="F732" s="257" t="s">
        <v>14412</v>
      </c>
      <c r="G732" s="258">
        <v>8</v>
      </c>
      <c r="I732" s="276">
        <f t="shared" si="11"/>
        <v>38846.129999999997</v>
      </c>
    </row>
    <row r="733" spans="2:9" x14ac:dyDescent="0.25">
      <c r="B733" s="261"/>
      <c r="C733" s="261" t="s">
        <v>14920</v>
      </c>
      <c r="D733" s="288">
        <v>43881</v>
      </c>
      <c r="E733" s="269" t="s">
        <v>14919</v>
      </c>
      <c r="F733" s="257" t="s">
        <v>14412</v>
      </c>
      <c r="G733" s="258">
        <v>2.33</v>
      </c>
      <c r="I733" s="276">
        <f t="shared" si="11"/>
        <v>38848.46</v>
      </c>
    </row>
    <row r="734" spans="2:9" x14ac:dyDescent="0.25">
      <c r="B734" s="261"/>
      <c r="C734" s="261" t="s">
        <v>14918</v>
      </c>
      <c r="D734" s="288">
        <v>43881</v>
      </c>
      <c r="E734" s="269" t="s">
        <v>14917</v>
      </c>
      <c r="F734" s="257" t="s">
        <v>14412</v>
      </c>
      <c r="G734" s="258">
        <v>5.32</v>
      </c>
      <c r="I734" s="276">
        <f t="shared" si="11"/>
        <v>38853.78</v>
      </c>
    </row>
    <row r="735" spans="2:9" x14ac:dyDescent="0.2">
      <c r="B735" s="260"/>
      <c r="C735" s="261" t="s">
        <v>14916</v>
      </c>
      <c r="D735" s="288">
        <v>43881</v>
      </c>
      <c r="E735" s="269" t="s">
        <v>14915</v>
      </c>
      <c r="F735" s="257">
        <v>14</v>
      </c>
      <c r="G735" s="255">
        <v>8.3800000000000008</v>
      </c>
      <c r="H735" s="103"/>
      <c r="I735" s="276">
        <f t="shared" si="11"/>
        <v>38862.159999999996</v>
      </c>
    </row>
    <row r="736" spans="2:9" x14ac:dyDescent="0.2">
      <c r="B736" s="260"/>
      <c r="C736" s="261" t="s">
        <v>14914</v>
      </c>
      <c r="D736" s="288">
        <v>43881</v>
      </c>
      <c r="E736" s="269" t="s">
        <v>14913</v>
      </c>
      <c r="F736" s="257">
        <v>14</v>
      </c>
      <c r="G736" s="255">
        <v>1.75</v>
      </c>
      <c r="H736" s="103"/>
      <c r="I736" s="276">
        <f t="shared" si="11"/>
        <v>38863.909999999996</v>
      </c>
    </row>
    <row r="737" spans="2:9" ht="19.5" x14ac:dyDescent="0.2">
      <c r="B737" s="260"/>
      <c r="C737" s="261" t="s">
        <v>14912</v>
      </c>
      <c r="D737" s="288">
        <v>43881</v>
      </c>
      <c r="E737" s="269" t="s">
        <v>14911</v>
      </c>
      <c r="F737" s="257">
        <v>14</v>
      </c>
      <c r="G737" s="255">
        <v>34.909999999999997</v>
      </c>
      <c r="H737" s="103"/>
      <c r="I737" s="276">
        <f t="shared" si="11"/>
        <v>38898.82</v>
      </c>
    </row>
    <row r="738" spans="2:9" ht="19.5" x14ac:dyDescent="0.2">
      <c r="B738" s="260"/>
      <c r="C738" s="261" t="s">
        <v>14910</v>
      </c>
      <c r="D738" s="288">
        <v>43881</v>
      </c>
      <c r="E738" s="269" t="s">
        <v>14909</v>
      </c>
      <c r="F738" s="257">
        <v>14</v>
      </c>
      <c r="G738" s="255">
        <v>11.93</v>
      </c>
      <c r="H738" s="103"/>
      <c r="I738" s="276">
        <f t="shared" si="11"/>
        <v>38910.75</v>
      </c>
    </row>
    <row r="739" spans="2:9" x14ac:dyDescent="0.2">
      <c r="B739" s="260"/>
      <c r="C739" s="261" t="s">
        <v>14908</v>
      </c>
      <c r="D739" s="288">
        <v>43881</v>
      </c>
      <c r="E739" s="269" t="s">
        <v>14907</v>
      </c>
      <c r="F739" s="257">
        <v>14</v>
      </c>
      <c r="G739" s="255">
        <v>8.3800000000000008</v>
      </c>
      <c r="H739" s="103"/>
      <c r="I739" s="276">
        <f t="shared" si="11"/>
        <v>38919.129999999997</v>
      </c>
    </row>
    <row r="740" spans="2:9" x14ac:dyDescent="0.2">
      <c r="B740" s="260"/>
      <c r="C740" s="261" t="s">
        <v>14906</v>
      </c>
      <c r="D740" s="288">
        <v>43881</v>
      </c>
      <c r="E740" s="269" t="s">
        <v>14905</v>
      </c>
      <c r="F740" s="257">
        <v>14</v>
      </c>
      <c r="G740" s="255">
        <v>8.3800000000000008</v>
      </c>
      <c r="H740" s="103"/>
      <c r="I740" s="276">
        <f t="shared" si="11"/>
        <v>38927.509999999995</v>
      </c>
    </row>
    <row r="741" spans="2:9" ht="19.5" x14ac:dyDescent="0.25">
      <c r="B741" s="260"/>
      <c r="C741" s="261" t="s">
        <v>14904</v>
      </c>
      <c r="D741" s="288">
        <v>43881</v>
      </c>
      <c r="E741" s="269" t="s">
        <v>14903</v>
      </c>
      <c r="F741" s="257" t="s">
        <v>14437</v>
      </c>
      <c r="G741" s="160">
        <v>2.78</v>
      </c>
      <c r="I741" s="276">
        <f t="shared" si="11"/>
        <v>38930.289999999994</v>
      </c>
    </row>
    <row r="742" spans="2:9" x14ac:dyDescent="0.25">
      <c r="B742" s="261"/>
      <c r="C742" s="261" t="s">
        <v>407</v>
      </c>
      <c r="D742" s="288">
        <v>43881</v>
      </c>
      <c r="E742" s="269" t="s">
        <v>14902</v>
      </c>
      <c r="F742" s="257" t="s">
        <v>14433</v>
      </c>
      <c r="H742" s="161">
        <v>116.73</v>
      </c>
      <c r="I742" s="276">
        <f t="shared" si="11"/>
        <v>38813.55999999999</v>
      </c>
    </row>
    <row r="743" spans="2:9" ht="19.5" x14ac:dyDescent="0.25">
      <c r="B743" s="261"/>
      <c r="C743" s="261" t="s">
        <v>14901</v>
      </c>
      <c r="D743" s="288">
        <v>43882</v>
      </c>
      <c r="E743" s="269" t="s">
        <v>14900</v>
      </c>
      <c r="F743" s="257" t="s">
        <v>14456</v>
      </c>
      <c r="G743" s="160">
        <v>4.1900000000000004</v>
      </c>
      <c r="I743" s="276">
        <f t="shared" si="11"/>
        <v>38817.749999999993</v>
      </c>
    </row>
    <row r="744" spans="2:9" ht="19.5" x14ac:dyDescent="0.25">
      <c r="B744" s="261"/>
      <c r="C744" s="261" t="s">
        <v>14899</v>
      </c>
      <c r="D744" s="288">
        <v>43882</v>
      </c>
      <c r="E744" s="269" t="s">
        <v>14898</v>
      </c>
      <c r="F744" s="257" t="s">
        <v>14413</v>
      </c>
      <c r="G744" s="258">
        <v>2.27</v>
      </c>
      <c r="I744" s="276">
        <f t="shared" si="11"/>
        <v>38820.01999999999</v>
      </c>
    </row>
    <row r="745" spans="2:9" x14ac:dyDescent="0.25">
      <c r="B745" s="261"/>
      <c r="C745" s="261" t="s">
        <v>14897</v>
      </c>
      <c r="D745" s="288">
        <v>43882</v>
      </c>
      <c r="E745" s="269" t="s">
        <v>14896</v>
      </c>
      <c r="F745" s="257" t="s">
        <v>14456</v>
      </c>
      <c r="G745" s="160">
        <v>9.8699999999999992</v>
      </c>
      <c r="I745" s="276">
        <f t="shared" si="11"/>
        <v>38829.889999999992</v>
      </c>
    </row>
    <row r="746" spans="2:9" x14ac:dyDescent="0.25">
      <c r="B746" s="261"/>
      <c r="C746" s="261" t="s">
        <v>14895</v>
      </c>
      <c r="D746" s="288">
        <v>43882</v>
      </c>
      <c r="E746" s="269" t="s">
        <v>14894</v>
      </c>
      <c r="F746" s="257" t="s">
        <v>14456</v>
      </c>
      <c r="G746" s="160">
        <v>5.7</v>
      </c>
      <c r="I746" s="276">
        <f t="shared" si="11"/>
        <v>38835.589999999989</v>
      </c>
    </row>
    <row r="747" spans="2:9" x14ac:dyDescent="0.25">
      <c r="B747" s="261"/>
      <c r="C747" s="261" t="s">
        <v>14893</v>
      </c>
      <c r="D747" s="288">
        <v>43882</v>
      </c>
      <c r="E747" s="269" t="s">
        <v>14892</v>
      </c>
      <c r="F747" s="257" t="s">
        <v>14456</v>
      </c>
      <c r="G747" s="160">
        <v>0.1</v>
      </c>
      <c r="I747" s="276">
        <f t="shared" si="11"/>
        <v>38835.689999999988</v>
      </c>
    </row>
    <row r="748" spans="2:9" x14ac:dyDescent="0.25">
      <c r="B748" s="261"/>
      <c r="C748" s="261" t="s">
        <v>14891</v>
      </c>
      <c r="D748" s="288">
        <v>43882</v>
      </c>
      <c r="E748" s="269" t="s">
        <v>14890</v>
      </c>
      <c r="F748" s="257" t="s">
        <v>14456</v>
      </c>
      <c r="G748" s="160">
        <v>4.01</v>
      </c>
      <c r="I748" s="276">
        <f t="shared" si="11"/>
        <v>38839.69999999999</v>
      </c>
    </row>
    <row r="749" spans="2:9" x14ac:dyDescent="0.25">
      <c r="B749" s="261"/>
      <c r="C749" s="261" t="s">
        <v>14889</v>
      </c>
      <c r="D749" s="288">
        <v>43882</v>
      </c>
      <c r="E749" s="269" t="s">
        <v>14888</v>
      </c>
      <c r="F749" s="257" t="s">
        <v>14456</v>
      </c>
      <c r="G749" s="160">
        <v>2.74</v>
      </c>
      <c r="I749" s="276">
        <f t="shared" si="11"/>
        <v>38842.439999999988</v>
      </c>
    </row>
    <row r="750" spans="2:9" x14ac:dyDescent="0.25">
      <c r="B750" s="261"/>
      <c r="C750" s="261" t="s">
        <v>14887</v>
      </c>
      <c r="D750" s="288">
        <v>43882</v>
      </c>
      <c r="E750" s="269" t="s">
        <v>14886</v>
      </c>
      <c r="F750" s="257" t="s">
        <v>14413</v>
      </c>
      <c r="G750" s="258">
        <v>3.36</v>
      </c>
      <c r="I750" s="276">
        <f t="shared" si="11"/>
        <v>38845.799999999988</v>
      </c>
    </row>
    <row r="751" spans="2:9" x14ac:dyDescent="0.25">
      <c r="B751" s="261"/>
      <c r="C751" s="261" t="s">
        <v>14885</v>
      </c>
      <c r="D751" s="288">
        <v>43882</v>
      </c>
      <c r="E751" s="269" t="s">
        <v>14884</v>
      </c>
      <c r="F751" s="257" t="s">
        <v>14413</v>
      </c>
      <c r="G751" s="258">
        <v>10.36</v>
      </c>
      <c r="I751" s="276">
        <f t="shared" si="11"/>
        <v>38856.159999999989</v>
      </c>
    </row>
    <row r="752" spans="2:9" x14ac:dyDescent="0.25">
      <c r="B752" s="261"/>
      <c r="C752" s="261" t="s">
        <v>14883</v>
      </c>
      <c r="D752" s="288">
        <v>43882</v>
      </c>
      <c r="E752" s="269" t="s">
        <v>14882</v>
      </c>
      <c r="F752" s="257" t="s">
        <v>14413</v>
      </c>
      <c r="G752" s="258">
        <v>6.51</v>
      </c>
      <c r="I752" s="276">
        <f t="shared" si="11"/>
        <v>38862.669999999991</v>
      </c>
    </row>
    <row r="753" spans="2:9" x14ac:dyDescent="0.25">
      <c r="B753" s="261"/>
      <c r="C753" s="261" t="s">
        <v>14881</v>
      </c>
      <c r="D753" s="288">
        <v>43882</v>
      </c>
      <c r="E753" s="269" t="s">
        <v>14880</v>
      </c>
      <c r="F753" s="257" t="s">
        <v>14413</v>
      </c>
      <c r="G753" s="258">
        <v>6.57</v>
      </c>
      <c r="I753" s="276">
        <f t="shared" si="11"/>
        <v>38869.239999999991</v>
      </c>
    </row>
    <row r="754" spans="2:9" x14ac:dyDescent="0.25">
      <c r="B754" s="261"/>
      <c r="C754" s="261" t="s">
        <v>14879</v>
      </c>
      <c r="D754" s="288">
        <v>43882</v>
      </c>
      <c r="E754" s="269" t="s">
        <v>14878</v>
      </c>
      <c r="F754" s="257" t="s">
        <v>14413</v>
      </c>
      <c r="G754" s="258">
        <v>2.72</v>
      </c>
      <c r="I754" s="276">
        <f t="shared" si="11"/>
        <v>38871.959999999992</v>
      </c>
    </row>
    <row r="755" spans="2:9" x14ac:dyDescent="0.25">
      <c r="B755" s="261"/>
      <c r="C755" s="261" t="s">
        <v>14877</v>
      </c>
      <c r="D755" s="288">
        <v>43882</v>
      </c>
      <c r="E755" s="269" t="s">
        <v>14876</v>
      </c>
      <c r="F755" s="257" t="s">
        <v>14413</v>
      </c>
      <c r="G755" s="258">
        <v>2.39</v>
      </c>
      <c r="I755" s="276">
        <f t="shared" si="11"/>
        <v>38874.349999999991</v>
      </c>
    </row>
    <row r="756" spans="2:9" x14ac:dyDescent="0.25">
      <c r="B756" s="261"/>
      <c r="C756" s="261" t="s">
        <v>14875</v>
      </c>
      <c r="D756" s="288">
        <v>43882</v>
      </c>
      <c r="E756" s="269" t="s">
        <v>14874</v>
      </c>
      <c r="F756" s="257" t="s">
        <v>14413</v>
      </c>
      <c r="G756" s="258">
        <v>5.04</v>
      </c>
      <c r="I756" s="276">
        <f t="shared" si="11"/>
        <v>38879.389999999992</v>
      </c>
    </row>
    <row r="757" spans="2:9" x14ac:dyDescent="0.25">
      <c r="B757" s="261"/>
      <c r="C757" s="261" t="s">
        <v>14873</v>
      </c>
      <c r="D757" s="288">
        <v>43882</v>
      </c>
      <c r="E757" s="269" t="s">
        <v>14872</v>
      </c>
      <c r="F757" s="257" t="s">
        <v>14413</v>
      </c>
      <c r="G757" s="258">
        <v>3.78</v>
      </c>
      <c r="I757" s="276">
        <f t="shared" si="11"/>
        <v>38883.169999999991</v>
      </c>
    </row>
    <row r="758" spans="2:9" x14ac:dyDescent="0.25">
      <c r="B758" s="261"/>
      <c r="C758" s="261" t="s">
        <v>14871</v>
      </c>
      <c r="D758" s="288">
        <v>43882</v>
      </c>
      <c r="E758" s="269" t="s">
        <v>14870</v>
      </c>
      <c r="F758" s="257" t="s">
        <v>14413</v>
      </c>
      <c r="G758" s="258">
        <v>0.06</v>
      </c>
      <c r="I758" s="276">
        <f t="shared" si="11"/>
        <v>38883.229999999989</v>
      </c>
    </row>
    <row r="759" spans="2:9" x14ac:dyDescent="0.25">
      <c r="B759" s="261"/>
      <c r="C759" s="261" t="s">
        <v>14869</v>
      </c>
      <c r="D759" s="288">
        <v>43882</v>
      </c>
      <c r="E759" s="269" t="s">
        <v>14868</v>
      </c>
      <c r="F759" s="257" t="s">
        <v>14413</v>
      </c>
      <c r="G759" s="258">
        <v>8.41</v>
      </c>
      <c r="I759" s="276">
        <f t="shared" si="11"/>
        <v>38891.639999999992</v>
      </c>
    </row>
    <row r="760" spans="2:9" x14ac:dyDescent="0.25">
      <c r="B760" s="261"/>
      <c r="C760" s="261" t="s">
        <v>14867</v>
      </c>
      <c r="D760" s="288">
        <v>43882</v>
      </c>
      <c r="E760" s="269" t="s">
        <v>14866</v>
      </c>
      <c r="F760" s="257" t="s">
        <v>14413</v>
      </c>
      <c r="G760" s="258">
        <v>1.68</v>
      </c>
      <c r="I760" s="276">
        <f t="shared" si="11"/>
        <v>38893.319999999992</v>
      </c>
    </row>
    <row r="761" spans="2:9" x14ac:dyDescent="0.25">
      <c r="B761" s="261"/>
      <c r="C761" s="261" t="s">
        <v>14865</v>
      </c>
      <c r="D761" s="288">
        <v>43882</v>
      </c>
      <c r="E761" s="269" t="s">
        <v>14864</v>
      </c>
      <c r="F761" s="257" t="s">
        <v>14413</v>
      </c>
      <c r="G761" s="258">
        <v>1.0900000000000001</v>
      </c>
      <c r="I761" s="276">
        <f t="shared" si="11"/>
        <v>38894.409999999989</v>
      </c>
    </row>
    <row r="762" spans="2:9" x14ac:dyDescent="0.25">
      <c r="B762" s="261"/>
      <c r="C762" s="261" t="s">
        <v>14863</v>
      </c>
      <c r="D762" s="288">
        <v>43882</v>
      </c>
      <c r="E762" s="269" t="s">
        <v>14862</v>
      </c>
      <c r="F762" s="257" t="s">
        <v>14413</v>
      </c>
      <c r="G762" s="258">
        <v>11.2</v>
      </c>
      <c r="I762" s="276">
        <f t="shared" si="11"/>
        <v>38905.609999999986</v>
      </c>
    </row>
    <row r="763" spans="2:9" x14ac:dyDescent="0.25">
      <c r="B763" s="261"/>
      <c r="C763" s="261" t="s">
        <v>14861</v>
      </c>
      <c r="D763" s="288">
        <v>43882</v>
      </c>
      <c r="E763" s="269" t="s">
        <v>14860</v>
      </c>
      <c r="F763" s="257" t="s">
        <v>14413</v>
      </c>
      <c r="G763" s="258">
        <v>4.63</v>
      </c>
      <c r="I763" s="276">
        <f t="shared" si="11"/>
        <v>38910.239999999983</v>
      </c>
    </row>
    <row r="764" spans="2:9" ht="19.5" x14ac:dyDescent="0.25">
      <c r="B764" s="261"/>
      <c r="C764" s="261" t="s">
        <v>14859</v>
      </c>
      <c r="D764" s="288">
        <v>43882</v>
      </c>
      <c r="E764" s="269" t="s">
        <v>14858</v>
      </c>
      <c r="F764" s="257" t="s">
        <v>14413</v>
      </c>
      <c r="G764" s="258">
        <v>56.21</v>
      </c>
      <c r="I764" s="276">
        <f t="shared" si="11"/>
        <v>38966.449999999983</v>
      </c>
    </row>
    <row r="765" spans="2:9" x14ac:dyDescent="0.25">
      <c r="B765" s="261"/>
      <c r="C765" s="261" t="s">
        <v>14857</v>
      </c>
      <c r="D765" s="288">
        <v>43882</v>
      </c>
      <c r="E765" s="269" t="s">
        <v>14856</v>
      </c>
      <c r="F765" s="257" t="s">
        <v>14413</v>
      </c>
      <c r="G765" s="258">
        <v>27.59</v>
      </c>
      <c r="I765" s="276">
        <f t="shared" si="11"/>
        <v>38994.039999999979</v>
      </c>
    </row>
    <row r="766" spans="2:9" x14ac:dyDescent="0.25">
      <c r="B766" s="261"/>
      <c r="C766" s="261" t="s">
        <v>14855</v>
      </c>
      <c r="D766" s="288">
        <v>43882</v>
      </c>
      <c r="E766" s="269" t="s">
        <v>14854</v>
      </c>
      <c r="F766" s="257" t="s">
        <v>14413</v>
      </c>
      <c r="G766" s="258">
        <v>2.78</v>
      </c>
      <c r="I766" s="276">
        <f t="shared" si="11"/>
        <v>38996.819999999978</v>
      </c>
    </row>
    <row r="767" spans="2:9" x14ac:dyDescent="0.25">
      <c r="B767" s="261"/>
      <c r="C767" s="261" t="s">
        <v>14853</v>
      </c>
      <c r="D767" s="288">
        <v>43882</v>
      </c>
      <c r="E767" s="269" t="s">
        <v>14852</v>
      </c>
      <c r="F767" s="257" t="s">
        <v>14413</v>
      </c>
      <c r="G767" s="258">
        <v>3.04</v>
      </c>
      <c r="I767" s="276">
        <f t="shared" si="11"/>
        <v>38999.859999999979</v>
      </c>
    </row>
    <row r="768" spans="2:9" x14ac:dyDescent="0.25">
      <c r="B768" s="261"/>
      <c r="C768" s="261" t="s">
        <v>14851</v>
      </c>
      <c r="D768" s="288">
        <v>43882</v>
      </c>
      <c r="E768" s="269" t="s">
        <v>14850</v>
      </c>
      <c r="F768" s="257" t="s">
        <v>14413</v>
      </c>
      <c r="G768" s="258">
        <v>16.760000000000002</v>
      </c>
      <c r="I768" s="276">
        <f t="shared" si="11"/>
        <v>39016.619999999981</v>
      </c>
    </row>
    <row r="769" spans="2:9" x14ac:dyDescent="0.25">
      <c r="B769" s="261"/>
      <c r="C769" s="261" t="s">
        <v>14849</v>
      </c>
      <c r="D769" s="288">
        <v>43882</v>
      </c>
      <c r="E769" s="269" t="s">
        <v>14848</v>
      </c>
      <c r="F769" s="257" t="s">
        <v>14413</v>
      </c>
      <c r="G769" s="258">
        <v>4.3899999999999997</v>
      </c>
      <c r="I769" s="276">
        <f t="shared" si="11"/>
        <v>39021.00999999998</v>
      </c>
    </row>
    <row r="770" spans="2:9" x14ac:dyDescent="0.2">
      <c r="B770" s="260"/>
      <c r="C770" s="261" t="s">
        <v>14847</v>
      </c>
      <c r="D770" s="288">
        <v>43882</v>
      </c>
      <c r="E770" s="269" t="s">
        <v>14846</v>
      </c>
      <c r="F770" s="257">
        <v>15</v>
      </c>
      <c r="G770" s="255">
        <v>2.63</v>
      </c>
      <c r="H770" s="103"/>
      <c r="I770" s="276">
        <f t="shared" si="11"/>
        <v>39023.639999999978</v>
      </c>
    </row>
    <row r="771" spans="2:9" x14ac:dyDescent="0.2">
      <c r="B771" s="260"/>
      <c r="C771" s="261" t="s">
        <v>14845</v>
      </c>
      <c r="D771" s="288">
        <v>43882</v>
      </c>
      <c r="E771" s="269" t="s">
        <v>14844</v>
      </c>
      <c r="F771" s="257">
        <v>15</v>
      </c>
      <c r="G771" s="255">
        <v>2.09</v>
      </c>
      <c r="H771" s="103"/>
      <c r="I771" s="276">
        <f t="shared" si="11"/>
        <v>39025.729999999974</v>
      </c>
    </row>
    <row r="772" spans="2:9" x14ac:dyDescent="0.2">
      <c r="B772" s="260"/>
      <c r="C772" s="261" t="s">
        <v>14843</v>
      </c>
      <c r="D772" s="288">
        <v>43882</v>
      </c>
      <c r="E772" s="269" t="s">
        <v>14842</v>
      </c>
      <c r="F772" s="257">
        <v>15</v>
      </c>
      <c r="G772" s="255">
        <v>6.43</v>
      </c>
      <c r="H772" s="103"/>
      <c r="I772" s="276">
        <f t="shared" si="11"/>
        <v>39032.159999999974</v>
      </c>
    </row>
    <row r="773" spans="2:9" x14ac:dyDescent="0.2">
      <c r="B773" s="260"/>
      <c r="C773" s="261" t="s">
        <v>14841</v>
      </c>
      <c r="D773" s="288">
        <v>43882</v>
      </c>
      <c r="E773" s="269" t="s">
        <v>14840</v>
      </c>
      <c r="F773" s="257">
        <v>15</v>
      </c>
      <c r="G773" s="255">
        <v>20.82</v>
      </c>
      <c r="H773" s="103"/>
      <c r="I773" s="276">
        <f t="shared" si="11"/>
        <v>39052.979999999974</v>
      </c>
    </row>
    <row r="774" spans="2:9" x14ac:dyDescent="0.25">
      <c r="B774" s="260"/>
      <c r="C774" s="261" t="s">
        <v>14839</v>
      </c>
      <c r="D774" s="288">
        <v>43882</v>
      </c>
      <c r="E774" s="269" t="s">
        <v>14838</v>
      </c>
      <c r="F774" s="257" t="s">
        <v>14437</v>
      </c>
      <c r="G774" s="160">
        <v>1769.48</v>
      </c>
      <c r="I774" s="276">
        <f t="shared" si="11"/>
        <v>40822.459999999977</v>
      </c>
    </row>
    <row r="775" spans="2:9" x14ac:dyDescent="0.25">
      <c r="B775" s="261"/>
      <c r="C775" s="261" t="s">
        <v>14837</v>
      </c>
      <c r="D775" s="288">
        <v>43883</v>
      </c>
      <c r="E775" s="269" t="s">
        <v>14836</v>
      </c>
      <c r="F775" s="257" t="s">
        <v>14413</v>
      </c>
      <c r="G775" s="258">
        <v>4.68</v>
      </c>
      <c r="I775" s="276">
        <f t="shared" si="11"/>
        <v>40827.139999999978</v>
      </c>
    </row>
    <row r="776" spans="2:9" x14ac:dyDescent="0.25">
      <c r="B776" s="261"/>
      <c r="C776" s="261" t="s">
        <v>14835</v>
      </c>
      <c r="D776" s="288">
        <v>43883</v>
      </c>
      <c r="E776" s="269" t="s">
        <v>14834</v>
      </c>
      <c r="F776" s="257" t="s">
        <v>14413</v>
      </c>
      <c r="G776" s="258">
        <v>1.7</v>
      </c>
      <c r="I776" s="276">
        <f t="shared" si="11"/>
        <v>40828.839999999975</v>
      </c>
    </row>
    <row r="777" spans="2:9" x14ac:dyDescent="0.25">
      <c r="B777" s="261"/>
      <c r="C777" s="261" t="s">
        <v>14833</v>
      </c>
      <c r="D777" s="288">
        <v>43883</v>
      </c>
      <c r="E777" s="269" t="s">
        <v>14832</v>
      </c>
      <c r="F777" s="257" t="s">
        <v>14413</v>
      </c>
      <c r="G777" s="258">
        <v>6.5</v>
      </c>
      <c r="I777" s="276">
        <f t="shared" si="11"/>
        <v>40835.339999999975</v>
      </c>
    </row>
    <row r="778" spans="2:9" x14ac:dyDescent="0.25">
      <c r="B778" s="261"/>
      <c r="C778" s="261" t="s">
        <v>14831</v>
      </c>
      <c r="D778" s="288">
        <v>43883</v>
      </c>
      <c r="E778" s="269" t="s">
        <v>14830</v>
      </c>
      <c r="F778" s="257" t="s">
        <v>14413</v>
      </c>
      <c r="G778" s="258">
        <v>24.6</v>
      </c>
      <c r="I778" s="276">
        <f t="shared" si="11"/>
        <v>40859.939999999973</v>
      </c>
    </row>
    <row r="779" spans="2:9" x14ac:dyDescent="0.25">
      <c r="B779" s="261"/>
      <c r="C779" s="261" t="s">
        <v>14829</v>
      </c>
      <c r="D779" s="288">
        <v>43883</v>
      </c>
      <c r="E779" s="269" t="s">
        <v>14828</v>
      </c>
      <c r="F779" s="257" t="s">
        <v>14413</v>
      </c>
      <c r="G779" s="258">
        <v>2.67</v>
      </c>
      <c r="I779" s="276">
        <f t="shared" si="11"/>
        <v>40862.609999999971</v>
      </c>
    </row>
    <row r="780" spans="2:9" x14ac:dyDescent="0.25">
      <c r="B780" s="261"/>
      <c r="C780" s="261" t="s">
        <v>14827</v>
      </c>
      <c r="D780" s="288">
        <v>43883</v>
      </c>
      <c r="E780" s="269" t="s">
        <v>14826</v>
      </c>
      <c r="F780" s="257" t="s">
        <v>14413</v>
      </c>
      <c r="G780" s="258">
        <v>3.37</v>
      </c>
      <c r="I780" s="276">
        <f t="shared" si="11"/>
        <v>40865.979999999974</v>
      </c>
    </row>
    <row r="781" spans="2:9" x14ac:dyDescent="0.25">
      <c r="B781" s="261"/>
      <c r="C781" s="261" t="s">
        <v>14825</v>
      </c>
      <c r="D781" s="288">
        <v>43883</v>
      </c>
      <c r="E781" s="269" t="s">
        <v>14824</v>
      </c>
      <c r="F781" s="257" t="s">
        <v>14413</v>
      </c>
      <c r="G781" s="258">
        <v>1.68</v>
      </c>
      <c r="I781" s="276">
        <f t="shared" si="11"/>
        <v>40867.659999999974</v>
      </c>
    </row>
    <row r="782" spans="2:9" x14ac:dyDescent="0.25">
      <c r="B782" s="261"/>
      <c r="C782" s="261" t="s">
        <v>14823</v>
      </c>
      <c r="D782" s="288">
        <v>43883</v>
      </c>
      <c r="E782" s="269" t="s">
        <v>14822</v>
      </c>
      <c r="F782" s="257" t="s">
        <v>14413</v>
      </c>
      <c r="G782" s="258">
        <v>2.39</v>
      </c>
      <c r="I782" s="276">
        <f t="shared" si="11"/>
        <v>40870.049999999974</v>
      </c>
    </row>
    <row r="783" spans="2:9" x14ac:dyDescent="0.25">
      <c r="B783" s="261"/>
      <c r="C783" s="261" t="s">
        <v>14821</v>
      </c>
      <c r="D783" s="288">
        <v>43883</v>
      </c>
      <c r="E783" s="269" t="s">
        <v>14820</v>
      </c>
      <c r="F783" s="257" t="s">
        <v>14413</v>
      </c>
      <c r="G783" s="258">
        <v>1.99</v>
      </c>
      <c r="I783" s="276">
        <f t="shared" si="11"/>
        <v>40872.039999999972</v>
      </c>
    </row>
    <row r="784" spans="2:9" x14ac:dyDescent="0.25">
      <c r="B784" s="260"/>
      <c r="C784" s="261" t="s">
        <v>14819</v>
      </c>
      <c r="D784" s="288">
        <v>43883</v>
      </c>
      <c r="E784" s="269" t="s">
        <v>14818</v>
      </c>
      <c r="F784" s="257" t="s">
        <v>14437</v>
      </c>
      <c r="G784" s="160">
        <v>2.2400000000000002</v>
      </c>
      <c r="I784" s="276">
        <f t="shared" si="11"/>
        <v>40874.27999999997</v>
      </c>
    </row>
    <row r="785" spans="2:9" x14ac:dyDescent="0.25">
      <c r="B785" s="261"/>
      <c r="C785" s="261" t="s">
        <v>14817</v>
      </c>
      <c r="D785" s="288">
        <v>43884</v>
      </c>
      <c r="E785" s="269" t="s">
        <v>14816</v>
      </c>
      <c r="F785" s="257" t="s">
        <v>14413</v>
      </c>
      <c r="G785" s="258">
        <v>3.55</v>
      </c>
      <c r="I785" s="276">
        <f t="shared" si="11"/>
        <v>40877.829999999973</v>
      </c>
    </row>
    <row r="786" spans="2:9" x14ac:dyDescent="0.25">
      <c r="B786" s="261"/>
      <c r="C786" s="261" t="s">
        <v>14815</v>
      </c>
      <c r="D786" s="288">
        <v>43884</v>
      </c>
      <c r="E786" s="269" t="s">
        <v>14814</v>
      </c>
      <c r="F786" s="257" t="s">
        <v>14413</v>
      </c>
      <c r="G786" s="258">
        <v>1.8</v>
      </c>
      <c r="I786" s="276">
        <f t="shared" si="11"/>
        <v>40879.629999999976</v>
      </c>
    </row>
    <row r="787" spans="2:9" x14ac:dyDescent="0.25">
      <c r="B787" s="261"/>
      <c r="C787" s="261" t="s">
        <v>14813</v>
      </c>
      <c r="D787" s="288">
        <v>43884</v>
      </c>
      <c r="E787" s="269" t="s">
        <v>14812</v>
      </c>
      <c r="F787" s="257" t="s">
        <v>14413</v>
      </c>
      <c r="G787" s="258">
        <v>24.91</v>
      </c>
      <c r="I787" s="276">
        <f t="shared" si="11"/>
        <v>40904.539999999979</v>
      </c>
    </row>
    <row r="788" spans="2:9" x14ac:dyDescent="0.25">
      <c r="B788" s="261"/>
      <c r="C788" s="261" t="s">
        <v>14811</v>
      </c>
      <c r="D788" s="288">
        <v>43884</v>
      </c>
      <c r="E788" s="269" t="s">
        <v>14810</v>
      </c>
      <c r="F788" s="257" t="s">
        <v>14413</v>
      </c>
      <c r="G788" s="258">
        <v>2.2000000000000002</v>
      </c>
      <c r="I788" s="276">
        <f t="shared" ref="I788:I851" si="12">+I787+G788-H788</f>
        <v>40906.739999999976</v>
      </c>
    </row>
    <row r="789" spans="2:9" x14ac:dyDescent="0.25">
      <c r="B789" s="261"/>
      <c r="C789" s="261" t="s">
        <v>14809</v>
      </c>
      <c r="D789" s="288">
        <v>43884</v>
      </c>
      <c r="E789" s="269" t="s">
        <v>14808</v>
      </c>
      <c r="F789" s="257" t="s">
        <v>14413</v>
      </c>
      <c r="G789" s="258">
        <v>2.4300000000000002</v>
      </c>
      <c r="I789" s="276">
        <f t="shared" si="12"/>
        <v>40909.169999999976</v>
      </c>
    </row>
    <row r="790" spans="2:9" x14ac:dyDescent="0.25">
      <c r="B790" s="261"/>
      <c r="C790" s="261" t="s">
        <v>14807</v>
      </c>
      <c r="D790" s="288">
        <v>43884</v>
      </c>
      <c r="E790" s="269" t="s">
        <v>14806</v>
      </c>
      <c r="F790" s="257" t="s">
        <v>14413</v>
      </c>
      <c r="G790" s="258">
        <v>2.56</v>
      </c>
      <c r="I790" s="276">
        <f t="shared" si="12"/>
        <v>40911.729999999974</v>
      </c>
    </row>
    <row r="791" spans="2:9" x14ac:dyDescent="0.25">
      <c r="B791" s="261"/>
      <c r="C791" s="261" t="s">
        <v>14805</v>
      </c>
      <c r="D791" s="288">
        <v>43885</v>
      </c>
      <c r="E791" s="269" t="s">
        <v>14804</v>
      </c>
      <c r="F791" s="257" t="s">
        <v>14413</v>
      </c>
      <c r="G791" s="258">
        <v>1.9</v>
      </c>
      <c r="I791" s="276">
        <f t="shared" si="12"/>
        <v>40913.629999999976</v>
      </c>
    </row>
    <row r="792" spans="2:9" x14ac:dyDescent="0.25">
      <c r="B792" s="261"/>
      <c r="C792" s="261" t="s">
        <v>14803</v>
      </c>
      <c r="D792" s="288">
        <v>43885</v>
      </c>
      <c r="E792" s="269" t="s">
        <v>14802</v>
      </c>
      <c r="F792" s="257" t="s">
        <v>14413</v>
      </c>
      <c r="G792" s="258">
        <v>23.55</v>
      </c>
      <c r="I792" s="276">
        <f t="shared" si="12"/>
        <v>40937.179999999978</v>
      </c>
    </row>
    <row r="793" spans="2:9" x14ac:dyDescent="0.25">
      <c r="B793" s="261"/>
      <c r="C793" s="261" t="s">
        <v>14801</v>
      </c>
      <c r="D793" s="288">
        <v>43885</v>
      </c>
      <c r="E793" s="269" t="s">
        <v>14800</v>
      </c>
      <c r="F793" s="257" t="s">
        <v>14413</v>
      </c>
      <c r="G793" s="258">
        <v>4.4000000000000004</v>
      </c>
      <c r="I793" s="276">
        <f t="shared" si="12"/>
        <v>40941.57999999998</v>
      </c>
    </row>
    <row r="794" spans="2:9" x14ac:dyDescent="0.25">
      <c r="B794" s="261"/>
      <c r="C794" s="261" t="s">
        <v>14799</v>
      </c>
      <c r="D794" s="288">
        <v>43885</v>
      </c>
      <c r="E794" s="269" t="s">
        <v>14798</v>
      </c>
      <c r="F794" s="257" t="s">
        <v>14413</v>
      </c>
      <c r="G794" s="258">
        <v>32.479999999999997</v>
      </c>
      <c r="I794" s="276">
        <f t="shared" si="12"/>
        <v>40974.059999999983</v>
      </c>
    </row>
    <row r="795" spans="2:9" x14ac:dyDescent="0.25">
      <c r="B795" s="261"/>
      <c r="C795" s="261" t="s">
        <v>14797</v>
      </c>
      <c r="D795" s="288">
        <v>43886</v>
      </c>
      <c r="E795" s="269" t="s">
        <v>14796</v>
      </c>
      <c r="F795" s="257" t="s">
        <v>14413</v>
      </c>
      <c r="G795" s="258">
        <v>3.45</v>
      </c>
      <c r="I795" s="276">
        <f t="shared" si="12"/>
        <v>40977.50999999998</v>
      </c>
    </row>
    <row r="796" spans="2:9" x14ac:dyDescent="0.25">
      <c r="B796" s="261"/>
      <c r="C796" s="261" t="s">
        <v>14795</v>
      </c>
      <c r="D796" s="288">
        <v>43886</v>
      </c>
      <c r="E796" s="269" t="s">
        <v>14794</v>
      </c>
      <c r="F796" s="257" t="s">
        <v>14413</v>
      </c>
      <c r="G796" s="258">
        <v>5.0599999999999996</v>
      </c>
      <c r="I796" s="276">
        <f t="shared" si="12"/>
        <v>40982.569999999978</v>
      </c>
    </row>
    <row r="797" spans="2:9" x14ac:dyDescent="0.25">
      <c r="B797" s="261"/>
      <c r="C797" s="261" t="s">
        <v>14793</v>
      </c>
      <c r="D797" s="288">
        <v>43886</v>
      </c>
      <c r="E797" s="269" t="s">
        <v>14792</v>
      </c>
      <c r="F797" s="257" t="s">
        <v>14413</v>
      </c>
      <c r="G797" s="258">
        <v>4.1399999999999997</v>
      </c>
      <c r="I797" s="276">
        <f t="shared" si="12"/>
        <v>40986.709999999977</v>
      </c>
    </row>
    <row r="798" spans="2:9" x14ac:dyDescent="0.25">
      <c r="B798" s="261"/>
      <c r="C798" s="261" t="s">
        <v>14791</v>
      </c>
      <c r="D798" s="288">
        <v>43886</v>
      </c>
      <c r="E798" s="269" t="s">
        <v>14790</v>
      </c>
      <c r="F798" s="257" t="s">
        <v>14413</v>
      </c>
      <c r="G798" s="258">
        <v>16.760000000000002</v>
      </c>
      <c r="I798" s="276">
        <f t="shared" si="12"/>
        <v>41003.469999999979</v>
      </c>
    </row>
    <row r="799" spans="2:9" x14ac:dyDescent="0.25">
      <c r="B799" s="261"/>
      <c r="C799" s="261" t="s">
        <v>14789</v>
      </c>
      <c r="D799" s="288">
        <v>43886</v>
      </c>
      <c r="E799" s="269" t="s">
        <v>14788</v>
      </c>
      <c r="F799" s="257" t="s">
        <v>14413</v>
      </c>
      <c r="G799" s="258">
        <v>1.7</v>
      </c>
      <c r="I799" s="276">
        <f t="shared" si="12"/>
        <v>41005.169999999976</v>
      </c>
    </row>
    <row r="800" spans="2:9" ht="19.5" x14ac:dyDescent="0.25">
      <c r="B800" s="261"/>
      <c r="C800" s="261" t="s">
        <v>14787</v>
      </c>
      <c r="D800" s="288">
        <v>43887</v>
      </c>
      <c r="E800" s="269" t="s">
        <v>14786</v>
      </c>
      <c r="F800" s="257" t="s">
        <v>14449</v>
      </c>
      <c r="G800" s="160">
        <v>15.06</v>
      </c>
      <c r="I800" s="276">
        <f t="shared" si="12"/>
        <v>41020.229999999974</v>
      </c>
    </row>
    <row r="801" spans="2:9" ht="19.5" x14ac:dyDescent="0.25">
      <c r="B801" s="261"/>
      <c r="C801" s="261" t="s">
        <v>14785</v>
      </c>
      <c r="D801" s="288">
        <v>43887</v>
      </c>
      <c r="E801" s="269" t="s">
        <v>14784</v>
      </c>
      <c r="F801" s="257" t="s">
        <v>14436</v>
      </c>
      <c r="G801" s="160">
        <v>44.04</v>
      </c>
      <c r="I801" s="276">
        <f t="shared" si="12"/>
        <v>41064.269999999975</v>
      </c>
    </row>
    <row r="802" spans="2:9" x14ac:dyDescent="0.25">
      <c r="B802" s="261"/>
      <c r="C802" s="261" t="s">
        <v>14783</v>
      </c>
      <c r="D802" s="288">
        <v>43887</v>
      </c>
      <c r="E802" s="269" t="s">
        <v>14782</v>
      </c>
      <c r="F802" s="257" t="s">
        <v>14457</v>
      </c>
      <c r="G802" s="160">
        <v>15.03</v>
      </c>
      <c r="I802" s="276">
        <f t="shared" si="12"/>
        <v>41079.299999999974</v>
      </c>
    </row>
    <row r="803" spans="2:9" x14ac:dyDescent="0.25">
      <c r="B803" s="261"/>
      <c r="C803" s="261" t="s">
        <v>14781</v>
      </c>
      <c r="D803" s="288">
        <v>43887</v>
      </c>
      <c r="E803" s="269" t="s">
        <v>14780</v>
      </c>
      <c r="F803" s="257" t="s">
        <v>14436</v>
      </c>
      <c r="G803" s="160">
        <v>15.06</v>
      </c>
      <c r="I803" s="276">
        <f t="shared" si="12"/>
        <v>41094.359999999971</v>
      </c>
    </row>
    <row r="804" spans="2:9" x14ac:dyDescent="0.25">
      <c r="B804" s="260"/>
      <c r="C804" s="261" t="s">
        <v>14779</v>
      </c>
      <c r="D804" s="288">
        <v>43887</v>
      </c>
      <c r="E804" s="269" t="s">
        <v>14778</v>
      </c>
      <c r="F804" s="257" t="s">
        <v>14437</v>
      </c>
      <c r="G804" s="160">
        <v>26.88</v>
      </c>
      <c r="I804" s="276">
        <f t="shared" si="12"/>
        <v>41121.239999999969</v>
      </c>
    </row>
    <row r="805" spans="2:9" x14ac:dyDescent="0.25">
      <c r="B805" s="260"/>
      <c r="C805" s="261" t="s">
        <v>14777</v>
      </c>
      <c r="D805" s="288">
        <v>43887</v>
      </c>
      <c r="E805" s="269" t="s">
        <v>14776</v>
      </c>
      <c r="F805" s="257" t="s">
        <v>14437</v>
      </c>
      <c r="G805" s="160">
        <v>2</v>
      </c>
      <c r="I805" s="276">
        <f t="shared" si="12"/>
        <v>41123.239999999969</v>
      </c>
    </row>
    <row r="806" spans="2:9" x14ac:dyDescent="0.25">
      <c r="B806" s="261"/>
      <c r="C806" s="261" t="s">
        <v>14775</v>
      </c>
      <c r="D806" s="288">
        <v>43887</v>
      </c>
      <c r="E806" s="269" t="s">
        <v>14774</v>
      </c>
      <c r="F806" s="257" t="s">
        <v>14457</v>
      </c>
      <c r="G806" s="160">
        <v>15.3</v>
      </c>
      <c r="I806" s="276">
        <f t="shared" si="12"/>
        <v>41138.539999999972</v>
      </c>
    </row>
    <row r="807" spans="2:9" x14ac:dyDescent="0.2">
      <c r="B807" s="260"/>
      <c r="C807" s="261" t="s">
        <v>14773</v>
      </c>
      <c r="D807" s="288">
        <v>43887</v>
      </c>
      <c r="E807" s="269" t="s">
        <v>14772</v>
      </c>
      <c r="F807" s="257">
        <v>16</v>
      </c>
      <c r="G807" s="255">
        <v>4.01</v>
      </c>
      <c r="H807" s="103"/>
      <c r="I807" s="276">
        <f t="shared" si="12"/>
        <v>41142.549999999974</v>
      </c>
    </row>
    <row r="808" spans="2:9" x14ac:dyDescent="0.2">
      <c r="B808" s="260"/>
      <c r="C808" s="261" t="s">
        <v>14771</v>
      </c>
      <c r="D808" s="288">
        <v>43887</v>
      </c>
      <c r="E808" s="269" t="s">
        <v>14770</v>
      </c>
      <c r="F808" s="257">
        <v>16</v>
      </c>
      <c r="G808" s="255">
        <v>9.98</v>
      </c>
      <c r="H808" s="103"/>
      <c r="I808" s="276">
        <f t="shared" si="12"/>
        <v>41152.529999999977</v>
      </c>
    </row>
    <row r="809" spans="2:9" x14ac:dyDescent="0.2">
      <c r="B809" s="260"/>
      <c r="C809" s="261" t="s">
        <v>14769</v>
      </c>
      <c r="D809" s="288">
        <v>43887</v>
      </c>
      <c r="E809" s="269" t="s">
        <v>14768</v>
      </c>
      <c r="F809" s="257">
        <v>16</v>
      </c>
      <c r="G809" s="255">
        <v>3.3</v>
      </c>
      <c r="H809" s="103"/>
      <c r="I809" s="276">
        <f t="shared" si="12"/>
        <v>41155.82999999998</v>
      </c>
    </row>
    <row r="810" spans="2:9" x14ac:dyDescent="0.2">
      <c r="B810" s="260"/>
      <c r="C810" s="261" t="s">
        <v>14767</v>
      </c>
      <c r="D810" s="288">
        <v>43887</v>
      </c>
      <c r="E810" s="269" t="s">
        <v>14766</v>
      </c>
      <c r="F810" s="257">
        <v>16</v>
      </c>
      <c r="G810" s="255">
        <v>2.11</v>
      </c>
      <c r="H810" s="103"/>
      <c r="I810" s="276">
        <f t="shared" si="12"/>
        <v>41157.939999999981</v>
      </c>
    </row>
    <row r="811" spans="2:9" x14ac:dyDescent="0.2">
      <c r="B811" s="260"/>
      <c r="C811" s="261" t="s">
        <v>14765</v>
      </c>
      <c r="D811" s="288">
        <v>43887</v>
      </c>
      <c r="E811" s="269" t="s">
        <v>14764</v>
      </c>
      <c r="F811" s="257">
        <v>16</v>
      </c>
      <c r="G811" s="255">
        <v>3.49</v>
      </c>
      <c r="H811" s="103"/>
      <c r="I811" s="276">
        <f t="shared" si="12"/>
        <v>41161.429999999978</v>
      </c>
    </row>
    <row r="812" spans="2:9" x14ac:dyDescent="0.2">
      <c r="B812" s="260"/>
      <c r="C812" s="261" t="s">
        <v>14763</v>
      </c>
      <c r="D812" s="288">
        <v>43887</v>
      </c>
      <c r="E812" s="269" t="s">
        <v>14762</v>
      </c>
      <c r="F812" s="257">
        <v>16</v>
      </c>
      <c r="G812" s="255">
        <v>2.63</v>
      </c>
      <c r="H812" s="103"/>
      <c r="I812" s="276">
        <f t="shared" si="12"/>
        <v>41164.059999999976</v>
      </c>
    </row>
    <row r="813" spans="2:9" x14ac:dyDescent="0.2">
      <c r="B813" s="260"/>
      <c r="C813" s="261" t="s">
        <v>14761</v>
      </c>
      <c r="D813" s="288">
        <v>43887</v>
      </c>
      <c r="E813" s="269" t="s">
        <v>14760</v>
      </c>
      <c r="F813" s="257">
        <v>16</v>
      </c>
      <c r="G813" s="255">
        <v>14.35</v>
      </c>
      <c r="H813" s="103"/>
      <c r="I813" s="276">
        <f t="shared" si="12"/>
        <v>41178.409999999974</v>
      </c>
    </row>
    <row r="814" spans="2:9" x14ac:dyDescent="0.2">
      <c r="B814" s="260"/>
      <c r="C814" s="261" t="s">
        <v>14759</v>
      </c>
      <c r="D814" s="288">
        <v>43887</v>
      </c>
      <c r="E814" s="269" t="s">
        <v>14758</v>
      </c>
      <c r="F814" s="257">
        <v>16</v>
      </c>
      <c r="G814" s="255">
        <v>14.08</v>
      </c>
      <c r="H814" s="103"/>
      <c r="I814" s="276">
        <f t="shared" si="12"/>
        <v>41192.489999999976</v>
      </c>
    </row>
    <row r="815" spans="2:9" x14ac:dyDescent="0.2">
      <c r="B815" s="260"/>
      <c r="C815" s="261" t="s">
        <v>14757</v>
      </c>
      <c r="D815" s="288">
        <v>43887</v>
      </c>
      <c r="E815" s="269" t="s">
        <v>14756</v>
      </c>
      <c r="F815" s="257">
        <v>16</v>
      </c>
      <c r="G815" s="255">
        <v>8.58</v>
      </c>
      <c r="H815" s="103"/>
      <c r="I815" s="276">
        <f t="shared" si="12"/>
        <v>41201.069999999978</v>
      </c>
    </row>
    <row r="816" spans="2:9" x14ac:dyDescent="0.2">
      <c r="B816" s="260"/>
      <c r="C816" s="261" t="s">
        <v>14755</v>
      </c>
      <c r="D816" s="288">
        <v>43887</v>
      </c>
      <c r="E816" s="269" t="s">
        <v>14754</v>
      </c>
      <c r="F816" s="257">
        <v>16</v>
      </c>
      <c r="G816" s="255">
        <v>3.43</v>
      </c>
      <c r="H816" s="103"/>
      <c r="I816" s="276">
        <f t="shared" si="12"/>
        <v>41204.499999999978</v>
      </c>
    </row>
    <row r="817" spans="2:9" x14ac:dyDescent="0.2">
      <c r="B817" s="260"/>
      <c r="C817" s="261" t="s">
        <v>14753</v>
      </c>
      <c r="D817" s="288">
        <v>43887</v>
      </c>
      <c r="E817" s="269" t="s">
        <v>14752</v>
      </c>
      <c r="F817" s="257">
        <v>16</v>
      </c>
      <c r="G817" s="255">
        <v>1.7</v>
      </c>
      <c r="H817" s="103"/>
      <c r="I817" s="276">
        <f t="shared" si="12"/>
        <v>41206.199999999975</v>
      </c>
    </row>
    <row r="818" spans="2:9" x14ac:dyDescent="0.2">
      <c r="B818" s="260"/>
      <c r="C818" s="261" t="s">
        <v>14751</v>
      </c>
      <c r="D818" s="288">
        <v>43887</v>
      </c>
      <c r="E818" s="269" t="s">
        <v>14750</v>
      </c>
      <c r="F818" s="257">
        <v>16</v>
      </c>
      <c r="G818" s="255">
        <v>2.15</v>
      </c>
      <c r="H818" s="103"/>
      <c r="I818" s="276">
        <f t="shared" si="12"/>
        <v>41208.349999999977</v>
      </c>
    </row>
    <row r="819" spans="2:9" ht="19.5" x14ac:dyDescent="0.25">
      <c r="B819" s="261"/>
      <c r="C819" s="261" t="s">
        <v>14749</v>
      </c>
      <c r="D819" s="288">
        <v>43887</v>
      </c>
      <c r="E819" s="269" t="s">
        <v>14748</v>
      </c>
      <c r="F819" s="257" t="s">
        <v>14413</v>
      </c>
      <c r="G819" s="258">
        <v>13.45</v>
      </c>
      <c r="I819" s="276">
        <f t="shared" si="12"/>
        <v>41221.799999999974</v>
      </c>
    </row>
    <row r="820" spans="2:9" x14ac:dyDescent="0.25">
      <c r="B820" s="261"/>
      <c r="C820" s="261" t="s">
        <v>14747</v>
      </c>
      <c r="D820" s="288">
        <v>43887</v>
      </c>
      <c r="E820" s="269" t="s">
        <v>14746</v>
      </c>
      <c r="F820" s="257" t="s">
        <v>14413</v>
      </c>
      <c r="G820" s="258">
        <v>7.8</v>
      </c>
      <c r="I820" s="276">
        <f t="shared" si="12"/>
        <v>41229.599999999977</v>
      </c>
    </row>
    <row r="821" spans="2:9" x14ac:dyDescent="0.25">
      <c r="B821" s="261"/>
      <c r="C821" s="261" t="s">
        <v>14745</v>
      </c>
      <c r="D821" s="288">
        <v>43887</v>
      </c>
      <c r="E821" s="269" t="s">
        <v>14744</v>
      </c>
      <c r="F821" s="257" t="s">
        <v>14413</v>
      </c>
      <c r="G821" s="258">
        <v>12.23</v>
      </c>
      <c r="I821" s="276">
        <f t="shared" si="12"/>
        <v>41241.82999999998</v>
      </c>
    </row>
    <row r="822" spans="2:9" x14ac:dyDescent="0.25">
      <c r="B822" s="261"/>
      <c r="C822" s="261" t="s">
        <v>14743</v>
      </c>
      <c r="D822" s="288">
        <v>43887</v>
      </c>
      <c r="E822" s="269" t="s">
        <v>14742</v>
      </c>
      <c r="F822" s="257" t="s">
        <v>14413</v>
      </c>
      <c r="G822" s="258">
        <v>3.2</v>
      </c>
      <c r="I822" s="276">
        <f t="shared" si="12"/>
        <v>41245.029999999977</v>
      </c>
    </row>
    <row r="823" spans="2:9" x14ac:dyDescent="0.25">
      <c r="B823" s="261"/>
      <c r="C823" s="261" t="s">
        <v>14741</v>
      </c>
      <c r="D823" s="288">
        <v>43887</v>
      </c>
      <c r="E823" s="269" t="s">
        <v>14740</v>
      </c>
      <c r="F823" s="257" t="s">
        <v>14413</v>
      </c>
      <c r="G823" s="258">
        <v>2.4300000000000002</v>
      </c>
      <c r="I823" s="276">
        <f t="shared" si="12"/>
        <v>41247.459999999977</v>
      </c>
    </row>
    <row r="824" spans="2:9" x14ac:dyDescent="0.25">
      <c r="B824" s="261"/>
      <c r="C824" s="261" t="s">
        <v>14739</v>
      </c>
      <c r="D824" s="288">
        <v>43887</v>
      </c>
      <c r="E824" s="269" t="s">
        <v>14738</v>
      </c>
      <c r="F824" s="257" t="s">
        <v>14413</v>
      </c>
      <c r="G824" s="258">
        <v>4.0999999999999996</v>
      </c>
      <c r="I824" s="276">
        <f t="shared" si="12"/>
        <v>41251.559999999976</v>
      </c>
    </row>
    <row r="825" spans="2:9" x14ac:dyDescent="0.25">
      <c r="B825" s="261"/>
      <c r="C825" s="261" t="s">
        <v>14737</v>
      </c>
      <c r="D825" s="288">
        <v>43887</v>
      </c>
      <c r="E825" s="269" t="s">
        <v>14736</v>
      </c>
      <c r="F825" s="257" t="s">
        <v>14413</v>
      </c>
      <c r="G825" s="258">
        <v>2.16</v>
      </c>
      <c r="I825" s="276">
        <f t="shared" si="12"/>
        <v>41253.719999999979</v>
      </c>
    </row>
    <row r="826" spans="2:9" x14ac:dyDescent="0.25">
      <c r="B826" s="261"/>
      <c r="C826" s="261" t="s">
        <v>14735</v>
      </c>
      <c r="D826" s="288">
        <v>43887</v>
      </c>
      <c r="E826" s="269" t="s">
        <v>14734</v>
      </c>
      <c r="F826" s="257" t="s">
        <v>14413</v>
      </c>
      <c r="G826" s="258">
        <v>10.06</v>
      </c>
      <c r="I826" s="276">
        <f t="shared" si="12"/>
        <v>41263.779999999977</v>
      </c>
    </row>
    <row r="827" spans="2:9" x14ac:dyDescent="0.25">
      <c r="B827" s="261"/>
      <c r="C827" s="261" t="s">
        <v>14733</v>
      </c>
      <c r="D827" s="288">
        <v>43887</v>
      </c>
      <c r="E827" s="269" t="s">
        <v>14732</v>
      </c>
      <c r="F827" s="257" t="s">
        <v>14413</v>
      </c>
      <c r="G827" s="258">
        <v>7.53</v>
      </c>
      <c r="I827" s="276">
        <f t="shared" si="12"/>
        <v>41271.309999999976</v>
      </c>
    </row>
    <row r="828" spans="2:9" x14ac:dyDescent="0.25">
      <c r="B828" s="261"/>
      <c r="C828" s="261" t="s">
        <v>14731</v>
      </c>
      <c r="D828" s="288">
        <v>43887</v>
      </c>
      <c r="E828" s="269" t="s">
        <v>14730</v>
      </c>
      <c r="F828" s="257" t="s">
        <v>14413</v>
      </c>
      <c r="G828" s="258">
        <v>18.309999999999999</v>
      </c>
      <c r="I828" s="276">
        <f t="shared" si="12"/>
        <v>41289.619999999974</v>
      </c>
    </row>
    <row r="829" spans="2:9" x14ac:dyDescent="0.25">
      <c r="B829" s="261"/>
      <c r="C829" s="261" t="s">
        <v>14729</v>
      </c>
      <c r="D829" s="288">
        <v>43887</v>
      </c>
      <c r="E829" s="269" t="s">
        <v>14728</v>
      </c>
      <c r="F829" s="257" t="s">
        <v>14413</v>
      </c>
      <c r="G829" s="258">
        <v>1.94</v>
      </c>
      <c r="I829" s="276">
        <f t="shared" si="12"/>
        <v>41291.559999999976</v>
      </c>
    </row>
    <row r="830" spans="2:9" x14ac:dyDescent="0.25">
      <c r="B830" s="260"/>
      <c r="C830" s="261" t="s">
        <v>14727</v>
      </c>
      <c r="D830" s="288">
        <v>43887</v>
      </c>
      <c r="E830" s="269" t="s">
        <v>14726</v>
      </c>
      <c r="F830" s="257" t="s">
        <v>14437</v>
      </c>
      <c r="G830" s="160">
        <v>25</v>
      </c>
      <c r="I830" s="276">
        <f t="shared" si="12"/>
        <v>41316.559999999976</v>
      </c>
    </row>
    <row r="831" spans="2:9" ht="19.5" x14ac:dyDescent="0.25">
      <c r="B831" s="261"/>
      <c r="C831" s="261" t="s">
        <v>14725</v>
      </c>
      <c r="D831" s="288">
        <v>43888</v>
      </c>
      <c r="E831" s="269" t="s">
        <v>14724</v>
      </c>
      <c r="F831" s="257" t="s">
        <v>14453</v>
      </c>
      <c r="G831" s="160">
        <v>25.14</v>
      </c>
      <c r="I831" s="276">
        <f t="shared" si="12"/>
        <v>41341.699999999975</v>
      </c>
    </row>
    <row r="832" spans="2:9" x14ac:dyDescent="0.25">
      <c r="B832" s="261"/>
      <c r="C832" s="261" t="s">
        <v>14723</v>
      </c>
      <c r="D832" s="288">
        <v>43888</v>
      </c>
      <c r="E832" s="269" t="s">
        <v>14722</v>
      </c>
      <c r="F832" s="257" t="s">
        <v>14453</v>
      </c>
      <c r="G832" s="160">
        <v>18.63</v>
      </c>
      <c r="I832" s="276">
        <f t="shared" si="12"/>
        <v>41360.329999999973</v>
      </c>
    </row>
    <row r="833" spans="2:9" x14ac:dyDescent="0.25">
      <c r="B833" s="260"/>
      <c r="C833" s="261" t="s">
        <v>14721</v>
      </c>
      <c r="D833" s="288">
        <v>43888</v>
      </c>
      <c r="E833" s="269" t="s">
        <v>14720</v>
      </c>
      <c r="F833" s="257" t="s">
        <v>14437</v>
      </c>
      <c r="G833" s="160">
        <v>16</v>
      </c>
      <c r="I833" s="276">
        <f t="shared" si="12"/>
        <v>41376.329999999973</v>
      </c>
    </row>
    <row r="834" spans="2:9" x14ac:dyDescent="0.25">
      <c r="B834" s="261"/>
      <c r="C834" s="261" t="s">
        <v>14719</v>
      </c>
      <c r="D834" s="288">
        <v>43888</v>
      </c>
      <c r="E834" s="269" t="s">
        <v>14718</v>
      </c>
      <c r="F834" s="257" t="s">
        <v>14453</v>
      </c>
      <c r="G834" s="160">
        <v>8.3800000000000008</v>
      </c>
      <c r="I834" s="276">
        <f t="shared" si="12"/>
        <v>41384.70999999997</v>
      </c>
    </row>
    <row r="835" spans="2:9" x14ac:dyDescent="0.25">
      <c r="B835" s="261"/>
      <c r="C835" s="261" t="s">
        <v>14717</v>
      </c>
      <c r="D835" s="288">
        <v>43888</v>
      </c>
      <c r="E835" s="269" t="s">
        <v>14716</v>
      </c>
      <c r="F835" s="257" t="s">
        <v>14453</v>
      </c>
      <c r="G835" s="160">
        <v>26.19</v>
      </c>
      <c r="I835" s="276">
        <f t="shared" si="12"/>
        <v>41410.899999999972</v>
      </c>
    </row>
    <row r="836" spans="2:9" x14ac:dyDescent="0.25">
      <c r="B836" s="261"/>
      <c r="C836" s="261" t="s">
        <v>14715</v>
      </c>
      <c r="D836" s="288">
        <v>43888</v>
      </c>
      <c r="E836" s="269" t="s">
        <v>14714</v>
      </c>
      <c r="F836" s="257" t="s">
        <v>14453</v>
      </c>
      <c r="G836" s="160">
        <v>3.91</v>
      </c>
      <c r="I836" s="276">
        <f t="shared" si="12"/>
        <v>41414.809999999976</v>
      </c>
    </row>
    <row r="837" spans="2:9" x14ac:dyDescent="0.25">
      <c r="B837" s="261"/>
      <c r="C837" s="261" t="s">
        <v>14713</v>
      </c>
      <c r="D837" s="288">
        <v>43888</v>
      </c>
      <c r="E837" s="269" t="s">
        <v>14712</v>
      </c>
      <c r="F837" s="257" t="s">
        <v>14453</v>
      </c>
      <c r="G837" s="160">
        <v>3.91</v>
      </c>
      <c r="I837" s="276">
        <f t="shared" si="12"/>
        <v>41418.719999999979</v>
      </c>
    </row>
    <row r="838" spans="2:9" x14ac:dyDescent="0.25">
      <c r="B838" s="261"/>
      <c r="C838" s="261" t="s">
        <v>14711</v>
      </c>
      <c r="D838" s="288">
        <v>43888</v>
      </c>
      <c r="E838" s="269" t="s">
        <v>14710</v>
      </c>
      <c r="F838" s="257" t="s">
        <v>14453</v>
      </c>
      <c r="G838" s="160">
        <v>8.3800000000000008</v>
      </c>
      <c r="I838" s="276">
        <f t="shared" si="12"/>
        <v>41427.099999999977</v>
      </c>
    </row>
    <row r="839" spans="2:9" x14ac:dyDescent="0.2">
      <c r="B839" s="260"/>
      <c r="C839" s="261" t="s">
        <v>14709</v>
      </c>
      <c r="D839" s="288">
        <v>43888</v>
      </c>
      <c r="E839" s="269" t="s">
        <v>14708</v>
      </c>
      <c r="F839" s="257">
        <v>17</v>
      </c>
      <c r="G839" s="255">
        <v>3.37</v>
      </c>
      <c r="H839" s="103"/>
      <c r="I839" s="276">
        <f t="shared" si="12"/>
        <v>41430.469999999979</v>
      </c>
    </row>
    <row r="840" spans="2:9" x14ac:dyDescent="0.2">
      <c r="B840" s="260"/>
      <c r="C840" s="261" t="s">
        <v>14707</v>
      </c>
      <c r="D840" s="288">
        <v>43888</v>
      </c>
      <c r="E840" s="269" t="s">
        <v>14706</v>
      </c>
      <c r="F840" s="257">
        <v>17</v>
      </c>
      <c r="G840" s="255">
        <v>3.45</v>
      </c>
      <c r="H840" s="103"/>
      <c r="I840" s="276">
        <f t="shared" si="12"/>
        <v>41433.919999999976</v>
      </c>
    </row>
    <row r="841" spans="2:9" x14ac:dyDescent="0.2">
      <c r="B841" s="260"/>
      <c r="C841" s="261" t="s">
        <v>14705</v>
      </c>
      <c r="D841" s="288">
        <v>43888</v>
      </c>
      <c r="E841" s="269" t="s">
        <v>14704</v>
      </c>
      <c r="F841" s="257">
        <v>17</v>
      </c>
      <c r="G841" s="255">
        <v>3.38</v>
      </c>
      <c r="H841" s="103"/>
      <c r="I841" s="276">
        <f t="shared" si="12"/>
        <v>41437.299999999974</v>
      </c>
    </row>
    <row r="842" spans="2:9" x14ac:dyDescent="0.25">
      <c r="B842" s="261"/>
      <c r="C842" s="261" t="s">
        <v>14703</v>
      </c>
      <c r="D842" s="288">
        <v>43888</v>
      </c>
      <c r="E842" s="269" t="s">
        <v>14702</v>
      </c>
      <c r="F842" s="257" t="s">
        <v>14413</v>
      </c>
      <c r="G842" s="258">
        <v>7.63</v>
      </c>
      <c r="I842" s="276">
        <f t="shared" si="12"/>
        <v>41444.929999999971</v>
      </c>
    </row>
    <row r="843" spans="2:9" x14ac:dyDescent="0.25">
      <c r="B843" s="261"/>
      <c r="C843" s="261" t="s">
        <v>14701</v>
      </c>
      <c r="D843" s="288">
        <v>43888</v>
      </c>
      <c r="E843" s="269" t="s">
        <v>14700</v>
      </c>
      <c r="F843" s="257" t="s">
        <v>14413</v>
      </c>
      <c r="G843" s="258">
        <v>3.68</v>
      </c>
      <c r="I843" s="276">
        <f t="shared" si="12"/>
        <v>41448.609999999971</v>
      </c>
    </row>
    <row r="844" spans="2:9" x14ac:dyDescent="0.25">
      <c r="B844" s="261"/>
      <c r="C844" s="261" t="s">
        <v>14699</v>
      </c>
      <c r="D844" s="288">
        <v>43888</v>
      </c>
      <c r="E844" s="269" t="s">
        <v>14698</v>
      </c>
      <c r="F844" s="257" t="s">
        <v>14413</v>
      </c>
      <c r="G844" s="258">
        <v>8.0399999999999991</v>
      </c>
      <c r="I844" s="276">
        <f t="shared" si="12"/>
        <v>41456.649999999972</v>
      </c>
    </row>
    <row r="845" spans="2:9" x14ac:dyDescent="0.25">
      <c r="B845" s="261"/>
      <c r="C845" s="261" t="s">
        <v>14697</v>
      </c>
      <c r="D845" s="288">
        <v>43888</v>
      </c>
      <c r="E845" s="269" t="s">
        <v>14696</v>
      </c>
      <c r="F845" s="257" t="s">
        <v>14413</v>
      </c>
      <c r="G845" s="258">
        <v>7.12</v>
      </c>
      <c r="I845" s="276">
        <f t="shared" si="12"/>
        <v>41463.769999999975</v>
      </c>
    </row>
    <row r="846" spans="2:9" x14ac:dyDescent="0.25">
      <c r="B846" s="261"/>
      <c r="C846" s="261" t="s">
        <v>14695</v>
      </c>
      <c r="D846" s="288">
        <v>43888</v>
      </c>
      <c r="E846" s="269" t="s">
        <v>14694</v>
      </c>
      <c r="F846" s="257" t="s">
        <v>14413</v>
      </c>
      <c r="G846" s="258">
        <v>11.8</v>
      </c>
      <c r="I846" s="276">
        <f t="shared" si="12"/>
        <v>41475.569999999978</v>
      </c>
    </row>
    <row r="847" spans="2:9" ht="19.5" x14ac:dyDescent="0.25">
      <c r="B847" s="261"/>
      <c r="C847" s="261" t="s">
        <v>14693</v>
      </c>
      <c r="D847" s="288">
        <v>43888</v>
      </c>
      <c r="E847" s="269" t="s">
        <v>14692</v>
      </c>
      <c r="F847" s="257" t="s">
        <v>14413</v>
      </c>
      <c r="G847" s="258">
        <v>7.23</v>
      </c>
      <c r="I847" s="276">
        <f t="shared" si="12"/>
        <v>41482.799999999981</v>
      </c>
    </row>
    <row r="848" spans="2:9" x14ac:dyDescent="0.25">
      <c r="B848" s="261"/>
      <c r="C848" s="261" t="s">
        <v>14691</v>
      </c>
      <c r="D848" s="288">
        <v>43888</v>
      </c>
      <c r="E848" s="269" t="s">
        <v>14690</v>
      </c>
      <c r="F848" s="257" t="s">
        <v>14413</v>
      </c>
      <c r="G848" s="258">
        <v>3.44</v>
      </c>
      <c r="I848" s="276">
        <f t="shared" si="12"/>
        <v>41486.239999999983</v>
      </c>
    </row>
    <row r="849" spans="2:9" x14ac:dyDescent="0.25">
      <c r="B849" s="261"/>
      <c r="C849" s="261" t="s">
        <v>14689</v>
      </c>
      <c r="D849" s="288">
        <v>43888</v>
      </c>
      <c r="E849" s="269" t="s">
        <v>14688</v>
      </c>
      <c r="F849" s="257" t="s">
        <v>14413</v>
      </c>
      <c r="G849" s="258">
        <v>1.68</v>
      </c>
      <c r="I849" s="276">
        <f t="shared" si="12"/>
        <v>41487.919999999984</v>
      </c>
    </row>
    <row r="850" spans="2:9" x14ac:dyDescent="0.25">
      <c r="B850" s="261"/>
      <c r="C850" s="261" t="s">
        <v>14687</v>
      </c>
      <c r="D850" s="288">
        <v>43888</v>
      </c>
      <c r="E850" s="269" t="s">
        <v>14686</v>
      </c>
      <c r="F850" s="257" t="s">
        <v>14413</v>
      </c>
      <c r="G850" s="258">
        <v>2.4500000000000002</v>
      </c>
      <c r="I850" s="276">
        <f t="shared" si="12"/>
        <v>41490.369999999981</v>
      </c>
    </row>
    <row r="851" spans="2:9" x14ac:dyDescent="0.25">
      <c r="B851" s="261"/>
      <c r="C851" s="261" t="s">
        <v>14685</v>
      </c>
      <c r="D851" s="288">
        <v>43888</v>
      </c>
      <c r="E851" s="269" t="s">
        <v>14684</v>
      </c>
      <c r="F851" s="257" t="s">
        <v>14413</v>
      </c>
      <c r="G851" s="258">
        <v>6.94</v>
      </c>
      <c r="I851" s="276">
        <f t="shared" si="12"/>
        <v>41497.309999999983</v>
      </c>
    </row>
    <row r="852" spans="2:9" x14ac:dyDescent="0.25">
      <c r="B852" s="261"/>
      <c r="C852" s="261" t="s">
        <v>14683</v>
      </c>
      <c r="D852" s="288">
        <v>43888</v>
      </c>
      <c r="E852" s="269" t="s">
        <v>14682</v>
      </c>
      <c r="F852" s="257" t="s">
        <v>14413</v>
      </c>
      <c r="G852" s="258">
        <v>16.22</v>
      </c>
      <c r="I852" s="276">
        <f t="shared" ref="I852:I915" si="13">+I851+G852-H852</f>
        <v>41513.529999999984</v>
      </c>
    </row>
    <row r="853" spans="2:9" x14ac:dyDescent="0.25">
      <c r="B853" s="261"/>
      <c r="C853" s="261" t="s">
        <v>14681</v>
      </c>
      <c r="D853" s="288">
        <v>43888</v>
      </c>
      <c r="E853" s="269" t="s">
        <v>14680</v>
      </c>
      <c r="F853" s="257" t="s">
        <v>14413</v>
      </c>
      <c r="G853" s="258">
        <v>0.04</v>
      </c>
      <c r="I853" s="276">
        <f t="shared" si="13"/>
        <v>41513.569999999985</v>
      </c>
    </row>
    <row r="854" spans="2:9" x14ac:dyDescent="0.25">
      <c r="B854" s="261"/>
      <c r="C854" s="261" t="s">
        <v>14679</v>
      </c>
      <c r="D854" s="288">
        <v>43888</v>
      </c>
      <c r="E854" s="269" t="s">
        <v>14678</v>
      </c>
      <c r="F854" s="257" t="s">
        <v>14413</v>
      </c>
      <c r="G854" s="258">
        <v>0.84</v>
      </c>
      <c r="I854" s="276">
        <f t="shared" si="13"/>
        <v>41514.409999999982</v>
      </c>
    </row>
    <row r="855" spans="2:9" x14ac:dyDescent="0.25">
      <c r="B855" s="261"/>
      <c r="C855" s="261" t="s">
        <v>14677</v>
      </c>
      <c r="D855" s="288">
        <v>43888</v>
      </c>
      <c r="E855" s="269" t="s">
        <v>14676</v>
      </c>
      <c r="F855" s="257" t="s">
        <v>14413</v>
      </c>
      <c r="G855" s="258">
        <v>1.78</v>
      </c>
      <c r="I855" s="276">
        <f t="shared" si="13"/>
        <v>41516.189999999981</v>
      </c>
    </row>
    <row r="856" spans="2:9" x14ac:dyDescent="0.25">
      <c r="B856" s="261"/>
      <c r="C856" s="261" t="s">
        <v>14675</v>
      </c>
      <c r="D856" s="288">
        <v>43888</v>
      </c>
      <c r="E856" s="269" t="s">
        <v>14674</v>
      </c>
      <c r="F856" s="257" t="s">
        <v>14413</v>
      </c>
      <c r="G856" s="258">
        <v>9.4</v>
      </c>
      <c r="I856" s="276">
        <f t="shared" si="13"/>
        <v>41525.589999999982</v>
      </c>
    </row>
    <row r="857" spans="2:9" x14ac:dyDescent="0.25">
      <c r="B857" s="261"/>
      <c r="C857" s="261" t="s">
        <v>14673</v>
      </c>
      <c r="D857" s="288">
        <v>43888</v>
      </c>
      <c r="E857" s="269" t="s">
        <v>14672</v>
      </c>
      <c r="F857" s="257" t="s">
        <v>14413</v>
      </c>
      <c r="G857" s="258">
        <v>8.3800000000000008</v>
      </c>
      <c r="I857" s="276">
        <f t="shared" si="13"/>
        <v>41533.969999999979</v>
      </c>
    </row>
    <row r="858" spans="2:9" x14ac:dyDescent="0.25">
      <c r="B858" s="261"/>
      <c r="C858" s="261" t="s">
        <v>14671</v>
      </c>
      <c r="D858" s="288">
        <v>43888</v>
      </c>
      <c r="E858" s="269" t="s">
        <v>14670</v>
      </c>
      <c r="F858" s="257" t="s">
        <v>14413</v>
      </c>
      <c r="G858" s="258">
        <v>3.92</v>
      </c>
      <c r="I858" s="276">
        <f t="shared" si="13"/>
        <v>41537.889999999978</v>
      </c>
    </row>
    <row r="859" spans="2:9" ht="19.5" x14ac:dyDescent="0.25">
      <c r="B859" s="261"/>
      <c r="C859" s="261" t="s">
        <v>14669</v>
      </c>
      <c r="D859" s="288">
        <v>43888</v>
      </c>
      <c r="E859" s="269" t="s">
        <v>14668</v>
      </c>
      <c r="F859" s="257" t="s">
        <v>14413</v>
      </c>
      <c r="G859" s="258">
        <v>38.5</v>
      </c>
      <c r="I859" s="276">
        <f t="shared" si="13"/>
        <v>41576.389999999978</v>
      </c>
    </row>
    <row r="860" spans="2:9" x14ac:dyDescent="0.25">
      <c r="B860" s="261"/>
      <c r="C860" s="261" t="s">
        <v>14667</v>
      </c>
      <c r="D860" s="288">
        <v>43888</v>
      </c>
      <c r="E860" s="269" t="s">
        <v>14666</v>
      </c>
      <c r="F860" s="257" t="s">
        <v>14413</v>
      </c>
      <c r="G860" s="258">
        <v>9.36</v>
      </c>
      <c r="I860" s="276">
        <f t="shared" si="13"/>
        <v>41585.749999999978</v>
      </c>
    </row>
    <row r="861" spans="2:9" x14ac:dyDescent="0.25">
      <c r="B861" s="261"/>
      <c r="C861" s="261" t="s">
        <v>14665</v>
      </c>
      <c r="D861" s="288">
        <v>43888</v>
      </c>
      <c r="E861" s="269" t="s">
        <v>14664</v>
      </c>
      <c r="F861" s="257" t="s">
        <v>14413</v>
      </c>
      <c r="G861" s="258">
        <v>0.72</v>
      </c>
      <c r="I861" s="276">
        <f t="shared" si="13"/>
        <v>41586.469999999979</v>
      </c>
    </row>
    <row r="862" spans="2:9" x14ac:dyDescent="0.25">
      <c r="B862" s="261"/>
      <c r="C862" s="261" t="s">
        <v>14663</v>
      </c>
      <c r="D862" s="288">
        <v>43888</v>
      </c>
      <c r="E862" s="269" t="s">
        <v>14662</v>
      </c>
      <c r="F862" s="257" t="s">
        <v>14413</v>
      </c>
      <c r="G862" s="258">
        <v>13.88</v>
      </c>
      <c r="I862" s="276">
        <f t="shared" si="13"/>
        <v>41600.349999999977</v>
      </c>
    </row>
    <row r="863" spans="2:9" x14ac:dyDescent="0.25">
      <c r="B863" s="261"/>
      <c r="C863" s="261" t="s">
        <v>14661</v>
      </c>
      <c r="D863" s="288">
        <v>43888</v>
      </c>
      <c r="E863" s="269" t="s">
        <v>14660</v>
      </c>
      <c r="F863" s="257" t="s">
        <v>14413</v>
      </c>
      <c r="G863" s="258">
        <v>6.16</v>
      </c>
      <c r="I863" s="276">
        <f t="shared" si="13"/>
        <v>41606.50999999998</v>
      </c>
    </row>
    <row r="864" spans="2:9" x14ac:dyDescent="0.25">
      <c r="B864" s="261"/>
      <c r="C864" s="261" t="s">
        <v>14659</v>
      </c>
      <c r="D864" s="288">
        <v>43888</v>
      </c>
      <c r="E864" s="269" t="s">
        <v>14658</v>
      </c>
      <c r="F864" s="257" t="s">
        <v>14413</v>
      </c>
      <c r="G864" s="258">
        <v>10.32</v>
      </c>
      <c r="I864" s="276">
        <f t="shared" si="13"/>
        <v>41616.82999999998</v>
      </c>
    </row>
    <row r="865" spans="2:9" x14ac:dyDescent="0.25">
      <c r="B865" s="261"/>
      <c r="C865" s="261" t="s">
        <v>14657</v>
      </c>
      <c r="D865" s="288">
        <v>43888</v>
      </c>
      <c r="E865" s="269" t="s">
        <v>14656</v>
      </c>
      <c r="F865" s="257" t="s">
        <v>14413</v>
      </c>
      <c r="G865" s="258">
        <v>10.28</v>
      </c>
      <c r="I865" s="276">
        <f t="shared" si="13"/>
        <v>41627.109999999979</v>
      </c>
    </row>
    <row r="866" spans="2:9" x14ac:dyDescent="0.25">
      <c r="B866" s="261"/>
      <c r="C866" s="261" t="s">
        <v>14655</v>
      </c>
      <c r="D866" s="288">
        <v>43888</v>
      </c>
      <c r="E866" s="269" t="s">
        <v>14654</v>
      </c>
      <c r="F866" s="257" t="s">
        <v>14413</v>
      </c>
      <c r="G866" s="258">
        <v>1.68</v>
      </c>
      <c r="I866" s="276">
        <f t="shared" si="13"/>
        <v>41628.789999999979</v>
      </c>
    </row>
    <row r="867" spans="2:9" x14ac:dyDescent="0.25">
      <c r="B867" s="261"/>
      <c r="C867" s="261" t="s">
        <v>14653</v>
      </c>
      <c r="D867" s="288">
        <v>43888</v>
      </c>
      <c r="E867" s="269" t="s">
        <v>14652</v>
      </c>
      <c r="F867" s="257" t="s">
        <v>14413</v>
      </c>
      <c r="G867" s="258">
        <v>8.99</v>
      </c>
      <c r="I867" s="276">
        <f t="shared" si="13"/>
        <v>41637.779999999977</v>
      </c>
    </row>
    <row r="868" spans="2:9" x14ac:dyDescent="0.25">
      <c r="B868" s="261"/>
      <c r="C868" s="261" t="s">
        <v>14651</v>
      </c>
      <c r="D868" s="288">
        <v>43888</v>
      </c>
      <c r="E868" s="269" t="s">
        <v>14650</v>
      </c>
      <c r="F868" s="257" t="s">
        <v>14413</v>
      </c>
      <c r="G868" s="258">
        <v>7.25</v>
      </c>
      <c r="I868" s="276">
        <f t="shared" si="13"/>
        <v>41645.029999999977</v>
      </c>
    </row>
    <row r="869" spans="2:9" x14ac:dyDescent="0.25">
      <c r="B869" s="261"/>
      <c r="C869" s="261" t="s">
        <v>14649</v>
      </c>
      <c r="D869" s="288">
        <v>43888</v>
      </c>
      <c r="E869" s="269" t="s">
        <v>14648</v>
      </c>
      <c r="F869" s="257" t="s">
        <v>14413</v>
      </c>
      <c r="G869" s="258">
        <v>4.88</v>
      </c>
      <c r="I869" s="276">
        <f t="shared" si="13"/>
        <v>41649.909999999974</v>
      </c>
    </row>
    <row r="870" spans="2:9" x14ac:dyDescent="0.25">
      <c r="B870" s="261"/>
      <c r="C870" s="261" t="s">
        <v>14647</v>
      </c>
      <c r="D870" s="288">
        <v>43888</v>
      </c>
      <c r="E870" s="269" t="s">
        <v>14646</v>
      </c>
      <c r="F870" s="257" t="s">
        <v>14413</v>
      </c>
      <c r="G870" s="258">
        <v>13.88</v>
      </c>
      <c r="I870" s="276">
        <f t="shared" si="13"/>
        <v>41663.789999999972</v>
      </c>
    </row>
    <row r="871" spans="2:9" x14ac:dyDescent="0.25">
      <c r="B871" s="261"/>
      <c r="C871" s="261" t="s">
        <v>14645</v>
      </c>
      <c r="D871" s="288">
        <v>43888</v>
      </c>
      <c r="E871" s="269" t="s">
        <v>14644</v>
      </c>
      <c r="F871" s="257" t="s">
        <v>14413</v>
      </c>
      <c r="G871" s="258">
        <v>23.33</v>
      </c>
      <c r="I871" s="276">
        <f t="shared" si="13"/>
        <v>41687.119999999974</v>
      </c>
    </row>
    <row r="872" spans="2:9" x14ac:dyDescent="0.25">
      <c r="B872" s="261"/>
      <c r="C872" s="261" t="s">
        <v>14643</v>
      </c>
      <c r="D872" s="288">
        <v>43888</v>
      </c>
      <c r="E872" s="269" t="s">
        <v>14642</v>
      </c>
      <c r="F872" s="257" t="s">
        <v>14413</v>
      </c>
      <c r="G872" s="258">
        <v>11.2</v>
      </c>
      <c r="I872" s="276">
        <f t="shared" si="13"/>
        <v>41698.319999999971</v>
      </c>
    </row>
    <row r="873" spans="2:9" x14ac:dyDescent="0.25">
      <c r="B873" s="261"/>
      <c r="C873" s="261" t="s">
        <v>14641</v>
      </c>
      <c r="D873" s="288">
        <v>43888</v>
      </c>
      <c r="E873" s="269" t="s">
        <v>14640</v>
      </c>
      <c r="F873" s="257" t="s">
        <v>14413</v>
      </c>
      <c r="G873" s="258">
        <v>8.3800000000000008</v>
      </c>
      <c r="I873" s="276">
        <f t="shared" si="13"/>
        <v>41706.699999999968</v>
      </c>
    </row>
    <row r="874" spans="2:9" x14ac:dyDescent="0.25">
      <c r="B874" s="261"/>
      <c r="C874" s="261" t="s">
        <v>14639</v>
      </c>
      <c r="D874" s="288">
        <v>43888</v>
      </c>
      <c r="E874" s="269" t="s">
        <v>14638</v>
      </c>
      <c r="F874" s="257" t="s">
        <v>14413</v>
      </c>
      <c r="G874" s="258">
        <v>2.68</v>
      </c>
      <c r="I874" s="276">
        <f t="shared" si="13"/>
        <v>41709.379999999968</v>
      </c>
    </row>
    <row r="875" spans="2:9" x14ac:dyDescent="0.25">
      <c r="B875" s="261"/>
      <c r="C875" s="261" t="s">
        <v>14637</v>
      </c>
      <c r="D875" s="288">
        <v>43888</v>
      </c>
      <c r="E875" s="269" t="s">
        <v>14636</v>
      </c>
      <c r="F875" s="257" t="s">
        <v>14413</v>
      </c>
      <c r="G875" s="258">
        <v>5.04</v>
      </c>
      <c r="I875" s="276">
        <f t="shared" si="13"/>
        <v>41714.419999999969</v>
      </c>
    </row>
    <row r="876" spans="2:9" x14ac:dyDescent="0.25">
      <c r="B876" s="261"/>
      <c r="C876" s="261" t="s">
        <v>14635</v>
      </c>
      <c r="D876" s="288">
        <v>43888</v>
      </c>
      <c r="E876" s="269" t="s">
        <v>14634</v>
      </c>
      <c r="F876" s="257" t="s">
        <v>14413</v>
      </c>
      <c r="G876" s="258">
        <v>1.68</v>
      </c>
      <c r="I876" s="276">
        <f t="shared" si="13"/>
        <v>41716.099999999969</v>
      </c>
    </row>
    <row r="877" spans="2:9" x14ac:dyDescent="0.25">
      <c r="B877" s="261"/>
      <c r="C877" s="261" t="s">
        <v>14633</v>
      </c>
      <c r="D877" s="288">
        <v>43888</v>
      </c>
      <c r="E877" s="269" t="s">
        <v>14632</v>
      </c>
      <c r="F877" s="257" t="s">
        <v>14413</v>
      </c>
      <c r="G877" s="258">
        <v>5.4</v>
      </c>
      <c r="I877" s="276">
        <f t="shared" si="13"/>
        <v>41721.499999999971</v>
      </c>
    </row>
    <row r="878" spans="2:9" x14ac:dyDescent="0.25">
      <c r="B878" s="261"/>
      <c r="C878" s="261" t="s">
        <v>14631</v>
      </c>
      <c r="D878" s="288">
        <v>43888</v>
      </c>
      <c r="E878" s="269" t="s">
        <v>14630</v>
      </c>
      <c r="F878" s="257" t="s">
        <v>14413</v>
      </c>
      <c r="G878" s="258">
        <v>2.2000000000000002</v>
      </c>
      <c r="I878" s="276">
        <f t="shared" si="13"/>
        <v>41723.699999999968</v>
      </c>
    </row>
    <row r="879" spans="2:9" x14ac:dyDescent="0.25">
      <c r="B879" s="261"/>
      <c r="C879" s="261" t="s">
        <v>14629</v>
      </c>
      <c r="D879" s="288">
        <v>43888</v>
      </c>
      <c r="E879" s="269" t="s">
        <v>14628</v>
      </c>
      <c r="F879" s="257" t="s">
        <v>14413</v>
      </c>
      <c r="G879" s="258">
        <v>1.68</v>
      </c>
      <c r="I879" s="276">
        <f t="shared" si="13"/>
        <v>41725.379999999968</v>
      </c>
    </row>
    <row r="880" spans="2:9" x14ac:dyDescent="0.25">
      <c r="B880" s="261"/>
      <c r="C880" s="261" t="s">
        <v>14627</v>
      </c>
      <c r="D880" s="288">
        <v>43888</v>
      </c>
      <c r="E880" s="269" t="s">
        <v>14626</v>
      </c>
      <c r="F880" s="257" t="s">
        <v>14413</v>
      </c>
      <c r="G880" s="258">
        <v>2.61</v>
      </c>
      <c r="I880" s="276">
        <f t="shared" si="13"/>
        <v>41727.989999999969</v>
      </c>
    </row>
    <row r="881" spans="2:9" x14ac:dyDescent="0.25">
      <c r="B881" s="261"/>
      <c r="C881" s="261" t="s">
        <v>14625</v>
      </c>
      <c r="D881" s="288">
        <v>43888</v>
      </c>
      <c r="E881" s="269" t="s">
        <v>14624</v>
      </c>
      <c r="F881" s="257" t="s">
        <v>14413</v>
      </c>
      <c r="G881" s="258">
        <v>2.2000000000000002</v>
      </c>
      <c r="I881" s="276">
        <f t="shared" si="13"/>
        <v>41730.189999999966</v>
      </c>
    </row>
    <row r="882" spans="2:9" x14ac:dyDescent="0.25">
      <c r="B882" s="261"/>
      <c r="C882" s="261" t="s">
        <v>14623</v>
      </c>
      <c r="D882" s="288">
        <v>43888</v>
      </c>
      <c r="E882" s="269" t="s">
        <v>14622</v>
      </c>
      <c r="F882" s="257" t="s">
        <v>14449</v>
      </c>
      <c r="G882" s="160">
        <v>6.38</v>
      </c>
      <c r="I882" s="276">
        <f t="shared" si="13"/>
        <v>41736.569999999963</v>
      </c>
    </row>
    <row r="883" spans="2:9" x14ac:dyDescent="0.25">
      <c r="B883" s="300" t="s">
        <v>14436</v>
      </c>
      <c r="C883" s="261" t="s">
        <v>14621</v>
      </c>
      <c r="D883" s="288">
        <v>43889</v>
      </c>
      <c r="E883" s="269" t="s">
        <v>14620</v>
      </c>
      <c r="G883" s="160">
        <v>17.39</v>
      </c>
      <c r="I883" s="276">
        <f t="shared" si="13"/>
        <v>41753.959999999963</v>
      </c>
    </row>
    <row r="884" spans="2:9" x14ac:dyDescent="0.25">
      <c r="B884" s="300" t="s">
        <v>14436</v>
      </c>
      <c r="C884" s="261" t="s">
        <v>14619</v>
      </c>
      <c r="D884" s="288">
        <v>43889</v>
      </c>
      <c r="E884" s="269" t="s">
        <v>14618</v>
      </c>
      <c r="G884" s="160">
        <v>6.94</v>
      </c>
      <c r="I884" s="276">
        <f t="shared" si="13"/>
        <v>41760.899999999965</v>
      </c>
    </row>
    <row r="885" spans="2:9" ht="19.5" x14ac:dyDescent="0.25">
      <c r="B885" s="260"/>
      <c r="C885" s="261" t="s">
        <v>14617</v>
      </c>
      <c r="D885" s="288">
        <v>43889</v>
      </c>
      <c r="E885" s="269" t="s">
        <v>14616</v>
      </c>
      <c r="F885" s="257" t="s">
        <v>14437</v>
      </c>
      <c r="G885" s="160">
        <v>155.25</v>
      </c>
      <c r="I885" s="276">
        <f t="shared" si="13"/>
        <v>41916.149999999965</v>
      </c>
    </row>
    <row r="886" spans="2:9" x14ac:dyDescent="0.25">
      <c r="B886" s="300" t="s">
        <v>14436</v>
      </c>
      <c r="C886" s="261" t="s">
        <v>14615</v>
      </c>
      <c r="D886" s="288">
        <v>43889</v>
      </c>
      <c r="E886" s="269" t="s">
        <v>14614</v>
      </c>
      <c r="G886" s="160">
        <v>11.13</v>
      </c>
      <c r="I886" s="276">
        <f t="shared" si="13"/>
        <v>41927.279999999962</v>
      </c>
    </row>
    <row r="887" spans="2:9" x14ac:dyDescent="0.25">
      <c r="B887" s="260"/>
      <c r="C887" s="261" t="s">
        <v>14613</v>
      </c>
      <c r="D887" s="288">
        <v>43889</v>
      </c>
      <c r="E887" s="269" t="s">
        <v>14612</v>
      </c>
      <c r="F887" s="257" t="s">
        <v>14437</v>
      </c>
      <c r="G887" s="160">
        <v>6.14</v>
      </c>
      <c r="I887" s="276">
        <f t="shared" si="13"/>
        <v>41933.419999999962</v>
      </c>
    </row>
    <row r="888" spans="2:9" x14ac:dyDescent="0.25">
      <c r="B888" s="300" t="s">
        <v>14436</v>
      </c>
      <c r="C888" s="261" t="s">
        <v>14611</v>
      </c>
      <c r="D888" s="288">
        <v>43889</v>
      </c>
      <c r="E888" s="269" t="s">
        <v>14610</v>
      </c>
      <c r="G888" s="160">
        <v>34.11</v>
      </c>
      <c r="I888" s="276">
        <f t="shared" si="13"/>
        <v>41967.529999999962</v>
      </c>
    </row>
    <row r="889" spans="2:9" x14ac:dyDescent="0.25">
      <c r="B889" s="300" t="s">
        <v>14436</v>
      </c>
      <c r="C889" s="261" t="s">
        <v>14609</v>
      </c>
      <c r="D889" s="288">
        <v>43889</v>
      </c>
      <c r="E889" s="269" t="s">
        <v>14608</v>
      </c>
      <c r="G889" s="160">
        <v>16.760000000000002</v>
      </c>
      <c r="I889" s="276">
        <f t="shared" si="13"/>
        <v>41984.289999999964</v>
      </c>
    </row>
    <row r="890" spans="2:9" ht="19.5" x14ac:dyDescent="0.25">
      <c r="B890" s="300" t="s">
        <v>14436</v>
      </c>
      <c r="C890" s="261" t="s">
        <v>14607</v>
      </c>
      <c r="D890" s="288">
        <v>43889</v>
      </c>
      <c r="E890" s="269" t="s">
        <v>14606</v>
      </c>
      <c r="G890" s="160">
        <v>25.32</v>
      </c>
      <c r="I890" s="276">
        <f t="shared" si="13"/>
        <v>42009.609999999964</v>
      </c>
    </row>
    <row r="891" spans="2:9" x14ac:dyDescent="0.25">
      <c r="B891" s="300" t="s">
        <v>14436</v>
      </c>
      <c r="C891" s="261" t="s">
        <v>14605</v>
      </c>
      <c r="D891" s="288">
        <v>43889</v>
      </c>
      <c r="E891" s="269" t="s">
        <v>14604</v>
      </c>
      <c r="G891" s="160">
        <v>5.81</v>
      </c>
      <c r="I891" s="276">
        <f t="shared" si="13"/>
        <v>42015.419999999962</v>
      </c>
    </row>
    <row r="892" spans="2:9" s="299" customFormat="1" x14ac:dyDescent="0.25">
      <c r="B892" s="294" t="s">
        <v>14414</v>
      </c>
      <c r="C892" s="295" t="s">
        <v>14603</v>
      </c>
      <c r="D892" s="296">
        <v>43889</v>
      </c>
      <c r="E892" s="297" t="s">
        <v>14602</v>
      </c>
      <c r="F892" s="294"/>
      <c r="G892" s="258">
        <v>1.92</v>
      </c>
      <c r="H892" s="298"/>
      <c r="I892" s="276">
        <f t="shared" si="13"/>
        <v>42017.33999999996</v>
      </c>
    </row>
    <row r="893" spans="2:9" s="299" customFormat="1" x14ac:dyDescent="0.25">
      <c r="B893" s="294" t="s">
        <v>14414</v>
      </c>
      <c r="C893" s="295" t="s">
        <v>14601</v>
      </c>
      <c r="D893" s="296">
        <v>43889</v>
      </c>
      <c r="E893" s="297" t="s">
        <v>14600</v>
      </c>
      <c r="F893" s="294"/>
      <c r="G893" s="258">
        <v>38.119999999999997</v>
      </c>
      <c r="H893" s="298"/>
      <c r="I893" s="276">
        <f t="shared" si="13"/>
        <v>42055.459999999963</v>
      </c>
    </row>
    <row r="894" spans="2:9" s="299" customFormat="1" x14ac:dyDescent="0.25">
      <c r="B894" s="294" t="s">
        <v>14414</v>
      </c>
      <c r="C894" s="295" t="s">
        <v>14599</v>
      </c>
      <c r="D894" s="296">
        <v>43889</v>
      </c>
      <c r="E894" s="297" t="s">
        <v>14598</v>
      </c>
      <c r="F894" s="294"/>
      <c r="G894" s="258">
        <v>3.64</v>
      </c>
      <c r="H894" s="298"/>
      <c r="I894" s="276">
        <f t="shared" si="13"/>
        <v>42059.099999999962</v>
      </c>
    </row>
    <row r="895" spans="2:9" s="299" customFormat="1" x14ac:dyDescent="0.25">
      <c r="B895" s="294" t="s">
        <v>14414</v>
      </c>
      <c r="C895" s="295" t="s">
        <v>14597</v>
      </c>
      <c r="D895" s="296">
        <v>43889</v>
      </c>
      <c r="E895" s="297" t="s">
        <v>14596</v>
      </c>
      <c r="F895" s="294"/>
      <c r="G895" s="258">
        <v>27.48</v>
      </c>
      <c r="H895" s="298"/>
      <c r="I895" s="276">
        <f t="shared" si="13"/>
        <v>42086.579999999965</v>
      </c>
    </row>
    <row r="896" spans="2:9" s="299" customFormat="1" x14ac:dyDescent="0.25">
      <c r="B896" s="294" t="s">
        <v>14414</v>
      </c>
      <c r="C896" s="295" t="s">
        <v>14595</v>
      </c>
      <c r="D896" s="296">
        <v>43889</v>
      </c>
      <c r="E896" s="297" t="s">
        <v>14594</v>
      </c>
      <c r="F896" s="294"/>
      <c r="G896" s="258">
        <v>2.04</v>
      </c>
      <c r="H896" s="298"/>
      <c r="I896" s="276">
        <f t="shared" si="13"/>
        <v>42088.619999999966</v>
      </c>
    </row>
    <row r="897" spans="2:9" s="299" customFormat="1" x14ac:dyDescent="0.25">
      <c r="B897" s="294" t="s">
        <v>14414</v>
      </c>
      <c r="C897" s="295" t="s">
        <v>14593</v>
      </c>
      <c r="D897" s="296">
        <v>43889</v>
      </c>
      <c r="E897" s="297" t="s">
        <v>14592</v>
      </c>
      <c r="F897" s="294"/>
      <c r="G897" s="258">
        <v>2.02</v>
      </c>
      <c r="H897" s="298"/>
      <c r="I897" s="276">
        <f t="shared" si="13"/>
        <v>42090.639999999963</v>
      </c>
    </row>
    <row r="898" spans="2:9" s="299" customFormat="1" x14ac:dyDescent="0.25">
      <c r="B898" s="294" t="s">
        <v>14414</v>
      </c>
      <c r="C898" s="295" t="s">
        <v>14591</v>
      </c>
      <c r="D898" s="296">
        <v>43889</v>
      </c>
      <c r="E898" s="297" t="s">
        <v>14590</v>
      </c>
      <c r="F898" s="294"/>
      <c r="G898" s="258">
        <v>2.84</v>
      </c>
      <c r="H898" s="298"/>
      <c r="I898" s="276">
        <f t="shared" si="13"/>
        <v>42093.47999999996</v>
      </c>
    </row>
    <row r="899" spans="2:9" s="299" customFormat="1" x14ac:dyDescent="0.25">
      <c r="B899" s="294" t="s">
        <v>14414</v>
      </c>
      <c r="C899" s="295" t="s">
        <v>14589</v>
      </c>
      <c r="D899" s="296">
        <v>43889</v>
      </c>
      <c r="E899" s="297" t="s">
        <v>14588</v>
      </c>
      <c r="F899" s="294"/>
      <c r="G899" s="258">
        <v>4.3600000000000003</v>
      </c>
      <c r="H899" s="298"/>
      <c r="I899" s="276">
        <f t="shared" si="13"/>
        <v>42097.83999999996</v>
      </c>
    </row>
    <row r="900" spans="2:9" s="299" customFormat="1" x14ac:dyDescent="0.25">
      <c r="B900" s="294" t="s">
        <v>14414</v>
      </c>
      <c r="C900" s="295" t="s">
        <v>14587</v>
      </c>
      <c r="D900" s="296">
        <v>43889</v>
      </c>
      <c r="E900" s="297" t="s">
        <v>14586</v>
      </c>
      <c r="F900" s="294"/>
      <c r="G900" s="258">
        <v>11.2</v>
      </c>
      <c r="H900" s="298"/>
      <c r="I900" s="276">
        <f t="shared" si="13"/>
        <v>42109.039999999957</v>
      </c>
    </row>
    <row r="901" spans="2:9" s="299" customFormat="1" x14ac:dyDescent="0.25">
      <c r="B901" s="294" t="s">
        <v>14414</v>
      </c>
      <c r="C901" s="295" t="s">
        <v>14585</v>
      </c>
      <c r="D901" s="296">
        <v>43889</v>
      </c>
      <c r="E901" s="297" t="s">
        <v>14584</v>
      </c>
      <c r="F901" s="294"/>
      <c r="G901" s="258">
        <v>1.68</v>
      </c>
      <c r="H901" s="298"/>
      <c r="I901" s="276">
        <f t="shared" si="13"/>
        <v>42110.719999999958</v>
      </c>
    </row>
    <row r="902" spans="2:9" s="299" customFormat="1" x14ac:dyDescent="0.25">
      <c r="B902" s="294" t="s">
        <v>14414</v>
      </c>
      <c r="C902" s="295" t="s">
        <v>14583</v>
      </c>
      <c r="D902" s="296">
        <v>43889</v>
      </c>
      <c r="E902" s="297" t="s">
        <v>14582</v>
      </c>
      <c r="F902" s="294"/>
      <c r="G902" s="258">
        <v>6.69</v>
      </c>
      <c r="H902" s="298"/>
      <c r="I902" s="276">
        <f t="shared" si="13"/>
        <v>42117.40999999996</v>
      </c>
    </row>
    <row r="903" spans="2:9" s="299" customFormat="1" x14ac:dyDescent="0.25">
      <c r="B903" s="294" t="s">
        <v>14414</v>
      </c>
      <c r="C903" s="295" t="s">
        <v>14581</v>
      </c>
      <c r="D903" s="296">
        <v>43889</v>
      </c>
      <c r="E903" s="297" t="s">
        <v>14580</v>
      </c>
      <c r="F903" s="294"/>
      <c r="G903" s="258">
        <v>10.52</v>
      </c>
      <c r="H903" s="298"/>
      <c r="I903" s="276">
        <f t="shared" si="13"/>
        <v>42127.929999999957</v>
      </c>
    </row>
    <row r="904" spans="2:9" s="299" customFormat="1" x14ac:dyDescent="0.25">
      <c r="B904" s="294" t="s">
        <v>14414</v>
      </c>
      <c r="C904" s="295" t="s">
        <v>14579</v>
      </c>
      <c r="D904" s="296">
        <v>43889</v>
      </c>
      <c r="E904" s="297" t="s">
        <v>14578</v>
      </c>
      <c r="F904" s="294"/>
      <c r="G904" s="258">
        <v>1.85</v>
      </c>
      <c r="H904" s="298"/>
      <c r="I904" s="276">
        <f t="shared" si="13"/>
        <v>42129.779999999955</v>
      </c>
    </row>
    <row r="905" spans="2:9" s="299" customFormat="1" x14ac:dyDescent="0.25">
      <c r="B905" s="294" t="s">
        <v>14414</v>
      </c>
      <c r="C905" s="295" t="s">
        <v>14577</v>
      </c>
      <c r="D905" s="296">
        <v>43889</v>
      </c>
      <c r="E905" s="297" t="s">
        <v>14576</v>
      </c>
      <c r="F905" s="294"/>
      <c r="G905" s="258">
        <v>5.15</v>
      </c>
      <c r="H905" s="298"/>
      <c r="I905" s="276">
        <f t="shared" si="13"/>
        <v>42134.929999999957</v>
      </c>
    </row>
    <row r="906" spans="2:9" s="299" customFormat="1" x14ac:dyDescent="0.25">
      <c r="B906" s="294" t="s">
        <v>14414</v>
      </c>
      <c r="C906" s="295" t="s">
        <v>14575</v>
      </c>
      <c r="D906" s="296">
        <v>43889</v>
      </c>
      <c r="E906" s="297" t="s">
        <v>14574</v>
      </c>
      <c r="F906" s="294"/>
      <c r="G906" s="258">
        <v>4.75</v>
      </c>
      <c r="H906" s="298"/>
      <c r="I906" s="276">
        <f t="shared" si="13"/>
        <v>42139.679999999957</v>
      </c>
    </row>
    <row r="907" spans="2:9" s="299" customFormat="1" x14ac:dyDescent="0.25">
      <c r="B907" s="294" t="s">
        <v>14414</v>
      </c>
      <c r="C907" s="295" t="s">
        <v>14573</v>
      </c>
      <c r="D907" s="296">
        <v>43889</v>
      </c>
      <c r="E907" s="297" t="s">
        <v>14572</v>
      </c>
      <c r="F907" s="294"/>
      <c r="G907" s="258">
        <v>5.49</v>
      </c>
      <c r="H907" s="298"/>
      <c r="I907" s="276">
        <f t="shared" si="13"/>
        <v>42145.169999999955</v>
      </c>
    </row>
    <row r="908" spans="2:9" s="299" customFormat="1" x14ac:dyDescent="0.25">
      <c r="B908" s="294" t="s">
        <v>14414</v>
      </c>
      <c r="C908" s="295" t="s">
        <v>14571</v>
      </c>
      <c r="D908" s="296">
        <v>43889</v>
      </c>
      <c r="E908" s="297" t="s">
        <v>14570</v>
      </c>
      <c r="F908" s="294"/>
      <c r="G908" s="258">
        <v>8.98</v>
      </c>
      <c r="H908" s="298"/>
      <c r="I908" s="276">
        <f t="shared" si="13"/>
        <v>42154.149999999958</v>
      </c>
    </row>
    <row r="909" spans="2:9" s="299" customFormat="1" x14ac:dyDescent="0.25">
      <c r="B909" s="294" t="s">
        <v>14414</v>
      </c>
      <c r="C909" s="295" t="s">
        <v>14569</v>
      </c>
      <c r="D909" s="296">
        <v>43889</v>
      </c>
      <c r="E909" s="297" t="s">
        <v>14568</v>
      </c>
      <c r="F909" s="294"/>
      <c r="G909" s="258">
        <v>4.26</v>
      </c>
      <c r="H909" s="298"/>
      <c r="I909" s="276">
        <f t="shared" si="13"/>
        <v>42158.40999999996</v>
      </c>
    </row>
    <row r="910" spans="2:9" s="299" customFormat="1" x14ac:dyDescent="0.25">
      <c r="B910" s="294" t="s">
        <v>14414</v>
      </c>
      <c r="C910" s="295" t="s">
        <v>14567</v>
      </c>
      <c r="D910" s="296">
        <v>43889</v>
      </c>
      <c r="E910" s="297" t="s">
        <v>14566</v>
      </c>
      <c r="F910" s="294"/>
      <c r="G910" s="258">
        <v>3.26</v>
      </c>
      <c r="H910" s="298"/>
      <c r="I910" s="276">
        <f t="shared" si="13"/>
        <v>42161.669999999962</v>
      </c>
    </row>
    <row r="911" spans="2:9" s="299" customFormat="1" x14ac:dyDescent="0.25">
      <c r="B911" s="294" t="s">
        <v>14414</v>
      </c>
      <c r="C911" s="295" t="s">
        <v>14565</v>
      </c>
      <c r="D911" s="296">
        <v>43889</v>
      </c>
      <c r="E911" s="297" t="s">
        <v>14564</v>
      </c>
      <c r="F911" s="294"/>
      <c r="G911" s="258">
        <v>1.72</v>
      </c>
      <c r="H911" s="298"/>
      <c r="I911" s="276">
        <f t="shared" si="13"/>
        <v>42163.389999999963</v>
      </c>
    </row>
    <row r="912" spans="2:9" s="299" customFormat="1" x14ac:dyDescent="0.25">
      <c r="B912" s="294" t="s">
        <v>14414</v>
      </c>
      <c r="C912" s="295" t="s">
        <v>14563</v>
      </c>
      <c r="D912" s="296">
        <v>43889</v>
      </c>
      <c r="E912" s="297" t="s">
        <v>14562</v>
      </c>
      <c r="F912" s="294"/>
      <c r="G912" s="258">
        <v>1.72</v>
      </c>
      <c r="H912" s="298"/>
      <c r="I912" s="276">
        <f t="shared" si="13"/>
        <v>42165.109999999964</v>
      </c>
    </row>
    <row r="913" spans="2:9" s="299" customFormat="1" x14ac:dyDescent="0.25">
      <c r="B913" s="294" t="s">
        <v>14414</v>
      </c>
      <c r="C913" s="295" t="s">
        <v>14561</v>
      </c>
      <c r="D913" s="296">
        <v>43889</v>
      </c>
      <c r="E913" s="297" t="s">
        <v>14560</v>
      </c>
      <c r="F913" s="294"/>
      <c r="G913" s="258">
        <v>40.99</v>
      </c>
      <c r="H913" s="298"/>
      <c r="I913" s="276">
        <f t="shared" si="13"/>
        <v>42206.099999999962</v>
      </c>
    </row>
    <row r="914" spans="2:9" s="299" customFormat="1" x14ac:dyDescent="0.25">
      <c r="B914" s="294" t="s">
        <v>14414</v>
      </c>
      <c r="C914" s="295" t="s">
        <v>14559</v>
      </c>
      <c r="D914" s="296">
        <v>43889</v>
      </c>
      <c r="E914" s="297" t="s">
        <v>14558</v>
      </c>
      <c r="F914" s="294"/>
      <c r="G914" s="258">
        <v>0.92</v>
      </c>
      <c r="H914" s="298"/>
      <c r="I914" s="276">
        <f t="shared" si="13"/>
        <v>42207.01999999996</v>
      </c>
    </row>
    <row r="915" spans="2:9" s="299" customFormat="1" x14ac:dyDescent="0.25">
      <c r="B915" s="294" t="s">
        <v>14414</v>
      </c>
      <c r="C915" s="295" t="s">
        <v>14557</v>
      </c>
      <c r="D915" s="296">
        <v>43889</v>
      </c>
      <c r="E915" s="297" t="s">
        <v>14556</v>
      </c>
      <c r="F915" s="294"/>
      <c r="G915" s="258">
        <v>15.85</v>
      </c>
      <c r="H915" s="298"/>
      <c r="I915" s="276">
        <f t="shared" si="13"/>
        <v>42222.869999999959</v>
      </c>
    </row>
    <row r="916" spans="2:9" s="299" customFormat="1" x14ac:dyDescent="0.25">
      <c r="B916" s="294" t="s">
        <v>14414</v>
      </c>
      <c r="C916" s="295" t="s">
        <v>14555</v>
      </c>
      <c r="D916" s="296">
        <v>43889</v>
      </c>
      <c r="E916" s="297" t="s">
        <v>14554</v>
      </c>
      <c r="F916" s="294"/>
      <c r="G916" s="258">
        <v>3.07</v>
      </c>
      <c r="H916" s="298"/>
      <c r="I916" s="276">
        <f t="shared" ref="I916:I961" si="14">+I915+G916-H916</f>
        <v>42225.939999999959</v>
      </c>
    </row>
    <row r="917" spans="2:9" s="299" customFormat="1" x14ac:dyDescent="0.25">
      <c r="B917" s="294" t="s">
        <v>14414</v>
      </c>
      <c r="C917" s="295" t="s">
        <v>14553</v>
      </c>
      <c r="D917" s="296">
        <v>43889</v>
      </c>
      <c r="E917" s="297" t="s">
        <v>14552</v>
      </c>
      <c r="F917" s="294"/>
      <c r="G917" s="258">
        <v>2.41</v>
      </c>
      <c r="H917" s="298"/>
      <c r="I917" s="276">
        <f t="shared" si="14"/>
        <v>42228.349999999962</v>
      </c>
    </row>
    <row r="918" spans="2:9" s="299" customFormat="1" x14ac:dyDescent="0.25">
      <c r="B918" s="294" t="s">
        <v>14414</v>
      </c>
      <c r="C918" s="295" t="s">
        <v>14551</v>
      </c>
      <c r="D918" s="296">
        <v>43889</v>
      </c>
      <c r="E918" s="297" t="s">
        <v>14550</v>
      </c>
      <c r="F918" s="294"/>
      <c r="G918" s="258">
        <v>2.54</v>
      </c>
      <c r="H918" s="298"/>
      <c r="I918" s="276">
        <f t="shared" si="14"/>
        <v>42230.889999999963</v>
      </c>
    </row>
    <row r="919" spans="2:9" s="299" customFormat="1" x14ac:dyDescent="0.25">
      <c r="B919" s="294" t="s">
        <v>14414</v>
      </c>
      <c r="C919" s="295" t="s">
        <v>14549</v>
      </c>
      <c r="D919" s="296">
        <v>43889</v>
      </c>
      <c r="E919" s="297" t="s">
        <v>14548</v>
      </c>
      <c r="F919" s="294"/>
      <c r="G919" s="258">
        <v>2.2999999999999998</v>
      </c>
      <c r="H919" s="298"/>
      <c r="I919" s="276">
        <f t="shared" si="14"/>
        <v>42233.189999999966</v>
      </c>
    </row>
    <row r="920" spans="2:9" s="299" customFormat="1" x14ac:dyDescent="0.25">
      <c r="B920" s="294" t="s">
        <v>14414</v>
      </c>
      <c r="C920" s="295" t="s">
        <v>14547</v>
      </c>
      <c r="D920" s="296">
        <v>43889</v>
      </c>
      <c r="E920" s="297" t="s">
        <v>14546</v>
      </c>
      <c r="F920" s="294"/>
      <c r="G920" s="258">
        <v>5.04</v>
      </c>
      <c r="H920" s="298"/>
      <c r="I920" s="276">
        <f t="shared" si="14"/>
        <v>42238.229999999967</v>
      </c>
    </row>
    <row r="921" spans="2:9" s="299" customFormat="1" x14ac:dyDescent="0.25">
      <c r="B921" s="294" t="s">
        <v>14414</v>
      </c>
      <c r="C921" s="295" t="s">
        <v>14545</v>
      </c>
      <c r="D921" s="296">
        <v>43889</v>
      </c>
      <c r="E921" s="297" t="s">
        <v>14544</v>
      </c>
      <c r="F921" s="294"/>
      <c r="G921" s="258">
        <v>19.809999999999999</v>
      </c>
      <c r="H921" s="298"/>
      <c r="I921" s="276">
        <f t="shared" si="14"/>
        <v>42258.039999999964</v>
      </c>
    </row>
    <row r="922" spans="2:9" s="299" customFormat="1" x14ac:dyDescent="0.25">
      <c r="B922" s="294" t="s">
        <v>14414</v>
      </c>
      <c r="C922" s="295" t="s">
        <v>14543</v>
      </c>
      <c r="D922" s="296">
        <v>43889</v>
      </c>
      <c r="E922" s="297" t="s">
        <v>14542</v>
      </c>
      <c r="F922" s="294"/>
      <c r="G922" s="258">
        <v>2.4500000000000002</v>
      </c>
      <c r="H922" s="298"/>
      <c r="I922" s="276">
        <f t="shared" si="14"/>
        <v>42260.489999999962</v>
      </c>
    </row>
    <row r="923" spans="2:9" s="299" customFormat="1" x14ac:dyDescent="0.25">
      <c r="B923" s="294" t="s">
        <v>14414</v>
      </c>
      <c r="C923" s="295" t="s">
        <v>14541</v>
      </c>
      <c r="D923" s="296">
        <v>43889</v>
      </c>
      <c r="E923" s="297" t="s">
        <v>14540</v>
      </c>
      <c r="F923" s="294"/>
      <c r="G923" s="258">
        <v>14.52</v>
      </c>
      <c r="H923" s="298"/>
      <c r="I923" s="276">
        <f t="shared" si="14"/>
        <v>42275.009999999958</v>
      </c>
    </row>
    <row r="924" spans="2:9" x14ac:dyDescent="0.2">
      <c r="B924" s="257">
        <v>18</v>
      </c>
      <c r="C924" s="261" t="s">
        <v>14539</v>
      </c>
      <c r="D924" s="288">
        <v>43889</v>
      </c>
      <c r="E924" s="269" t="s">
        <v>14538</v>
      </c>
      <c r="F924" s="257">
        <v>18</v>
      </c>
      <c r="G924" s="255">
        <v>1.99</v>
      </c>
      <c r="H924" s="103"/>
      <c r="I924" s="276">
        <f t="shared" si="14"/>
        <v>42276.999999999956</v>
      </c>
    </row>
    <row r="925" spans="2:9" x14ac:dyDescent="0.2">
      <c r="B925" s="257">
        <v>18</v>
      </c>
      <c r="C925" s="261" t="s">
        <v>14537</v>
      </c>
      <c r="D925" s="288">
        <v>43889</v>
      </c>
      <c r="E925" s="269" t="s">
        <v>14536</v>
      </c>
      <c r="F925" s="257">
        <v>18</v>
      </c>
      <c r="G925" s="255">
        <v>1.68</v>
      </c>
      <c r="H925" s="103"/>
      <c r="I925" s="276">
        <f t="shared" si="14"/>
        <v>42278.679999999957</v>
      </c>
    </row>
    <row r="926" spans="2:9" x14ac:dyDescent="0.2">
      <c r="B926" s="257">
        <v>18</v>
      </c>
      <c r="C926" s="261" t="s">
        <v>14535</v>
      </c>
      <c r="D926" s="288">
        <v>43889</v>
      </c>
      <c r="E926" s="269" t="s">
        <v>14534</v>
      </c>
      <c r="F926" s="257">
        <v>18</v>
      </c>
      <c r="G926" s="255">
        <v>1.68</v>
      </c>
      <c r="H926" s="103"/>
      <c r="I926" s="276">
        <f t="shared" si="14"/>
        <v>42280.359999999957</v>
      </c>
    </row>
    <row r="927" spans="2:9" x14ac:dyDescent="0.2">
      <c r="B927" s="257">
        <v>18</v>
      </c>
      <c r="C927" s="261" t="s">
        <v>14533</v>
      </c>
      <c r="D927" s="288">
        <v>43889</v>
      </c>
      <c r="E927" s="269" t="s">
        <v>14532</v>
      </c>
      <c r="F927" s="257">
        <v>18</v>
      </c>
      <c r="G927" s="255">
        <v>0.96</v>
      </c>
      <c r="H927" s="103"/>
      <c r="I927" s="276">
        <f t="shared" si="14"/>
        <v>42281.319999999956</v>
      </c>
    </row>
    <row r="928" spans="2:9" x14ac:dyDescent="0.2">
      <c r="B928" s="257">
        <v>18</v>
      </c>
      <c r="C928" s="261" t="s">
        <v>14531</v>
      </c>
      <c r="D928" s="288">
        <v>43889</v>
      </c>
      <c r="E928" s="269" t="s">
        <v>14530</v>
      </c>
      <c r="F928" s="257">
        <v>18</v>
      </c>
      <c r="G928" s="255">
        <v>25.14</v>
      </c>
      <c r="H928" s="103"/>
      <c r="I928" s="276">
        <f t="shared" si="14"/>
        <v>42306.459999999955</v>
      </c>
    </row>
    <row r="929" spans="2:9" ht="19.5" x14ac:dyDescent="0.2">
      <c r="B929" s="257">
        <v>18</v>
      </c>
      <c r="C929" s="261" t="s">
        <v>14529</v>
      </c>
      <c r="D929" s="288">
        <v>43889</v>
      </c>
      <c r="E929" s="269" t="s">
        <v>14528</v>
      </c>
      <c r="F929" s="257">
        <v>18</v>
      </c>
      <c r="G929" s="255">
        <v>5.15</v>
      </c>
      <c r="H929" s="103"/>
      <c r="I929" s="276">
        <f t="shared" si="14"/>
        <v>42311.609999999957</v>
      </c>
    </row>
    <row r="930" spans="2:9" x14ac:dyDescent="0.2">
      <c r="B930" s="257">
        <v>18</v>
      </c>
      <c r="C930" s="261" t="s">
        <v>14527</v>
      </c>
      <c r="D930" s="288">
        <v>43889</v>
      </c>
      <c r="E930" s="269" t="s">
        <v>14526</v>
      </c>
      <c r="F930" s="257">
        <v>18</v>
      </c>
      <c r="G930" s="255">
        <v>22.04</v>
      </c>
      <c r="H930" s="103"/>
      <c r="I930" s="276">
        <f t="shared" si="14"/>
        <v>42333.649999999958</v>
      </c>
    </row>
    <row r="931" spans="2:9" ht="19.5" x14ac:dyDescent="0.2">
      <c r="B931" s="257">
        <v>18</v>
      </c>
      <c r="C931" s="261" t="s">
        <v>14525</v>
      </c>
      <c r="D931" s="288">
        <v>43889</v>
      </c>
      <c r="E931" s="269" t="s">
        <v>14524</v>
      </c>
      <c r="F931" s="257">
        <v>18</v>
      </c>
      <c r="G931" s="255">
        <v>9.3699999999999992</v>
      </c>
      <c r="H931" s="103"/>
      <c r="I931" s="276">
        <f t="shared" si="14"/>
        <v>42343.01999999996</v>
      </c>
    </row>
    <row r="932" spans="2:9" x14ac:dyDescent="0.2">
      <c r="B932" s="257">
        <v>18</v>
      </c>
      <c r="C932" s="261" t="s">
        <v>14523</v>
      </c>
      <c r="D932" s="288">
        <v>43889</v>
      </c>
      <c r="E932" s="269" t="s">
        <v>14522</v>
      </c>
      <c r="F932" s="257">
        <v>18</v>
      </c>
      <c r="G932" s="255">
        <v>4.08</v>
      </c>
      <c r="H932" s="103"/>
      <c r="I932" s="276">
        <f t="shared" si="14"/>
        <v>42347.099999999962</v>
      </c>
    </row>
    <row r="933" spans="2:9" x14ac:dyDescent="0.25">
      <c r="B933" s="257"/>
      <c r="C933" s="261" t="s">
        <v>14521</v>
      </c>
      <c r="D933" s="288">
        <v>43889</v>
      </c>
      <c r="E933" s="269" t="s">
        <v>14520</v>
      </c>
      <c r="F933" s="257" t="s">
        <v>14437</v>
      </c>
      <c r="G933" s="160">
        <v>1561.64</v>
      </c>
      <c r="I933" s="276">
        <f t="shared" si="14"/>
        <v>43908.739999999962</v>
      </c>
    </row>
    <row r="934" spans="2:9" ht="19.5" x14ac:dyDescent="0.25">
      <c r="B934" s="257"/>
      <c r="C934" s="261" t="s">
        <v>1744</v>
      </c>
      <c r="D934" s="288">
        <v>43889</v>
      </c>
      <c r="E934" s="269" t="s">
        <v>14519</v>
      </c>
      <c r="F934" s="257" t="s">
        <v>14413</v>
      </c>
      <c r="H934" s="161">
        <v>121.62</v>
      </c>
      <c r="I934" s="276">
        <f t="shared" si="14"/>
        <v>43787.119999999959</v>
      </c>
    </row>
    <row r="935" spans="2:9" x14ac:dyDescent="0.25">
      <c r="B935" s="257"/>
      <c r="C935" s="261" t="s">
        <v>14518</v>
      </c>
      <c r="D935" s="288">
        <v>43889</v>
      </c>
      <c r="E935" s="269" t="s">
        <v>14517</v>
      </c>
      <c r="F935" s="257" t="s">
        <v>14433</v>
      </c>
      <c r="H935" s="161">
        <v>2738.36</v>
      </c>
      <c r="I935" s="276">
        <f t="shared" si="14"/>
        <v>41048.759999999958</v>
      </c>
    </row>
    <row r="936" spans="2:9" s="299" customFormat="1" x14ac:dyDescent="0.25">
      <c r="B936" s="294" t="s">
        <v>14414</v>
      </c>
      <c r="C936" s="295" t="s">
        <v>14516</v>
      </c>
      <c r="D936" s="296">
        <v>43890</v>
      </c>
      <c r="E936" s="297" t="s">
        <v>14515</v>
      </c>
      <c r="F936" s="294"/>
      <c r="G936" s="258">
        <v>0.79</v>
      </c>
      <c r="H936" s="298"/>
      <c r="I936" s="276">
        <f t="shared" si="14"/>
        <v>41049.549999999959</v>
      </c>
    </row>
    <row r="937" spans="2:9" s="299" customFormat="1" x14ac:dyDescent="0.25">
      <c r="B937" s="294" t="s">
        <v>14414</v>
      </c>
      <c r="C937" s="295" t="s">
        <v>14514</v>
      </c>
      <c r="D937" s="296">
        <v>43890</v>
      </c>
      <c r="E937" s="297" t="s">
        <v>14513</v>
      </c>
      <c r="F937" s="294"/>
      <c r="G937" s="258">
        <v>4.09</v>
      </c>
      <c r="H937" s="298"/>
      <c r="I937" s="276">
        <f t="shared" si="14"/>
        <v>41053.639999999956</v>
      </c>
    </row>
    <row r="938" spans="2:9" s="299" customFormat="1" x14ac:dyDescent="0.25">
      <c r="B938" s="294" t="s">
        <v>14414</v>
      </c>
      <c r="C938" s="295" t="s">
        <v>14512</v>
      </c>
      <c r="D938" s="296">
        <v>43890</v>
      </c>
      <c r="E938" s="297" t="s">
        <v>14511</v>
      </c>
      <c r="F938" s="294"/>
      <c r="G938" s="258">
        <v>5.17</v>
      </c>
      <c r="H938" s="298"/>
      <c r="I938" s="276">
        <f t="shared" si="14"/>
        <v>41058.809999999954</v>
      </c>
    </row>
    <row r="939" spans="2:9" s="299" customFormat="1" x14ac:dyDescent="0.25">
      <c r="B939" s="294" t="s">
        <v>14414</v>
      </c>
      <c r="C939" s="295" t="s">
        <v>14510</v>
      </c>
      <c r="D939" s="296">
        <v>43890</v>
      </c>
      <c r="E939" s="297" t="s">
        <v>14509</v>
      </c>
      <c r="F939" s="294"/>
      <c r="G939" s="258">
        <v>1.85</v>
      </c>
      <c r="H939" s="298"/>
      <c r="I939" s="276">
        <f t="shared" si="14"/>
        <v>41060.659999999953</v>
      </c>
    </row>
    <row r="940" spans="2:9" s="299" customFormat="1" x14ac:dyDescent="0.25">
      <c r="B940" s="294" t="s">
        <v>14414</v>
      </c>
      <c r="C940" s="295" t="s">
        <v>14508</v>
      </c>
      <c r="D940" s="296">
        <v>43890</v>
      </c>
      <c r="E940" s="297" t="s">
        <v>14507</v>
      </c>
      <c r="F940" s="294"/>
      <c r="G940" s="258">
        <v>2.39</v>
      </c>
      <c r="H940" s="298"/>
      <c r="I940" s="276">
        <f t="shared" si="14"/>
        <v>41063.049999999952</v>
      </c>
    </row>
    <row r="941" spans="2:9" s="299" customFormat="1" x14ac:dyDescent="0.25">
      <c r="B941" s="294" t="s">
        <v>14414</v>
      </c>
      <c r="C941" s="295" t="s">
        <v>14506</v>
      </c>
      <c r="D941" s="296">
        <v>43890</v>
      </c>
      <c r="E941" s="297" t="s">
        <v>14505</v>
      </c>
      <c r="F941" s="294"/>
      <c r="G941" s="258">
        <v>4.3600000000000003</v>
      </c>
      <c r="H941" s="298"/>
      <c r="I941" s="276">
        <f t="shared" si="14"/>
        <v>41067.409999999953</v>
      </c>
    </row>
    <row r="942" spans="2:9" s="299" customFormat="1" x14ac:dyDescent="0.25">
      <c r="B942" s="294" t="s">
        <v>14414</v>
      </c>
      <c r="C942" s="295" t="s">
        <v>14504</v>
      </c>
      <c r="D942" s="296">
        <v>43890</v>
      </c>
      <c r="E942" s="297" t="s">
        <v>14503</v>
      </c>
      <c r="F942" s="294"/>
      <c r="G942" s="258">
        <v>10.07</v>
      </c>
      <c r="H942" s="298"/>
      <c r="I942" s="276">
        <f t="shared" si="14"/>
        <v>41077.479999999952</v>
      </c>
    </row>
    <row r="943" spans="2:9" s="299" customFormat="1" ht="19.5" x14ac:dyDescent="0.25">
      <c r="B943" s="294" t="s">
        <v>14414</v>
      </c>
      <c r="C943" s="295" t="s">
        <v>14502</v>
      </c>
      <c r="D943" s="296">
        <v>43890</v>
      </c>
      <c r="E943" s="297" t="s">
        <v>14501</v>
      </c>
      <c r="F943" s="294"/>
      <c r="G943" s="258">
        <v>15.49</v>
      </c>
      <c r="H943" s="298"/>
      <c r="I943" s="276">
        <f t="shared" si="14"/>
        <v>41092.96999999995</v>
      </c>
    </row>
    <row r="944" spans="2:9" s="299" customFormat="1" x14ac:dyDescent="0.25">
      <c r="B944" s="294" t="s">
        <v>14414</v>
      </c>
      <c r="C944" s="295" t="s">
        <v>14500</v>
      </c>
      <c r="D944" s="296">
        <v>43890</v>
      </c>
      <c r="E944" s="297" t="s">
        <v>14499</v>
      </c>
      <c r="F944" s="294"/>
      <c r="G944" s="258">
        <v>19.739999999999998</v>
      </c>
      <c r="H944" s="298"/>
      <c r="I944" s="276">
        <f t="shared" si="14"/>
        <v>41112.709999999948</v>
      </c>
    </row>
    <row r="945" spans="2:9" s="299" customFormat="1" x14ac:dyDescent="0.25">
      <c r="B945" s="294" t="s">
        <v>14414</v>
      </c>
      <c r="C945" s="295" t="s">
        <v>14498</v>
      </c>
      <c r="D945" s="296">
        <v>43890</v>
      </c>
      <c r="E945" s="297" t="s">
        <v>14497</v>
      </c>
      <c r="F945" s="294"/>
      <c r="G945" s="258">
        <v>6.68</v>
      </c>
      <c r="H945" s="298"/>
      <c r="I945" s="276">
        <f t="shared" si="14"/>
        <v>41119.389999999948</v>
      </c>
    </row>
    <row r="946" spans="2:9" s="299" customFormat="1" x14ac:dyDescent="0.25">
      <c r="B946" s="294" t="s">
        <v>14414</v>
      </c>
      <c r="C946" s="295" t="s">
        <v>14496</v>
      </c>
      <c r="D946" s="296">
        <v>43890</v>
      </c>
      <c r="E946" s="297" t="s">
        <v>14495</v>
      </c>
      <c r="F946" s="294"/>
      <c r="G946" s="258">
        <v>1.68</v>
      </c>
      <c r="H946" s="298"/>
      <c r="I946" s="276">
        <f t="shared" si="14"/>
        <v>41121.069999999949</v>
      </c>
    </row>
    <row r="947" spans="2:9" s="299" customFormat="1" ht="19.5" x14ac:dyDescent="0.25">
      <c r="B947" s="294" t="s">
        <v>14414</v>
      </c>
      <c r="C947" s="295" t="s">
        <v>14494</v>
      </c>
      <c r="D947" s="296">
        <v>43890</v>
      </c>
      <c r="E947" s="297" t="s">
        <v>14493</v>
      </c>
      <c r="F947" s="294"/>
      <c r="G947" s="258">
        <v>20.170000000000002</v>
      </c>
      <c r="H947" s="298"/>
      <c r="I947" s="276">
        <f t="shared" si="14"/>
        <v>41141.239999999947</v>
      </c>
    </row>
    <row r="948" spans="2:9" s="299" customFormat="1" x14ac:dyDescent="0.25">
      <c r="B948" s="294" t="s">
        <v>14414</v>
      </c>
      <c r="C948" s="295" t="s">
        <v>14492</v>
      </c>
      <c r="D948" s="296">
        <v>43890</v>
      </c>
      <c r="E948" s="297" t="s">
        <v>14491</v>
      </c>
      <c r="F948" s="294"/>
      <c r="G948" s="258">
        <v>2.56</v>
      </c>
      <c r="H948" s="298"/>
      <c r="I948" s="276">
        <f t="shared" si="14"/>
        <v>41143.799999999945</v>
      </c>
    </row>
    <row r="949" spans="2:9" s="299" customFormat="1" x14ac:dyDescent="0.25">
      <c r="B949" s="294" t="s">
        <v>14414</v>
      </c>
      <c r="C949" s="295" t="s">
        <v>14490</v>
      </c>
      <c r="D949" s="296">
        <v>43890</v>
      </c>
      <c r="E949" s="297" t="s">
        <v>14489</v>
      </c>
      <c r="F949" s="294"/>
      <c r="G949" s="258">
        <v>3.62</v>
      </c>
      <c r="H949" s="298"/>
      <c r="I949" s="276">
        <f t="shared" si="14"/>
        <v>41147.419999999947</v>
      </c>
    </row>
    <row r="950" spans="2:9" s="299" customFormat="1" x14ac:dyDescent="0.25">
      <c r="B950" s="294" t="s">
        <v>14414</v>
      </c>
      <c r="C950" s="295" t="s">
        <v>14488</v>
      </c>
      <c r="D950" s="296">
        <v>43890</v>
      </c>
      <c r="E950" s="297" t="s">
        <v>14487</v>
      </c>
      <c r="F950" s="294"/>
      <c r="G950" s="258">
        <v>1.89</v>
      </c>
      <c r="H950" s="298"/>
      <c r="I950" s="276">
        <f t="shared" si="14"/>
        <v>41149.309999999947</v>
      </c>
    </row>
    <row r="951" spans="2:9" s="299" customFormat="1" x14ac:dyDescent="0.25">
      <c r="B951" s="294" t="s">
        <v>14414</v>
      </c>
      <c r="C951" s="295" t="s">
        <v>14486</v>
      </c>
      <c r="D951" s="296">
        <v>43890</v>
      </c>
      <c r="E951" s="297" t="s">
        <v>14485</v>
      </c>
      <c r="F951" s="294"/>
      <c r="G951" s="258">
        <v>12.05</v>
      </c>
      <c r="H951" s="298"/>
      <c r="I951" s="276">
        <f t="shared" si="14"/>
        <v>41161.35999999995</v>
      </c>
    </row>
    <row r="952" spans="2:9" s="299" customFormat="1" x14ac:dyDescent="0.25">
      <c r="B952" s="294" t="s">
        <v>14414</v>
      </c>
      <c r="C952" s="295" t="s">
        <v>14484</v>
      </c>
      <c r="D952" s="296">
        <v>43890</v>
      </c>
      <c r="E952" s="297" t="s">
        <v>14483</v>
      </c>
      <c r="F952" s="294"/>
      <c r="G952" s="258">
        <v>1.69</v>
      </c>
      <c r="H952" s="298"/>
      <c r="I952" s="276">
        <f t="shared" si="14"/>
        <v>41163.049999999952</v>
      </c>
    </row>
    <row r="953" spans="2:9" s="299" customFormat="1" x14ac:dyDescent="0.25">
      <c r="B953" s="294" t="s">
        <v>14414</v>
      </c>
      <c r="C953" s="295" t="s">
        <v>14482</v>
      </c>
      <c r="D953" s="296">
        <v>43890</v>
      </c>
      <c r="E953" s="297" t="s">
        <v>14481</v>
      </c>
      <c r="F953" s="294"/>
      <c r="G953" s="258">
        <v>16.760000000000002</v>
      </c>
      <c r="H953" s="298"/>
      <c r="I953" s="276">
        <f t="shared" si="14"/>
        <v>41179.809999999954</v>
      </c>
    </row>
    <row r="954" spans="2:9" s="299" customFormat="1" x14ac:dyDescent="0.25">
      <c r="B954" s="294" t="s">
        <v>14414</v>
      </c>
      <c r="C954" s="295" t="s">
        <v>14480</v>
      </c>
      <c r="D954" s="296">
        <v>43890</v>
      </c>
      <c r="E954" s="297" t="s">
        <v>14479</v>
      </c>
      <c r="F954" s="294"/>
      <c r="G954" s="258">
        <v>4.84</v>
      </c>
      <c r="H954" s="298"/>
      <c r="I954" s="276">
        <f t="shared" si="14"/>
        <v>41184.649999999951</v>
      </c>
    </row>
    <row r="955" spans="2:9" s="299" customFormat="1" x14ac:dyDescent="0.25">
      <c r="B955" s="294" t="s">
        <v>14414</v>
      </c>
      <c r="C955" s="295" t="s">
        <v>14478</v>
      </c>
      <c r="D955" s="296">
        <v>43890</v>
      </c>
      <c r="E955" s="297" t="s">
        <v>14477</v>
      </c>
      <c r="F955" s="294"/>
      <c r="G955" s="258">
        <v>6.87</v>
      </c>
      <c r="H955" s="298"/>
      <c r="I955" s="276">
        <f t="shared" si="14"/>
        <v>41191.519999999953</v>
      </c>
    </row>
    <row r="956" spans="2:9" s="299" customFormat="1" x14ac:dyDescent="0.25">
      <c r="B956" s="294" t="s">
        <v>14414</v>
      </c>
      <c r="C956" s="295" t="s">
        <v>14476</v>
      </c>
      <c r="D956" s="296">
        <v>43890</v>
      </c>
      <c r="E956" s="297" t="s">
        <v>14475</v>
      </c>
      <c r="F956" s="294"/>
      <c r="G956" s="258">
        <v>5.48</v>
      </c>
      <c r="H956" s="298"/>
      <c r="I956" s="276">
        <f t="shared" si="14"/>
        <v>41196.999999999956</v>
      </c>
    </row>
    <row r="957" spans="2:9" s="299" customFormat="1" x14ac:dyDescent="0.25">
      <c r="B957" s="294" t="s">
        <v>14414</v>
      </c>
      <c r="C957" s="295" t="s">
        <v>14474</v>
      </c>
      <c r="D957" s="296">
        <v>43890</v>
      </c>
      <c r="E957" s="297" t="s">
        <v>14473</v>
      </c>
      <c r="F957" s="294"/>
      <c r="G957" s="258">
        <v>16.010000000000002</v>
      </c>
      <c r="H957" s="298"/>
      <c r="I957" s="276">
        <f t="shared" si="14"/>
        <v>41213.009999999958</v>
      </c>
    </row>
    <row r="958" spans="2:9" s="299" customFormat="1" x14ac:dyDescent="0.25">
      <c r="B958" s="294" t="s">
        <v>14414</v>
      </c>
      <c r="C958" s="295" t="s">
        <v>14472</v>
      </c>
      <c r="D958" s="296">
        <v>43890</v>
      </c>
      <c r="E958" s="297" t="s">
        <v>14471</v>
      </c>
      <c r="F958" s="294"/>
      <c r="G958" s="258">
        <v>7.11</v>
      </c>
      <c r="H958" s="298"/>
      <c r="I958" s="276">
        <f t="shared" si="14"/>
        <v>41220.119999999959</v>
      </c>
    </row>
    <row r="959" spans="2:9" s="299" customFormat="1" x14ac:dyDescent="0.25">
      <c r="B959" s="294" t="s">
        <v>14414</v>
      </c>
      <c r="C959" s="295" t="s">
        <v>14470</v>
      </c>
      <c r="D959" s="296">
        <v>43890</v>
      </c>
      <c r="E959" s="297" t="s">
        <v>14469</v>
      </c>
      <c r="F959" s="294"/>
      <c r="G959" s="258">
        <v>3</v>
      </c>
      <c r="H959" s="298"/>
      <c r="I959" s="276">
        <f t="shared" si="14"/>
        <v>41223.119999999959</v>
      </c>
    </row>
    <row r="960" spans="2:9" s="299" customFormat="1" x14ac:dyDescent="0.25">
      <c r="B960" s="294" t="s">
        <v>14414</v>
      </c>
      <c r="C960" s="295" t="s">
        <v>14468</v>
      </c>
      <c r="D960" s="296">
        <v>43890</v>
      </c>
      <c r="E960" s="297" t="s">
        <v>14467</v>
      </c>
      <c r="F960" s="294"/>
      <c r="G960" s="258">
        <v>5.53</v>
      </c>
      <c r="H960" s="298"/>
      <c r="I960" s="276">
        <f t="shared" si="14"/>
        <v>41228.649999999958</v>
      </c>
    </row>
    <row r="961" spans="2:9" s="299" customFormat="1" x14ac:dyDescent="0.25">
      <c r="B961" s="294" t="s">
        <v>14414</v>
      </c>
      <c r="C961" s="295" t="s">
        <v>14466</v>
      </c>
      <c r="D961" s="296">
        <v>43890</v>
      </c>
      <c r="E961" s="297" t="s">
        <v>14465</v>
      </c>
      <c r="F961" s="294"/>
      <c r="G961" s="258">
        <v>0.35</v>
      </c>
      <c r="H961" s="298"/>
      <c r="I961" s="276">
        <f t="shared" si="14"/>
        <v>41228.999999999956</v>
      </c>
    </row>
    <row r="962" spans="2:9" x14ac:dyDescent="0.25">
      <c r="B962" s="275"/>
      <c r="C962" s="279" t="s">
        <v>323</v>
      </c>
      <c r="D962" s="289">
        <v>20909.009999999998</v>
      </c>
      <c r="E962" s="284" t="s">
        <v>322</v>
      </c>
      <c r="F962" s="291"/>
      <c r="H962" s="275" t="s">
        <v>320</v>
      </c>
      <c r="I962" s="274">
        <v>41229</v>
      </c>
    </row>
    <row r="965" spans="2:9" x14ac:dyDescent="0.25">
      <c r="E965" s="285" t="s">
        <v>319</v>
      </c>
      <c r="I965" s="273" t="s">
        <v>318</v>
      </c>
    </row>
  </sheetData>
  <autoFilter ref="A17:K962" xr:uid="{FB6ECED4-740F-4F00-88CD-811336EEE118}"/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01679-94FA-426F-864D-E87AC2932628}">
  <sheetPr>
    <pageSetUpPr fitToPage="1"/>
  </sheetPr>
  <dimension ref="A1:F290"/>
  <sheetViews>
    <sheetView workbookViewId="0">
      <selection activeCell="A19" sqref="A19:XFD20"/>
    </sheetView>
  </sheetViews>
  <sheetFormatPr baseColWidth="10" defaultRowHeight="15" x14ac:dyDescent="0.25"/>
  <cols>
    <col min="1" max="1" width="11.5703125" style="122"/>
    <col min="2" max="2" width="45.42578125" style="188" customWidth="1"/>
    <col min="3" max="3" width="7.7109375" style="192" customWidth="1"/>
    <col min="4" max="4" width="12" style="122" customWidth="1"/>
    <col min="5" max="5" width="15.7109375" style="122" bestFit="1" customWidth="1"/>
    <col min="6" max="6" width="10.28515625" style="122" bestFit="1" customWidth="1"/>
    <col min="7" max="7" width="10.7109375" customWidth="1"/>
  </cols>
  <sheetData>
    <row r="1" spans="1:6" x14ac:dyDescent="0.25">
      <c r="A1" s="379" t="s">
        <v>14407</v>
      </c>
      <c r="B1" s="379"/>
      <c r="C1" s="379"/>
      <c r="D1" s="379"/>
      <c r="E1" s="379"/>
      <c r="F1" s="379"/>
    </row>
    <row r="2" spans="1:6" x14ac:dyDescent="0.25">
      <c r="A2" s="115" t="s">
        <v>2772</v>
      </c>
      <c r="B2" s="185" t="s">
        <v>2773</v>
      </c>
      <c r="C2" s="189" t="s">
        <v>11</v>
      </c>
      <c r="D2" s="115" t="s">
        <v>2774</v>
      </c>
      <c r="E2" s="115" t="s">
        <v>7</v>
      </c>
      <c r="F2" s="115" t="s">
        <v>2775</v>
      </c>
    </row>
    <row r="3" spans="1:6" x14ac:dyDescent="0.25">
      <c r="A3" s="118" t="str">
        <f>"3900412"</f>
        <v>3900412</v>
      </c>
      <c r="B3" s="186" t="s">
        <v>5761</v>
      </c>
      <c r="C3" s="190">
        <v>9.6</v>
      </c>
      <c r="D3" s="118">
        <v>318687</v>
      </c>
      <c r="E3" s="183">
        <v>43864.441886574074</v>
      </c>
      <c r="F3" s="115">
        <v>1899</v>
      </c>
    </row>
    <row r="4" spans="1:6" x14ac:dyDescent="0.25">
      <c r="A4" s="118" t="str">
        <f>"3903064"</f>
        <v>3903064</v>
      </c>
      <c r="B4" s="186" t="s">
        <v>5760</v>
      </c>
      <c r="C4" s="190">
        <v>5.16</v>
      </c>
      <c r="D4" s="118">
        <v>317479</v>
      </c>
      <c r="E4" s="183">
        <v>43864.512754629628</v>
      </c>
      <c r="F4" s="115">
        <v>1900</v>
      </c>
    </row>
    <row r="5" spans="1:6" x14ac:dyDescent="0.25">
      <c r="A5" s="118" t="str">
        <f>"3903516"</f>
        <v>3903516</v>
      </c>
      <c r="B5" s="186" t="s">
        <v>2785</v>
      </c>
      <c r="C5" s="190">
        <v>17.850000000000001</v>
      </c>
      <c r="D5" s="118">
        <v>318325</v>
      </c>
      <c r="E5" s="183">
        <v>43864.516956018517</v>
      </c>
      <c r="F5" s="115">
        <v>1901</v>
      </c>
    </row>
    <row r="6" spans="1:6" x14ac:dyDescent="0.25">
      <c r="A6" s="118" t="str">
        <f>"3908875"</f>
        <v>3908875</v>
      </c>
      <c r="B6" s="186" t="s">
        <v>5759</v>
      </c>
      <c r="C6" s="190">
        <v>2.09</v>
      </c>
      <c r="D6" s="118">
        <v>317832</v>
      </c>
      <c r="E6" s="183">
        <v>43864.584745370368</v>
      </c>
      <c r="F6" s="115">
        <v>1902</v>
      </c>
    </row>
    <row r="7" spans="1:6" x14ac:dyDescent="0.25">
      <c r="A7" s="118" t="str">
        <f>"3907379"</f>
        <v>3907379</v>
      </c>
      <c r="B7" s="186" t="s">
        <v>5758</v>
      </c>
      <c r="C7" s="190">
        <v>4.72</v>
      </c>
      <c r="D7" s="118">
        <v>319169</v>
      </c>
      <c r="E7" s="183">
        <v>43864.679247685184</v>
      </c>
      <c r="F7" s="115">
        <v>1903</v>
      </c>
    </row>
    <row r="8" spans="1:6" x14ac:dyDescent="0.25">
      <c r="A8" s="118" t="str">
        <f>"3900593"</f>
        <v>3900593</v>
      </c>
      <c r="B8" s="186" t="s">
        <v>2797</v>
      </c>
      <c r="C8" s="190">
        <v>1.86</v>
      </c>
      <c r="D8" s="118">
        <v>318753</v>
      </c>
      <c r="E8" s="183">
        <v>43864.33666666667</v>
      </c>
      <c r="F8" s="115">
        <v>1904</v>
      </c>
    </row>
    <row r="9" spans="1:6" x14ac:dyDescent="0.25">
      <c r="A9" s="118" t="str">
        <f>"3907181"</f>
        <v>3907181</v>
      </c>
      <c r="B9" s="186" t="s">
        <v>5757</v>
      </c>
      <c r="C9" s="190">
        <v>13.88</v>
      </c>
      <c r="D9" s="118">
        <v>317446</v>
      </c>
      <c r="E9" s="183">
        <v>43864.358946759261</v>
      </c>
      <c r="F9" s="115">
        <v>1905</v>
      </c>
    </row>
    <row r="10" spans="1:6" x14ac:dyDescent="0.25">
      <c r="A10" s="118" t="str">
        <f>"3901267"</f>
        <v>3901267</v>
      </c>
      <c r="B10" s="186" t="s">
        <v>2807</v>
      </c>
      <c r="C10" s="190">
        <v>1.39</v>
      </c>
      <c r="D10" s="118">
        <v>318813</v>
      </c>
      <c r="E10" s="183">
        <v>43864.388090277775</v>
      </c>
      <c r="F10" s="115">
        <v>1906</v>
      </c>
    </row>
    <row r="11" spans="1:6" x14ac:dyDescent="0.25">
      <c r="A11" s="118" t="str">
        <f>"3908082"</f>
        <v>3908082</v>
      </c>
      <c r="B11" s="186" t="s">
        <v>5696</v>
      </c>
      <c r="C11" s="190">
        <v>1.68</v>
      </c>
      <c r="D11" s="118">
        <v>318457</v>
      </c>
      <c r="E11" s="183">
        <v>43864.536493055559</v>
      </c>
      <c r="F11" s="115">
        <v>1907</v>
      </c>
    </row>
    <row r="12" spans="1:6" x14ac:dyDescent="0.25">
      <c r="A12" s="118" t="str">
        <f>"3908795"</f>
        <v>3908795</v>
      </c>
      <c r="B12" s="186" t="s">
        <v>5756</v>
      </c>
      <c r="C12" s="190">
        <v>2.2400000000000002</v>
      </c>
      <c r="D12" s="118">
        <v>317693</v>
      </c>
      <c r="E12" s="183">
        <v>43864.575775462959</v>
      </c>
      <c r="F12" s="115">
        <v>1908</v>
      </c>
    </row>
    <row r="13" spans="1:6" x14ac:dyDescent="0.25">
      <c r="A13" s="118" t="str">
        <f>"3907960"</f>
        <v>3907960</v>
      </c>
      <c r="B13" s="186" t="s">
        <v>2916</v>
      </c>
      <c r="C13" s="190">
        <v>2.83</v>
      </c>
      <c r="D13" s="118">
        <v>318391</v>
      </c>
      <c r="E13" s="183">
        <v>43864.584178240744</v>
      </c>
      <c r="F13" s="115">
        <v>1909</v>
      </c>
    </row>
    <row r="14" spans="1:6" x14ac:dyDescent="0.25">
      <c r="A14" s="118" t="str">
        <f>"3909157"</f>
        <v>3909157</v>
      </c>
      <c r="B14" s="186" t="s">
        <v>2780</v>
      </c>
      <c r="C14" s="190">
        <v>6.48</v>
      </c>
      <c r="D14" s="118">
        <v>318319</v>
      </c>
      <c r="E14" s="183">
        <v>43864.674178240741</v>
      </c>
      <c r="F14" s="115">
        <v>1910</v>
      </c>
    </row>
    <row r="15" spans="1:6" x14ac:dyDescent="0.25">
      <c r="A15" s="118" t="str">
        <f>"3907874"</f>
        <v>3907874</v>
      </c>
      <c r="B15" s="186" t="s">
        <v>5755</v>
      </c>
      <c r="C15" s="190">
        <v>27.94</v>
      </c>
      <c r="D15" s="118">
        <v>317984</v>
      </c>
      <c r="E15" s="183">
        <v>43864.718888888892</v>
      </c>
      <c r="F15" s="115">
        <v>1911</v>
      </c>
    </row>
    <row r="16" spans="1:6" x14ac:dyDescent="0.25">
      <c r="A16" s="118" t="str">
        <f>"3908019"</f>
        <v>3908019</v>
      </c>
      <c r="B16" s="186" t="s">
        <v>5754</v>
      </c>
      <c r="C16" s="190">
        <v>4.3</v>
      </c>
      <c r="D16" s="118">
        <v>318308</v>
      </c>
      <c r="E16" s="183">
        <v>43864.752256944441</v>
      </c>
      <c r="F16" s="115">
        <v>1912</v>
      </c>
    </row>
    <row r="17" spans="1:6" x14ac:dyDescent="0.25">
      <c r="A17" s="118" t="str">
        <f>"3906693"</f>
        <v>3906693</v>
      </c>
      <c r="B17" s="186" t="s">
        <v>2939</v>
      </c>
      <c r="C17" s="190">
        <v>8.3800000000000008</v>
      </c>
      <c r="D17" s="118">
        <v>317427</v>
      </c>
      <c r="E17" s="183">
        <v>43864.802453703705</v>
      </c>
      <c r="F17" s="115">
        <v>1913</v>
      </c>
    </row>
    <row r="18" spans="1:6" x14ac:dyDescent="0.25">
      <c r="A18" s="118" t="str">
        <f>"3906692"</f>
        <v>3906692</v>
      </c>
      <c r="B18" s="186" t="s">
        <v>2939</v>
      </c>
      <c r="C18" s="190">
        <v>8.3800000000000008</v>
      </c>
      <c r="D18" s="118">
        <v>317426</v>
      </c>
      <c r="E18" s="183">
        <v>43864.802939814814</v>
      </c>
      <c r="F18" s="115">
        <v>1914</v>
      </c>
    </row>
    <row r="19" spans="1:6" s="164" customFormat="1" x14ac:dyDescent="0.25">
      <c r="A19" s="115"/>
      <c r="B19" s="115" t="s">
        <v>5691</v>
      </c>
      <c r="C19" s="167">
        <f>SUM(C3:C18)</f>
        <v>118.77999999999999</v>
      </c>
      <c r="D19" s="115">
        <v>1</v>
      </c>
      <c r="E19" s="163"/>
      <c r="F19" s="115"/>
    </row>
    <row r="20" spans="1:6" x14ac:dyDescent="0.25">
      <c r="A20" s="118"/>
      <c r="B20" s="116"/>
      <c r="C20" s="166"/>
      <c r="D20" s="118"/>
      <c r="E20" s="117"/>
      <c r="F20" s="118"/>
    </row>
    <row r="21" spans="1:6" x14ac:dyDescent="0.25">
      <c r="A21" s="118" t="str">
        <f>"3906830"</f>
        <v>3906830</v>
      </c>
      <c r="B21" s="186" t="s">
        <v>2789</v>
      </c>
      <c r="C21" s="190">
        <v>1.68</v>
      </c>
      <c r="D21" s="118">
        <v>318298</v>
      </c>
      <c r="E21" s="183">
        <v>43865.451979166668</v>
      </c>
      <c r="F21" s="115">
        <v>2174</v>
      </c>
    </row>
    <row r="22" spans="1:6" x14ac:dyDescent="0.25">
      <c r="A22" s="118" t="str">
        <f>"3907622"</f>
        <v>3907622</v>
      </c>
      <c r="B22" s="186" t="s">
        <v>2883</v>
      </c>
      <c r="C22" s="190">
        <v>23.24</v>
      </c>
      <c r="D22" s="118">
        <v>319816</v>
      </c>
      <c r="E22" s="183">
        <v>43865.471909722219</v>
      </c>
      <c r="F22" s="115">
        <v>2175</v>
      </c>
    </row>
    <row r="23" spans="1:6" x14ac:dyDescent="0.25">
      <c r="A23" s="118" t="str">
        <f>"3960257"</f>
        <v>3960257</v>
      </c>
      <c r="B23" s="186" t="s">
        <v>2880</v>
      </c>
      <c r="C23" s="190">
        <v>15.3</v>
      </c>
      <c r="D23" s="118">
        <v>319344</v>
      </c>
      <c r="E23" s="183">
        <v>43865.519386574073</v>
      </c>
      <c r="F23" s="115">
        <v>2176</v>
      </c>
    </row>
    <row r="24" spans="1:6" x14ac:dyDescent="0.25">
      <c r="A24" s="118" t="str">
        <f>"3960275"</f>
        <v>3960275</v>
      </c>
      <c r="B24" s="186" t="s">
        <v>2880</v>
      </c>
      <c r="C24" s="190">
        <v>15.3</v>
      </c>
      <c r="D24" s="118">
        <v>319351</v>
      </c>
      <c r="E24" s="183">
        <v>43865.519918981481</v>
      </c>
      <c r="F24" s="115">
        <v>2177</v>
      </c>
    </row>
    <row r="25" spans="1:6" x14ac:dyDescent="0.25">
      <c r="A25" s="118" t="str">
        <f>"3900198"</f>
        <v>3900198</v>
      </c>
      <c r="B25" s="186" t="s">
        <v>5753</v>
      </c>
      <c r="C25" s="190">
        <v>2.2400000000000002</v>
      </c>
      <c r="D25" s="118">
        <v>319720</v>
      </c>
      <c r="E25" s="183">
        <v>43865.645729166667</v>
      </c>
      <c r="F25" s="115">
        <v>2178</v>
      </c>
    </row>
    <row r="26" spans="1:6" x14ac:dyDescent="0.25">
      <c r="A26" s="118" t="str">
        <f>"3930053"</f>
        <v>3930053</v>
      </c>
      <c r="B26" s="186" t="s">
        <v>2810</v>
      </c>
      <c r="C26" s="190">
        <v>11.18</v>
      </c>
      <c r="D26" s="118">
        <v>319500</v>
      </c>
      <c r="E26" s="183">
        <v>43865.783402777779</v>
      </c>
      <c r="F26" s="115">
        <v>2179</v>
      </c>
    </row>
    <row r="27" spans="1:6" x14ac:dyDescent="0.25">
      <c r="A27" s="118" t="str">
        <f>"3908899"</f>
        <v>3908899</v>
      </c>
      <c r="B27" s="186" t="s">
        <v>5752</v>
      </c>
      <c r="C27" s="190">
        <v>5.04</v>
      </c>
      <c r="D27" s="118">
        <v>309728</v>
      </c>
      <c r="E27" s="183">
        <v>43865.739942129629</v>
      </c>
      <c r="F27" s="115">
        <v>2181</v>
      </c>
    </row>
    <row r="28" spans="1:6" x14ac:dyDescent="0.25">
      <c r="A28" s="118" t="str">
        <f>"3945221"</f>
        <v>3945221</v>
      </c>
      <c r="B28" s="186" t="s">
        <v>5751</v>
      </c>
      <c r="C28" s="190">
        <v>10.08</v>
      </c>
      <c r="D28" s="118">
        <v>314675</v>
      </c>
      <c r="E28" s="183">
        <v>43865.739942129629</v>
      </c>
      <c r="F28" s="115">
        <v>2182</v>
      </c>
    </row>
    <row r="29" spans="1:6" x14ac:dyDescent="0.25">
      <c r="A29" s="118" t="str">
        <f>"3960277"</f>
        <v>3960277</v>
      </c>
      <c r="B29" s="186" t="s">
        <v>2838</v>
      </c>
      <c r="C29" s="190">
        <v>7.82</v>
      </c>
      <c r="D29" s="118">
        <v>317160</v>
      </c>
      <c r="E29" s="183">
        <v>43865.739942129629</v>
      </c>
      <c r="F29" s="115">
        <v>2180</v>
      </c>
    </row>
    <row r="30" spans="1:6" x14ac:dyDescent="0.25">
      <c r="A30" s="118" t="str">
        <f>"3950033"</f>
        <v>3950033</v>
      </c>
      <c r="B30" s="186" t="s">
        <v>2828</v>
      </c>
      <c r="C30" s="190">
        <v>8.3800000000000008</v>
      </c>
      <c r="D30" s="118">
        <v>317146</v>
      </c>
      <c r="E30" s="183">
        <v>43865.739942129629</v>
      </c>
      <c r="F30" s="115">
        <v>2183</v>
      </c>
    </row>
    <row r="31" spans="1:6" x14ac:dyDescent="0.25">
      <c r="A31" s="118" t="str">
        <f>"3945102"</f>
        <v>3945102</v>
      </c>
      <c r="B31" s="186" t="s">
        <v>2835</v>
      </c>
      <c r="C31" s="190">
        <v>8.3800000000000008</v>
      </c>
      <c r="D31" s="118">
        <v>317215</v>
      </c>
      <c r="E31" s="183">
        <v>43865.739942129629</v>
      </c>
      <c r="F31" s="115">
        <v>2184</v>
      </c>
    </row>
    <row r="32" spans="1:6" x14ac:dyDescent="0.25">
      <c r="A32" s="118" t="str">
        <f>"3907239"</f>
        <v>3907239</v>
      </c>
      <c r="B32" s="186" t="s">
        <v>2836</v>
      </c>
      <c r="C32" s="190">
        <v>6.94</v>
      </c>
      <c r="D32" s="118">
        <v>317464</v>
      </c>
      <c r="E32" s="183">
        <v>43865.739942129629</v>
      </c>
      <c r="F32" s="115">
        <v>2185</v>
      </c>
    </row>
    <row r="33" spans="1:6" x14ac:dyDescent="0.25">
      <c r="A33" s="118" t="str">
        <f>"3909984"</f>
        <v>3909984</v>
      </c>
      <c r="B33" s="186" t="s">
        <v>2831</v>
      </c>
      <c r="C33" s="190">
        <v>10.85</v>
      </c>
      <c r="D33" s="118">
        <v>317720</v>
      </c>
      <c r="E33" s="183">
        <v>43865.739942129629</v>
      </c>
      <c r="F33" s="115">
        <v>2188</v>
      </c>
    </row>
    <row r="34" spans="1:6" x14ac:dyDescent="0.25">
      <c r="A34" s="118" t="str">
        <f>"3906802"</f>
        <v>3906802</v>
      </c>
      <c r="B34" s="186" t="s">
        <v>2822</v>
      </c>
      <c r="C34" s="190">
        <v>1.89</v>
      </c>
      <c r="D34" s="118">
        <v>318277</v>
      </c>
      <c r="E34" s="183">
        <v>43865.739942129629</v>
      </c>
      <c r="F34" s="115">
        <v>2189</v>
      </c>
    </row>
    <row r="35" spans="1:6" x14ac:dyDescent="0.25">
      <c r="A35" s="118" t="str">
        <f>"3903467"</f>
        <v>3903467</v>
      </c>
      <c r="B35" s="186" t="s">
        <v>2823</v>
      </c>
      <c r="C35" s="190">
        <v>4.4400000000000004</v>
      </c>
      <c r="D35" s="118">
        <v>317797</v>
      </c>
      <c r="E35" s="183">
        <v>43865.739942129629</v>
      </c>
      <c r="F35" s="115">
        <v>2190</v>
      </c>
    </row>
    <row r="36" spans="1:6" x14ac:dyDescent="0.25">
      <c r="A36" s="118" t="str">
        <f>"3903364"</f>
        <v>3903364</v>
      </c>
      <c r="B36" s="186" t="s">
        <v>2825</v>
      </c>
      <c r="C36" s="190">
        <v>6.03</v>
      </c>
      <c r="D36" s="118">
        <v>317847</v>
      </c>
      <c r="E36" s="183">
        <v>43865.739942129629</v>
      </c>
      <c r="F36" s="115">
        <v>2191</v>
      </c>
    </row>
    <row r="37" spans="1:6" x14ac:dyDescent="0.25">
      <c r="A37" s="118" t="str">
        <f>"3903127"</f>
        <v>3903127</v>
      </c>
      <c r="B37" s="186" t="s">
        <v>2840</v>
      </c>
      <c r="C37" s="190">
        <v>1.68</v>
      </c>
      <c r="D37" s="118">
        <v>317556</v>
      </c>
      <c r="E37" s="183">
        <v>43865.739942129629</v>
      </c>
      <c r="F37" s="115">
        <v>2192</v>
      </c>
    </row>
    <row r="38" spans="1:6" x14ac:dyDescent="0.25">
      <c r="A38" s="118" t="str">
        <f>"3907541"</f>
        <v>3907541</v>
      </c>
      <c r="B38" s="186" t="s">
        <v>2841</v>
      </c>
      <c r="C38" s="190">
        <v>3.46</v>
      </c>
      <c r="D38" s="118">
        <v>317575</v>
      </c>
      <c r="E38" s="183">
        <v>43865.739942129629</v>
      </c>
      <c r="F38" s="115">
        <v>2193</v>
      </c>
    </row>
    <row r="39" spans="1:6" x14ac:dyDescent="0.25">
      <c r="A39" s="118" t="str">
        <f>"3945284"</f>
        <v>3945284</v>
      </c>
      <c r="B39" s="186" t="s">
        <v>2842</v>
      </c>
      <c r="C39" s="190">
        <v>20.27</v>
      </c>
      <c r="D39" s="118">
        <v>317368</v>
      </c>
      <c r="E39" s="183">
        <v>43865.739942129629</v>
      </c>
      <c r="F39" s="115">
        <v>2194</v>
      </c>
    </row>
    <row r="40" spans="1:6" x14ac:dyDescent="0.25">
      <c r="A40" s="118" t="str">
        <f>"3945105"</f>
        <v>3945105</v>
      </c>
      <c r="B40" s="186" t="s">
        <v>5750</v>
      </c>
      <c r="C40" s="190">
        <v>16.760000000000002</v>
      </c>
      <c r="D40" s="118">
        <v>317222</v>
      </c>
      <c r="E40" s="183">
        <v>43865.739942129629</v>
      </c>
      <c r="F40" s="115">
        <v>2195</v>
      </c>
    </row>
    <row r="41" spans="1:6" x14ac:dyDescent="0.25">
      <c r="A41" s="118" t="str">
        <f>"3909936"</f>
        <v>3909936</v>
      </c>
      <c r="B41" s="186" t="s">
        <v>2820</v>
      </c>
      <c r="C41" s="190">
        <v>4.55</v>
      </c>
      <c r="D41" s="118">
        <v>317710</v>
      </c>
      <c r="E41" s="183">
        <v>43865.739942129629</v>
      </c>
      <c r="F41" s="115">
        <v>2197</v>
      </c>
    </row>
    <row r="42" spans="1:6" x14ac:dyDescent="0.25">
      <c r="A42" s="118" t="str">
        <f>"3960364"</f>
        <v>3960364</v>
      </c>
      <c r="B42" s="186" t="s">
        <v>2839</v>
      </c>
      <c r="C42" s="190">
        <v>8.3800000000000008</v>
      </c>
      <c r="D42" s="118">
        <v>317229</v>
      </c>
      <c r="E42" s="183">
        <v>43865.739942129629</v>
      </c>
      <c r="F42" s="115">
        <v>2198</v>
      </c>
    </row>
    <row r="43" spans="1:6" x14ac:dyDescent="0.25">
      <c r="A43" s="118" t="str">
        <f>"3960315"</f>
        <v>3960315</v>
      </c>
      <c r="B43" s="186" t="s">
        <v>2826</v>
      </c>
      <c r="C43" s="190">
        <v>4.1900000000000004</v>
      </c>
      <c r="D43" s="118">
        <v>317291</v>
      </c>
      <c r="E43" s="183">
        <v>43865.739942129629</v>
      </c>
      <c r="F43" s="115">
        <v>2200</v>
      </c>
    </row>
    <row r="44" spans="1:6" x14ac:dyDescent="0.25">
      <c r="A44" s="118" t="str">
        <f>"3900349"</f>
        <v>3900349</v>
      </c>
      <c r="B44" s="186" t="s">
        <v>2827</v>
      </c>
      <c r="C44" s="190">
        <v>1.75</v>
      </c>
      <c r="D44" s="118">
        <v>318659</v>
      </c>
      <c r="E44" s="183">
        <v>43865.739942129629</v>
      </c>
      <c r="F44" s="115">
        <v>2202</v>
      </c>
    </row>
    <row r="45" spans="1:6" x14ac:dyDescent="0.25">
      <c r="A45" s="118" t="str">
        <f>"3960212"</f>
        <v>3960212</v>
      </c>
      <c r="B45" s="186" t="s">
        <v>2837</v>
      </c>
      <c r="C45" s="190">
        <v>7.82</v>
      </c>
      <c r="D45" s="118">
        <v>317173</v>
      </c>
      <c r="E45" s="183">
        <v>43865.739942129629</v>
      </c>
      <c r="F45" s="115">
        <v>2204</v>
      </c>
    </row>
    <row r="46" spans="1:6" x14ac:dyDescent="0.25">
      <c r="A46" s="118" t="str">
        <f>"3901398"</f>
        <v>3901398</v>
      </c>
      <c r="B46" s="186" t="s">
        <v>2829</v>
      </c>
      <c r="C46" s="190">
        <v>4.09</v>
      </c>
      <c r="D46" s="118">
        <v>318827</v>
      </c>
      <c r="E46" s="183">
        <v>43865.739942129629</v>
      </c>
      <c r="F46" s="115">
        <v>2206</v>
      </c>
    </row>
    <row r="47" spans="1:6" x14ac:dyDescent="0.25">
      <c r="A47" s="118" t="str">
        <f>"3903781"</f>
        <v>3903781</v>
      </c>
      <c r="B47" s="186" t="s">
        <v>2830</v>
      </c>
      <c r="C47" s="190">
        <v>7.82</v>
      </c>
      <c r="D47" s="118">
        <v>317361</v>
      </c>
      <c r="E47" s="183">
        <v>43865.739942129629</v>
      </c>
      <c r="F47" s="115">
        <v>2207</v>
      </c>
    </row>
    <row r="48" spans="1:6" x14ac:dyDescent="0.25">
      <c r="A48" s="118" t="str">
        <f>"3903061"</f>
        <v>3903061</v>
      </c>
      <c r="B48" s="186" t="s">
        <v>2832</v>
      </c>
      <c r="C48" s="190">
        <v>6.94</v>
      </c>
      <c r="D48" s="118">
        <v>317478</v>
      </c>
      <c r="E48" s="183">
        <v>43865.739942129629</v>
      </c>
      <c r="F48" s="115">
        <v>2209</v>
      </c>
    </row>
    <row r="49" spans="1:6" x14ac:dyDescent="0.25">
      <c r="A49" s="118" t="str">
        <f>"3902419"</f>
        <v>3902419</v>
      </c>
      <c r="B49" s="186" t="s">
        <v>2821</v>
      </c>
      <c r="C49" s="190">
        <v>6.61</v>
      </c>
      <c r="D49" s="118">
        <v>318413</v>
      </c>
      <c r="E49" s="183">
        <v>43865.739942129629</v>
      </c>
      <c r="F49" s="115">
        <v>2210</v>
      </c>
    </row>
    <row r="50" spans="1:6" x14ac:dyDescent="0.25">
      <c r="A50" s="118" t="str">
        <f>"3909039"</f>
        <v>3909039</v>
      </c>
      <c r="B50" s="186" t="s">
        <v>2833</v>
      </c>
      <c r="C50" s="190">
        <v>2.54</v>
      </c>
      <c r="D50" s="118">
        <v>318161</v>
      </c>
      <c r="E50" s="183">
        <v>43865.739942129629</v>
      </c>
      <c r="F50" s="115">
        <v>2211</v>
      </c>
    </row>
    <row r="51" spans="1:6" x14ac:dyDescent="0.25">
      <c r="A51" s="118" t="str">
        <f>"3945435"</f>
        <v>3945435</v>
      </c>
      <c r="B51" s="186" t="s">
        <v>2834</v>
      </c>
      <c r="C51" s="190">
        <v>8.3800000000000008</v>
      </c>
      <c r="D51" s="118">
        <v>317260</v>
      </c>
      <c r="E51" s="183">
        <v>43865.739942129629</v>
      </c>
      <c r="F51" s="115">
        <v>2213</v>
      </c>
    </row>
    <row r="52" spans="1:6" x14ac:dyDescent="0.25">
      <c r="A52" s="118" t="str">
        <f>"3960256"</f>
        <v>3960256</v>
      </c>
      <c r="B52" s="186" t="s">
        <v>2843</v>
      </c>
      <c r="C52" s="190">
        <v>17.899999999999999</v>
      </c>
      <c r="D52" s="118">
        <v>317141</v>
      </c>
      <c r="E52" s="183">
        <v>43865.739942129629</v>
      </c>
      <c r="F52" s="115">
        <v>2215</v>
      </c>
    </row>
    <row r="53" spans="1:6" x14ac:dyDescent="0.25">
      <c r="A53" s="118" t="str">
        <f>"3940013"</f>
        <v>3940013</v>
      </c>
      <c r="B53" s="186" t="s">
        <v>2854</v>
      </c>
      <c r="C53" s="190">
        <v>8.3800000000000008</v>
      </c>
      <c r="D53" s="118">
        <v>317123</v>
      </c>
      <c r="E53" s="183">
        <v>43865.739942129629</v>
      </c>
      <c r="F53" s="115">
        <v>2217</v>
      </c>
    </row>
    <row r="54" spans="1:6" x14ac:dyDescent="0.25">
      <c r="A54" s="118" t="str">
        <f>"3950041"</f>
        <v>3950041</v>
      </c>
      <c r="B54" s="186" t="s">
        <v>2850</v>
      </c>
      <c r="C54" s="190">
        <v>4.1900000000000004</v>
      </c>
      <c r="D54" s="118">
        <v>317145</v>
      </c>
      <c r="E54" s="183">
        <v>43865.739942129629</v>
      </c>
      <c r="F54" s="115">
        <v>2219</v>
      </c>
    </row>
    <row r="55" spans="1:6" x14ac:dyDescent="0.25">
      <c r="A55" s="118" t="str">
        <f>"3920281"</f>
        <v>3920281</v>
      </c>
      <c r="B55" s="186" t="s">
        <v>2851</v>
      </c>
      <c r="C55" s="190">
        <v>7.82</v>
      </c>
      <c r="D55" s="118">
        <v>317120</v>
      </c>
      <c r="E55" s="183">
        <v>43865.739942129629</v>
      </c>
      <c r="F55" s="115">
        <v>2221</v>
      </c>
    </row>
    <row r="56" spans="1:6" x14ac:dyDescent="0.25">
      <c r="A56" s="118" t="str">
        <f>"3945272"</f>
        <v>3945272</v>
      </c>
      <c r="B56" s="186" t="s">
        <v>2853</v>
      </c>
      <c r="C56" s="190">
        <v>4.1900000000000004</v>
      </c>
      <c r="D56" s="118">
        <v>317366</v>
      </c>
      <c r="E56" s="183">
        <v>43865.739942129629</v>
      </c>
      <c r="F56" s="115">
        <v>2237</v>
      </c>
    </row>
    <row r="57" spans="1:6" x14ac:dyDescent="0.25">
      <c r="A57" s="118" t="str">
        <f>"3903098"</f>
        <v>3903098</v>
      </c>
      <c r="B57" s="186" t="s">
        <v>2849</v>
      </c>
      <c r="C57" s="190">
        <v>3.47</v>
      </c>
      <c r="D57" s="118">
        <v>317488</v>
      </c>
      <c r="E57" s="183">
        <v>43865.739942129629</v>
      </c>
      <c r="F57" s="115">
        <v>2238</v>
      </c>
    </row>
    <row r="58" spans="1:6" x14ac:dyDescent="0.25">
      <c r="A58" s="118" t="str">
        <f>"3906324"</f>
        <v>3906324</v>
      </c>
      <c r="B58" s="186" t="s">
        <v>2855</v>
      </c>
      <c r="C58" s="190">
        <v>4.1900000000000004</v>
      </c>
      <c r="D58" s="118">
        <v>317392</v>
      </c>
      <c r="E58" s="183">
        <v>43865.739942129629</v>
      </c>
      <c r="F58" s="115">
        <v>2240</v>
      </c>
    </row>
    <row r="59" spans="1:6" x14ac:dyDescent="0.25">
      <c r="A59" s="118" t="str">
        <f>"3901113"</f>
        <v>3901113</v>
      </c>
      <c r="B59" s="186" t="s">
        <v>2856</v>
      </c>
      <c r="C59" s="190">
        <v>1.77</v>
      </c>
      <c r="D59" s="118">
        <v>317910</v>
      </c>
      <c r="E59" s="183">
        <v>43865.739942129629</v>
      </c>
      <c r="F59" s="115">
        <v>2241</v>
      </c>
    </row>
    <row r="60" spans="1:6" x14ac:dyDescent="0.25">
      <c r="A60" s="118" t="str">
        <f>"3945262"</f>
        <v>3945262</v>
      </c>
      <c r="B60" s="186" t="s">
        <v>2857</v>
      </c>
      <c r="C60" s="190">
        <v>3.36</v>
      </c>
      <c r="D60" s="118">
        <v>317369</v>
      </c>
      <c r="E60" s="183">
        <v>43865.739942129629</v>
      </c>
      <c r="F60" s="115">
        <v>2242</v>
      </c>
    </row>
    <row r="61" spans="1:6" x14ac:dyDescent="0.25">
      <c r="A61" s="118" t="str">
        <f>"3909981"</f>
        <v>3909981</v>
      </c>
      <c r="B61" s="186" t="s">
        <v>2845</v>
      </c>
      <c r="C61" s="190">
        <v>7.92</v>
      </c>
      <c r="D61" s="118">
        <v>317643</v>
      </c>
      <c r="E61" s="183">
        <v>43865.739942129629</v>
      </c>
      <c r="F61" s="115">
        <v>2243</v>
      </c>
    </row>
    <row r="62" spans="1:6" x14ac:dyDescent="0.25">
      <c r="A62" s="118" t="str">
        <f>"3960264"</f>
        <v>3960264</v>
      </c>
      <c r="B62" s="186" t="s">
        <v>2858</v>
      </c>
      <c r="C62" s="190">
        <v>7.82</v>
      </c>
      <c r="D62" s="118">
        <v>317129</v>
      </c>
      <c r="E62" s="183">
        <v>43865.739942129629</v>
      </c>
      <c r="F62" s="115">
        <v>2244</v>
      </c>
    </row>
    <row r="63" spans="1:6" x14ac:dyDescent="0.25">
      <c r="A63" s="118" t="str">
        <f>"3900389"</f>
        <v>3900389</v>
      </c>
      <c r="B63" s="186" t="s">
        <v>2844</v>
      </c>
      <c r="C63" s="190">
        <v>2.08</v>
      </c>
      <c r="D63" s="118">
        <v>318677</v>
      </c>
      <c r="E63" s="183">
        <v>43865.739942129629</v>
      </c>
      <c r="F63" s="115">
        <v>2245</v>
      </c>
    </row>
    <row r="64" spans="1:6" x14ac:dyDescent="0.25">
      <c r="A64" s="118" t="str">
        <f>"3909223"</f>
        <v>3909223</v>
      </c>
      <c r="B64" s="186" t="s">
        <v>2846</v>
      </c>
      <c r="C64" s="190">
        <v>1.77</v>
      </c>
      <c r="D64" s="118">
        <v>318483</v>
      </c>
      <c r="E64" s="183">
        <v>43865.739942129629</v>
      </c>
      <c r="F64" s="115">
        <v>2247</v>
      </c>
    </row>
    <row r="65" spans="1:6" x14ac:dyDescent="0.25">
      <c r="A65" s="118" t="str">
        <f>"3903282"</f>
        <v>3903282</v>
      </c>
      <c r="B65" s="186" t="s">
        <v>2847</v>
      </c>
      <c r="C65" s="190">
        <v>1.75</v>
      </c>
      <c r="D65" s="118">
        <v>319032</v>
      </c>
      <c r="E65" s="183">
        <v>43865.739942129629</v>
      </c>
      <c r="F65" s="115">
        <v>2248</v>
      </c>
    </row>
    <row r="66" spans="1:6" x14ac:dyDescent="0.25">
      <c r="A66" s="118" t="str">
        <f>"3950328"</f>
        <v>3950328</v>
      </c>
      <c r="B66" s="186" t="s">
        <v>2848</v>
      </c>
      <c r="C66" s="190">
        <v>10.55</v>
      </c>
      <c r="D66" s="118">
        <v>317295</v>
      </c>
      <c r="E66" s="183">
        <v>43865.739942129629</v>
      </c>
      <c r="F66" s="115">
        <v>2250</v>
      </c>
    </row>
    <row r="67" spans="1:6" x14ac:dyDescent="0.25">
      <c r="A67" s="118" t="str">
        <f>"3907922"</f>
        <v>3907922</v>
      </c>
      <c r="B67" s="186" t="s">
        <v>2860</v>
      </c>
      <c r="C67" s="190">
        <v>1.68</v>
      </c>
      <c r="D67" s="118">
        <v>319594</v>
      </c>
      <c r="E67" s="183">
        <v>43865.739942129629</v>
      </c>
      <c r="F67" s="115">
        <v>2251</v>
      </c>
    </row>
    <row r="68" spans="1:6" x14ac:dyDescent="0.25">
      <c r="A68" s="118" t="str">
        <f>"3906796"</f>
        <v>3906796</v>
      </c>
      <c r="B68" s="186" t="s">
        <v>2861</v>
      </c>
      <c r="C68" s="190">
        <v>8.3000000000000007</v>
      </c>
      <c r="D68" s="118">
        <v>319610</v>
      </c>
      <c r="E68" s="183">
        <v>43865.739942129629</v>
      </c>
      <c r="F68" s="115">
        <v>2252</v>
      </c>
    </row>
    <row r="69" spans="1:6" x14ac:dyDescent="0.25">
      <c r="A69" s="118" t="str">
        <f>"3908716"</f>
        <v>3908716</v>
      </c>
      <c r="B69" s="186" t="s">
        <v>2862</v>
      </c>
      <c r="C69" s="190">
        <v>34.43</v>
      </c>
      <c r="D69" s="118">
        <v>319478</v>
      </c>
      <c r="E69" s="183">
        <v>43865.739942129629</v>
      </c>
      <c r="F69" s="115">
        <v>2254</v>
      </c>
    </row>
    <row r="70" spans="1:6" x14ac:dyDescent="0.25">
      <c r="A70" s="118" t="str">
        <f>"3908672"</f>
        <v>3908672</v>
      </c>
      <c r="B70" s="186" t="s">
        <v>2863</v>
      </c>
      <c r="C70" s="190">
        <v>2.3199999999999998</v>
      </c>
      <c r="D70" s="118">
        <v>319469</v>
      </c>
      <c r="E70" s="183">
        <v>43865.739942129629</v>
      </c>
      <c r="F70" s="115">
        <v>2255</v>
      </c>
    </row>
    <row r="71" spans="1:6" x14ac:dyDescent="0.25">
      <c r="A71" s="118" t="str">
        <f>"3909054"</f>
        <v>3909054</v>
      </c>
      <c r="B71" s="186" t="s">
        <v>2864</v>
      </c>
      <c r="C71" s="190">
        <v>1.84</v>
      </c>
      <c r="D71" s="118">
        <v>319598</v>
      </c>
      <c r="E71" s="183">
        <v>43865.739942129629</v>
      </c>
      <c r="F71" s="115">
        <v>2256</v>
      </c>
    </row>
    <row r="72" spans="1:6" x14ac:dyDescent="0.25">
      <c r="A72" s="118" t="str">
        <f>"3900340"</f>
        <v>3900340</v>
      </c>
      <c r="B72" s="186" t="s">
        <v>2865</v>
      </c>
      <c r="C72" s="190">
        <v>15.3</v>
      </c>
      <c r="D72" s="118">
        <v>319348</v>
      </c>
      <c r="E72" s="183">
        <v>43865.739942129629</v>
      </c>
      <c r="F72" s="115">
        <v>2257</v>
      </c>
    </row>
    <row r="73" spans="1:6" x14ac:dyDescent="0.25">
      <c r="A73" s="118" t="str">
        <f>"3900344"</f>
        <v>3900344</v>
      </c>
      <c r="B73" s="186" t="s">
        <v>2865</v>
      </c>
      <c r="C73" s="190">
        <v>15.3</v>
      </c>
      <c r="D73" s="118">
        <v>319349</v>
      </c>
      <c r="E73" s="183">
        <v>43865.739942129629</v>
      </c>
      <c r="F73" s="115">
        <v>2259</v>
      </c>
    </row>
    <row r="74" spans="1:6" x14ac:dyDescent="0.25">
      <c r="A74" s="118" t="str">
        <f>"3900657"</f>
        <v>3900657</v>
      </c>
      <c r="B74" s="186" t="s">
        <v>2865</v>
      </c>
      <c r="C74" s="190">
        <v>15.3</v>
      </c>
      <c r="D74" s="118">
        <v>319347</v>
      </c>
      <c r="E74" s="183">
        <v>43865.739942129629</v>
      </c>
      <c r="F74" s="115">
        <v>2279</v>
      </c>
    </row>
    <row r="75" spans="1:6" x14ac:dyDescent="0.25">
      <c r="A75" s="118" t="str">
        <f>"3909007"</f>
        <v>3909007</v>
      </c>
      <c r="B75" s="186" t="s">
        <v>2866</v>
      </c>
      <c r="C75" s="190">
        <v>5.23</v>
      </c>
      <c r="D75" s="118">
        <v>319556</v>
      </c>
      <c r="E75" s="183">
        <v>43865.739942129629</v>
      </c>
      <c r="F75" s="115">
        <v>2281</v>
      </c>
    </row>
    <row r="76" spans="1:6" x14ac:dyDescent="0.25">
      <c r="A76" s="118" t="str">
        <f>"3945038"</f>
        <v>3945038</v>
      </c>
      <c r="B76" s="186" t="s">
        <v>2867</v>
      </c>
      <c r="C76" s="190">
        <v>15.3</v>
      </c>
      <c r="D76" s="118">
        <v>319352</v>
      </c>
      <c r="E76" s="183">
        <v>43865.739942129629</v>
      </c>
      <c r="F76" s="115">
        <v>2282</v>
      </c>
    </row>
    <row r="77" spans="1:6" x14ac:dyDescent="0.25">
      <c r="A77" s="118" t="str">
        <f>"3901033"</f>
        <v>3901033</v>
      </c>
      <c r="B77" s="186" t="s">
        <v>2868</v>
      </c>
      <c r="C77" s="190">
        <v>36.06</v>
      </c>
      <c r="D77" s="118">
        <v>319358</v>
      </c>
      <c r="E77" s="183">
        <v>43865.739942129629</v>
      </c>
      <c r="F77" s="115">
        <v>2284</v>
      </c>
    </row>
    <row r="78" spans="1:6" s="164" customFormat="1" x14ac:dyDescent="0.25">
      <c r="A78" s="115"/>
      <c r="B78" s="115" t="s">
        <v>5691</v>
      </c>
      <c r="C78" s="167">
        <f>SUM(C21:C77)</f>
        <v>482.25</v>
      </c>
      <c r="D78" s="115">
        <v>2</v>
      </c>
      <c r="E78" s="163"/>
      <c r="F78" s="115"/>
    </row>
    <row r="79" spans="1:6" x14ac:dyDescent="0.25">
      <c r="A79" s="118"/>
      <c r="B79" s="116"/>
      <c r="C79" s="166"/>
      <c r="D79" s="118"/>
      <c r="E79" s="117"/>
      <c r="F79" s="118"/>
    </row>
    <row r="80" spans="1:6" x14ac:dyDescent="0.25">
      <c r="A80" s="118" t="str">
        <f>"3903124"</f>
        <v>3903124</v>
      </c>
      <c r="B80" s="186" t="s">
        <v>2924</v>
      </c>
      <c r="C80" s="190">
        <v>1.74</v>
      </c>
      <c r="D80" s="118">
        <v>318565</v>
      </c>
      <c r="E80" s="183">
        <v>43866.358564814815</v>
      </c>
      <c r="F80" s="115">
        <v>2290</v>
      </c>
    </row>
    <row r="81" spans="1:6" x14ac:dyDescent="0.25">
      <c r="A81" s="118" t="str">
        <f>"3901940"</f>
        <v>3901940</v>
      </c>
      <c r="B81" s="186" t="s">
        <v>2779</v>
      </c>
      <c r="C81" s="190">
        <v>2.82</v>
      </c>
      <c r="D81" s="118">
        <v>317567</v>
      </c>
      <c r="E81" s="183">
        <v>43866.366875</v>
      </c>
      <c r="F81" s="115">
        <v>2291</v>
      </c>
    </row>
    <row r="82" spans="1:6" x14ac:dyDescent="0.25">
      <c r="A82" s="118" t="str">
        <f>"3907489"</f>
        <v>3907489</v>
      </c>
      <c r="B82" s="186" t="s">
        <v>5749</v>
      </c>
      <c r="C82" s="190">
        <v>13.88</v>
      </c>
      <c r="D82" s="118">
        <v>317498</v>
      </c>
      <c r="E82" s="183">
        <v>43866.387141203704</v>
      </c>
      <c r="F82" s="115">
        <v>2293</v>
      </c>
    </row>
    <row r="83" spans="1:6" x14ac:dyDescent="0.25">
      <c r="A83" s="118" t="str">
        <f>"3907615"</f>
        <v>3907615</v>
      </c>
      <c r="B83" s="186" t="s">
        <v>2781</v>
      </c>
      <c r="C83" s="190">
        <v>3.67</v>
      </c>
      <c r="D83" s="118">
        <v>317675</v>
      </c>
      <c r="E83" s="183">
        <v>43866.442013888889</v>
      </c>
      <c r="F83" s="115">
        <v>2294</v>
      </c>
    </row>
    <row r="84" spans="1:6" x14ac:dyDescent="0.25">
      <c r="A84" s="118" t="str">
        <f>"3930275"</f>
        <v>3930275</v>
      </c>
      <c r="B84" s="186" t="s">
        <v>5748</v>
      </c>
      <c r="C84" s="190">
        <v>8.4600000000000009</v>
      </c>
      <c r="D84" s="118">
        <v>310217</v>
      </c>
      <c r="E84" s="183">
        <v>43866.445555555554</v>
      </c>
      <c r="F84" s="115">
        <v>2307</v>
      </c>
    </row>
    <row r="85" spans="1:6" x14ac:dyDescent="0.25">
      <c r="A85" s="118" t="str">
        <f>"3930293"</f>
        <v>3930293</v>
      </c>
      <c r="B85" s="186" t="s">
        <v>2982</v>
      </c>
      <c r="C85" s="190">
        <v>4.26</v>
      </c>
      <c r="D85" s="118">
        <v>319603</v>
      </c>
      <c r="E85" s="183">
        <v>43866.46974537037</v>
      </c>
      <c r="F85" s="115">
        <v>2295</v>
      </c>
    </row>
    <row r="86" spans="1:6" x14ac:dyDescent="0.25">
      <c r="A86" s="118" t="str">
        <f>"3960327"</f>
        <v>3960327</v>
      </c>
      <c r="B86" s="186" t="s">
        <v>2875</v>
      </c>
      <c r="C86" s="190">
        <v>3.47</v>
      </c>
      <c r="D86" s="118">
        <v>318058</v>
      </c>
      <c r="E86" s="183">
        <v>43866.478333333333</v>
      </c>
      <c r="F86" s="115">
        <v>2297</v>
      </c>
    </row>
    <row r="87" spans="1:6" x14ac:dyDescent="0.25">
      <c r="A87" s="118" t="str">
        <f>"3903548"</f>
        <v>3903548</v>
      </c>
      <c r="B87" s="186" t="s">
        <v>2776</v>
      </c>
      <c r="C87" s="190">
        <v>2.52</v>
      </c>
      <c r="D87" s="118">
        <v>318074</v>
      </c>
      <c r="E87" s="183">
        <v>43866.522858796299</v>
      </c>
      <c r="F87" s="115">
        <v>2298</v>
      </c>
    </row>
    <row r="88" spans="1:6" x14ac:dyDescent="0.25">
      <c r="A88" s="118" t="str">
        <f>"3901635"</f>
        <v>3901635</v>
      </c>
      <c r="B88" s="186" t="s">
        <v>5747</v>
      </c>
      <c r="C88" s="190">
        <v>3.85</v>
      </c>
      <c r="D88" s="118">
        <v>318874</v>
      </c>
      <c r="E88" s="183">
        <v>43866.620347222219</v>
      </c>
      <c r="F88" s="115">
        <v>2299</v>
      </c>
    </row>
    <row r="89" spans="1:6" x14ac:dyDescent="0.25">
      <c r="A89" s="118" t="str">
        <f>"3909892"</f>
        <v>3909892</v>
      </c>
      <c r="B89" s="186" t="s">
        <v>5746</v>
      </c>
      <c r="C89" s="190">
        <v>3.4</v>
      </c>
      <c r="D89" s="118">
        <v>319483</v>
      </c>
      <c r="E89" s="183">
        <v>43866.677824074075</v>
      </c>
      <c r="F89" s="115">
        <v>2300</v>
      </c>
    </row>
    <row r="90" spans="1:6" x14ac:dyDescent="0.25">
      <c r="A90" s="118" t="str">
        <f>"3902396"</f>
        <v>3902396</v>
      </c>
      <c r="B90" s="186" t="s">
        <v>2909</v>
      </c>
      <c r="C90" s="190">
        <v>1.94</v>
      </c>
      <c r="D90" s="118">
        <v>319619</v>
      </c>
      <c r="E90" s="183">
        <v>43866.691157407404</v>
      </c>
      <c r="F90" s="115">
        <v>2302</v>
      </c>
    </row>
    <row r="91" spans="1:6" x14ac:dyDescent="0.25">
      <c r="A91" s="118" t="str">
        <f>"3901461"</f>
        <v>3901461</v>
      </c>
      <c r="B91" s="186" t="s">
        <v>2931</v>
      </c>
      <c r="C91" s="190">
        <v>15.3</v>
      </c>
      <c r="D91" s="118">
        <v>319365</v>
      </c>
      <c r="E91" s="183">
        <v>43866.846875000003</v>
      </c>
      <c r="F91" s="115">
        <v>2303</v>
      </c>
    </row>
    <row r="92" spans="1:6" x14ac:dyDescent="0.25">
      <c r="A92" s="118" t="str">
        <f>"3945048"</f>
        <v>3945048</v>
      </c>
      <c r="B92" s="186" t="s">
        <v>2892</v>
      </c>
      <c r="C92" s="190">
        <v>8.3800000000000008</v>
      </c>
      <c r="D92" s="118">
        <v>317184</v>
      </c>
      <c r="E92" s="183">
        <v>43866.84783564815</v>
      </c>
      <c r="F92" s="115">
        <v>2304</v>
      </c>
    </row>
    <row r="93" spans="1:6" x14ac:dyDescent="0.25">
      <c r="A93" s="118" t="str">
        <f>"3930355"</f>
        <v>3930355</v>
      </c>
      <c r="B93" s="186" t="s">
        <v>5745</v>
      </c>
      <c r="C93" s="190">
        <v>5.04</v>
      </c>
      <c r="D93" s="118">
        <v>319645</v>
      </c>
      <c r="E93" s="183">
        <v>43866.860254629632</v>
      </c>
      <c r="F93" s="115">
        <v>2308</v>
      </c>
    </row>
    <row r="94" spans="1:6" x14ac:dyDescent="0.25">
      <c r="A94" s="118" t="str">
        <f>"3903292"</f>
        <v>3903292</v>
      </c>
      <c r="B94" s="186" t="s">
        <v>2869</v>
      </c>
      <c r="C94" s="190">
        <v>18.18</v>
      </c>
      <c r="D94" s="118">
        <v>317744</v>
      </c>
      <c r="E94" s="183">
        <v>43866.72929398148</v>
      </c>
      <c r="F94" s="115">
        <v>2309</v>
      </c>
    </row>
    <row r="95" spans="1:6" x14ac:dyDescent="0.25">
      <c r="A95" s="118" t="str">
        <f>"3960232"</f>
        <v>3960232</v>
      </c>
      <c r="B95" s="186" t="s">
        <v>2859</v>
      </c>
      <c r="C95" s="190">
        <v>12.3</v>
      </c>
      <c r="D95" s="118">
        <v>317216</v>
      </c>
      <c r="E95" s="183">
        <v>43866.72929398148</v>
      </c>
      <c r="F95" s="115">
        <v>2310</v>
      </c>
    </row>
    <row r="96" spans="1:6" s="164" customFormat="1" x14ac:dyDescent="0.25">
      <c r="A96" s="115"/>
      <c r="B96" s="115" t="s">
        <v>5691</v>
      </c>
      <c r="C96" s="167">
        <f>SUM(C80:C95)</f>
        <v>109.21</v>
      </c>
      <c r="D96" s="115">
        <v>3</v>
      </c>
      <c r="E96" s="163"/>
      <c r="F96" s="115"/>
    </row>
    <row r="97" spans="1:6" x14ac:dyDescent="0.25">
      <c r="A97" s="118"/>
      <c r="B97" s="116"/>
      <c r="C97" s="166"/>
      <c r="D97" s="118"/>
      <c r="E97" s="117"/>
      <c r="F97" s="118"/>
    </row>
    <row r="98" spans="1:6" x14ac:dyDescent="0.25">
      <c r="A98" s="118" t="str">
        <f>"3902054"</f>
        <v>3902054</v>
      </c>
      <c r="B98" s="186" t="s">
        <v>5744</v>
      </c>
      <c r="C98" s="190">
        <v>16.760000000000002</v>
      </c>
      <c r="D98" s="118">
        <v>317315</v>
      </c>
      <c r="E98" s="183">
        <v>43867.258310185185</v>
      </c>
      <c r="F98" s="115">
        <v>2375</v>
      </c>
    </row>
    <row r="99" spans="1:6" x14ac:dyDescent="0.25">
      <c r="A99" s="118" t="str">
        <f>"3930235"</f>
        <v>3930235</v>
      </c>
      <c r="B99" s="186" t="s">
        <v>5700</v>
      </c>
      <c r="C99" s="190">
        <v>3.79</v>
      </c>
      <c r="D99" s="118">
        <v>318033</v>
      </c>
      <c r="E99" s="183">
        <v>43867.350983796299</v>
      </c>
      <c r="F99" s="115">
        <v>2376</v>
      </c>
    </row>
    <row r="100" spans="1:6" x14ac:dyDescent="0.25">
      <c r="A100" s="118" t="str">
        <f>"3945113"</f>
        <v>3945113</v>
      </c>
      <c r="B100" s="186" t="s">
        <v>2790</v>
      </c>
      <c r="C100" s="190">
        <v>8.3800000000000008</v>
      </c>
      <c r="D100" s="118">
        <v>317231</v>
      </c>
      <c r="E100" s="183">
        <v>43867.438379629632</v>
      </c>
      <c r="F100" s="115">
        <v>2377</v>
      </c>
    </row>
    <row r="101" spans="1:6" x14ac:dyDescent="0.25">
      <c r="A101" s="118" t="str">
        <f>"3907618"</f>
        <v>3907618</v>
      </c>
      <c r="B101" s="186" t="s">
        <v>2783</v>
      </c>
      <c r="C101" s="190">
        <v>1.22</v>
      </c>
      <c r="D101" s="118">
        <v>319238</v>
      </c>
      <c r="E101" s="183">
        <v>43867.469548611109</v>
      </c>
      <c r="F101" s="115">
        <v>2378</v>
      </c>
    </row>
    <row r="102" spans="1:6" x14ac:dyDescent="0.25">
      <c r="A102" s="118" t="str">
        <f>"3900244"</f>
        <v>3900244</v>
      </c>
      <c r="B102" s="186" t="s">
        <v>2926</v>
      </c>
      <c r="C102" s="190">
        <v>12.45</v>
      </c>
      <c r="D102" s="118">
        <v>319713</v>
      </c>
      <c r="E102" s="183">
        <v>43867.487175925926</v>
      </c>
      <c r="F102" s="115">
        <v>2379</v>
      </c>
    </row>
    <row r="103" spans="1:6" x14ac:dyDescent="0.25">
      <c r="A103" s="118" t="str">
        <f>"3903863"</f>
        <v>3903863</v>
      </c>
      <c r="B103" s="186" t="s">
        <v>5743</v>
      </c>
      <c r="C103" s="190">
        <v>12.78</v>
      </c>
      <c r="D103" s="118">
        <v>319791</v>
      </c>
      <c r="E103" s="183">
        <v>43867.502233796295</v>
      </c>
      <c r="F103" s="115">
        <v>2380</v>
      </c>
    </row>
    <row r="104" spans="1:6" x14ac:dyDescent="0.25">
      <c r="A104" s="118" t="str">
        <f>"3903864"</f>
        <v>3903864</v>
      </c>
      <c r="B104" s="186" t="s">
        <v>5743</v>
      </c>
      <c r="C104" s="190">
        <v>2.48</v>
      </c>
      <c r="D104" s="118">
        <v>319792</v>
      </c>
      <c r="E104" s="183">
        <v>43867.502349537041</v>
      </c>
      <c r="F104" s="115">
        <v>2381</v>
      </c>
    </row>
    <row r="105" spans="1:6" x14ac:dyDescent="0.25">
      <c r="A105" s="118" t="str">
        <f>"3902164"</f>
        <v>3902164</v>
      </c>
      <c r="B105" s="186" t="s">
        <v>5742</v>
      </c>
      <c r="C105" s="190">
        <v>2.93</v>
      </c>
      <c r="D105" s="118">
        <v>318477</v>
      </c>
      <c r="E105" s="183">
        <v>43867.560173611113</v>
      </c>
      <c r="F105" s="115">
        <v>2382</v>
      </c>
    </row>
    <row r="106" spans="1:6" x14ac:dyDescent="0.25">
      <c r="A106" s="118" t="str">
        <f>"3903544"</f>
        <v>3903544</v>
      </c>
      <c r="B106" s="186" t="s">
        <v>2802</v>
      </c>
      <c r="C106" s="190">
        <v>2.56</v>
      </c>
      <c r="D106" s="118">
        <v>318070</v>
      </c>
      <c r="E106" s="183">
        <v>43867.57240740741</v>
      </c>
      <c r="F106" s="115">
        <v>2383</v>
      </c>
    </row>
    <row r="107" spans="1:6" x14ac:dyDescent="0.25">
      <c r="A107" s="118" t="str">
        <f>"3909794"</f>
        <v>3909794</v>
      </c>
      <c r="B107" s="186" t="s">
        <v>2784</v>
      </c>
      <c r="C107" s="190">
        <v>3.37</v>
      </c>
      <c r="D107" s="118">
        <v>319689</v>
      </c>
      <c r="E107" s="183">
        <v>43867.620486111111</v>
      </c>
      <c r="F107" s="115">
        <v>2384</v>
      </c>
    </row>
    <row r="108" spans="1:6" x14ac:dyDescent="0.25">
      <c r="A108" s="118" t="str">
        <f>"3930231"</f>
        <v>3930231</v>
      </c>
      <c r="B108" s="186" t="s">
        <v>5741</v>
      </c>
      <c r="C108" s="190">
        <v>3.91</v>
      </c>
      <c r="D108" s="118">
        <v>318018</v>
      </c>
      <c r="E108" s="183">
        <v>43867.811921296299</v>
      </c>
      <c r="F108" s="115">
        <v>2385</v>
      </c>
    </row>
    <row r="109" spans="1:6" x14ac:dyDescent="0.25">
      <c r="A109" s="118" t="str">
        <f>"3950049"</f>
        <v>3950049</v>
      </c>
      <c r="B109" s="186" t="s">
        <v>2786</v>
      </c>
      <c r="C109" s="190">
        <v>7.82</v>
      </c>
      <c r="D109" s="118">
        <v>317148</v>
      </c>
      <c r="E109" s="183">
        <v>43867.821921296294</v>
      </c>
      <c r="F109" s="115">
        <v>2386</v>
      </c>
    </row>
    <row r="110" spans="1:6" s="164" customFormat="1" x14ac:dyDescent="0.25">
      <c r="A110" s="115"/>
      <c r="B110" s="115" t="s">
        <v>5691</v>
      </c>
      <c r="C110" s="167">
        <f>SUM(C98:C109)</f>
        <v>78.449999999999989</v>
      </c>
      <c r="D110" s="115">
        <v>4</v>
      </c>
      <c r="E110" s="163"/>
      <c r="F110" s="115"/>
    </row>
    <row r="111" spans="1:6" x14ac:dyDescent="0.25">
      <c r="A111" s="118"/>
      <c r="B111" s="116"/>
      <c r="C111" s="166"/>
      <c r="D111" s="118"/>
      <c r="E111" s="117"/>
      <c r="F111" s="118"/>
    </row>
    <row r="112" spans="1:6" x14ac:dyDescent="0.25">
      <c r="A112" s="118" t="str">
        <f>"3909922"</f>
        <v>3909922</v>
      </c>
      <c r="B112" s="186" t="s">
        <v>5740</v>
      </c>
      <c r="C112" s="190">
        <v>10.5</v>
      </c>
      <c r="D112" s="118">
        <v>319475</v>
      </c>
      <c r="E112" s="183">
        <v>43868.370439814818</v>
      </c>
      <c r="F112" s="115">
        <v>2510</v>
      </c>
    </row>
    <row r="113" spans="1:6" x14ac:dyDescent="0.25">
      <c r="A113" s="118" t="str">
        <f>"3907527"</f>
        <v>3907527</v>
      </c>
      <c r="B113" s="186" t="s">
        <v>5739</v>
      </c>
      <c r="C113" s="190">
        <v>3.72</v>
      </c>
      <c r="D113" s="118">
        <v>317557</v>
      </c>
      <c r="E113" s="183">
        <v>43868.453715277778</v>
      </c>
      <c r="F113" s="115">
        <v>2511</v>
      </c>
    </row>
    <row r="114" spans="1:6" x14ac:dyDescent="0.25">
      <c r="A114" s="118" t="str">
        <f>"3909002"</f>
        <v>3909002</v>
      </c>
      <c r="B114" s="186" t="s">
        <v>5738</v>
      </c>
      <c r="C114" s="190">
        <v>8.14</v>
      </c>
      <c r="D114" s="118">
        <v>317959</v>
      </c>
      <c r="E114" s="183">
        <v>43868.45857638889</v>
      </c>
      <c r="F114" s="115">
        <v>2512</v>
      </c>
    </row>
    <row r="115" spans="1:6" x14ac:dyDescent="0.25">
      <c r="A115" s="118" t="str">
        <f>"3907949"</f>
        <v>3907949</v>
      </c>
      <c r="B115" s="186" t="s">
        <v>5737</v>
      </c>
      <c r="C115" s="190">
        <v>15.86</v>
      </c>
      <c r="D115" s="118">
        <v>319259</v>
      </c>
      <c r="E115" s="183">
        <v>43868.48710648148</v>
      </c>
      <c r="F115" s="115">
        <v>2513</v>
      </c>
    </row>
    <row r="116" spans="1:6" x14ac:dyDescent="0.25">
      <c r="A116" s="118" t="str">
        <f>"3960274"</f>
        <v>3960274</v>
      </c>
      <c r="B116" s="186" t="s">
        <v>2798</v>
      </c>
      <c r="C116" s="190">
        <v>3.87</v>
      </c>
      <c r="D116" s="118">
        <v>317137</v>
      </c>
      <c r="E116" s="183">
        <v>43868.515856481485</v>
      </c>
      <c r="F116" s="115">
        <v>2514</v>
      </c>
    </row>
    <row r="117" spans="1:6" x14ac:dyDescent="0.25">
      <c r="A117" s="118" t="str">
        <f>"3908639"</f>
        <v>3908639</v>
      </c>
      <c r="B117" s="186" t="s">
        <v>2906</v>
      </c>
      <c r="C117" s="190">
        <v>1.94</v>
      </c>
      <c r="D117" s="118">
        <v>319686</v>
      </c>
      <c r="E117" s="183">
        <v>43868.528645833336</v>
      </c>
      <c r="F117" s="115">
        <v>2515</v>
      </c>
    </row>
    <row r="118" spans="1:6" x14ac:dyDescent="0.25">
      <c r="A118" s="118" t="str">
        <f>"3900347"</f>
        <v>3900347</v>
      </c>
      <c r="B118" s="186" t="s">
        <v>5698</v>
      </c>
      <c r="C118" s="190">
        <v>3.68</v>
      </c>
      <c r="D118" s="118">
        <v>318658</v>
      </c>
      <c r="E118" s="183">
        <v>43868.581064814818</v>
      </c>
      <c r="F118" s="115">
        <v>2516</v>
      </c>
    </row>
    <row r="119" spans="1:6" x14ac:dyDescent="0.25">
      <c r="A119" s="118" t="str">
        <f>"3920203"</f>
        <v>3920203</v>
      </c>
      <c r="B119" s="186" t="s">
        <v>5736</v>
      </c>
      <c r="C119" s="190">
        <v>35.799999999999997</v>
      </c>
      <c r="D119" s="118">
        <v>317125</v>
      </c>
      <c r="E119" s="183">
        <v>43868.652962962966</v>
      </c>
      <c r="F119" s="115">
        <v>2517</v>
      </c>
    </row>
    <row r="120" spans="1:6" x14ac:dyDescent="0.25">
      <c r="A120" s="118" t="str">
        <f>"3903507"</f>
        <v>3903507</v>
      </c>
      <c r="B120" s="186" t="s">
        <v>2811</v>
      </c>
      <c r="C120" s="190">
        <v>2.95</v>
      </c>
      <c r="D120" s="118">
        <v>319573</v>
      </c>
      <c r="E120" s="183">
        <v>43868.695243055554</v>
      </c>
      <c r="F120" s="115">
        <v>2518</v>
      </c>
    </row>
    <row r="121" spans="1:6" x14ac:dyDescent="0.25">
      <c r="A121" s="118" t="str">
        <f>"3960284"</f>
        <v>3960284</v>
      </c>
      <c r="B121" s="186" t="s">
        <v>2879</v>
      </c>
      <c r="C121" s="190">
        <v>8.3800000000000008</v>
      </c>
      <c r="D121" s="118">
        <v>317196</v>
      </c>
      <c r="E121" s="183">
        <v>43868.700324074074</v>
      </c>
      <c r="F121" s="115">
        <v>2519</v>
      </c>
    </row>
    <row r="122" spans="1:6" x14ac:dyDescent="0.25">
      <c r="A122" s="118" t="str">
        <f>"3909141"</f>
        <v>3909141</v>
      </c>
      <c r="B122" s="186" t="s">
        <v>5735</v>
      </c>
      <c r="C122" s="190">
        <v>3.57</v>
      </c>
      <c r="D122" s="118">
        <v>318314</v>
      </c>
      <c r="E122" s="183">
        <v>43868.787280092591</v>
      </c>
      <c r="F122" s="115">
        <v>2520</v>
      </c>
    </row>
    <row r="123" spans="1:6" s="164" customFormat="1" x14ac:dyDescent="0.25">
      <c r="A123" s="115"/>
      <c r="B123" s="115" t="s">
        <v>5691</v>
      </c>
      <c r="C123" s="167">
        <f>SUM(C112:C122)</f>
        <v>98.409999999999982</v>
      </c>
      <c r="D123" s="115">
        <v>5</v>
      </c>
      <c r="E123" s="163"/>
      <c r="F123" s="115"/>
    </row>
    <row r="124" spans="1:6" x14ac:dyDescent="0.25">
      <c r="A124" s="118"/>
      <c r="B124" s="116"/>
      <c r="C124" s="166"/>
      <c r="D124" s="118"/>
      <c r="E124" s="117"/>
      <c r="F124" s="118"/>
    </row>
    <row r="125" spans="1:6" x14ac:dyDescent="0.25">
      <c r="A125" s="118" t="str">
        <f>"3960306"</f>
        <v>3960306</v>
      </c>
      <c r="B125" s="186" t="s">
        <v>2815</v>
      </c>
      <c r="C125" s="190">
        <v>8.67</v>
      </c>
      <c r="D125" s="118">
        <v>317278</v>
      </c>
      <c r="E125" s="183">
        <v>43871.546990740739</v>
      </c>
      <c r="F125" s="115">
        <v>2521</v>
      </c>
    </row>
    <row r="126" spans="1:6" x14ac:dyDescent="0.25">
      <c r="A126" s="118" t="str">
        <f>"3945424"</f>
        <v>3945424</v>
      </c>
      <c r="B126" s="186" t="s">
        <v>2897</v>
      </c>
      <c r="C126" s="190">
        <v>9.6199999999999992</v>
      </c>
      <c r="D126" s="118">
        <v>317258</v>
      </c>
      <c r="E126" s="183">
        <v>43871.605173611111</v>
      </c>
      <c r="F126" s="115">
        <v>2522</v>
      </c>
    </row>
    <row r="127" spans="1:6" x14ac:dyDescent="0.25">
      <c r="A127" s="118" t="str">
        <f>"3908084"</f>
        <v>3908084</v>
      </c>
      <c r="B127" s="186" t="s">
        <v>2888</v>
      </c>
      <c r="C127" s="190">
        <v>2.74</v>
      </c>
      <c r="D127" s="118">
        <v>318458</v>
      </c>
      <c r="E127" s="183">
        <v>43871.487476851849</v>
      </c>
      <c r="F127" s="115">
        <v>2523</v>
      </c>
    </row>
    <row r="128" spans="1:6" x14ac:dyDescent="0.25">
      <c r="A128" s="118" t="str">
        <f>"3901153"</f>
        <v>3901153</v>
      </c>
      <c r="B128" s="186" t="s">
        <v>2915</v>
      </c>
      <c r="C128" s="190">
        <v>4.37</v>
      </c>
      <c r="D128" s="118">
        <v>319487</v>
      </c>
      <c r="E128" s="183">
        <v>43871.489652777775</v>
      </c>
      <c r="F128" s="115">
        <v>2524</v>
      </c>
    </row>
    <row r="129" spans="1:6" x14ac:dyDescent="0.25">
      <c r="A129" s="118" t="str">
        <f>"3907903"</f>
        <v>3907903</v>
      </c>
      <c r="B129" s="186" t="s">
        <v>5734</v>
      </c>
      <c r="C129" s="190">
        <v>5.37</v>
      </c>
      <c r="D129" s="118">
        <v>318132</v>
      </c>
      <c r="E129" s="183">
        <v>43871.553888888891</v>
      </c>
      <c r="F129" s="115">
        <v>2526</v>
      </c>
    </row>
    <row r="130" spans="1:6" x14ac:dyDescent="0.25">
      <c r="A130" s="118" t="str">
        <f>"3960363"</f>
        <v>3960363</v>
      </c>
      <c r="B130" s="186" t="s">
        <v>5733</v>
      </c>
      <c r="C130" s="190">
        <v>16.760000000000002</v>
      </c>
      <c r="D130" s="118">
        <v>317228</v>
      </c>
      <c r="E130" s="183">
        <v>43871.593784722223</v>
      </c>
      <c r="F130" s="115">
        <v>2525</v>
      </c>
    </row>
    <row r="131" spans="1:6" x14ac:dyDescent="0.25">
      <c r="A131" s="118" t="str">
        <f>"3909239"</f>
        <v>3909239</v>
      </c>
      <c r="B131" s="186" t="s">
        <v>5732</v>
      </c>
      <c r="C131" s="190">
        <v>1.68</v>
      </c>
      <c r="D131" s="118">
        <v>318491</v>
      </c>
      <c r="E131" s="183">
        <v>43871.620393518519</v>
      </c>
      <c r="F131" s="115">
        <v>2527</v>
      </c>
    </row>
    <row r="132" spans="1:6" x14ac:dyDescent="0.25">
      <c r="A132" s="118" t="str">
        <f>"3900431"</f>
        <v>3900431</v>
      </c>
      <c r="B132" s="186" t="s">
        <v>2955</v>
      </c>
      <c r="C132" s="190">
        <v>3.1</v>
      </c>
      <c r="D132" s="118">
        <v>318695</v>
      </c>
      <c r="E132" s="183">
        <v>43871.700833333336</v>
      </c>
      <c r="F132" s="115">
        <v>2528</v>
      </c>
    </row>
    <row r="133" spans="1:6" x14ac:dyDescent="0.25">
      <c r="A133" s="118" t="str">
        <f>"3907425"</f>
        <v>3907425</v>
      </c>
      <c r="B133" s="186" t="s">
        <v>2819</v>
      </c>
      <c r="C133" s="190">
        <v>4.83</v>
      </c>
      <c r="D133" s="118">
        <v>319201</v>
      </c>
      <c r="E133" s="183">
        <v>43871.718055555553</v>
      </c>
      <c r="F133" s="115">
        <v>2529</v>
      </c>
    </row>
    <row r="134" spans="1:6" x14ac:dyDescent="0.25">
      <c r="A134" s="118" t="str">
        <f>"3906656"</f>
        <v>3906656</v>
      </c>
      <c r="B134" s="186" t="s">
        <v>2975</v>
      </c>
      <c r="C134" s="190">
        <v>13.31</v>
      </c>
      <c r="D134" s="118">
        <v>319418</v>
      </c>
      <c r="E134" s="183">
        <v>43871.806377314817</v>
      </c>
      <c r="F134" s="115">
        <v>2530</v>
      </c>
    </row>
    <row r="135" spans="1:6" s="164" customFormat="1" x14ac:dyDescent="0.25">
      <c r="A135" s="115"/>
      <c r="B135" s="115" t="s">
        <v>5691</v>
      </c>
      <c r="C135" s="167">
        <f>SUM(C125:C134)</f>
        <v>70.45</v>
      </c>
      <c r="D135" s="115">
        <v>6</v>
      </c>
      <c r="E135" s="163"/>
      <c r="F135" s="115"/>
    </row>
    <row r="136" spans="1:6" x14ac:dyDescent="0.25">
      <c r="A136" s="118"/>
      <c r="B136" s="116"/>
      <c r="C136" s="166"/>
      <c r="D136" s="118"/>
      <c r="E136" s="117"/>
      <c r="F136" s="118"/>
    </row>
    <row r="137" spans="1:6" x14ac:dyDescent="0.25">
      <c r="A137" s="118" t="str">
        <f>"3950207"</f>
        <v>3950207</v>
      </c>
      <c r="B137" s="186" t="s">
        <v>5731</v>
      </c>
      <c r="C137" s="190">
        <v>8.9499999999999993</v>
      </c>
      <c r="D137" s="118">
        <v>317227</v>
      </c>
      <c r="E137" s="183">
        <v>43872.4059375</v>
      </c>
      <c r="F137" s="115">
        <v>2582</v>
      </c>
    </row>
    <row r="138" spans="1:6" x14ac:dyDescent="0.25">
      <c r="A138" s="118" t="str">
        <f>"3908078"</f>
        <v>3908078</v>
      </c>
      <c r="B138" s="186" t="s">
        <v>5730</v>
      </c>
      <c r="C138" s="190">
        <v>3.08</v>
      </c>
      <c r="D138" s="118">
        <v>319274</v>
      </c>
      <c r="E138" s="183">
        <v>43872.436261574076</v>
      </c>
      <c r="F138" s="115">
        <v>2583</v>
      </c>
    </row>
    <row r="139" spans="1:6" x14ac:dyDescent="0.25">
      <c r="A139" s="118" t="str">
        <f>"3920065"</f>
        <v>3920065</v>
      </c>
      <c r="B139" s="186" t="s">
        <v>2895</v>
      </c>
      <c r="C139" s="190">
        <v>15.3</v>
      </c>
      <c r="D139" s="118">
        <v>319343</v>
      </c>
      <c r="E139" s="183">
        <v>43872.476817129631</v>
      </c>
      <c r="F139" s="115">
        <v>2584</v>
      </c>
    </row>
    <row r="140" spans="1:6" x14ac:dyDescent="0.25">
      <c r="A140" s="118" t="str">
        <f>"3960357"</f>
        <v>3960357</v>
      </c>
      <c r="B140" s="186" t="s">
        <v>5729</v>
      </c>
      <c r="C140" s="190">
        <v>16.760000000000002</v>
      </c>
      <c r="D140" s="118">
        <v>317284</v>
      </c>
      <c r="E140" s="183">
        <v>43872.610682870371</v>
      </c>
      <c r="F140" s="115">
        <v>2585</v>
      </c>
    </row>
    <row r="141" spans="1:6" x14ac:dyDescent="0.25">
      <c r="A141" s="118" t="str">
        <f>"23923213"</f>
        <v>23923213</v>
      </c>
      <c r="B141" s="186" t="s">
        <v>5728</v>
      </c>
      <c r="C141" s="190">
        <v>0.69</v>
      </c>
      <c r="D141" s="118">
        <v>1094</v>
      </c>
      <c r="E141" s="183">
        <v>43872.702187499999</v>
      </c>
      <c r="F141" s="115">
        <v>2586</v>
      </c>
    </row>
    <row r="142" spans="1:6" s="164" customFormat="1" x14ac:dyDescent="0.25">
      <c r="A142" s="115"/>
      <c r="B142" s="115" t="s">
        <v>5691</v>
      </c>
      <c r="C142" s="167">
        <f>SUM(C137:C141)</f>
        <v>44.78</v>
      </c>
      <c r="D142" s="115">
        <v>7</v>
      </c>
      <c r="E142" s="163"/>
      <c r="F142" s="115"/>
    </row>
    <row r="143" spans="1:6" x14ac:dyDescent="0.25">
      <c r="A143" s="118"/>
      <c r="B143" s="116"/>
      <c r="C143" s="166"/>
      <c r="D143" s="118"/>
      <c r="E143" s="117"/>
      <c r="F143" s="118"/>
    </row>
    <row r="144" spans="1:6" x14ac:dyDescent="0.25">
      <c r="A144" s="118" t="str">
        <f>"3908631"</f>
        <v>3908631</v>
      </c>
      <c r="B144" s="186" t="s">
        <v>2900</v>
      </c>
      <c r="C144" s="190">
        <v>3.48</v>
      </c>
      <c r="D144" s="118">
        <v>317505</v>
      </c>
      <c r="E144" s="183">
        <v>43873.444340277776</v>
      </c>
      <c r="F144" s="115">
        <v>2624</v>
      </c>
    </row>
    <row r="145" spans="1:6" x14ac:dyDescent="0.25">
      <c r="A145" s="118" t="str">
        <f>"3907892"</f>
        <v>3907892</v>
      </c>
      <c r="B145" s="186" t="s">
        <v>5727</v>
      </c>
      <c r="C145" s="190">
        <v>2.23</v>
      </c>
      <c r="D145" s="118">
        <v>318327</v>
      </c>
      <c r="E145" s="183">
        <v>43873.497928240744</v>
      </c>
      <c r="F145" s="115">
        <v>2625</v>
      </c>
    </row>
    <row r="146" spans="1:6" x14ac:dyDescent="0.25">
      <c r="A146" s="118" t="str">
        <f>"3907791"</f>
        <v>3907791</v>
      </c>
      <c r="B146" s="186" t="s">
        <v>5726</v>
      </c>
      <c r="C146" s="190">
        <v>6.2</v>
      </c>
      <c r="D146" s="118">
        <v>317866</v>
      </c>
      <c r="E146" s="183">
        <v>43873.613761574074</v>
      </c>
      <c r="F146" s="115">
        <v>2628</v>
      </c>
    </row>
    <row r="147" spans="1:6" x14ac:dyDescent="0.25">
      <c r="A147" s="118" t="str">
        <f>"3906658"</f>
        <v>3906658</v>
      </c>
      <c r="B147" s="186" t="s">
        <v>2907</v>
      </c>
      <c r="C147" s="190">
        <v>12.16</v>
      </c>
      <c r="D147" s="118">
        <v>319539</v>
      </c>
      <c r="E147" s="183">
        <v>43873.633738425924</v>
      </c>
      <c r="F147" s="115">
        <v>2626</v>
      </c>
    </row>
    <row r="148" spans="1:6" x14ac:dyDescent="0.25">
      <c r="A148" s="118" t="str">
        <f>"3901121"</f>
        <v>3901121</v>
      </c>
      <c r="B148" s="186" t="s">
        <v>2908</v>
      </c>
      <c r="C148" s="190">
        <v>5.05</v>
      </c>
      <c r="D148" s="118">
        <v>317911</v>
      </c>
      <c r="E148" s="183">
        <v>43873.633981481478</v>
      </c>
      <c r="F148" s="115">
        <v>2627</v>
      </c>
    </row>
    <row r="149" spans="1:6" s="164" customFormat="1" x14ac:dyDescent="0.25">
      <c r="A149" s="115"/>
      <c r="B149" s="115" t="s">
        <v>5691</v>
      </c>
      <c r="C149" s="167">
        <f>SUM(C144:C148)</f>
        <v>29.12</v>
      </c>
      <c r="D149" s="115">
        <v>8</v>
      </c>
      <c r="E149" s="163"/>
      <c r="F149" s="115"/>
    </row>
    <row r="150" spans="1:6" x14ac:dyDescent="0.25">
      <c r="A150" s="118"/>
      <c r="B150" s="116"/>
      <c r="C150" s="166"/>
      <c r="D150" s="118"/>
      <c r="E150" s="117"/>
      <c r="F150" s="118"/>
    </row>
    <row r="151" spans="1:6" x14ac:dyDescent="0.25">
      <c r="A151" s="118" t="s">
        <v>5725</v>
      </c>
      <c r="B151" s="186" t="s">
        <v>2930</v>
      </c>
      <c r="C151" s="190">
        <v>9.17</v>
      </c>
      <c r="D151" s="118">
        <v>990</v>
      </c>
      <c r="E151" s="183">
        <v>43874.403564814813</v>
      </c>
      <c r="F151" s="115">
        <v>2669</v>
      </c>
    </row>
    <row r="152" spans="1:6" x14ac:dyDescent="0.25">
      <c r="A152" s="118" t="s">
        <v>5724</v>
      </c>
      <c r="B152" s="186" t="s">
        <v>2912</v>
      </c>
      <c r="C152" s="190">
        <v>1.89</v>
      </c>
      <c r="D152" s="118">
        <v>317525</v>
      </c>
      <c r="E152" s="183">
        <v>43874.425567129627</v>
      </c>
      <c r="F152" s="115">
        <v>2670</v>
      </c>
    </row>
    <row r="153" spans="1:6" x14ac:dyDescent="0.25">
      <c r="A153" s="118" t="s">
        <v>5723</v>
      </c>
      <c r="B153" s="186" t="s">
        <v>5722</v>
      </c>
      <c r="C153" s="190">
        <v>5.71</v>
      </c>
      <c r="D153" s="118">
        <v>317814</v>
      </c>
      <c r="E153" s="183">
        <v>43874.454456018517</v>
      </c>
      <c r="F153" s="115">
        <v>2672</v>
      </c>
    </row>
    <row r="154" spans="1:6" x14ac:dyDescent="0.25">
      <c r="A154" s="118" t="s">
        <v>5721</v>
      </c>
      <c r="B154" s="186" t="s">
        <v>5720</v>
      </c>
      <c r="C154" s="190">
        <v>39.53</v>
      </c>
      <c r="D154" s="118">
        <v>317913</v>
      </c>
      <c r="E154" s="183">
        <v>43874.4841087963</v>
      </c>
      <c r="F154" s="115">
        <v>2671</v>
      </c>
    </row>
    <row r="155" spans="1:6" x14ac:dyDescent="0.25">
      <c r="A155" s="118" t="s">
        <v>5719</v>
      </c>
      <c r="B155" s="186" t="s">
        <v>2872</v>
      </c>
      <c r="C155" s="190">
        <v>8.3800000000000008</v>
      </c>
      <c r="D155" s="118">
        <v>317282</v>
      </c>
      <c r="E155" s="183">
        <v>43874.552905092591</v>
      </c>
      <c r="F155" s="115">
        <v>2673</v>
      </c>
    </row>
    <row r="156" spans="1:6" x14ac:dyDescent="0.25">
      <c r="A156" s="118" t="s">
        <v>5718</v>
      </c>
      <c r="B156" s="186" t="s">
        <v>2925</v>
      </c>
      <c r="C156" s="190">
        <v>12.57</v>
      </c>
      <c r="D156" s="118">
        <v>317290</v>
      </c>
      <c r="E156" s="183">
        <v>43874.55945601852</v>
      </c>
      <c r="F156" s="115">
        <v>2678</v>
      </c>
    </row>
    <row r="157" spans="1:6" x14ac:dyDescent="0.25">
      <c r="A157" s="118" t="s">
        <v>5717</v>
      </c>
      <c r="B157" s="186" t="s">
        <v>2925</v>
      </c>
      <c r="C157" s="190">
        <v>4.1900000000000004</v>
      </c>
      <c r="D157" s="118">
        <v>317370</v>
      </c>
      <c r="E157" s="183">
        <v>43874.559629629628</v>
      </c>
      <c r="F157" s="115">
        <v>2674</v>
      </c>
    </row>
    <row r="158" spans="1:6" x14ac:dyDescent="0.25">
      <c r="A158" s="118" t="s">
        <v>5716</v>
      </c>
      <c r="B158" s="186" t="s">
        <v>5715</v>
      </c>
      <c r="C158" s="190">
        <v>4.18</v>
      </c>
      <c r="D158" s="118">
        <v>319673</v>
      </c>
      <c r="E158" s="183">
        <v>43874.638252314813</v>
      </c>
      <c r="F158" s="115">
        <v>2675</v>
      </c>
    </row>
    <row r="159" spans="1:6" x14ac:dyDescent="0.25">
      <c r="A159" s="118" t="s">
        <v>5714</v>
      </c>
      <c r="B159" s="186" t="s">
        <v>5713</v>
      </c>
      <c r="C159" s="190">
        <v>16.940000000000001</v>
      </c>
      <c r="D159" s="118">
        <v>313477</v>
      </c>
      <c r="E159" s="183">
        <v>43874.670636574076</v>
      </c>
      <c r="F159" s="115">
        <v>2679</v>
      </c>
    </row>
    <row r="160" spans="1:6" x14ac:dyDescent="0.25">
      <c r="A160" s="118" t="s">
        <v>5712</v>
      </c>
      <c r="B160" s="186" t="s">
        <v>5711</v>
      </c>
      <c r="C160" s="190">
        <v>7.55</v>
      </c>
      <c r="D160" s="118">
        <v>318055</v>
      </c>
      <c r="E160" s="183">
        <v>43874.672465277778</v>
      </c>
      <c r="F160" s="115">
        <v>2676</v>
      </c>
    </row>
    <row r="161" spans="1:6" x14ac:dyDescent="0.25">
      <c r="A161" s="118" t="s">
        <v>5710</v>
      </c>
      <c r="B161" s="186" t="s">
        <v>2929</v>
      </c>
      <c r="C161" s="190">
        <v>4.41</v>
      </c>
      <c r="D161" s="118">
        <v>319496</v>
      </c>
      <c r="E161" s="183">
        <v>43874.750081018516</v>
      </c>
      <c r="F161" s="115">
        <v>2677</v>
      </c>
    </row>
    <row r="162" spans="1:6" s="164" customFormat="1" x14ac:dyDescent="0.25">
      <c r="A162" s="115"/>
      <c r="B162" s="115" t="s">
        <v>5691</v>
      </c>
      <c r="C162" s="167">
        <f>SUM(C151:C161)</f>
        <v>114.52</v>
      </c>
      <c r="D162" s="115">
        <v>9</v>
      </c>
      <c r="E162" s="163"/>
      <c r="F162" s="115"/>
    </row>
    <row r="163" spans="1:6" x14ac:dyDescent="0.25">
      <c r="A163" s="118"/>
      <c r="B163" s="116"/>
      <c r="C163" s="166"/>
      <c r="D163" s="118"/>
      <c r="E163" s="117"/>
      <c r="F163" s="118"/>
    </row>
    <row r="164" spans="1:6" x14ac:dyDescent="0.25">
      <c r="A164" s="118" t="str">
        <f>"3960282"</f>
        <v>3960282</v>
      </c>
      <c r="B164" s="186" t="s">
        <v>2884</v>
      </c>
      <c r="C164" s="190">
        <v>8.3800000000000008</v>
      </c>
      <c r="D164" s="118">
        <v>317176</v>
      </c>
      <c r="E164" s="183">
        <v>43875.413101851853</v>
      </c>
      <c r="F164" s="115">
        <v>2749</v>
      </c>
    </row>
    <row r="165" spans="1:6" x14ac:dyDescent="0.25">
      <c r="A165" s="118" t="str">
        <f>"3903408"</f>
        <v>3903408</v>
      </c>
      <c r="B165" s="186" t="s">
        <v>5709</v>
      </c>
      <c r="C165" s="190">
        <v>8.3800000000000008</v>
      </c>
      <c r="D165" s="118">
        <v>317336</v>
      </c>
      <c r="E165" s="183">
        <v>43875.831354166665</v>
      </c>
      <c r="F165" s="115">
        <v>2750</v>
      </c>
    </row>
    <row r="166" spans="1:6" s="164" customFormat="1" x14ac:dyDescent="0.25">
      <c r="A166" s="115"/>
      <c r="B166" s="115" t="s">
        <v>5691</v>
      </c>
      <c r="C166" s="167">
        <f>SUM(C164:C165)</f>
        <v>16.760000000000002</v>
      </c>
      <c r="D166" s="115">
        <v>10</v>
      </c>
      <c r="E166" s="163"/>
      <c r="F166" s="115"/>
    </row>
    <row r="167" spans="1:6" x14ac:dyDescent="0.25">
      <c r="A167" s="118"/>
      <c r="B167" s="116"/>
      <c r="C167" s="166"/>
      <c r="D167" s="118"/>
      <c r="E167" s="117"/>
      <c r="F167" s="118"/>
    </row>
    <row r="168" spans="1:6" x14ac:dyDescent="0.25">
      <c r="A168" s="118" t="str">
        <f>"3900148"</f>
        <v>3900148</v>
      </c>
      <c r="B168" s="186" t="s">
        <v>5708</v>
      </c>
      <c r="C168" s="190">
        <v>1.75</v>
      </c>
      <c r="D168" s="118">
        <v>318582</v>
      </c>
      <c r="E168" s="183">
        <v>43878.4684375</v>
      </c>
      <c r="F168" s="115">
        <v>2780</v>
      </c>
    </row>
    <row r="169" spans="1:6" x14ac:dyDescent="0.25">
      <c r="A169" s="118" t="str">
        <f>"3960269"</f>
        <v>3960269</v>
      </c>
      <c r="B169" s="186" t="s">
        <v>2927</v>
      </c>
      <c r="C169" s="190">
        <v>12.3</v>
      </c>
      <c r="D169" s="118">
        <v>317134</v>
      </c>
      <c r="E169" s="183">
        <v>43878.397326388891</v>
      </c>
      <c r="F169" s="115">
        <v>2781</v>
      </c>
    </row>
    <row r="170" spans="1:6" x14ac:dyDescent="0.25">
      <c r="A170" s="118" t="str">
        <f>"3900275"</f>
        <v>3900275</v>
      </c>
      <c r="B170" s="186" t="s">
        <v>2949</v>
      </c>
      <c r="C170" s="190">
        <v>46.85</v>
      </c>
      <c r="D170" s="118">
        <v>318632</v>
      </c>
      <c r="E170" s="183">
        <v>43878.460543981484</v>
      </c>
      <c r="F170" s="115">
        <v>2782</v>
      </c>
    </row>
    <row r="171" spans="1:6" x14ac:dyDescent="0.25">
      <c r="A171" s="118" t="str">
        <f>"3902009"</f>
        <v>3902009</v>
      </c>
      <c r="B171" s="186" t="s">
        <v>2890</v>
      </c>
      <c r="C171" s="190">
        <v>3.36</v>
      </c>
      <c r="D171" s="118">
        <v>319516</v>
      </c>
      <c r="E171" s="183">
        <v>43878.484363425923</v>
      </c>
      <c r="F171" s="115">
        <v>2783</v>
      </c>
    </row>
    <row r="172" spans="1:6" x14ac:dyDescent="0.25">
      <c r="A172" s="118" t="str">
        <f>"3930394"</f>
        <v>3930394</v>
      </c>
      <c r="B172" s="186" t="s">
        <v>2813</v>
      </c>
      <c r="C172" s="190">
        <v>5.34</v>
      </c>
      <c r="D172" s="118">
        <v>318382</v>
      </c>
      <c r="E172" s="183">
        <v>43878.572210648148</v>
      </c>
      <c r="F172" s="115">
        <v>2784</v>
      </c>
    </row>
    <row r="173" spans="1:6" x14ac:dyDescent="0.25">
      <c r="A173" s="118" t="str">
        <f>"3940887"</f>
        <v>3940887</v>
      </c>
      <c r="B173" s="186" t="s">
        <v>2933</v>
      </c>
      <c r="C173" s="190">
        <v>17.899999999999999</v>
      </c>
      <c r="D173" s="118">
        <v>317165</v>
      </c>
      <c r="E173" s="183">
        <v>43878.599293981482</v>
      </c>
      <c r="F173" s="115">
        <v>2785</v>
      </c>
    </row>
    <row r="174" spans="1:6" s="164" customFormat="1" x14ac:dyDescent="0.25">
      <c r="A174" s="115"/>
      <c r="B174" s="115" t="s">
        <v>5691</v>
      </c>
      <c r="C174" s="167">
        <f>SUM(C168:C173)</f>
        <v>87.5</v>
      </c>
      <c r="D174" s="115">
        <v>11</v>
      </c>
      <c r="E174" s="163"/>
      <c r="F174" s="115"/>
    </row>
    <row r="175" spans="1:6" x14ac:dyDescent="0.25">
      <c r="A175" s="118"/>
      <c r="B175" s="116"/>
      <c r="C175" s="166"/>
      <c r="D175" s="118"/>
      <c r="E175" s="117"/>
      <c r="F175" s="118"/>
    </row>
    <row r="176" spans="1:6" x14ac:dyDescent="0.25">
      <c r="A176" s="118" t="str">
        <f>"3908034"</f>
        <v>3908034</v>
      </c>
      <c r="B176" s="186" t="s">
        <v>2928</v>
      </c>
      <c r="C176" s="190">
        <v>2.87</v>
      </c>
      <c r="D176" s="118">
        <v>319670</v>
      </c>
      <c r="E176" s="183">
        <v>43879.350671296299</v>
      </c>
      <c r="F176" s="115">
        <v>2813</v>
      </c>
    </row>
    <row r="177" spans="1:6" x14ac:dyDescent="0.25">
      <c r="A177" s="118" t="str">
        <f>"3906821"</f>
        <v>3906821</v>
      </c>
      <c r="B177" s="186" t="s">
        <v>2950</v>
      </c>
      <c r="C177" s="190">
        <v>6.85</v>
      </c>
      <c r="D177" s="118">
        <v>318288</v>
      </c>
      <c r="E177" s="183">
        <v>43879.373032407406</v>
      </c>
      <c r="F177" s="115">
        <v>2814</v>
      </c>
    </row>
    <row r="178" spans="1:6" x14ac:dyDescent="0.25">
      <c r="A178" s="118" t="str">
        <f>"3950128"</f>
        <v>3950128</v>
      </c>
      <c r="B178" s="186" t="s">
        <v>2921</v>
      </c>
      <c r="C178" s="190">
        <v>12.3</v>
      </c>
      <c r="D178" s="118">
        <v>317152</v>
      </c>
      <c r="E178" s="183">
        <v>43879.496145833335</v>
      </c>
      <c r="F178" s="115">
        <v>2815</v>
      </c>
    </row>
    <row r="179" spans="1:6" x14ac:dyDescent="0.25">
      <c r="A179" s="118" t="str">
        <f>"3950107"</f>
        <v>3950107</v>
      </c>
      <c r="B179" s="186" t="s">
        <v>2922</v>
      </c>
      <c r="C179" s="190">
        <v>12.3</v>
      </c>
      <c r="D179" s="118">
        <v>317142</v>
      </c>
      <c r="E179" s="183">
        <v>43879.496481481481</v>
      </c>
      <c r="F179" s="115">
        <v>2816</v>
      </c>
    </row>
    <row r="180" spans="1:6" s="164" customFormat="1" x14ac:dyDescent="0.25">
      <c r="A180" s="115"/>
      <c r="B180" s="115" t="s">
        <v>5691</v>
      </c>
      <c r="C180" s="167">
        <f>SUM(C176:C179)</f>
        <v>34.32</v>
      </c>
      <c r="D180" s="115">
        <v>12</v>
      </c>
      <c r="E180" s="163"/>
      <c r="F180" s="115"/>
    </row>
    <row r="181" spans="1:6" x14ac:dyDescent="0.25">
      <c r="A181" s="118"/>
      <c r="B181" s="116"/>
      <c r="C181" s="166"/>
      <c r="D181" s="118"/>
      <c r="E181" s="117"/>
      <c r="F181" s="118"/>
    </row>
    <row r="182" spans="1:6" x14ac:dyDescent="0.25">
      <c r="A182" s="118" t="str">
        <f>"3930371"</f>
        <v>3930371</v>
      </c>
      <c r="B182" s="186" t="s">
        <v>2801</v>
      </c>
      <c r="C182" s="190">
        <v>10.84</v>
      </c>
      <c r="D182" s="118">
        <v>319646</v>
      </c>
      <c r="E182" s="183">
        <v>43880.443113425928</v>
      </c>
      <c r="F182" s="115">
        <v>2903</v>
      </c>
    </row>
    <row r="183" spans="1:6" x14ac:dyDescent="0.25">
      <c r="A183" s="118" t="str">
        <f>"3908035"</f>
        <v>3908035</v>
      </c>
      <c r="B183" s="186" t="s">
        <v>2887</v>
      </c>
      <c r="C183" s="190">
        <v>7.75</v>
      </c>
      <c r="D183" s="118">
        <v>319671</v>
      </c>
      <c r="E183" s="183">
        <v>43880.710775462961</v>
      </c>
      <c r="F183" s="115">
        <v>2904</v>
      </c>
    </row>
    <row r="184" spans="1:6" x14ac:dyDescent="0.25">
      <c r="A184" s="118" t="str">
        <f>"3960369"</f>
        <v>3960369</v>
      </c>
      <c r="B184" s="186" t="s">
        <v>2937</v>
      </c>
      <c r="C184" s="190">
        <v>8.3800000000000008</v>
      </c>
      <c r="D184" s="118">
        <v>317237</v>
      </c>
      <c r="E184" s="183">
        <v>43880.727754629632</v>
      </c>
      <c r="F184" s="115">
        <v>2905</v>
      </c>
    </row>
    <row r="185" spans="1:6" x14ac:dyDescent="0.25">
      <c r="A185" s="118" t="str">
        <f>"3903105"</f>
        <v>3903105</v>
      </c>
      <c r="B185" s="186" t="s">
        <v>2903</v>
      </c>
      <c r="C185" s="190">
        <v>1.94</v>
      </c>
      <c r="D185" s="118">
        <v>319688</v>
      </c>
      <c r="E185" s="183">
        <v>43880.812916666669</v>
      </c>
      <c r="F185" s="115">
        <v>2906</v>
      </c>
    </row>
    <row r="186" spans="1:6" s="164" customFormat="1" x14ac:dyDescent="0.25">
      <c r="A186" s="115"/>
      <c r="B186" s="115" t="s">
        <v>5691</v>
      </c>
      <c r="C186" s="167">
        <f>SUM(C182:C185)</f>
        <v>28.91</v>
      </c>
      <c r="D186" s="115">
        <v>13</v>
      </c>
      <c r="E186" s="163"/>
      <c r="F186" s="115"/>
    </row>
    <row r="187" spans="1:6" x14ac:dyDescent="0.25">
      <c r="A187" s="118"/>
      <c r="B187" s="116"/>
      <c r="C187" s="166"/>
      <c r="D187" s="118"/>
      <c r="E187" s="117"/>
      <c r="F187" s="118"/>
    </row>
    <row r="188" spans="1:6" x14ac:dyDescent="0.25">
      <c r="A188" s="118" t="str">
        <f>"3945114"</f>
        <v>3945114</v>
      </c>
      <c r="B188" s="186" t="s">
        <v>2943</v>
      </c>
      <c r="C188" s="190">
        <v>8.3800000000000008</v>
      </c>
      <c r="D188" s="118">
        <v>317230</v>
      </c>
      <c r="E188" s="183">
        <v>43881.41300925926</v>
      </c>
      <c r="F188" s="115">
        <v>2946</v>
      </c>
    </row>
    <row r="189" spans="1:6" x14ac:dyDescent="0.25">
      <c r="A189" s="118" t="str">
        <f>"3901478"</f>
        <v>3901478</v>
      </c>
      <c r="B189" s="186" t="s">
        <v>2808</v>
      </c>
      <c r="C189" s="190">
        <v>1.75</v>
      </c>
      <c r="D189" s="118">
        <v>319752</v>
      </c>
      <c r="E189" s="183">
        <v>43881.470150462963</v>
      </c>
      <c r="F189" s="115">
        <v>2947</v>
      </c>
    </row>
    <row r="190" spans="1:6" x14ac:dyDescent="0.25">
      <c r="A190" s="118" t="str">
        <f>"3907220"</f>
        <v>3907220</v>
      </c>
      <c r="B190" s="186" t="s">
        <v>5707</v>
      </c>
      <c r="C190" s="190">
        <v>34.909999999999997</v>
      </c>
      <c r="D190" s="118">
        <v>319438</v>
      </c>
      <c r="E190" s="183">
        <v>43881.585196759261</v>
      </c>
      <c r="F190" s="115">
        <v>2948</v>
      </c>
    </row>
    <row r="191" spans="1:6" x14ac:dyDescent="0.25">
      <c r="A191" s="118" t="str">
        <f>"3907221"</f>
        <v>3907221</v>
      </c>
      <c r="B191" s="186" t="s">
        <v>5707</v>
      </c>
      <c r="C191" s="190">
        <v>11.93</v>
      </c>
      <c r="D191" s="118">
        <v>319439</v>
      </c>
      <c r="E191" s="183">
        <v>43881.585439814815</v>
      </c>
      <c r="F191" s="115">
        <v>2949</v>
      </c>
    </row>
    <row r="192" spans="1:6" x14ac:dyDescent="0.25">
      <c r="A192" s="118" t="str">
        <f>"3960328"</f>
        <v>3960328</v>
      </c>
      <c r="B192" s="186" t="s">
        <v>5706</v>
      </c>
      <c r="C192" s="190">
        <v>8.3800000000000008</v>
      </c>
      <c r="D192" s="118">
        <v>317359</v>
      </c>
      <c r="E192" s="183">
        <v>43881.608946759261</v>
      </c>
      <c r="F192" s="115">
        <v>2950</v>
      </c>
    </row>
    <row r="193" spans="1:6" x14ac:dyDescent="0.25">
      <c r="A193" s="118" t="str">
        <f>"3960373"</f>
        <v>3960373</v>
      </c>
      <c r="B193" s="186" t="s">
        <v>2940</v>
      </c>
      <c r="C193" s="190">
        <v>8.3800000000000008</v>
      </c>
      <c r="D193" s="118">
        <v>317249</v>
      </c>
      <c r="E193" s="183">
        <v>43881.635694444441</v>
      </c>
      <c r="F193" s="115">
        <v>2951</v>
      </c>
    </row>
    <row r="194" spans="1:6" s="164" customFormat="1" x14ac:dyDescent="0.25">
      <c r="A194" s="115"/>
      <c r="B194" s="115" t="s">
        <v>5691</v>
      </c>
      <c r="C194" s="167">
        <f>SUM(C188:C193)</f>
        <v>73.72999999999999</v>
      </c>
      <c r="D194" s="115">
        <v>14</v>
      </c>
      <c r="E194" s="163"/>
      <c r="F194" s="115"/>
    </row>
    <row r="195" spans="1:6" x14ac:dyDescent="0.25">
      <c r="A195" s="118"/>
      <c r="B195" s="116"/>
      <c r="C195" s="166"/>
      <c r="D195" s="118"/>
      <c r="E195" s="117"/>
      <c r="F195" s="118"/>
    </row>
    <row r="196" spans="1:6" x14ac:dyDescent="0.25">
      <c r="A196" s="118" t="str">
        <f>"3900929"</f>
        <v>3900929</v>
      </c>
      <c r="B196" s="186" t="s">
        <v>5705</v>
      </c>
      <c r="C196" s="190">
        <v>2.63</v>
      </c>
      <c r="D196" s="118">
        <v>317624</v>
      </c>
      <c r="E196" s="183">
        <v>43882.466921296298</v>
      </c>
      <c r="F196" s="115">
        <v>3026</v>
      </c>
    </row>
    <row r="197" spans="1:6" x14ac:dyDescent="0.25">
      <c r="A197" s="118" t="str">
        <f>"3908608"</f>
        <v>3908608</v>
      </c>
      <c r="B197" s="186" t="s">
        <v>5704</v>
      </c>
      <c r="C197" s="190">
        <v>2.09</v>
      </c>
      <c r="D197" s="118">
        <v>318510</v>
      </c>
      <c r="E197" s="183">
        <v>43882.631712962961</v>
      </c>
      <c r="F197" s="115">
        <v>3030</v>
      </c>
    </row>
    <row r="198" spans="1:6" x14ac:dyDescent="0.25">
      <c r="A198" s="118" t="str">
        <f>"3907152"</f>
        <v>3907152</v>
      </c>
      <c r="B198" s="186" t="s">
        <v>5703</v>
      </c>
      <c r="C198" s="190">
        <v>20.82</v>
      </c>
      <c r="D198" s="118">
        <v>281721</v>
      </c>
      <c r="E198" s="183">
        <v>43882.766956018517</v>
      </c>
      <c r="F198" s="115">
        <v>3032</v>
      </c>
    </row>
    <row r="199" spans="1:6" x14ac:dyDescent="0.25">
      <c r="A199" s="118" t="str">
        <f>"3945410"</f>
        <v>3945410</v>
      </c>
      <c r="B199" s="186" t="s">
        <v>5702</v>
      </c>
      <c r="C199" s="190">
        <v>6.43</v>
      </c>
      <c r="D199" s="118">
        <v>317255</v>
      </c>
      <c r="E199" s="183">
        <v>43882.76767361111</v>
      </c>
      <c r="F199" s="115">
        <v>3031</v>
      </c>
    </row>
    <row r="200" spans="1:6" s="164" customFormat="1" x14ac:dyDescent="0.25">
      <c r="A200" s="115"/>
      <c r="B200" s="115" t="s">
        <v>5691</v>
      </c>
      <c r="C200" s="167">
        <f>SUM(C196:C199)</f>
        <v>31.97</v>
      </c>
      <c r="D200" s="115">
        <v>15</v>
      </c>
      <c r="E200" s="163"/>
      <c r="F200" s="115"/>
    </row>
    <row r="201" spans="1:6" x14ac:dyDescent="0.25">
      <c r="A201" s="118"/>
      <c r="B201" s="116"/>
      <c r="C201" s="166"/>
      <c r="D201" s="118"/>
      <c r="E201" s="117"/>
      <c r="F201" s="118"/>
    </row>
    <row r="202" spans="1:6" x14ac:dyDescent="0.25">
      <c r="A202" s="118" t="str">
        <f>"3900383"</f>
        <v>3900383</v>
      </c>
      <c r="B202" s="186" t="s">
        <v>2974</v>
      </c>
      <c r="C202" s="190">
        <v>4.01</v>
      </c>
      <c r="D202" s="118">
        <v>321388</v>
      </c>
      <c r="E202" s="183">
        <v>43887.573067129626</v>
      </c>
      <c r="F202" s="115">
        <v>3047</v>
      </c>
    </row>
    <row r="203" spans="1:6" x14ac:dyDescent="0.25">
      <c r="A203" s="118" t="str">
        <f>"3903444"</f>
        <v>3903444</v>
      </c>
      <c r="B203" s="186" t="s">
        <v>2964</v>
      </c>
      <c r="C203" s="190">
        <v>9.98</v>
      </c>
      <c r="D203" s="118">
        <v>320674</v>
      </c>
      <c r="E203" s="183">
        <v>43887.631712962961</v>
      </c>
      <c r="F203" s="115">
        <v>3048</v>
      </c>
    </row>
    <row r="204" spans="1:6" x14ac:dyDescent="0.25">
      <c r="A204" s="118" t="str">
        <f>"23923068"</f>
        <v>23923068</v>
      </c>
      <c r="B204" s="186" t="s">
        <v>2973</v>
      </c>
      <c r="C204" s="190">
        <v>3.3</v>
      </c>
      <c r="D204" s="118">
        <v>1200</v>
      </c>
      <c r="E204" s="183">
        <v>43887.873611111114</v>
      </c>
      <c r="F204" s="115">
        <v>3049</v>
      </c>
    </row>
    <row r="205" spans="1:6" x14ac:dyDescent="0.25">
      <c r="A205" s="118" t="str">
        <f>"3900174"</f>
        <v>3900174</v>
      </c>
      <c r="B205" s="186" t="s">
        <v>5701</v>
      </c>
      <c r="C205" s="190">
        <v>2.11</v>
      </c>
      <c r="D205" s="118">
        <v>321309</v>
      </c>
      <c r="E205" s="183">
        <v>43887.446701388886</v>
      </c>
      <c r="F205" s="115">
        <v>3050</v>
      </c>
    </row>
    <row r="206" spans="1:6" x14ac:dyDescent="0.25">
      <c r="A206" s="118" t="str">
        <f>"3930235"</f>
        <v>3930235</v>
      </c>
      <c r="B206" s="186" t="s">
        <v>5700</v>
      </c>
      <c r="C206" s="190">
        <v>3.49</v>
      </c>
      <c r="D206" s="118">
        <v>320767</v>
      </c>
      <c r="E206" s="183">
        <v>43887.378611111111</v>
      </c>
      <c r="F206" s="115">
        <v>3051</v>
      </c>
    </row>
    <row r="207" spans="1:6" x14ac:dyDescent="0.25">
      <c r="A207" s="118" t="str">
        <f>"3907615"</f>
        <v>3907615</v>
      </c>
      <c r="B207" s="186" t="s">
        <v>2781</v>
      </c>
      <c r="C207" s="190">
        <v>2.63</v>
      </c>
      <c r="D207" s="118">
        <v>320415</v>
      </c>
      <c r="E207" s="183">
        <v>43887.439791666664</v>
      </c>
      <c r="F207" s="115">
        <v>3052</v>
      </c>
    </row>
    <row r="208" spans="1:6" x14ac:dyDescent="0.25">
      <c r="A208" s="118" t="str">
        <f>"3906297"</f>
        <v>3906297</v>
      </c>
      <c r="B208" s="186" t="s">
        <v>5699</v>
      </c>
      <c r="C208" s="190">
        <v>14.35</v>
      </c>
      <c r="D208" s="118">
        <v>320227</v>
      </c>
      <c r="E208" s="183">
        <v>43887.500104166669</v>
      </c>
      <c r="F208" s="115">
        <v>3053</v>
      </c>
    </row>
    <row r="209" spans="1:6" x14ac:dyDescent="0.25">
      <c r="A209" s="118" t="str">
        <f>"3903524"</f>
        <v>3903524</v>
      </c>
      <c r="B209" s="186" t="s">
        <v>2796</v>
      </c>
      <c r="C209" s="190">
        <v>14.08</v>
      </c>
      <c r="D209" s="118">
        <v>320790</v>
      </c>
      <c r="E209" s="183">
        <v>43887.519328703704</v>
      </c>
      <c r="F209" s="115">
        <v>3054</v>
      </c>
    </row>
    <row r="210" spans="1:6" x14ac:dyDescent="0.25">
      <c r="A210" s="118" t="str">
        <f>"3920083"</f>
        <v>3920083</v>
      </c>
      <c r="B210" s="186" t="s">
        <v>2954</v>
      </c>
      <c r="C210" s="190">
        <v>8.58</v>
      </c>
      <c r="D210" s="118">
        <v>319909</v>
      </c>
      <c r="E210" s="183">
        <v>43887.535381944443</v>
      </c>
      <c r="F210" s="115">
        <v>3055</v>
      </c>
    </row>
    <row r="211" spans="1:6" x14ac:dyDescent="0.25">
      <c r="A211" s="118" t="str">
        <f>"3901111"</f>
        <v>3901111</v>
      </c>
      <c r="B211" s="186" t="s">
        <v>2983</v>
      </c>
      <c r="C211" s="190">
        <v>3.43</v>
      </c>
      <c r="D211" s="118">
        <v>319536</v>
      </c>
      <c r="E211" s="183">
        <v>43887.544270833336</v>
      </c>
      <c r="F211" s="115">
        <v>3056</v>
      </c>
    </row>
    <row r="212" spans="1:6" x14ac:dyDescent="0.25">
      <c r="A212" s="118" t="str">
        <f>"3900347"</f>
        <v>3900347</v>
      </c>
      <c r="B212" s="186" t="s">
        <v>5698</v>
      </c>
      <c r="C212" s="190">
        <v>1.7</v>
      </c>
      <c r="D212" s="118">
        <v>321374</v>
      </c>
      <c r="E212" s="183">
        <v>43887.610011574077</v>
      </c>
      <c r="F212" s="115">
        <v>3057</v>
      </c>
    </row>
    <row r="213" spans="1:6" x14ac:dyDescent="0.25">
      <c r="A213" s="118" t="str">
        <f>"3903017"</f>
        <v>3903017</v>
      </c>
      <c r="B213" s="186" t="s">
        <v>2923</v>
      </c>
      <c r="C213" s="190">
        <v>2.15</v>
      </c>
      <c r="D213" s="118">
        <v>319486</v>
      </c>
      <c r="E213" s="183">
        <v>43887.655046296299</v>
      </c>
      <c r="F213" s="115">
        <v>3058</v>
      </c>
    </row>
    <row r="214" spans="1:6" s="164" customFormat="1" x14ac:dyDescent="0.25">
      <c r="A214" s="115"/>
      <c r="B214" s="115" t="s">
        <v>5691</v>
      </c>
      <c r="C214" s="167">
        <f>SUM(C202:C213)</f>
        <v>69.81</v>
      </c>
      <c r="D214" s="115">
        <v>16</v>
      </c>
      <c r="E214" s="163"/>
      <c r="F214" s="115"/>
    </row>
    <row r="215" spans="1:6" x14ac:dyDescent="0.25">
      <c r="A215" s="118"/>
      <c r="B215" s="116"/>
      <c r="C215" s="166"/>
      <c r="D215" s="118"/>
      <c r="E215" s="117"/>
      <c r="F215" s="118"/>
    </row>
    <row r="216" spans="1:6" x14ac:dyDescent="0.25">
      <c r="A216" s="118" t="str">
        <f>"3960327"</f>
        <v>3960327</v>
      </c>
      <c r="B216" s="186" t="s">
        <v>2875</v>
      </c>
      <c r="C216" s="190">
        <v>3.37</v>
      </c>
      <c r="D216" s="118">
        <v>320792</v>
      </c>
      <c r="E216" s="183">
        <v>43888.505856481483</v>
      </c>
      <c r="F216" s="115">
        <v>3144</v>
      </c>
    </row>
    <row r="217" spans="1:6" x14ac:dyDescent="0.25">
      <c r="A217" s="118" t="str">
        <f>"3900192"</f>
        <v>3900192</v>
      </c>
      <c r="B217" s="186" t="s">
        <v>5697</v>
      </c>
      <c r="C217" s="190">
        <v>3.45</v>
      </c>
      <c r="D217" s="118">
        <v>321319</v>
      </c>
      <c r="E217" s="183">
        <v>43888.522129629629</v>
      </c>
      <c r="F217" s="115">
        <v>3145</v>
      </c>
    </row>
    <row r="218" spans="1:6" x14ac:dyDescent="0.25">
      <c r="A218" s="118" t="str">
        <f>"3909789"</f>
        <v>3909789</v>
      </c>
      <c r="B218" s="186" t="s">
        <v>2878</v>
      </c>
      <c r="C218" s="190">
        <v>3.38</v>
      </c>
      <c r="D218" s="118">
        <v>321239</v>
      </c>
      <c r="E218" s="183">
        <v>43888.614108796297</v>
      </c>
      <c r="F218" s="115">
        <v>3146</v>
      </c>
    </row>
    <row r="219" spans="1:6" s="164" customFormat="1" x14ac:dyDescent="0.25">
      <c r="A219" s="115"/>
      <c r="B219" s="115" t="s">
        <v>5691</v>
      </c>
      <c r="C219" s="167">
        <f>SUM(C216:C218)</f>
        <v>10.199999999999999</v>
      </c>
      <c r="D219" s="115">
        <v>17</v>
      </c>
      <c r="E219" s="163"/>
      <c r="F219" s="115"/>
    </row>
    <row r="220" spans="1:6" x14ac:dyDescent="0.25">
      <c r="A220" s="118"/>
      <c r="B220" s="116"/>
      <c r="C220" s="166"/>
      <c r="D220" s="118"/>
      <c r="E220" s="117"/>
      <c r="F220" s="118"/>
    </row>
    <row r="221" spans="1:6" x14ac:dyDescent="0.25">
      <c r="A221" s="118" t="str">
        <f>"3902247"</f>
        <v>3902247</v>
      </c>
      <c r="B221" s="186" t="s">
        <v>3002</v>
      </c>
      <c r="C221" s="190">
        <v>1.99</v>
      </c>
      <c r="D221" s="118">
        <v>321217</v>
      </c>
      <c r="E221" s="183">
        <v>43889.369027777779</v>
      </c>
      <c r="F221" s="115">
        <v>3326</v>
      </c>
    </row>
    <row r="222" spans="1:6" x14ac:dyDescent="0.25">
      <c r="A222" s="118" t="str">
        <f>"3900938"</f>
        <v>3900938</v>
      </c>
      <c r="B222" s="186" t="s">
        <v>2889</v>
      </c>
      <c r="C222" s="190">
        <v>1.68</v>
      </c>
      <c r="D222" s="118">
        <v>321517</v>
      </c>
      <c r="E222" s="183">
        <v>43889.445347222223</v>
      </c>
      <c r="F222" s="115">
        <v>3327</v>
      </c>
    </row>
    <row r="223" spans="1:6" x14ac:dyDescent="0.25">
      <c r="A223" s="118" t="str">
        <f>"3908057"</f>
        <v>3908057</v>
      </c>
      <c r="B223" s="186" t="s">
        <v>3000</v>
      </c>
      <c r="C223" s="190">
        <v>1.68</v>
      </c>
      <c r="D223" s="118">
        <v>321165</v>
      </c>
      <c r="E223" s="183">
        <v>43889.478877314818</v>
      </c>
      <c r="F223" s="115">
        <v>3328</v>
      </c>
    </row>
    <row r="224" spans="1:6" x14ac:dyDescent="0.25">
      <c r="A224" s="118" t="str">
        <f>"3908082"</f>
        <v>3908082</v>
      </c>
      <c r="B224" s="186" t="s">
        <v>5696</v>
      </c>
      <c r="C224" s="190">
        <v>0.96</v>
      </c>
      <c r="D224" s="118">
        <v>321173</v>
      </c>
      <c r="E224" s="183">
        <v>43889.492824074077</v>
      </c>
      <c r="F224" s="115">
        <v>3329</v>
      </c>
    </row>
    <row r="225" spans="1:6" x14ac:dyDescent="0.25">
      <c r="A225" s="118" t="str">
        <f>"3940102"</f>
        <v>3940102</v>
      </c>
      <c r="B225" s="186" t="s">
        <v>5695</v>
      </c>
      <c r="C225" s="190">
        <v>25.14</v>
      </c>
      <c r="D225" s="118">
        <v>319867</v>
      </c>
      <c r="E225" s="183">
        <v>43889.498888888891</v>
      </c>
      <c r="F225" s="115">
        <v>3330</v>
      </c>
    </row>
    <row r="226" spans="1:6" x14ac:dyDescent="0.25">
      <c r="A226" s="118" t="str">
        <f>"3907990"</f>
        <v>3907990</v>
      </c>
      <c r="B226" s="186" t="s">
        <v>5694</v>
      </c>
      <c r="C226" s="190">
        <v>5.15</v>
      </c>
      <c r="D226" s="118">
        <v>320991</v>
      </c>
      <c r="E226" s="183">
        <v>43889.512291666666</v>
      </c>
      <c r="F226" s="115">
        <v>3331</v>
      </c>
    </row>
    <row r="227" spans="1:6" x14ac:dyDescent="0.25">
      <c r="A227" s="118" t="str">
        <f>"3900666"</f>
        <v>3900666</v>
      </c>
      <c r="B227" s="186" t="s">
        <v>2947</v>
      </c>
      <c r="C227" s="190">
        <v>22.04</v>
      </c>
      <c r="D227" s="118">
        <v>321501</v>
      </c>
      <c r="E227" s="183">
        <v>43889.585081018522</v>
      </c>
      <c r="F227" s="115">
        <v>3332</v>
      </c>
    </row>
    <row r="228" spans="1:6" x14ac:dyDescent="0.25">
      <c r="A228" s="118" t="str">
        <f>"3907257"</f>
        <v>3907257</v>
      </c>
      <c r="B228" s="186" t="s">
        <v>2956</v>
      </c>
      <c r="C228" s="190">
        <v>9.3699999999999992</v>
      </c>
      <c r="D228" s="118">
        <v>320204</v>
      </c>
      <c r="E228" s="183">
        <v>43889.596215277779</v>
      </c>
      <c r="F228" s="115">
        <v>3333</v>
      </c>
    </row>
    <row r="229" spans="1:6" x14ac:dyDescent="0.25">
      <c r="A229" s="118" t="str">
        <f>"3909959"</f>
        <v>3909959</v>
      </c>
      <c r="B229" s="186" t="s">
        <v>2998</v>
      </c>
      <c r="C229" s="190">
        <v>4.08</v>
      </c>
      <c r="D229" s="118">
        <v>320439</v>
      </c>
      <c r="E229" s="183">
        <v>43889.812800925924</v>
      </c>
      <c r="F229" s="115">
        <v>3334</v>
      </c>
    </row>
    <row r="230" spans="1:6" s="164" customFormat="1" x14ac:dyDescent="0.25">
      <c r="A230" s="115"/>
      <c r="B230" s="115" t="s">
        <v>5691</v>
      </c>
      <c r="C230" s="167">
        <f>SUM(C221:C229)</f>
        <v>72.09</v>
      </c>
      <c r="D230" s="115">
        <v>18</v>
      </c>
      <c r="E230" s="163"/>
      <c r="F230" s="115"/>
    </row>
    <row r="231" spans="1:6" x14ac:dyDescent="0.25">
      <c r="A231" s="118"/>
      <c r="B231" s="116"/>
      <c r="C231" s="166"/>
      <c r="D231" s="118"/>
      <c r="E231" s="117"/>
      <c r="F231" s="118"/>
    </row>
    <row r="232" spans="1:6" x14ac:dyDescent="0.25">
      <c r="A232" s="118"/>
      <c r="B232" s="186"/>
      <c r="C232" s="190"/>
      <c r="D232" s="118"/>
      <c r="E232" s="183"/>
      <c r="F232" s="115"/>
    </row>
    <row r="233" spans="1:6" x14ac:dyDescent="0.25">
      <c r="A233" s="118"/>
      <c r="B233" s="186"/>
      <c r="C233" s="190"/>
      <c r="D233" s="118"/>
      <c r="E233" s="183"/>
      <c r="F233" s="115"/>
    </row>
    <row r="234" spans="1:6" x14ac:dyDescent="0.25">
      <c r="A234" s="121"/>
      <c r="B234" s="187"/>
      <c r="C234" s="191"/>
      <c r="D234" s="121"/>
      <c r="E234" s="184"/>
      <c r="F234" s="170"/>
    </row>
    <row r="235" spans="1:6" x14ac:dyDescent="0.25">
      <c r="A235" s="118"/>
      <c r="B235" s="186"/>
      <c r="C235" s="190"/>
      <c r="D235" s="118"/>
      <c r="E235" s="183"/>
      <c r="F235" s="115"/>
    </row>
    <row r="236" spans="1:6" x14ac:dyDescent="0.25">
      <c r="A236" s="118"/>
      <c r="B236" s="186"/>
      <c r="C236" s="190"/>
      <c r="D236" s="118"/>
      <c r="E236" s="183"/>
      <c r="F236" s="115"/>
    </row>
    <row r="237" spans="1:6" x14ac:dyDescent="0.25">
      <c r="A237" s="118"/>
      <c r="B237" s="186"/>
      <c r="C237" s="190"/>
      <c r="D237" s="118"/>
      <c r="E237" s="183"/>
      <c r="F237" s="115"/>
    </row>
    <row r="238" spans="1:6" x14ac:dyDescent="0.25">
      <c r="A238" s="118"/>
      <c r="B238" s="186"/>
      <c r="C238" s="190"/>
      <c r="D238" s="118"/>
      <c r="E238" s="183"/>
      <c r="F238" s="115"/>
    </row>
    <row r="239" spans="1:6" x14ac:dyDescent="0.25">
      <c r="A239" s="118"/>
      <c r="B239" s="186"/>
      <c r="C239" s="190"/>
      <c r="D239" s="118"/>
      <c r="E239" s="183"/>
      <c r="F239" s="115"/>
    </row>
    <row r="240" spans="1:6" x14ac:dyDescent="0.25">
      <c r="A240" s="118"/>
      <c r="B240" s="186"/>
      <c r="C240" s="190"/>
      <c r="D240" s="118"/>
      <c r="E240" s="183"/>
      <c r="F240" s="115"/>
    </row>
    <row r="241" spans="1:6" x14ac:dyDescent="0.25">
      <c r="A241" s="118"/>
      <c r="B241" s="186"/>
      <c r="C241" s="190"/>
      <c r="D241" s="118"/>
      <c r="E241" s="183"/>
      <c r="F241" s="115"/>
    </row>
    <row r="242" spans="1:6" x14ac:dyDescent="0.25">
      <c r="A242" s="118"/>
      <c r="B242" s="186"/>
      <c r="C242" s="190"/>
      <c r="D242" s="118"/>
      <c r="E242" s="183"/>
      <c r="F242" s="115"/>
    </row>
    <row r="243" spans="1:6" x14ac:dyDescent="0.25">
      <c r="A243" s="118"/>
      <c r="B243" s="186"/>
      <c r="C243" s="190"/>
      <c r="D243" s="118"/>
      <c r="E243" s="183"/>
      <c r="F243" s="115"/>
    </row>
    <row r="244" spans="1:6" x14ac:dyDescent="0.25">
      <c r="A244" s="118"/>
      <c r="B244" s="186"/>
      <c r="C244" s="190"/>
      <c r="D244" s="118"/>
      <c r="E244" s="183"/>
      <c r="F244" s="115"/>
    </row>
    <row r="245" spans="1:6" x14ac:dyDescent="0.25">
      <c r="A245" s="118"/>
      <c r="B245" s="186"/>
      <c r="C245" s="190"/>
      <c r="D245" s="118"/>
      <c r="E245" s="183"/>
      <c r="F245" s="115"/>
    </row>
    <row r="246" spans="1:6" x14ac:dyDescent="0.25">
      <c r="A246" s="118"/>
      <c r="B246" s="186"/>
      <c r="C246" s="190"/>
      <c r="D246" s="118"/>
      <c r="E246" s="183"/>
      <c r="F246" s="115"/>
    </row>
    <row r="247" spans="1:6" x14ac:dyDescent="0.25">
      <c r="A247" s="118"/>
      <c r="B247" s="186"/>
      <c r="C247" s="190"/>
      <c r="D247" s="118"/>
      <c r="E247" s="183"/>
      <c r="F247" s="115"/>
    </row>
    <row r="248" spans="1:6" x14ac:dyDescent="0.25">
      <c r="A248" s="118"/>
      <c r="B248" s="186"/>
      <c r="C248" s="190"/>
      <c r="D248" s="118"/>
      <c r="E248" s="183"/>
      <c r="F248" s="115"/>
    </row>
    <row r="249" spans="1:6" x14ac:dyDescent="0.25">
      <c r="A249" s="118"/>
      <c r="B249" s="186"/>
      <c r="C249" s="190"/>
      <c r="D249" s="118"/>
      <c r="E249" s="183"/>
      <c r="F249" s="115"/>
    </row>
    <row r="250" spans="1:6" x14ac:dyDescent="0.25">
      <c r="A250" s="118"/>
      <c r="B250" s="186"/>
      <c r="C250" s="190"/>
      <c r="D250" s="118"/>
      <c r="E250" s="183"/>
      <c r="F250" s="115"/>
    </row>
    <row r="251" spans="1:6" x14ac:dyDescent="0.25">
      <c r="A251" s="118"/>
      <c r="B251" s="186"/>
      <c r="C251" s="190"/>
      <c r="D251" s="118"/>
      <c r="E251" s="183"/>
      <c r="F251" s="115"/>
    </row>
    <row r="252" spans="1:6" x14ac:dyDescent="0.25">
      <c r="A252" s="118"/>
      <c r="B252" s="186"/>
      <c r="C252" s="190"/>
      <c r="D252" s="118"/>
      <c r="E252" s="183"/>
      <c r="F252" s="115"/>
    </row>
    <row r="253" spans="1:6" x14ac:dyDescent="0.25">
      <c r="A253" s="118"/>
      <c r="B253" s="186"/>
      <c r="C253" s="190"/>
      <c r="D253" s="118"/>
      <c r="E253" s="183"/>
      <c r="F253" s="115"/>
    </row>
    <row r="254" spans="1:6" x14ac:dyDescent="0.25">
      <c r="A254" s="118"/>
      <c r="B254" s="186"/>
      <c r="C254" s="190"/>
      <c r="D254" s="118"/>
      <c r="E254" s="183"/>
      <c r="F254" s="115"/>
    </row>
    <row r="255" spans="1:6" x14ac:dyDescent="0.25">
      <c r="A255" s="118"/>
      <c r="B255" s="186"/>
      <c r="C255" s="190"/>
      <c r="D255" s="118"/>
      <c r="E255" s="183"/>
      <c r="F255" s="115"/>
    </row>
    <row r="256" spans="1:6" x14ac:dyDescent="0.25">
      <c r="A256" s="118"/>
      <c r="B256" s="186"/>
      <c r="C256" s="190"/>
      <c r="D256" s="118"/>
      <c r="E256" s="183"/>
      <c r="F256" s="115"/>
    </row>
    <row r="257" spans="1:6" x14ac:dyDescent="0.25">
      <c r="A257" s="118"/>
      <c r="B257" s="186"/>
      <c r="C257" s="190"/>
      <c r="D257" s="118"/>
      <c r="E257" s="183"/>
      <c r="F257" s="115"/>
    </row>
    <row r="258" spans="1:6" x14ac:dyDescent="0.25">
      <c r="A258" s="118"/>
      <c r="B258" s="186"/>
      <c r="C258" s="190"/>
      <c r="D258" s="118"/>
      <c r="E258" s="183"/>
      <c r="F258" s="115"/>
    </row>
    <row r="259" spans="1:6" x14ac:dyDescent="0.25">
      <c r="A259" s="118"/>
      <c r="B259" s="186"/>
      <c r="C259" s="190"/>
      <c r="D259" s="118"/>
      <c r="E259" s="183"/>
      <c r="F259" s="115"/>
    </row>
    <row r="260" spans="1:6" x14ac:dyDescent="0.25">
      <c r="A260" s="118"/>
      <c r="B260" s="186"/>
      <c r="C260" s="190"/>
      <c r="D260" s="118"/>
      <c r="E260" s="183"/>
      <c r="F260" s="115"/>
    </row>
    <row r="261" spans="1:6" x14ac:dyDescent="0.25">
      <c r="A261" s="118"/>
      <c r="B261" s="186"/>
      <c r="C261" s="190"/>
      <c r="D261" s="118"/>
      <c r="E261" s="183"/>
      <c r="F261" s="115"/>
    </row>
    <row r="262" spans="1:6" x14ac:dyDescent="0.25">
      <c r="A262" s="118"/>
      <c r="B262" s="186"/>
      <c r="C262" s="190"/>
      <c r="D262" s="118"/>
      <c r="E262" s="183"/>
      <c r="F262" s="115"/>
    </row>
    <row r="263" spans="1:6" x14ac:dyDescent="0.25">
      <c r="A263" s="118"/>
      <c r="B263" s="186"/>
      <c r="C263" s="190"/>
      <c r="D263" s="118"/>
      <c r="E263" s="183"/>
      <c r="F263" s="115"/>
    </row>
    <row r="264" spans="1:6" x14ac:dyDescent="0.25">
      <c r="A264" s="118"/>
      <c r="B264" s="186"/>
      <c r="C264" s="190"/>
      <c r="D264" s="118"/>
      <c r="E264" s="183"/>
      <c r="F264" s="115"/>
    </row>
    <row r="265" spans="1:6" x14ac:dyDescent="0.25">
      <c r="A265" s="118"/>
      <c r="B265" s="186"/>
      <c r="C265" s="190"/>
      <c r="D265" s="118"/>
      <c r="E265" s="183"/>
      <c r="F265" s="115"/>
    </row>
    <row r="266" spans="1:6" x14ac:dyDescent="0.25">
      <c r="A266" s="118"/>
      <c r="B266" s="186"/>
      <c r="C266" s="190"/>
      <c r="D266" s="118"/>
      <c r="E266" s="183"/>
      <c r="F266" s="115"/>
    </row>
    <row r="267" spans="1:6" x14ac:dyDescent="0.25">
      <c r="A267" s="118"/>
      <c r="B267" s="186"/>
      <c r="C267" s="190"/>
      <c r="D267" s="118"/>
      <c r="E267" s="183"/>
      <c r="F267" s="115"/>
    </row>
    <row r="268" spans="1:6" x14ac:dyDescent="0.25">
      <c r="A268" s="118"/>
      <c r="B268" s="186"/>
      <c r="C268" s="190"/>
      <c r="D268" s="118"/>
      <c r="E268" s="183"/>
      <c r="F268" s="115"/>
    </row>
    <row r="269" spans="1:6" x14ac:dyDescent="0.25">
      <c r="A269" s="118"/>
      <c r="B269" s="186"/>
      <c r="C269" s="190"/>
      <c r="D269" s="118"/>
      <c r="E269" s="183"/>
      <c r="F269" s="115"/>
    </row>
    <row r="270" spans="1:6" x14ac:dyDescent="0.25">
      <c r="A270" s="118"/>
      <c r="B270" s="186"/>
      <c r="C270" s="190"/>
      <c r="D270" s="118"/>
      <c r="E270" s="183"/>
      <c r="F270" s="115"/>
    </row>
    <row r="271" spans="1:6" x14ac:dyDescent="0.25">
      <c r="A271" s="118"/>
      <c r="B271" s="186"/>
      <c r="C271" s="190"/>
      <c r="D271" s="118"/>
      <c r="E271" s="183"/>
      <c r="F271" s="115"/>
    </row>
    <row r="272" spans="1:6" x14ac:dyDescent="0.25">
      <c r="A272" s="118"/>
      <c r="B272" s="186"/>
      <c r="C272" s="190"/>
      <c r="D272" s="118"/>
      <c r="E272" s="183"/>
      <c r="F272" s="115"/>
    </row>
    <row r="273" spans="1:6" x14ac:dyDescent="0.25">
      <c r="A273" s="118"/>
      <c r="B273" s="186"/>
      <c r="C273" s="190"/>
      <c r="D273" s="118"/>
      <c r="E273" s="183"/>
      <c r="F273" s="115"/>
    </row>
    <row r="274" spans="1:6" x14ac:dyDescent="0.25">
      <c r="A274" s="118"/>
      <c r="B274" s="186"/>
      <c r="C274" s="190"/>
      <c r="D274" s="118"/>
      <c r="E274" s="183"/>
      <c r="F274" s="115"/>
    </row>
    <row r="275" spans="1:6" x14ac:dyDescent="0.25">
      <c r="A275" s="118"/>
      <c r="B275" s="186"/>
      <c r="C275" s="190"/>
      <c r="D275" s="118"/>
      <c r="E275" s="183"/>
      <c r="F275" s="115"/>
    </row>
    <row r="276" spans="1:6" x14ac:dyDescent="0.25">
      <c r="A276" s="118"/>
      <c r="B276" s="186"/>
      <c r="C276" s="190"/>
      <c r="D276" s="118"/>
      <c r="E276" s="183"/>
      <c r="F276" s="115"/>
    </row>
    <row r="277" spans="1:6" x14ac:dyDescent="0.25">
      <c r="A277" s="118"/>
      <c r="B277" s="186"/>
      <c r="C277" s="190"/>
      <c r="D277" s="118"/>
      <c r="E277" s="183"/>
      <c r="F277" s="115"/>
    </row>
    <row r="278" spans="1:6" x14ac:dyDescent="0.25">
      <c r="A278" s="118"/>
      <c r="B278" s="186"/>
      <c r="C278" s="190"/>
      <c r="D278" s="118"/>
      <c r="E278" s="183"/>
      <c r="F278" s="115"/>
    </row>
    <row r="279" spans="1:6" x14ac:dyDescent="0.25">
      <c r="A279" s="118"/>
      <c r="B279" s="186"/>
      <c r="C279" s="190"/>
      <c r="D279" s="118"/>
      <c r="E279" s="183"/>
      <c r="F279" s="115"/>
    </row>
    <row r="280" spans="1:6" x14ac:dyDescent="0.25">
      <c r="A280" s="118"/>
      <c r="B280" s="186"/>
      <c r="C280" s="190"/>
      <c r="D280" s="118"/>
      <c r="E280" s="183"/>
      <c r="F280" s="115"/>
    </row>
    <row r="281" spans="1:6" x14ac:dyDescent="0.25">
      <c r="A281" s="118"/>
      <c r="B281" s="186"/>
      <c r="C281" s="190"/>
      <c r="D281" s="118"/>
      <c r="E281" s="183"/>
      <c r="F281" s="115"/>
    </row>
    <row r="282" spans="1:6" x14ac:dyDescent="0.25">
      <c r="A282" s="118"/>
      <c r="B282" s="186"/>
      <c r="C282" s="190"/>
      <c r="D282" s="118"/>
      <c r="E282" s="183"/>
      <c r="F282" s="115"/>
    </row>
    <row r="283" spans="1:6" x14ac:dyDescent="0.25">
      <c r="A283" s="118"/>
      <c r="B283" s="186"/>
      <c r="C283" s="190"/>
      <c r="D283" s="118"/>
      <c r="E283" s="183"/>
      <c r="F283" s="115"/>
    </row>
    <row r="284" spans="1:6" x14ac:dyDescent="0.25">
      <c r="A284" s="118"/>
      <c r="B284" s="186"/>
      <c r="C284" s="190"/>
      <c r="D284" s="118"/>
      <c r="E284" s="183"/>
      <c r="F284" s="115"/>
    </row>
    <row r="285" spans="1:6" x14ac:dyDescent="0.25">
      <c r="A285" s="118"/>
      <c r="B285" s="186"/>
      <c r="C285" s="190"/>
      <c r="D285" s="118"/>
      <c r="E285" s="183"/>
      <c r="F285" s="115"/>
    </row>
    <row r="286" spans="1:6" x14ac:dyDescent="0.25">
      <c r="A286" s="118"/>
      <c r="B286" s="186"/>
      <c r="C286" s="190"/>
      <c r="D286" s="118"/>
      <c r="E286" s="183"/>
      <c r="F286" s="115"/>
    </row>
    <row r="287" spans="1:6" x14ac:dyDescent="0.25">
      <c r="A287" s="118"/>
      <c r="B287" s="186"/>
      <c r="C287" s="190"/>
      <c r="D287" s="118"/>
      <c r="E287" s="183"/>
      <c r="F287" s="115"/>
    </row>
    <row r="288" spans="1:6" x14ac:dyDescent="0.25">
      <c r="A288" s="118"/>
      <c r="B288" s="186"/>
      <c r="C288" s="190"/>
      <c r="D288" s="118"/>
      <c r="E288" s="183"/>
      <c r="F288" s="115"/>
    </row>
    <row r="289" spans="1:6" x14ac:dyDescent="0.25">
      <c r="A289" s="118"/>
      <c r="B289" s="186"/>
      <c r="C289" s="190"/>
      <c r="D289" s="118"/>
      <c r="E289" s="183"/>
      <c r="F289" s="115"/>
    </row>
    <row r="290" spans="1:6" x14ac:dyDescent="0.25">
      <c r="A290" s="118"/>
      <c r="B290" s="186"/>
      <c r="C290" s="190"/>
      <c r="D290" s="118"/>
      <c r="E290" s="183"/>
      <c r="F290" s="115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5" fitToHeight="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F0972-1012-4D99-8131-AD8AE72FA4DA}">
  <sheetPr>
    <pageSetUpPr fitToPage="1"/>
  </sheetPr>
  <dimension ref="A1:K704"/>
  <sheetViews>
    <sheetView topLeftCell="A502" workbookViewId="0">
      <selection activeCell="A509" sqref="A509:XFD511"/>
    </sheetView>
  </sheetViews>
  <sheetFormatPr baseColWidth="10" defaultColWidth="25.28515625" defaultRowHeight="15.75" x14ac:dyDescent="0.25"/>
  <cols>
    <col min="1" max="1" width="9.85546875" style="176" bestFit="1" customWidth="1"/>
    <col min="2" max="2" width="9" style="176" bestFit="1" customWidth="1"/>
    <col min="3" max="3" width="33.7109375" style="176" customWidth="1"/>
    <col min="4" max="4" width="9.85546875" style="176" bestFit="1" customWidth="1"/>
    <col min="5" max="5" width="9.7109375" style="182" customWidth="1"/>
    <col min="6" max="6" width="15.42578125" style="176" bestFit="1" customWidth="1"/>
    <col min="7" max="7" width="8.7109375" style="176" bestFit="1" customWidth="1"/>
    <col min="8" max="8" width="8" style="176" bestFit="1" customWidth="1"/>
    <col min="9" max="10" width="25.28515625" style="176"/>
    <col min="11" max="11" width="1.5703125" style="176" bestFit="1" customWidth="1"/>
    <col min="12" max="16384" width="25.28515625" style="176"/>
  </cols>
  <sheetData>
    <row r="1" spans="1:8" ht="16.5" thickBot="1" x14ac:dyDescent="0.3">
      <c r="A1" s="382" t="s">
        <v>14416</v>
      </c>
      <c r="B1" s="383"/>
      <c r="C1" s="383"/>
      <c r="D1" s="383"/>
      <c r="E1" s="383"/>
      <c r="F1" s="383"/>
      <c r="G1" s="174"/>
      <c r="H1" s="175"/>
    </row>
    <row r="2" spans="1:8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ht="31.5" x14ac:dyDescent="0.25">
      <c r="A3" s="177" t="s">
        <v>7662</v>
      </c>
      <c r="B3" s="177" t="s">
        <v>7705</v>
      </c>
      <c r="C3" s="177" t="s">
        <v>7704</v>
      </c>
      <c r="D3" s="177" t="s">
        <v>5678</v>
      </c>
      <c r="E3" s="181">
        <v>2.2999999999999998</v>
      </c>
      <c r="F3" s="177" t="s">
        <v>5677</v>
      </c>
      <c r="G3" s="177" t="s">
        <v>3007</v>
      </c>
      <c r="H3" s="172">
        <v>1814</v>
      </c>
    </row>
    <row r="4" spans="1:8" ht="31.5" x14ac:dyDescent="0.25">
      <c r="A4" s="177" t="s">
        <v>7662</v>
      </c>
      <c r="B4" s="177" t="s">
        <v>7703</v>
      </c>
      <c r="C4" s="177" t="s">
        <v>7702</v>
      </c>
      <c r="D4" s="177" t="s">
        <v>7701</v>
      </c>
      <c r="E4" s="181">
        <v>12.32</v>
      </c>
      <c r="F4" s="177" t="s">
        <v>7700</v>
      </c>
      <c r="G4" s="177" t="s">
        <v>3007</v>
      </c>
      <c r="H4" s="172">
        <v>1815</v>
      </c>
    </row>
    <row r="5" spans="1:8" ht="31.5" x14ac:dyDescent="0.25">
      <c r="A5" s="177" t="s">
        <v>7662</v>
      </c>
      <c r="B5" s="177" t="s">
        <v>7699</v>
      </c>
      <c r="C5" s="177" t="s">
        <v>7698</v>
      </c>
      <c r="D5" s="177" t="s">
        <v>7697</v>
      </c>
      <c r="E5" s="181">
        <v>21.65</v>
      </c>
      <c r="F5" s="177" t="s">
        <v>7696</v>
      </c>
      <c r="G5" s="177" t="s">
        <v>3007</v>
      </c>
      <c r="H5" s="172">
        <v>1816</v>
      </c>
    </row>
    <row r="6" spans="1:8" ht="31.5" x14ac:dyDescent="0.25">
      <c r="A6" s="177" t="s">
        <v>7662</v>
      </c>
      <c r="B6" s="177" t="s">
        <v>7695</v>
      </c>
      <c r="C6" s="177" t="s">
        <v>7694</v>
      </c>
      <c r="D6" s="177" t="s">
        <v>6057</v>
      </c>
      <c r="E6" s="181">
        <v>3.37</v>
      </c>
      <c r="F6" s="177" t="s">
        <v>6056</v>
      </c>
      <c r="G6" s="177" t="s">
        <v>3007</v>
      </c>
      <c r="H6" s="172">
        <v>1817</v>
      </c>
    </row>
    <row r="7" spans="1:8" ht="31.5" x14ac:dyDescent="0.25">
      <c r="A7" s="177" t="s">
        <v>7662</v>
      </c>
      <c r="B7" s="177" t="s">
        <v>7693</v>
      </c>
      <c r="C7" s="177" t="s">
        <v>7692</v>
      </c>
      <c r="D7" s="177" t="s">
        <v>7691</v>
      </c>
      <c r="E7" s="181">
        <v>3.55</v>
      </c>
      <c r="F7" s="177" t="s">
        <v>7690</v>
      </c>
      <c r="G7" s="177" t="s">
        <v>3007</v>
      </c>
      <c r="H7" s="172">
        <v>1818</v>
      </c>
    </row>
    <row r="8" spans="1:8" ht="31.5" x14ac:dyDescent="0.25">
      <c r="A8" s="177" t="s">
        <v>7662</v>
      </c>
      <c r="B8" s="177" t="s">
        <v>5382</v>
      </c>
      <c r="C8" s="177" t="s">
        <v>7689</v>
      </c>
      <c r="D8" s="177" t="s">
        <v>5255</v>
      </c>
      <c r="E8" s="181">
        <v>1.68</v>
      </c>
      <c r="F8" s="177" t="s">
        <v>5254</v>
      </c>
      <c r="G8" s="177" t="s">
        <v>3007</v>
      </c>
      <c r="H8" s="172">
        <v>1819</v>
      </c>
    </row>
    <row r="9" spans="1:8" ht="31.5" x14ac:dyDescent="0.25">
      <c r="A9" s="177" t="s">
        <v>7662</v>
      </c>
      <c r="B9" s="177" t="s">
        <v>7688</v>
      </c>
      <c r="C9" s="177" t="s">
        <v>7687</v>
      </c>
      <c r="D9" s="177" t="s">
        <v>4747</v>
      </c>
      <c r="E9" s="181">
        <v>15.92</v>
      </c>
      <c r="F9" s="177" t="s">
        <v>4746</v>
      </c>
      <c r="G9" s="177" t="s">
        <v>3007</v>
      </c>
      <c r="H9" s="172">
        <v>1820</v>
      </c>
    </row>
    <row r="10" spans="1:8" ht="31.5" x14ac:dyDescent="0.25">
      <c r="A10" s="177" t="s">
        <v>7662</v>
      </c>
      <c r="B10" s="177" t="s">
        <v>7686</v>
      </c>
      <c r="C10" s="177" t="s">
        <v>7685</v>
      </c>
      <c r="D10" s="177" t="s">
        <v>5618</v>
      </c>
      <c r="E10" s="181">
        <v>1.93</v>
      </c>
      <c r="F10" s="177" t="s">
        <v>5617</v>
      </c>
      <c r="G10" s="177" t="s">
        <v>3007</v>
      </c>
      <c r="H10" s="172">
        <v>1821</v>
      </c>
    </row>
    <row r="11" spans="1:8" ht="31.5" x14ac:dyDescent="0.25">
      <c r="A11" s="177" t="s">
        <v>7662</v>
      </c>
      <c r="B11" s="177" t="s">
        <v>7684</v>
      </c>
      <c r="C11" s="177" t="s">
        <v>7683</v>
      </c>
      <c r="D11" s="177" t="s">
        <v>7682</v>
      </c>
      <c r="E11" s="181">
        <v>9.91</v>
      </c>
      <c r="F11" s="177" t="s">
        <v>7681</v>
      </c>
      <c r="G11" s="177" t="s">
        <v>3007</v>
      </c>
      <c r="H11" s="172">
        <v>1822</v>
      </c>
    </row>
    <row r="12" spans="1:8" ht="31.5" x14ac:dyDescent="0.25">
      <c r="A12" s="177" t="s">
        <v>7662</v>
      </c>
      <c r="B12" s="177" t="s">
        <v>7680</v>
      </c>
      <c r="C12" s="177" t="s">
        <v>7679</v>
      </c>
      <c r="D12" s="177" t="s">
        <v>4881</v>
      </c>
      <c r="E12" s="181">
        <v>8.3800000000000008</v>
      </c>
      <c r="F12" s="177" t="s">
        <v>4880</v>
      </c>
      <c r="G12" s="177" t="s">
        <v>3007</v>
      </c>
      <c r="H12" s="172">
        <v>1823</v>
      </c>
    </row>
    <row r="13" spans="1:8" ht="31.5" x14ac:dyDescent="0.25">
      <c r="A13" s="177" t="s">
        <v>7662</v>
      </c>
      <c r="B13" s="177" t="s">
        <v>7678</v>
      </c>
      <c r="C13" s="177" t="s">
        <v>7677</v>
      </c>
      <c r="D13" s="177" t="s">
        <v>7676</v>
      </c>
      <c r="E13" s="181">
        <v>5.3</v>
      </c>
      <c r="F13" s="177" t="s">
        <v>7675</v>
      </c>
      <c r="G13" s="177" t="s">
        <v>3007</v>
      </c>
      <c r="H13" s="172">
        <v>1824</v>
      </c>
    </row>
    <row r="14" spans="1:8" ht="31.5" x14ac:dyDescent="0.25">
      <c r="A14" s="177" t="s">
        <v>7662</v>
      </c>
      <c r="B14" s="177" t="s">
        <v>7674</v>
      </c>
      <c r="C14" s="177" t="s">
        <v>7673</v>
      </c>
      <c r="D14" s="177" t="s">
        <v>7672</v>
      </c>
      <c r="E14" s="181">
        <v>6.75</v>
      </c>
      <c r="F14" s="177" t="s">
        <v>7671</v>
      </c>
      <c r="G14" s="177" t="s">
        <v>3007</v>
      </c>
      <c r="H14" s="172">
        <v>1825</v>
      </c>
    </row>
    <row r="15" spans="1:8" ht="31.5" x14ac:dyDescent="0.25">
      <c r="A15" s="177" t="s">
        <v>7662</v>
      </c>
      <c r="B15" s="177" t="s">
        <v>7670</v>
      </c>
      <c r="C15" s="177" t="s">
        <v>7669</v>
      </c>
      <c r="D15" s="177" t="s">
        <v>7668</v>
      </c>
      <c r="E15" s="181">
        <v>4.83</v>
      </c>
      <c r="F15" s="177" t="s">
        <v>7667</v>
      </c>
      <c r="G15" s="177" t="s">
        <v>3007</v>
      </c>
      <c r="H15" s="172">
        <v>1826</v>
      </c>
    </row>
    <row r="16" spans="1:8" ht="31.5" x14ac:dyDescent="0.25">
      <c r="A16" s="177" t="s">
        <v>7662</v>
      </c>
      <c r="B16" s="177" t="s">
        <v>7666</v>
      </c>
      <c r="C16" s="177" t="s">
        <v>7665</v>
      </c>
      <c r="D16" s="177" t="s">
        <v>7664</v>
      </c>
      <c r="E16" s="181">
        <v>4.1100000000000003</v>
      </c>
      <c r="F16" s="177" t="s">
        <v>7663</v>
      </c>
      <c r="G16" s="177" t="s">
        <v>3007</v>
      </c>
      <c r="H16" s="172">
        <v>1827</v>
      </c>
    </row>
    <row r="17" spans="1:8" ht="31.5" x14ac:dyDescent="0.25">
      <c r="A17" s="177" t="s">
        <v>7662</v>
      </c>
      <c r="B17" s="177" t="s">
        <v>7661</v>
      </c>
      <c r="C17" s="177" t="s">
        <v>7660</v>
      </c>
      <c r="D17" s="177" t="s">
        <v>5584</v>
      </c>
      <c r="E17" s="181">
        <v>3.01</v>
      </c>
      <c r="F17" s="177" t="s">
        <v>5583</v>
      </c>
      <c r="G17" s="177" t="s">
        <v>3007</v>
      </c>
      <c r="H17" s="172">
        <v>1828</v>
      </c>
    </row>
    <row r="18" spans="1:8" ht="31.5" x14ac:dyDescent="0.25">
      <c r="A18" s="177" t="s">
        <v>7633</v>
      </c>
      <c r="B18" s="177" t="s">
        <v>7659</v>
      </c>
      <c r="C18" s="177" t="s">
        <v>7658</v>
      </c>
      <c r="D18" s="177" t="s">
        <v>7657</v>
      </c>
      <c r="E18" s="181">
        <v>1.1599999999999999</v>
      </c>
      <c r="F18" s="177" t="s">
        <v>7656</v>
      </c>
      <c r="G18" s="177" t="s">
        <v>3007</v>
      </c>
      <c r="H18" s="172">
        <v>1829</v>
      </c>
    </row>
    <row r="19" spans="1:8" ht="31.5" x14ac:dyDescent="0.25">
      <c r="A19" s="177" t="s">
        <v>7633</v>
      </c>
      <c r="B19" s="177" t="s">
        <v>7655</v>
      </c>
      <c r="C19" s="177" t="s">
        <v>7654</v>
      </c>
      <c r="D19" s="177" t="s">
        <v>7653</v>
      </c>
      <c r="E19" s="181">
        <v>3.36</v>
      </c>
      <c r="F19" s="177" t="s">
        <v>7652</v>
      </c>
      <c r="G19" s="177" t="s">
        <v>3007</v>
      </c>
      <c r="H19" s="172">
        <v>1830</v>
      </c>
    </row>
    <row r="20" spans="1:8" ht="31.5" x14ac:dyDescent="0.25">
      <c r="A20" s="177" t="s">
        <v>7633</v>
      </c>
      <c r="B20" s="177" t="s">
        <v>7651</v>
      </c>
      <c r="C20" s="177" t="s">
        <v>7650</v>
      </c>
      <c r="D20" s="177" t="s">
        <v>7649</v>
      </c>
      <c r="E20" s="181">
        <v>5.74</v>
      </c>
      <c r="F20" s="177" t="s">
        <v>7648</v>
      </c>
      <c r="G20" s="177" t="s">
        <v>3007</v>
      </c>
      <c r="H20" s="172">
        <v>1831</v>
      </c>
    </row>
    <row r="21" spans="1:8" ht="31.5" x14ac:dyDescent="0.25">
      <c r="A21" s="177" t="s">
        <v>7633</v>
      </c>
      <c r="B21" s="177" t="s">
        <v>7647</v>
      </c>
      <c r="C21" s="177" t="s">
        <v>7646</v>
      </c>
      <c r="D21" s="177" t="s">
        <v>7645</v>
      </c>
      <c r="E21" s="181">
        <v>2.48</v>
      </c>
      <c r="F21" s="177" t="s">
        <v>7644</v>
      </c>
      <c r="G21" s="177" t="s">
        <v>3007</v>
      </c>
      <c r="H21" s="172">
        <v>1832</v>
      </c>
    </row>
    <row r="22" spans="1:8" ht="31.5" x14ac:dyDescent="0.25">
      <c r="A22" s="177" t="s">
        <v>7633</v>
      </c>
      <c r="B22" s="177" t="s">
        <v>7643</v>
      </c>
      <c r="C22" s="177" t="s">
        <v>7642</v>
      </c>
      <c r="D22" s="177" t="s">
        <v>7641</v>
      </c>
      <c r="E22" s="181">
        <v>3.39</v>
      </c>
      <c r="F22" s="177" t="s">
        <v>7640</v>
      </c>
      <c r="G22" s="177" t="s">
        <v>3007</v>
      </c>
      <c r="H22" s="172">
        <v>1833</v>
      </c>
    </row>
    <row r="23" spans="1:8" ht="31.5" x14ac:dyDescent="0.25">
      <c r="A23" s="177" t="s">
        <v>7633</v>
      </c>
      <c r="B23" s="177" t="s">
        <v>7639</v>
      </c>
      <c r="C23" s="177" t="s">
        <v>7638</v>
      </c>
      <c r="D23" s="177" t="s">
        <v>7637</v>
      </c>
      <c r="E23" s="181">
        <v>3.19</v>
      </c>
      <c r="F23" s="177" t="s">
        <v>7636</v>
      </c>
      <c r="G23" s="177" t="s">
        <v>3007</v>
      </c>
      <c r="H23" s="172">
        <v>1834</v>
      </c>
    </row>
    <row r="24" spans="1:8" ht="31.5" x14ac:dyDescent="0.25">
      <c r="A24" s="177" t="s">
        <v>7633</v>
      </c>
      <c r="B24" s="177" t="s">
        <v>7635</v>
      </c>
      <c r="C24" s="177" t="s">
        <v>7634</v>
      </c>
      <c r="D24" s="177" t="s">
        <v>4901</v>
      </c>
      <c r="E24" s="181">
        <v>2.0699999999999998</v>
      </c>
      <c r="F24" s="177" t="s">
        <v>4900</v>
      </c>
      <c r="G24" s="177" t="s">
        <v>3007</v>
      </c>
      <c r="H24" s="172">
        <v>1835</v>
      </c>
    </row>
    <row r="25" spans="1:8" ht="31.5" x14ac:dyDescent="0.25">
      <c r="A25" s="177" t="s">
        <v>7633</v>
      </c>
      <c r="B25" s="177" t="s">
        <v>7632</v>
      </c>
      <c r="C25" s="177" t="s">
        <v>7631</v>
      </c>
      <c r="D25" s="177" t="s">
        <v>4987</v>
      </c>
      <c r="E25" s="181">
        <v>2.99</v>
      </c>
      <c r="F25" s="177" t="s">
        <v>4986</v>
      </c>
      <c r="G25" s="177" t="s">
        <v>3007</v>
      </c>
      <c r="H25" s="172">
        <v>1836</v>
      </c>
    </row>
    <row r="26" spans="1:8" ht="31.5" x14ac:dyDescent="0.25">
      <c r="A26" s="177" t="s">
        <v>7533</v>
      </c>
      <c r="B26" s="177" t="s">
        <v>7630</v>
      </c>
      <c r="C26" s="177" t="s">
        <v>7629</v>
      </c>
      <c r="D26" s="177" t="s">
        <v>7628</v>
      </c>
      <c r="E26" s="181">
        <v>40.299999999999997</v>
      </c>
      <c r="F26" s="177" t="s">
        <v>7627</v>
      </c>
      <c r="G26" s="177" t="s">
        <v>3007</v>
      </c>
      <c r="H26" s="172">
        <v>1866</v>
      </c>
    </row>
    <row r="27" spans="1:8" ht="31.5" x14ac:dyDescent="0.25">
      <c r="A27" s="177" t="s">
        <v>7533</v>
      </c>
      <c r="B27" s="177" t="s">
        <v>6246</v>
      </c>
      <c r="C27" s="177" t="s">
        <v>7626</v>
      </c>
      <c r="D27" s="177" t="s">
        <v>4991</v>
      </c>
      <c r="E27" s="181">
        <v>8.94</v>
      </c>
      <c r="F27" s="177" t="s">
        <v>4990</v>
      </c>
      <c r="G27" s="177" t="s">
        <v>3007</v>
      </c>
      <c r="H27" s="172">
        <v>1867</v>
      </c>
    </row>
    <row r="28" spans="1:8" ht="31.5" x14ac:dyDescent="0.25">
      <c r="A28" s="177" t="s">
        <v>7533</v>
      </c>
      <c r="B28" s="177" t="s">
        <v>7625</v>
      </c>
      <c r="C28" s="177" t="s">
        <v>7624</v>
      </c>
      <c r="D28" s="177" t="s">
        <v>4995</v>
      </c>
      <c r="E28" s="181">
        <v>16.23</v>
      </c>
      <c r="F28" s="177" t="s">
        <v>4990</v>
      </c>
      <c r="G28" s="177" t="s">
        <v>3007</v>
      </c>
      <c r="H28" s="172">
        <v>1868</v>
      </c>
    </row>
    <row r="29" spans="1:8" ht="31.5" x14ac:dyDescent="0.25">
      <c r="A29" s="177" t="s">
        <v>7533</v>
      </c>
      <c r="B29" s="177" t="s">
        <v>7623</v>
      </c>
      <c r="C29" s="177" t="s">
        <v>7622</v>
      </c>
      <c r="D29" s="177" t="s">
        <v>5518</v>
      </c>
      <c r="E29" s="181">
        <v>2.58</v>
      </c>
      <c r="F29" s="177" t="s">
        <v>5517</v>
      </c>
      <c r="G29" s="177" t="s">
        <v>3007</v>
      </c>
      <c r="H29" s="172">
        <v>1869</v>
      </c>
    </row>
    <row r="30" spans="1:8" ht="31.5" x14ac:dyDescent="0.25">
      <c r="A30" s="177" t="s">
        <v>7533</v>
      </c>
      <c r="B30" s="177" t="s">
        <v>7621</v>
      </c>
      <c r="C30" s="177" t="s">
        <v>7620</v>
      </c>
      <c r="D30" s="177" t="s">
        <v>7619</v>
      </c>
      <c r="E30" s="181">
        <v>9.41</v>
      </c>
      <c r="F30" s="177" t="s">
        <v>3574</v>
      </c>
      <c r="G30" s="177" t="s">
        <v>3007</v>
      </c>
      <c r="H30" s="173">
        <v>1870</v>
      </c>
    </row>
    <row r="31" spans="1:8" ht="31.5" x14ac:dyDescent="0.25">
      <c r="A31" s="177" t="s">
        <v>7533</v>
      </c>
      <c r="B31" s="177" t="s">
        <v>7618</v>
      </c>
      <c r="C31" s="177" t="s">
        <v>7617</v>
      </c>
      <c r="D31" s="177" t="s">
        <v>7616</v>
      </c>
      <c r="E31" s="181">
        <v>5.33</v>
      </c>
      <c r="F31" s="177" t="s">
        <v>7615</v>
      </c>
      <c r="G31" s="177" t="s">
        <v>3007</v>
      </c>
      <c r="H31" s="173">
        <v>1871</v>
      </c>
    </row>
    <row r="32" spans="1:8" ht="31.5" x14ac:dyDescent="0.25">
      <c r="A32" s="177" t="s">
        <v>7533</v>
      </c>
      <c r="B32" s="177" t="s">
        <v>7614</v>
      </c>
      <c r="C32" s="177" t="s">
        <v>7613</v>
      </c>
      <c r="D32" s="177" t="s">
        <v>4229</v>
      </c>
      <c r="E32" s="181">
        <v>1.68</v>
      </c>
      <c r="F32" s="177" t="s">
        <v>4228</v>
      </c>
      <c r="G32" s="177" t="s">
        <v>3007</v>
      </c>
      <c r="H32" s="173">
        <v>1872</v>
      </c>
    </row>
    <row r="33" spans="1:11" ht="31.5" x14ac:dyDescent="0.25">
      <c r="A33" s="177" t="s">
        <v>7533</v>
      </c>
      <c r="B33" s="177" t="s">
        <v>7612</v>
      </c>
      <c r="C33" s="177" t="s">
        <v>7611</v>
      </c>
      <c r="D33" s="177" t="s">
        <v>7610</v>
      </c>
      <c r="E33" s="181">
        <v>5.15</v>
      </c>
      <c r="F33" s="177" t="s">
        <v>7609</v>
      </c>
      <c r="G33" s="177" t="s">
        <v>3007</v>
      </c>
      <c r="H33" s="173">
        <v>1873</v>
      </c>
    </row>
    <row r="34" spans="1:11" ht="31.5" x14ac:dyDescent="0.25">
      <c r="A34" s="177" t="s">
        <v>7533</v>
      </c>
      <c r="B34" s="177" t="s">
        <v>7608</v>
      </c>
      <c r="C34" s="177" t="s">
        <v>7607</v>
      </c>
      <c r="D34" s="177" t="s">
        <v>4562</v>
      </c>
      <c r="E34" s="181">
        <v>30.31</v>
      </c>
      <c r="F34" s="177" t="s">
        <v>4561</v>
      </c>
      <c r="G34" s="177" t="s">
        <v>3007</v>
      </c>
      <c r="H34" s="173">
        <v>1874</v>
      </c>
    </row>
    <row r="35" spans="1:11" ht="31.5" x14ac:dyDescent="0.25">
      <c r="A35" s="177" t="s">
        <v>7533</v>
      </c>
      <c r="B35" s="177" t="s">
        <v>7606</v>
      </c>
      <c r="C35" s="177" t="s">
        <v>7605</v>
      </c>
      <c r="D35" s="177" t="s">
        <v>4285</v>
      </c>
      <c r="E35" s="181">
        <v>2.27</v>
      </c>
      <c r="F35" s="177" t="s">
        <v>4284</v>
      </c>
      <c r="G35" s="177" t="s">
        <v>3007</v>
      </c>
      <c r="H35" s="173">
        <v>1875</v>
      </c>
    </row>
    <row r="36" spans="1:11" ht="31.5" x14ac:dyDescent="0.25">
      <c r="A36" s="177" t="s">
        <v>7533</v>
      </c>
      <c r="B36" s="177" t="s">
        <v>7604</v>
      </c>
      <c r="C36" s="177" t="s">
        <v>7603</v>
      </c>
      <c r="D36" s="177" t="s">
        <v>7602</v>
      </c>
      <c r="E36" s="181">
        <v>2.2599999999999998</v>
      </c>
      <c r="F36" s="177" t="s">
        <v>7601</v>
      </c>
      <c r="G36" s="177" t="s">
        <v>3007</v>
      </c>
      <c r="H36" s="173">
        <v>1876</v>
      </c>
    </row>
    <row r="37" spans="1:11" ht="31.5" x14ac:dyDescent="0.25">
      <c r="A37" s="177" t="s">
        <v>7533</v>
      </c>
      <c r="B37" s="177" t="s">
        <v>7600</v>
      </c>
      <c r="C37" s="177" t="s">
        <v>7599</v>
      </c>
      <c r="D37" s="177" t="s">
        <v>7598</v>
      </c>
      <c r="E37" s="181">
        <v>6.66</v>
      </c>
      <c r="F37" s="177" t="s">
        <v>7597</v>
      </c>
      <c r="G37" s="177" t="s">
        <v>3007</v>
      </c>
      <c r="H37" s="173">
        <v>1877</v>
      </c>
    </row>
    <row r="38" spans="1:11" ht="31.5" x14ac:dyDescent="0.25">
      <c r="A38" s="177" t="s">
        <v>7533</v>
      </c>
      <c r="B38" s="177" t="s">
        <v>7596</v>
      </c>
      <c r="C38" s="177" t="s">
        <v>7595</v>
      </c>
      <c r="D38" s="177" t="s">
        <v>5626</v>
      </c>
      <c r="E38" s="181">
        <v>5.01</v>
      </c>
      <c r="F38" s="177" t="s">
        <v>5625</v>
      </c>
      <c r="G38" s="177" t="s">
        <v>3007</v>
      </c>
      <c r="H38" s="173">
        <v>1878</v>
      </c>
    </row>
    <row r="39" spans="1:11" ht="31.5" x14ac:dyDescent="0.25">
      <c r="A39" s="177" t="s">
        <v>7533</v>
      </c>
      <c r="B39" s="177" t="s">
        <v>7594</v>
      </c>
      <c r="C39" s="177" t="s">
        <v>7593</v>
      </c>
      <c r="D39" s="177" t="s">
        <v>7592</v>
      </c>
      <c r="E39" s="181">
        <v>12.2</v>
      </c>
      <c r="F39" s="177" t="s">
        <v>7588</v>
      </c>
      <c r="G39" s="177" t="s">
        <v>3007</v>
      </c>
      <c r="H39" s="172">
        <v>1880</v>
      </c>
    </row>
    <row r="40" spans="1:11" ht="31.5" x14ac:dyDescent="0.25">
      <c r="A40" s="177" t="s">
        <v>7533</v>
      </c>
      <c r="B40" s="177" t="s">
        <v>7591</v>
      </c>
      <c r="C40" s="177" t="s">
        <v>7590</v>
      </c>
      <c r="D40" s="177" t="s">
        <v>7589</v>
      </c>
      <c r="E40" s="181">
        <v>3.36</v>
      </c>
      <c r="F40" s="177" t="s">
        <v>7588</v>
      </c>
      <c r="G40" s="177" t="s">
        <v>3007</v>
      </c>
      <c r="H40" s="172">
        <v>1879</v>
      </c>
    </row>
    <row r="41" spans="1:11" ht="31.5" x14ac:dyDescent="0.25">
      <c r="A41" s="177" t="s">
        <v>7533</v>
      </c>
      <c r="B41" s="177" t="s">
        <v>7587</v>
      </c>
      <c r="C41" s="177" t="s">
        <v>7586</v>
      </c>
      <c r="D41" s="177" t="s">
        <v>7585</v>
      </c>
      <c r="E41" s="181">
        <v>15.6</v>
      </c>
      <c r="F41" s="177" t="s">
        <v>7584</v>
      </c>
      <c r="G41" s="177" t="s">
        <v>3007</v>
      </c>
      <c r="H41" s="172">
        <v>1881</v>
      </c>
    </row>
    <row r="42" spans="1:11" ht="31.5" x14ac:dyDescent="0.25">
      <c r="A42" s="177" t="s">
        <v>7533</v>
      </c>
      <c r="B42" s="177" t="s">
        <v>7583</v>
      </c>
      <c r="C42" s="177" t="s">
        <v>7582</v>
      </c>
      <c r="D42" s="177" t="s">
        <v>7581</v>
      </c>
      <c r="E42" s="181">
        <v>7.58</v>
      </c>
      <c r="F42" s="177" t="s">
        <v>7580</v>
      </c>
      <c r="G42" s="177" t="s">
        <v>3007</v>
      </c>
      <c r="H42" s="172">
        <v>1882</v>
      </c>
    </row>
    <row r="43" spans="1:11" ht="31.5" x14ac:dyDescent="0.25">
      <c r="A43" s="177" t="s">
        <v>7533</v>
      </c>
      <c r="B43" s="177" t="s">
        <v>7579</v>
      </c>
      <c r="C43" s="177" t="s">
        <v>7578</v>
      </c>
      <c r="D43" s="177" t="s">
        <v>5298</v>
      </c>
      <c r="E43" s="181">
        <v>6.15</v>
      </c>
      <c r="F43" s="177" t="s">
        <v>5297</v>
      </c>
      <c r="G43" s="177" t="s">
        <v>3007</v>
      </c>
      <c r="H43" s="172">
        <v>1883</v>
      </c>
    </row>
    <row r="44" spans="1:11" ht="31.5" x14ac:dyDescent="0.25">
      <c r="A44" s="177" t="s">
        <v>7533</v>
      </c>
      <c r="B44" s="177" t="s">
        <v>7577</v>
      </c>
      <c r="C44" s="177" t="s">
        <v>7576</v>
      </c>
      <c r="D44" s="177" t="s">
        <v>6143</v>
      </c>
      <c r="E44" s="181">
        <v>2.04</v>
      </c>
      <c r="F44" s="177" t="s">
        <v>6142</v>
      </c>
      <c r="G44" s="177" t="s">
        <v>3007</v>
      </c>
      <c r="H44" s="172">
        <v>1884</v>
      </c>
    </row>
    <row r="45" spans="1:11" ht="31.5" x14ac:dyDescent="0.25">
      <c r="A45" s="177" t="s">
        <v>7533</v>
      </c>
      <c r="B45" s="177" t="s">
        <v>7575</v>
      </c>
      <c r="C45" s="177" t="s">
        <v>7574</v>
      </c>
      <c r="D45" s="177" t="s">
        <v>5592</v>
      </c>
      <c r="E45" s="181">
        <v>6.13</v>
      </c>
      <c r="F45" s="177" t="s">
        <v>5591</v>
      </c>
      <c r="G45" s="177" t="s">
        <v>3007</v>
      </c>
      <c r="H45" s="172">
        <v>1885</v>
      </c>
    </row>
    <row r="46" spans="1:11" ht="31.5" x14ac:dyDescent="0.25">
      <c r="A46" s="177" t="s">
        <v>7533</v>
      </c>
      <c r="B46" s="177" t="s">
        <v>7573</v>
      </c>
      <c r="C46" s="177" t="s">
        <v>7572</v>
      </c>
      <c r="D46" s="177" t="s">
        <v>7571</v>
      </c>
      <c r="E46" s="181">
        <v>11.6</v>
      </c>
      <c r="F46" s="177" t="s">
        <v>7570</v>
      </c>
      <c r="G46" s="177" t="s">
        <v>3007</v>
      </c>
      <c r="H46" s="172">
        <v>1886</v>
      </c>
    </row>
    <row r="47" spans="1:11" ht="31.5" x14ac:dyDescent="0.25">
      <c r="A47" s="177" t="s">
        <v>7533</v>
      </c>
      <c r="B47" s="177" t="s">
        <v>7569</v>
      </c>
      <c r="C47" s="177" t="s">
        <v>7568</v>
      </c>
      <c r="D47" s="177" t="s">
        <v>7567</v>
      </c>
      <c r="E47" s="181">
        <v>5.04</v>
      </c>
      <c r="F47" s="177" t="s">
        <v>7566</v>
      </c>
      <c r="G47" s="177" t="s">
        <v>3007</v>
      </c>
      <c r="H47" s="172">
        <v>1887</v>
      </c>
    </row>
    <row r="48" spans="1:11" ht="31.5" x14ac:dyDescent="0.25">
      <c r="A48" s="177" t="s">
        <v>7533</v>
      </c>
      <c r="B48" s="177" t="s">
        <v>7565</v>
      </c>
      <c r="C48" s="177" t="s">
        <v>7564</v>
      </c>
      <c r="D48" s="177" t="s">
        <v>7563</v>
      </c>
      <c r="E48" s="181">
        <v>10.6</v>
      </c>
      <c r="F48" s="177" t="s">
        <v>7562</v>
      </c>
      <c r="G48" s="177" t="s">
        <v>3007</v>
      </c>
      <c r="H48" s="172">
        <v>1888</v>
      </c>
      <c r="K48" s="176" t="s">
        <v>5521</v>
      </c>
    </row>
    <row r="49" spans="1:8" ht="31.5" x14ac:dyDescent="0.25">
      <c r="A49" s="177" t="s">
        <v>7533</v>
      </c>
      <c r="B49" s="177" t="s">
        <v>7561</v>
      </c>
      <c r="C49" s="177" t="s">
        <v>7560</v>
      </c>
      <c r="D49" s="177" t="s">
        <v>5166</v>
      </c>
      <c r="E49" s="181">
        <v>10.99</v>
      </c>
      <c r="F49" s="177" t="s">
        <v>5165</v>
      </c>
      <c r="G49" s="177" t="s">
        <v>3007</v>
      </c>
      <c r="H49" s="172">
        <v>1889</v>
      </c>
    </row>
    <row r="50" spans="1:8" ht="31.5" x14ac:dyDescent="0.25">
      <c r="A50" s="177" t="s">
        <v>7533</v>
      </c>
      <c r="B50" s="177" t="s">
        <v>7559</v>
      </c>
      <c r="C50" s="177" t="s">
        <v>7558</v>
      </c>
      <c r="D50" s="177" t="s">
        <v>7557</v>
      </c>
      <c r="E50" s="181">
        <v>5.19</v>
      </c>
      <c r="F50" s="177" t="s">
        <v>7556</v>
      </c>
      <c r="G50" s="177" t="s">
        <v>3007</v>
      </c>
      <c r="H50" s="172">
        <v>1890</v>
      </c>
    </row>
    <row r="51" spans="1:8" ht="31.5" x14ac:dyDescent="0.25">
      <c r="A51" s="177" t="s">
        <v>7533</v>
      </c>
      <c r="B51" s="177" t="s">
        <v>7555</v>
      </c>
      <c r="C51" s="177" t="s">
        <v>7554</v>
      </c>
      <c r="D51" s="177" t="s">
        <v>7553</v>
      </c>
      <c r="E51" s="181">
        <v>2.13</v>
      </c>
      <c r="F51" s="177" t="s">
        <v>7552</v>
      </c>
      <c r="G51" s="177" t="s">
        <v>3007</v>
      </c>
      <c r="H51" s="172">
        <v>1891</v>
      </c>
    </row>
    <row r="52" spans="1:8" ht="31.5" x14ac:dyDescent="0.25">
      <c r="A52" s="177" t="s">
        <v>7533</v>
      </c>
      <c r="B52" s="177" t="s">
        <v>7551</v>
      </c>
      <c r="C52" s="177" t="s">
        <v>7550</v>
      </c>
      <c r="D52" s="177" t="s">
        <v>5102</v>
      </c>
      <c r="E52" s="181">
        <v>6.71</v>
      </c>
      <c r="F52" s="177" t="s">
        <v>5101</v>
      </c>
      <c r="G52" s="177" t="s">
        <v>3007</v>
      </c>
      <c r="H52" s="172">
        <v>1892</v>
      </c>
    </row>
    <row r="53" spans="1:8" ht="31.5" x14ac:dyDescent="0.25">
      <c r="A53" s="177" t="s">
        <v>7533</v>
      </c>
      <c r="B53" s="177" t="s">
        <v>7549</v>
      </c>
      <c r="C53" s="177" t="s">
        <v>7548</v>
      </c>
      <c r="D53" s="177" t="s">
        <v>7547</v>
      </c>
      <c r="E53" s="181">
        <v>50.18</v>
      </c>
      <c r="F53" s="177" t="s">
        <v>7546</v>
      </c>
      <c r="G53" s="177" t="s">
        <v>3007</v>
      </c>
      <c r="H53" s="172">
        <v>1893</v>
      </c>
    </row>
    <row r="54" spans="1:8" ht="31.5" x14ac:dyDescent="0.25">
      <c r="A54" s="177" t="s">
        <v>7533</v>
      </c>
      <c r="B54" s="177" t="s">
        <v>7545</v>
      </c>
      <c r="C54" s="177" t="s">
        <v>7544</v>
      </c>
      <c r="D54" s="177" t="s">
        <v>7543</v>
      </c>
      <c r="E54" s="181">
        <v>3.48</v>
      </c>
      <c r="F54" s="177" t="s">
        <v>7542</v>
      </c>
      <c r="G54" s="177" t="s">
        <v>3007</v>
      </c>
      <c r="H54" s="172">
        <v>1894</v>
      </c>
    </row>
    <row r="55" spans="1:8" ht="31.5" x14ac:dyDescent="0.25">
      <c r="A55" s="177" t="s">
        <v>7533</v>
      </c>
      <c r="B55" s="177" t="s">
        <v>7541</v>
      </c>
      <c r="C55" s="177" t="s">
        <v>7540</v>
      </c>
      <c r="D55" s="177" t="s">
        <v>5376</v>
      </c>
      <c r="E55" s="181">
        <v>2.06</v>
      </c>
      <c r="F55" s="177" t="s">
        <v>5375</v>
      </c>
      <c r="G55" s="177" t="s">
        <v>3007</v>
      </c>
      <c r="H55" s="172">
        <v>1895</v>
      </c>
    </row>
    <row r="56" spans="1:8" ht="31.5" x14ac:dyDescent="0.25">
      <c r="A56" s="177" t="s">
        <v>7533</v>
      </c>
      <c r="B56" s="177" t="s">
        <v>7539</v>
      </c>
      <c r="C56" s="177" t="s">
        <v>7538</v>
      </c>
      <c r="D56" s="177" t="s">
        <v>7537</v>
      </c>
      <c r="E56" s="181">
        <v>8.3800000000000008</v>
      </c>
      <c r="F56" s="177" t="s">
        <v>7536</v>
      </c>
      <c r="G56" s="177" t="s">
        <v>3007</v>
      </c>
      <c r="H56" s="172">
        <v>1896</v>
      </c>
    </row>
    <row r="57" spans="1:8" ht="31.5" x14ac:dyDescent="0.25">
      <c r="A57" s="177" t="s">
        <v>7533</v>
      </c>
      <c r="B57" s="177" t="s">
        <v>7535</v>
      </c>
      <c r="C57" s="177" t="s">
        <v>7534</v>
      </c>
      <c r="D57" s="177" t="s">
        <v>5562</v>
      </c>
      <c r="E57" s="181">
        <v>8.31</v>
      </c>
      <c r="F57" s="177" t="s">
        <v>5561</v>
      </c>
      <c r="G57" s="177" t="s">
        <v>3007</v>
      </c>
      <c r="H57" s="172">
        <v>1897</v>
      </c>
    </row>
    <row r="58" spans="1:8" ht="31.5" x14ac:dyDescent="0.25">
      <c r="A58" s="177" t="s">
        <v>7533</v>
      </c>
      <c r="B58" s="177" t="s">
        <v>7532</v>
      </c>
      <c r="C58" s="177" t="s">
        <v>7531</v>
      </c>
      <c r="D58" s="177" t="s">
        <v>5202</v>
      </c>
      <c r="E58" s="181">
        <v>2.2799999999999998</v>
      </c>
      <c r="F58" s="177" t="s">
        <v>5201</v>
      </c>
      <c r="G58" s="177" t="s">
        <v>3007</v>
      </c>
      <c r="H58" s="172">
        <v>1898</v>
      </c>
    </row>
    <row r="59" spans="1:8" ht="31.5" x14ac:dyDescent="0.25">
      <c r="A59" s="177" t="s">
        <v>7438</v>
      </c>
      <c r="B59" s="177" t="s">
        <v>7530</v>
      </c>
      <c r="C59" s="177" t="s">
        <v>7529</v>
      </c>
      <c r="D59" s="177" t="s">
        <v>7528</v>
      </c>
      <c r="E59" s="181">
        <v>14.51</v>
      </c>
      <c r="F59" s="177" t="s">
        <v>7527</v>
      </c>
      <c r="G59" s="177" t="s">
        <v>3007</v>
      </c>
      <c r="H59" s="172">
        <v>1981</v>
      </c>
    </row>
    <row r="60" spans="1:8" ht="31.5" x14ac:dyDescent="0.25">
      <c r="A60" s="177" t="s">
        <v>7438</v>
      </c>
      <c r="B60" s="177" t="s">
        <v>7526</v>
      </c>
      <c r="C60" s="177" t="s">
        <v>7525</v>
      </c>
      <c r="D60" s="177" t="s">
        <v>7524</v>
      </c>
      <c r="E60" s="181">
        <v>10.94</v>
      </c>
      <c r="F60" s="177" t="s">
        <v>7523</v>
      </c>
      <c r="G60" s="177" t="s">
        <v>3007</v>
      </c>
      <c r="H60" s="172">
        <v>1982</v>
      </c>
    </row>
    <row r="61" spans="1:8" ht="31.5" x14ac:dyDescent="0.25">
      <c r="A61" s="177" t="s">
        <v>7438</v>
      </c>
      <c r="B61" s="177" t="s">
        <v>7522</v>
      </c>
      <c r="C61" s="177" t="s">
        <v>7521</v>
      </c>
      <c r="D61" s="177" t="s">
        <v>7520</v>
      </c>
      <c r="E61" s="181">
        <v>4.25</v>
      </c>
      <c r="F61" s="177" t="s">
        <v>7519</v>
      </c>
      <c r="G61" s="177" t="s">
        <v>3007</v>
      </c>
      <c r="H61" s="172">
        <v>1983</v>
      </c>
    </row>
    <row r="62" spans="1:8" ht="31.5" x14ac:dyDescent="0.25">
      <c r="A62" s="177" t="s">
        <v>7438</v>
      </c>
      <c r="B62" s="177" t="s">
        <v>7518</v>
      </c>
      <c r="C62" s="177" t="s">
        <v>7517</v>
      </c>
      <c r="D62" s="177" t="s">
        <v>5151</v>
      </c>
      <c r="E62" s="181">
        <v>1.93</v>
      </c>
      <c r="F62" s="177" t="s">
        <v>5150</v>
      </c>
      <c r="G62" s="177" t="s">
        <v>3007</v>
      </c>
      <c r="H62" s="172">
        <v>1984</v>
      </c>
    </row>
    <row r="63" spans="1:8" ht="31.5" x14ac:dyDescent="0.25">
      <c r="A63" s="177" t="s">
        <v>7438</v>
      </c>
      <c r="B63" s="177" t="s">
        <v>7516</v>
      </c>
      <c r="C63" s="177" t="s">
        <v>7515</v>
      </c>
      <c r="D63" s="177" t="s">
        <v>5259</v>
      </c>
      <c r="E63" s="181">
        <v>0.86</v>
      </c>
      <c r="F63" s="177" t="s">
        <v>5258</v>
      </c>
      <c r="G63" s="177" t="s">
        <v>3007</v>
      </c>
      <c r="H63" s="172">
        <v>1985</v>
      </c>
    </row>
    <row r="64" spans="1:8" ht="31.5" x14ac:dyDescent="0.25">
      <c r="A64" s="177" t="s">
        <v>7438</v>
      </c>
      <c r="B64" s="177" t="s">
        <v>7514</v>
      </c>
      <c r="C64" s="177" t="s">
        <v>7513</v>
      </c>
      <c r="D64" s="177" t="s">
        <v>4532</v>
      </c>
      <c r="E64" s="181">
        <v>1.68</v>
      </c>
      <c r="F64" s="177" t="s">
        <v>4528</v>
      </c>
      <c r="G64" s="177" t="s">
        <v>3007</v>
      </c>
      <c r="H64" s="172">
        <v>1986</v>
      </c>
    </row>
    <row r="65" spans="1:8" ht="31.5" x14ac:dyDescent="0.25">
      <c r="A65" s="177" t="s">
        <v>7438</v>
      </c>
      <c r="B65" s="177" t="s">
        <v>7512</v>
      </c>
      <c r="C65" s="177" t="s">
        <v>7511</v>
      </c>
      <c r="D65" s="177" t="s">
        <v>4529</v>
      </c>
      <c r="E65" s="181">
        <v>1.68</v>
      </c>
      <c r="F65" s="177" t="s">
        <v>4528</v>
      </c>
      <c r="G65" s="177" t="s">
        <v>3007</v>
      </c>
      <c r="H65" s="172">
        <v>1987</v>
      </c>
    </row>
    <row r="66" spans="1:8" ht="31.5" x14ac:dyDescent="0.25">
      <c r="A66" s="177" t="s">
        <v>7438</v>
      </c>
      <c r="B66" s="177" t="s">
        <v>7510</v>
      </c>
      <c r="C66" s="177" t="s">
        <v>7509</v>
      </c>
      <c r="D66" s="177" t="s">
        <v>7508</v>
      </c>
      <c r="E66" s="181">
        <v>13.88</v>
      </c>
      <c r="F66" s="177" t="s">
        <v>7507</v>
      </c>
      <c r="G66" s="177" t="s">
        <v>3007</v>
      </c>
      <c r="H66" s="172">
        <v>1988</v>
      </c>
    </row>
    <row r="67" spans="1:8" ht="31.5" x14ac:dyDescent="0.25">
      <c r="A67" s="177" t="s">
        <v>7438</v>
      </c>
      <c r="B67" s="177" t="s">
        <v>7506</v>
      </c>
      <c r="C67" s="177" t="s">
        <v>7505</v>
      </c>
      <c r="D67" s="177" t="s">
        <v>6735</v>
      </c>
      <c r="E67" s="181">
        <v>10.35</v>
      </c>
      <c r="F67" s="177" t="s">
        <v>6734</v>
      </c>
      <c r="G67" s="177" t="s">
        <v>3007</v>
      </c>
      <c r="H67" s="172">
        <v>1989</v>
      </c>
    </row>
    <row r="68" spans="1:8" ht="31.5" x14ac:dyDescent="0.25">
      <c r="A68" s="177" t="s">
        <v>7438</v>
      </c>
      <c r="B68" s="177" t="s">
        <v>7504</v>
      </c>
      <c r="C68" s="177" t="s">
        <v>7503</v>
      </c>
      <c r="D68" s="177" t="s">
        <v>5500</v>
      </c>
      <c r="E68" s="181">
        <v>1.81</v>
      </c>
      <c r="F68" s="177" t="s">
        <v>5499</v>
      </c>
      <c r="G68" s="177" t="s">
        <v>3007</v>
      </c>
      <c r="H68" s="172">
        <v>1990</v>
      </c>
    </row>
    <row r="69" spans="1:8" ht="31.5" x14ac:dyDescent="0.25">
      <c r="A69" s="177" t="s">
        <v>7438</v>
      </c>
      <c r="B69" s="177" t="s">
        <v>7502</v>
      </c>
      <c r="C69" s="177" t="s">
        <v>7501</v>
      </c>
      <c r="D69" s="177" t="s">
        <v>4480</v>
      </c>
      <c r="E69" s="181">
        <v>2.2200000000000002</v>
      </c>
      <c r="F69" s="177" t="s">
        <v>4476</v>
      </c>
      <c r="G69" s="177" t="s">
        <v>3007</v>
      </c>
      <c r="H69" s="172">
        <v>1991</v>
      </c>
    </row>
    <row r="70" spans="1:8" ht="31.5" x14ac:dyDescent="0.25">
      <c r="A70" s="177" t="s">
        <v>7438</v>
      </c>
      <c r="B70" s="177" t="s">
        <v>7500</v>
      </c>
      <c r="C70" s="177" t="s">
        <v>7499</v>
      </c>
      <c r="D70" s="177" t="s">
        <v>7498</v>
      </c>
      <c r="E70" s="181">
        <v>21.25</v>
      </c>
      <c r="F70" s="177" t="s">
        <v>7497</v>
      </c>
      <c r="G70" s="177" t="s">
        <v>3007</v>
      </c>
      <c r="H70" s="172">
        <v>1992</v>
      </c>
    </row>
    <row r="71" spans="1:8" ht="31.5" x14ac:dyDescent="0.25">
      <c r="A71" s="177" t="s">
        <v>7438</v>
      </c>
      <c r="B71" s="177" t="s">
        <v>7496</v>
      </c>
      <c r="C71" s="177" t="s">
        <v>7495</v>
      </c>
      <c r="D71" s="177" t="s">
        <v>5060</v>
      </c>
      <c r="E71" s="181">
        <v>25.94</v>
      </c>
      <c r="F71" s="177" t="s">
        <v>5059</v>
      </c>
      <c r="G71" s="177" t="s">
        <v>3007</v>
      </c>
      <c r="H71" s="172">
        <v>1993</v>
      </c>
    </row>
    <row r="72" spans="1:8" ht="31.5" x14ac:dyDescent="0.25">
      <c r="A72" s="177" t="s">
        <v>7438</v>
      </c>
      <c r="B72" s="177" t="s">
        <v>7494</v>
      </c>
      <c r="C72" s="177" t="s">
        <v>7493</v>
      </c>
      <c r="D72" s="177" t="s">
        <v>4469</v>
      </c>
      <c r="E72" s="181">
        <v>2.2999999999999998</v>
      </c>
      <c r="F72" s="177" t="s">
        <v>4468</v>
      </c>
      <c r="G72" s="177" t="s">
        <v>3007</v>
      </c>
      <c r="H72" s="172">
        <v>1994</v>
      </c>
    </row>
    <row r="73" spans="1:8" ht="31.5" x14ac:dyDescent="0.25">
      <c r="A73" s="177" t="s">
        <v>7438</v>
      </c>
      <c r="B73" s="177" t="s">
        <v>7492</v>
      </c>
      <c r="C73" s="177" t="s">
        <v>7491</v>
      </c>
      <c r="D73" s="177" t="s">
        <v>5510</v>
      </c>
      <c r="E73" s="181">
        <v>18.04</v>
      </c>
      <c r="F73" s="177" t="s">
        <v>5509</v>
      </c>
      <c r="G73" s="177" t="s">
        <v>3007</v>
      </c>
      <c r="H73" s="172">
        <v>1999</v>
      </c>
    </row>
    <row r="74" spans="1:8" ht="31.5" x14ac:dyDescent="0.25">
      <c r="A74" s="177" t="s">
        <v>7438</v>
      </c>
      <c r="B74" s="177" t="s">
        <v>7490</v>
      </c>
      <c r="C74" s="177" t="s">
        <v>7489</v>
      </c>
      <c r="D74" s="177" t="s">
        <v>5218</v>
      </c>
      <c r="E74" s="181">
        <v>8.3800000000000008</v>
      </c>
      <c r="F74" s="177" t="s">
        <v>5217</v>
      </c>
      <c r="G74" s="177" t="s">
        <v>3007</v>
      </c>
      <c r="H74" s="172">
        <v>2000</v>
      </c>
    </row>
    <row r="75" spans="1:8" ht="31.5" x14ac:dyDescent="0.25">
      <c r="A75" s="177" t="s">
        <v>7438</v>
      </c>
      <c r="B75" s="177" t="s">
        <v>7488</v>
      </c>
      <c r="C75" s="177" t="s">
        <v>7487</v>
      </c>
      <c r="D75" s="177" t="s">
        <v>5281</v>
      </c>
      <c r="E75" s="181">
        <v>2.25</v>
      </c>
      <c r="F75" s="177" t="s">
        <v>5280</v>
      </c>
      <c r="G75" s="177" t="s">
        <v>3007</v>
      </c>
      <c r="H75" s="172">
        <v>2001</v>
      </c>
    </row>
    <row r="76" spans="1:8" ht="31.5" x14ac:dyDescent="0.25">
      <c r="A76" s="177" t="s">
        <v>7438</v>
      </c>
      <c r="B76" s="177" t="s">
        <v>7486</v>
      </c>
      <c r="C76" s="177" t="s">
        <v>7485</v>
      </c>
      <c r="D76" s="177" t="s">
        <v>7484</v>
      </c>
      <c r="E76" s="181">
        <v>6</v>
      </c>
      <c r="F76" s="177" t="s">
        <v>7483</v>
      </c>
      <c r="G76" s="177" t="s">
        <v>3007</v>
      </c>
      <c r="H76" s="172">
        <v>2002</v>
      </c>
    </row>
    <row r="77" spans="1:8" ht="31.5" x14ac:dyDescent="0.25">
      <c r="A77" s="177" t="s">
        <v>7438</v>
      </c>
      <c r="B77" s="177" t="s">
        <v>7482</v>
      </c>
      <c r="C77" s="177" t="s">
        <v>7481</v>
      </c>
      <c r="D77" s="177" t="s">
        <v>7480</v>
      </c>
      <c r="E77" s="181">
        <v>5.13</v>
      </c>
      <c r="F77" s="177" t="s">
        <v>7479</v>
      </c>
      <c r="G77" s="177" t="s">
        <v>3007</v>
      </c>
      <c r="H77" s="172">
        <v>2003</v>
      </c>
    </row>
    <row r="78" spans="1:8" ht="31.5" x14ac:dyDescent="0.25">
      <c r="A78" s="177" t="s">
        <v>7438</v>
      </c>
      <c r="B78" s="177" t="s">
        <v>7478</v>
      </c>
      <c r="C78" s="177" t="s">
        <v>7477</v>
      </c>
      <c r="D78" s="177" t="s">
        <v>5064</v>
      </c>
      <c r="E78" s="181">
        <v>5.1100000000000003</v>
      </c>
      <c r="F78" s="177" t="s">
        <v>5063</v>
      </c>
      <c r="G78" s="177" t="s">
        <v>3007</v>
      </c>
      <c r="H78" s="172">
        <v>2004</v>
      </c>
    </row>
    <row r="79" spans="1:8" ht="31.5" x14ac:dyDescent="0.25">
      <c r="A79" s="177" t="s">
        <v>7438</v>
      </c>
      <c r="B79" s="177" t="s">
        <v>7476</v>
      </c>
      <c r="C79" s="177" t="s">
        <v>7475</v>
      </c>
      <c r="D79" s="177" t="s">
        <v>7474</v>
      </c>
      <c r="E79" s="181">
        <v>5.98</v>
      </c>
      <c r="F79" s="177" t="s">
        <v>7473</v>
      </c>
      <c r="G79" s="177" t="s">
        <v>3007</v>
      </c>
      <c r="H79" s="172">
        <v>2005</v>
      </c>
    </row>
    <row r="80" spans="1:8" ht="31.5" x14ac:dyDescent="0.25">
      <c r="A80" s="177" t="s">
        <v>7438</v>
      </c>
      <c r="B80" s="177" t="s">
        <v>7472</v>
      </c>
      <c r="C80" s="177" t="s">
        <v>7471</v>
      </c>
      <c r="D80" s="177" t="s">
        <v>3983</v>
      </c>
      <c r="E80" s="181">
        <v>13.4</v>
      </c>
      <c r="F80" s="177" t="s">
        <v>3982</v>
      </c>
      <c r="G80" s="177" t="s">
        <v>3007</v>
      </c>
      <c r="H80" s="172">
        <v>2006</v>
      </c>
    </row>
    <row r="81" spans="1:11" ht="31.5" x14ac:dyDescent="0.25">
      <c r="A81" s="177" t="s">
        <v>7438</v>
      </c>
      <c r="B81" s="177" t="s">
        <v>7470</v>
      </c>
      <c r="C81" s="177" t="s">
        <v>7469</v>
      </c>
      <c r="D81" s="177" t="s">
        <v>3989</v>
      </c>
      <c r="E81" s="181">
        <v>13.12</v>
      </c>
      <c r="F81" s="177" t="s">
        <v>3982</v>
      </c>
      <c r="G81" s="177" t="s">
        <v>3007</v>
      </c>
      <c r="H81" s="172">
        <v>2007</v>
      </c>
    </row>
    <row r="82" spans="1:11" ht="31.5" x14ac:dyDescent="0.25">
      <c r="A82" s="177" t="s">
        <v>7438</v>
      </c>
      <c r="B82" s="177" t="s">
        <v>7468</v>
      </c>
      <c r="C82" s="177" t="s">
        <v>7467</v>
      </c>
      <c r="D82" s="177" t="s">
        <v>3986</v>
      </c>
      <c r="E82" s="181">
        <v>12.88</v>
      </c>
      <c r="F82" s="177" t="s">
        <v>3982</v>
      </c>
      <c r="G82" s="177" t="s">
        <v>3007</v>
      </c>
      <c r="H82" s="172">
        <v>2008</v>
      </c>
    </row>
    <row r="83" spans="1:11" ht="31.5" x14ac:dyDescent="0.25">
      <c r="A83" s="177" t="s">
        <v>7438</v>
      </c>
      <c r="B83" s="177" t="s">
        <v>7466</v>
      </c>
      <c r="C83" s="177" t="s">
        <v>7465</v>
      </c>
      <c r="D83" s="177" t="s">
        <v>7464</v>
      </c>
      <c r="E83" s="181">
        <v>8.48</v>
      </c>
      <c r="F83" s="177" t="s">
        <v>7463</v>
      </c>
      <c r="G83" s="177" t="s">
        <v>3007</v>
      </c>
      <c r="H83" s="172">
        <v>2009</v>
      </c>
    </row>
    <row r="84" spans="1:11" ht="31.5" x14ac:dyDescent="0.25">
      <c r="A84" s="177" t="s">
        <v>7438</v>
      </c>
      <c r="B84" s="177" t="s">
        <v>7462</v>
      </c>
      <c r="C84" s="177" t="s">
        <v>7461</v>
      </c>
      <c r="D84" s="177" t="s">
        <v>5439</v>
      </c>
      <c r="E84" s="181">
        <v>40.46</v>
      </c>
      <c r="F84" s="177" t="s">
        <v>5438</v>
      </c>
      <c r="G84" s="177" t="s">
        <v>3007</v>
      </c>
      <c r="H84" s="172">
        <v>2010</v>
      </c>
    </row>
    <row r="85" spans="1:11" ht="31.5" x14ac:dyDescent="0.25">
      <c r="A85" s="177" t="s">
        <v>7438</v>
      </c>
      <c r="B85" s="177" t="s">
        <v>7460</v>
      </c>
      <c r="C85" s="177" t="s">
        <v>7459</v>
      </c>
      <c r="D85" s="177" t="s">
        <v>3940</v>
      </c>
      <c r="E85" s="181">
        <v>2.79</v>
      </c>
      <c r="F85" s="177" t="s">
        <v>3939</v>
      </c>
      <c r="G85" s="177" t="s">
        <v>3007</v>
      </c>
      <c r="H85" s="172">
        <v>2011</v>
      </c>
    </row>
    <row r="86" spans="1:11" ht="31.5" x14ac:dyDescent="0.25">
      <c r="A86" s="177" t="s">
        <v>7438</v>
      </c>
      <c r="B86" s="177" t="s">
        <v>7458</v>
      </c>
      <c r="C86" s="177" t="s">
        <v>7457</v>
      </c>
      <c r="D86" s="177" t="s">
        <v>5342</v>
      </c>
      <c r="E86" s="181">
        <v>2.2000000000000002</v>
      </c>
      <c r="F86" s="177" t="s">
        <v>5341</v>
      </c>
      <c r="G86" s="177" t="s">
        <v>3007</v>
      </c>
      <c r="H86" s="172">
        <v>2012</v>
      </c>
    </row>
    <row r="87" spans="1:11" ht="31.5" x14ac:dyDescent="0.25">
      <c r="A87" s="177" t="s">
        <v>7438</v>
      </c>
      <c r="B87" s="177" t="s">
        <v>7456</v>
      </c>
      <c r="C87" s="177" t="s">
        <v>7455</v>
      </c>
      <c r="D87" s="177" t="s">
        <v>5427</v>
      </c>
      <c r="E87" s="181">
        <v>3.23</v>
      </c>
      <c r="F87" s="177" t="s">
        <v>5426</v>
      </c>
      <c r="G87" s="177" t="s">
        <v>3007</v>
      </c>
      <c r="H87" s="172">
        <v>2013</v>
      </c>
      <c r="I87" s="178"/>
      <c r="K87" s="172"/>
    </row>
    <row r="88" spans="1:11" ht="31.5" x14ac:dyDescent="0.25">
      <c r="A88" s="177" t="s">
        <v>7438</v>
      </c>
      <c r="B88" s="177" t="s">
        <v>7454</v>
      </c>
      <c r="C88" s="177" t="s">
        <v>7453</v>
      </c>
      <c r="D88" s="177" t="s">
        <v>5087</v>
      </c>
      <c r="E88" s="181">
        <v>7.68</v>
      </c>
      <c r="F88" s="177" t="s">
        <v>5086</v>
      </c>
      <c r="G88" s="177" t="s">
        <v>3007</v>
      </c>
      <c r="H88" s="172">
        <v>2014</v>
      </c>
    </row>
    <row r="89" spans="1:11" ht="31.5" x14ac:dyDescent="0.25">
      <c r="A89" s="177" t="s">
        <v>7438</v>
      </c>
      <c r="B89" s="177" t="s">
        <v>7452</v>
      </c>
      <c r="C89" s="177" t="s">
        <v>7451</v>
      </c>
      <c r="D89" s="177" t="s">
        <v>7450</v>
      </c>
      <c r="E89" s="181">
        <v>15.57</v>
      </c>
      <c r="F89" s="177" t="s">
        <v>7449</v>
      </c>
      <c r="G89" s="177" t="s">
        <v>3007</v>
      </c>
      <c r="H89" s="172">
        <v>2015</v>
      </c>
    </row>
    <row r="90" spans="1:11" ht="31.5" x14ac:dyDescent="0.25">
      <c r="A90" s="177" t="s">
        <v>7438</v>
      </c>
      <c r="B90" s="177" t="s">
        <v>7448</v>
      </c>
      <c r="C90" s="177" t="s">
        <v>7447</v>
      </c>
      <c r="D90" s="177" t="s">
        <v>4697</v>
      </c>
      <c r="E90" s="181">
        <v>1.78</v>
      </c>
      <c r="F90" s="177" t="s">
        <v>4696</v>
      </c>
      <c r="G90" s="177" t="s">
        <v>3007</v>
      </c>
      <c r="H90" s="172">
        <v>2016</v>
      </c>
    </row>
    <row r="91" spans="1:11" ht="31.5" x14ac:dyDescent="0.25">
      <c r="A91" s="177" t="s">
        <v>7438</v>
      </c>
      <c r="B91" s="177" t="s">
        <v>7446</v>
      </c>
      <c r="C91" s="177" t="s">
        <v>7445</v>
      </c>
      <c r="D91" s="177" t="s">
        <v>7444</v>
      </c>
      <c r="E91" s="181">
        <v>5.17</v>
      </c>
      <c r="F91" s="177" t="s">
        <v>7443</v>
      </c>
      <c r="G91" s="177" t="s">
        <v>3007</v>
      </c>
      <c r="H91" s="172">
        <v>2017</v>
      </c>
    </row>
    <row r="92" spans="1:11" ht="31.5" x14ac:dyDescent="0.25">
      <c r="A92" s="177" t="s">
        <v>7438</v>
      </c>
      <c r="B92" s="177" t="s">
        <v>7442</v>
      </c>
      <c r="C92" s="177" t="s">
        <v>7441</v>
      </c>
      <c r="D92" s="177" t="s">
        <v>7440</v>
      </c>
      <c r="E92" s="181">
        <v>18.72</v>
      </c>
      <c r="F92" s="177" t="s">
        <v>7439</v>
      </c>
      <c r="G92" s="177" t="s">
        <v>3007</v>
      </c>
      <c r="H92" s="172">
        <v>2018</v>
      </c>
    </row>
    <row r="93" spans="1:11" ht="31.5" x14ac:dyDescent="0.25">
      <c r="A93" s="177" t="s">
        <v>7438</v>
      </c>
      <c r="B93" s="177" t="s">
        <v>7437</v>
      </c>
      <c r="C93" s="177" t="s">
        <v>7436</v>
      </c>
      <c r="D93" s="177" t="s">
        <v>4729</v>
      </c>
      <c r="E93" s="181">
        <v>2.06</v>
      </c>
      <c r="F93" s="177" t="s">
        <v>4728</v>
      </c>
      <c r="G93" s="177" t="s">
        <v>3007</v>
      </c>
      <c r="H93" s="172">
        <v>2019</v>
      </c>
    </row>
    <row r="94" spans="1:11" ht="31.5" x14ac:dyDescent="0.25">
      <c r="A94" s="177" t="s">
        <v>7281</v>
      </c>
      <c r="B94" s="177" t="s">
        <v>7435</v>
      </c>
      <c r="C94" s="177" t="s">
        <v>7434</v>
      </c>
      <c r="D94" s="177" t="s">
        <v>7433</v>
      </c>
      <c r="E94" s="181">
        <v>3.65</v>
      </c>
      <c r="F94" s="177" t="s">
        <v>7432</v>
      </c>
      <c r="G94" s="177" t="s">
        <v>3007</v>
      </c>
      <c r="H94" s="172">
        <v>2040</v>
      </c>
    </row>
    <row r="95" spans="1:11" ht="31.5" x14ac:dyDescent="0.25">
      <c r="A95" s="177" t="s">
        <v>7281</v>
      </c>
      <c r="B95" s="177" t="s">
        <v>7431</v>
      </c>
      <c r="C95" s="177" t="s">
        <v>7430</v>
      </c>
      <c r="D95" s="177" t="s">
        <v>4136</v>
      </c>
      <c r="E95" s="181">
        <v>4.79</v>
      </c>
      <c r="F95" s="177" t="s">
        <v>4135</v>
      </c>
      <c r="G95" s="177" t="s">
        <v>3007</v>
      </c>
      <c r="H95" s="172">
        <v>2041</v>
      </c>
    </row>
    <row r="96" spans="1:11" ht="31.5" x14ac:dyDescent="0.25">
      <c r="A96" s="177" t="s">
        <v>7281</v>
      </c>
      <c r="B96" s="177" t="s">
        <v>7429</v>
      </c>
      <c r="C96" s="177" t="s">
        <v>7428</v>
      </c>
      <c r="D96" s="177" t="s">
        <v>4139</v>
      </c>
      <c r="E96" s="181">
        <v>5.38</v>
      </c>
      <c r="F96" s="177" t="s">
        <v>4135</v>
      </c>
      <c r="G96" s="177" t="s">
        <v>3007</v>
      </c>
      <c r="H96" s="172">
        <v>2042</v>
      </c>
    </row>
    <row r="97" spans="1:8" ht="31.5" x14ac:dyDescent="0.25">
      <c r="A97" s="177" t="s">
        <v>7281</v>
      </c>
      <c r="B97" s="177" t="s">
        <v>7427</v>
      </c>
      <c r="C97" s="177" t="s">
        <v>7426</v>
      </c>
      <c r="D97" s="177" t="s">
        <v>7425</v>
      </c>
      <c r="E97" s="181">
        <v>7.57</v>
      </c>
      <c r="F97" s="177" t="s">
        <v>7424</v>
      </c>
      <c r="G97" s="177" t="s">
        <v>3007</v>
      </c>
      <c r="H97" s="173">
        <v>2043</v>
      </c>
    </row>
    <row r="98" spans="1:8" ht="31.5" x14ac:dyDescent="0.25">
      <c r="A98" s="177" t="s">
        <v>7281</v>
      </c>
      <c r="B98" s="177" t="s">
        <v>7423</v>
      </c>
      <c r="C98" s="177" t="s">
        <v>7422</v>
      </c>
      <c r="D98" s="177" t="s">
        <v>7421</v>
      </c>
      <c r="E98" s="181">
        <v>4.46</v>
      </c>
      <c r="F98" s="177" t="s">
        <v>7420</v>
      </c>
      <c r="G98" s="177" t="s">
        <v>3007</v>
      </c>
      <c r="H98" s="172">
        <v>2044</v>
      </c>
    </row>
    <row r="99" spans="1:8" ht="31.5" x14ac:dyDescent="0.25">
      <c r="A99" s="177" t="s">
        <v>7281</v>
      </c>
      <c r="B99" s="177" t="s">
        <v>7419</v>
      </c>
      <c r="C99" s="177" t="s">
        <v>7418</v>
      </c>
      <c r="D99" s="177" t="s">
        <v>7417</v>
      </c>
      <c r="E99" s="181">
        <v>4.8600000000000003</v>
      </c>
      <c r="F99" s="177" t="s">
        <v>7416</v>
      </c>
      <c r="G99" s="177" t="s">
        <v>3007</v>
      </c>
      <c r="H99" s="172">
        <v>2045</v>
      </c>
    </row>
    <row r="100" spans="1:8" ht="31.5" x14ac:dyDescent="0.25">
      <c r="A100" s="177" t="s">
        <v>7281</v>
      </c>
      <c r="B100" s="177" t="s">
        <v>7415</v>
      </c>
      <c r="C100" s="177" t="s">
        <v>7414</v>
      </c>
      <c r="D100" s="177" t="s">
        <v>5578</v>
      </c>
      <c r="E100" s="181">
        <v>4.9400000000000004</v>
      </c>
      <c r="F100" s="177" t="s">
        <v>5577</v>
      </c>
      <c r="G100" s="177" t="s">
        <v>3007</v>
      </c>
      <c r="H100" s="172">
        <v>2046</v>
      </c>
    </row>
    <row r="101" spans="1:8" ht="31.5" x14ac:dyDescent="0.25">
      <c r="A101" s="177" t="s">
        <v>7281</v>
      </c>
      <c r="B101" s="177" t="s">
        <v>7413</v>
      </c>
      <c r="C101" s="177" t="s">
        <v>7412</v>
      </c>
      <c r="D101" s="177" t="s">
        <v>5072</v>
      </c>
      <c r="E101" s="181">
        <v>2.16</v>
      </c>
      <c r="F101" s="177" t="s">
        <v>5071</v>
      </c>
      <c r="G101" s="177" t="s">
        <v>3007</v>
      </c>
      <c r="H101" s="172">
        <v>2047</v>
      </c>
    </row>
    <row r="102" spans="1:8" ht="31.5" x14ac:dyDescent="0.25">
      <c r="A102" s="177" t="s">
        <v>7281</v>
      </c>
      <c r="B102" s="177" t="s">
        <v>7411</v>
      </c>
      <c r="C102" s="177" t="s">
        <v>7410</v>
      </c>
      <c r="D102" s="177" t="s">
        <v>5335</v>
      </c>
      <c r="E102" s="181">
        <v>3.18</v>
      </c>
      <c r="F102" s="177" t="s">
        <v>5334</v>
      </c>
      <c r="G102" s="177" t="s">
        <v>3007</v>
      </c>
      <c r="H102" s="172">
        <v>2048</v>
      </c>
    </row>
    <row r="103" spans="1:8" ht="31.5" x14ac:dyDescent="0.25">
      <c r="A103" s="177" t="s">
        <v>7281</v>
      </c>
      <c r="B103" s="177" t="s">
        <v>7409</v>
      </c>
      <c r="C103" s="177" t="s">
        <v>7408</v>
      </c>
      <c r="D103" s="177" t="s">
        <v>7407</v>
      </c>
      <c r="E103" s="181">
        <v>3.42</v>
      </c>
      <c r="F103" s="177" t="s">
        <v>7406</v>
      </c>
      <c r="G103" s="177" t="s">
        <v>3007</v>
      </c>
      <c r="H103" s="172">
        <v>2049</v>
      </c>
    </row>
    <row r="104" spans="1:8" ht="31.5" x14ac:dyDescent="0.25">
      <c r="A104" s="177" t="s">
        <v>7281</v>
      </c>
      <c r="B104" s="177" t="s">
        <v>7405</v>
      </c>
      <c r="C104" s="177" t="s">
        <v>7404</v>
      </c>
      <c r="D104" s="177" t="s">
        <v>4508</v>
      </c>
      <c r="E104" s="181">
        <v>4.1100000000000003</v>
      </c>
      <c r="F104" s="177" t="s">
        <v>4507</v>
      </c>
      <c r="G104" s="177" t="s">
        <v>3007</v>
      </c>
      <c r="H104" s="172">
        <v>2050</v>
      </c>
    </row>
    <row r="105" spans="1:8" ht="31.5" x14ac:dyDescent="0.25">
      <c r="A105" s="177" t="s">
        <v>7281</v>
      </c>
      <c r="B105" s="177" t="s">
        <v>7403</v>
      </c>
      <c r="C105" s="177" t="s">
        <v>7402</v>
      </c>
      <c r="D105" s="177" t="s">
        <v>5642</v>
      </c>
      <c r="E105" s="181">
        <v>6.46</v>
      </c>
      <c r="F105" s="177" t="s">
        <v>5641</v>
      </c>
      <c r="G105" s="177" t="s">
        <v>3007</v>
      </c>
      <c r="H105" s="172">
        <v>2051</v>
      </c>
    </row>
    <row r="106" spans="1:8" ht="31.5" x14ac:dyDescent="0.25">
      <c r="A106" s="177" t="s">
        <v>7281</v>
      </c>
      <c r="B106" s="177" t="s">
        <v>7401</v>
      </c>
      <c r="C106" s="177" t="s">
        <v>7400</v>
      </c>
      <c r="D106" s="177" t="s">
        <v>7399</v>
      </c>
      <c r="E106" s="181">
        <v>39.090000000000003</v>
      </c>
      <c r="F106" s="177" t="s">
        <v>7398</v>
      </c>
      <c r="G106" s="177" t="s">
        <v>3007</v>
      </c>
      <c r="H106" s="172">
        <v>2052</v>
      </c>
    </row>
    <row r="107" spans="1:8" ht="31.5" x14ac:dyDescent="0.25">
      <c r="A107" s="177" t="s">
        <v>7281</v>
      </c>
      <c r="B107" s="177" t="s">
        <v>7397</v>
      </c>
      <c r="C107" s="177" t="s">
        <v>7396</v>
      </c>
      <c r="D107" s="177" t="s">
        <v>4693</v>
      </c>
      <c r="E107" s="181">
        <v>5.64</v>
      </c>
      <c r="F107" s="177" t="s">
        <v>4692</v>
      </c>
      <c r="G107" s="177" t="s">
        <v>3007</v>
      </c>
      <c r="H107" s="172">
        <v>2053</v>
      </c>
    </row>
    <row r="108" spans="1:8" ht="31.5" x14ac:dyDescent="0.25">
      <c r="A108" s="177" t="s">
        <v>7281</v>
      </c>
      <c r="B108" s="177" t="s">
        <v>7395</v>
      </c>
      <c r="C108" s="177" t="s">
        <v>7394</v>
      </c>
      <c r="D108" s="177" t="s">
        <v>7393</v>
      </c>
      <c r="E108" s="181">
        <v>5.79</v>
      </c>
      <c r="F108" s="177" t="s">
        <v>7392</v>
      </c>
      <c r="G108" s="177" t="s">
        <v>3007</v>
      </c>
      <c r="H108" s="172">
        <v>2054</v>
      </c>
    </row>
    <row r="109" spans="1:8" ht="31.5" x14ac:dyDescent="0.25">
      <c r="A109" s="177" t="s">
        <v>7281</v>
      </c>
      <c r="B109" s="177" t="s">
        <v>7391</v>
      </c>
      <c r="C109" s="177" t="s">
        <v>7390</v>
      </c>
      <c r="D109" s="177" t="s">
        <v>7389</v>
      </c>
      <c r="E109" s="181">
        <v>22.69</v>
      </c>
      <c r="F109" s="177" t="s">
        <v>7388</v>
      </c>
      <c r="G109" s="177" t="s">
        <v>3007</v>
      </c>
      <c r="H109" s="172">
        <v>2055</v>
      </c>
    </row>
    <row r="110" spans="1:8" ht="31.5" x14ac:dyDescent="0.25">
      <c r="A110" s="177" t="s">
        <v>7281</v>
      </c>
      <c r="B110" s="177" t="s">
        <v>7387</v>
      </c>
      <c r="C110" s="177" t="s">
        <v>7386</v>
      </c>
      <c r="D110" s="177" t="s">
        <v>5210</v>
      </c>
      <c r="E110" s="181">
        <v>10.1</v>
      </c>
      <c r="F110" s="177" t="s">
        <v>5209</v>
      </c>
      <c r="G110" s="177" t="s">
        <v>3007</v>
      </c>
      <c r="H110" s="172">
        <v>2056</v>
      </c>
    </row>
    <row r="111" spans="1:8" ht="31.5" x14ac:dyDescent="0.25">
      <c r="A111" s="177" t="s">
        <v>7281</v>
      </c>
      <c r="B111" s="177" t="s">
        <v>7385</v>
      </c>
      <c r="C111" s="177" t="s">
        <v>7384</v>
      </c>
      <c r="D111" s="177" t="s">
        <v>6306</v>
      </c>
      <c r="E111" s="181">
        <v>32.479999999999997</v>
      </c>
      <c r="F111" s="177" t="s">
        <v>6305</v>
      </c>
      <c r="G111" s="177" t="s">
        <v>3007</v>
      </c>
      <c r="H111" s="172">
        <v>2057</v>
      </c>
    </row>
    <row r="112" spans="1:8" ht="31.5" x14ac:dyDescent="0.25">
      <c r="A112" s="177" t="s">
        <v>7281</v>
      </c>
      <c r="B112" s="177" t="s">
        <v>7383</v>
      </c>
      <c r="C112" s="177" t="s">
        <v>7382</v>
      </c>
      <c r="D112" s="177" t="s">
        <v>7381</v>
      </c>
      <c r="E112" s="181">
        <v>5.6</v>
      </c>
      <c r="F112" s="177" t="s">
        <v>7380</v>
      </c>
      <c r="G112" s="177" t="s">
        <v>3007</v>
      </c>
      <c r="H112" s="172">
        <v>2058</v>
      </c>
    </row>
    <row r="113" spans="1:8" ht="31.5" x14ac:dyDescent="0.25">
      <c r="A113" s="177" t="s">
        <v>7281</v>
      </c>
      <c r="B113" s="177" t="s">
        <v>7379</v>
      </c>
      <c r="C113" s="177" t="s">
        <v>7378</v>
      </c>
      <c r="D113" s="177" t="s">
        <v>7377</v>
      </c>
      <c r="E113" s="181">
        <v>12.76</v>
      </c>
      <c r="F113" s="177" t="s">
        <v>7376</v>
      </c>
      <c r="G113" s="177" t="s">
        <v>3007</v>
      </c>
      <c r="H113" s="172">
        <v>2059</v>
      </c>
    </row>
    <row r="114" spans="1:8" ht="31.5" x14ac:dyDescent="0.25">
      <c r="A114" s="177" t="s">
        <v>7281</v>
      </c>
      <c r="B114" s="177" t="s">
        <v>7375</v>
      </c>
      <c r="C114" s="177" t="s">
        <v>7374</v>
      </c>
      <c r="D114" s="177" t="s">
        <v>7373</v>
      </c>
      <c r="E114" s="181">
        <v>20.04</v>
      </c>
      <c r="F114" s="177" t="s">
        <v>7372</v>
      </c>
      <c r="G114" s="177" t="s">
        <v>3007</v>
      </c>
      <c r="H114" s="172">
        <v>2060</v>
      </c>
    </row>
    <row r="115" spans="1:8" ht="31.5" x14ac:dyDescent="0.25">
      <c r="A115" s="177" t="s">
        <v>7281</v>
      </c>
      <c r="B115" s="177" t="s">
        <v>7371</v>
      </c>
      <c r="C115" s="177" t="s">
        <v>7370</v>
      </c>
      <c r="D115" s="177" t="s">
        <v>7369</v>
      </c>
      <c r="E115" s="181">
        <v>15.38</v>
      </c>
      <c r="F115" s="177" t="s">
        <v>7368</v>
      </c>
      <c r="G115" s="177" t="s">
        <v>3007</v>
      </c>
      <c r="H115" s="172">
        <v>2061</v>
      </c>
    </row>
    <row r="116" spans="1:8" ht="31.5" x14ac:dyDescent="0.25">
      <c r="A116" s="177" t="s">
        <v>7281</v>
      </c>
      <c r="B116" s="177" t="s">
        <v>7367</v>
      </c>
      <c r="C116" s="177" t="s">
        <v>7366</v>
      </c>
      <c r="D116" s="177" t="s">
        <v>7365</v>
      </c>
      <c r="E116" s="181">
        <v>5.04</v>
      </c>
      <c r="F116" s="177" t="s">
        <v>7364</v>
      </c>
      <c r="G116" s="177" t="s">
        <v>3007</v>
      </c>
      <c r="H116" s="172">
        <v>2062</v>
      </c>
    </row>
    <row r="117" spans="1:8" ht="31.5" x14ac:dyDescent="0.25">
      <c r="A117" s="177" t="s">
        <v>7281</v>
      </c>
      <c r="B117" s="177" t="s">
        <v>7363</v>
      </c>
      <c r="C117" s="177" t="s">
        <v>7362</v>
      </c>
      <c r="D117" s="177" t="s">
        <v>7361</v>
      </c>
      <c r="E117" s="181">
        <v>25.14</v>
      </c>
      <c r="F117" s="177" t="s">
        <v>7360</v>
      </c>
      <c r="G117" s="177" t="s">
        <v>3007</v>
      </c>
      <c r="H117" s="172">
        <v>2063</v>
      </c>
    </row>
    <row r="118" spans="1:8" ht="31.5" x14ac:dyDescent="0.25">
      <c r="A118" s="177" t="s">
        <v>7281</v>
      </c>
      <c r="B118" s="177" t="s">
        <v>7359</v>
      </c>
      <c r="C118" s="177" t="s">
        <v>7358</v>
      </c>
      <c r="D118" s="177" t="s">
        <v>5106</v>
      </c>
      <c r="E118" s="181">
        <v>7.65</v>
      </c>
      <c r="F118" s="177" t="s">
        <v>5105</v>
      </c>
      <c r="G118" s="177" t="s">
        <v>3007</v>
      </c>
      <c r="H118" s="172">
        <v>2064</v>
      </c>
    </row>
    <row r="119" spans="1:8" ht="31.5" x14ac:dyDescent="0.25">
      <c r="A119" s="177" t="s">
        <v>7281</v>
      </c>
      <c r="B119" s="177" t="s">
        <v>7357</v>
      </c>
      <c r="C119" s="177" t="s">
        <v>7356</v>
      </c>
      <c r="D119" s="177" t="s">
        <v>7355</v>
      </c>
      <c r="E119" s="181">
        <v>2.42</v>
      </c>
      <c r="F119" s="177" t="s">
        <v>7354</v>
      </c>
      <c r="G119" s="177" t="s">
        <v>3007</v>
      </c>
      <c r="H119" s="172">
        <v>2065</v>
      </c>
    </row>
    <row r="120" spans="1:8" ht="31.5" x14ac:dyDescent="0.25">
      <c r="A120" s="177" t="s">
        <v>7281</v>
      </c>
      <c r="B120" s="177" t="s">
        <v>7353</v>
      </c>
      <c r="C120" s="177" t="s">
        <v>7352</v>
      </c>
      <c r="D120" s="177" t="s">
        <v>5486</v>
      </c>
      <c r="E120" s="181">
        <v>4.42</v>
      </c>
      <c r="F120" s="177" t="s">
        <v>5485</v>
      </c>
      <c r="G120" s="177" t="s">
        <v>3007</v>
      </c>
      <c r="H120" s="172">
        <v>2066</v>
      </c>
    </row>
    <row r="121" spans="1:8" ht="31.5" x14ac:dyDescent="0.25">
      <c r="A121" s="177" t="s">
        <v>7281</v>
      </c>
      <c r="B121" s="177" t="s">
        <v>7351</v>
      </c>
      <c r="C121" s="177" t="s">
        <v>7350</v>
      </c>
      <c r="D121" s="177" t="s">
        <v>7349</v>
      </c>
      <c r="E121" s="181">
        <v>8.3800000000000008</v>
      </c>
      <c r="F121" s="177" t="s">
        <v>7348</v>
      </c>
      <c r="G121" s="177" t="s">
        <v>3007</v>
      </c>
      <c r="H121" s="172">
        <v>2067</v>
      </c>
    </row>
    <row r="122" spans="1:8" ht="31.5" x14ac:dyDescent="0.25">
      <c r="A122" s="177" t="s">
        <v>7281</v>
      </c>
      <c r="B122" s="177" t="s">
        <v>7347</v>
      </c>
      <c r="C122" s="177" t="s">
        <v>7346</v>
      </c>
      <c r="D122" s="177" t="s">
        <v>5423</v>
      </c>
      <c r="E122" s="181">
        <v>3.62</v>
      </c>
      <c r="F122" s="177" t="s">
        <v>5422</v>
      </c>
      <c r="G122" s="177" t="s">
        <v>3007</v>
      </c>
      <c r="H122" s="172">
        <v>2068</v>
      </c>
    </row>
    <row r="123" spans="1:8" ht="31.5" x14ac:dyDescent="0.25">
      <c r="A123" s="177" t="s">
        <v>7281</v>
      </c>
      <c r="B123" s="177" t="s">
        <v>7345</v>
      </c>
      <c r="C123" s="177" t="s">
        <v>7344</v>
      </c>
      <c r="D123" s="177" t="s">
        <v>4342</v>
      </c>
      <c r="E123" s="181">
        <v>4.2300000000000004</v>
      </c>
      <c r="F123" s="177" t="s">
        <v>4341</v>
      </c>
      <c r="G123" s="177" t="s">
        <v>3007</v>
      </c>
      <c r="H123" s="172">
        <v>2069</v>
      </c>
    </row>
    <row r="124" spans="1:8" ht="31.5" x14ac:dyDescent="0.25">
      <c r="A124" s="177" t="s">
        <v>7281</v>
      </c>
      <c r="B124" s="177" t="s">
        <v>7343</v>
      </c>
      <c r="C124" s="177" t="s">
        <v>7342</v>
      </c>
      <c r="D124" s="177" t="s">
        <v>7341</v>
      </c>
      <c r="E124" s="181">
        <v>7.82</v>
      </c>
      <c r="F124" s="177" t="s">
        <v>7340</v>
      </c>
      <c r="G124" s="177" t="s">
        <v>3007</v>
      </c>
      <c r="H124" s="172">
        <v>2070</v>
      </c>
    </row>
    <row r="125" spans="1:8" ht="31.5" x14ac:dyDescent="0.25">
      <c r="A125" s="177" t="s">
        <v>7281</v>
      </c>
      <c r="B125" s="177" t="s">
        <v>7339</v>
      </c>
      <c r="C125" s="177" t="s">
        <v>7338</v>
      </c>
      <c r="D125" s="177" t="s">
        <v>7337</v>
      </c>
      <c r="E125" s="181">
        <v>30.58</v>
      </c>
      <c r="F125" s="177" t="s">
        <v>7336</v>
      </c>
      <c r="G125" s="177" t="s">
        <v>3007</v>
      </c>
      <c r="H125" s="172">
        <v>2071</v>
      </c>
    </row>
    <row r="126" spans="1:8" ht="31.5" x14ac:dyDescent="0.25">
      <c r="A126" s="177" t="s">
        <v>7281</v>
      </c>
      <c r="B126" s="177" t="s">
        <v>7335</v>
      </c>
      <c r="C126" s="177" t="s">
        <v>7334</v>
      </c>
      <c r="D126" s="177" t="s">
        <v>7333</v>
      </c>
      <c r="E126" s="181">
        <v>10.28</v>
      </c>
      <c r="F126" s="177" t="s">
        <v>7332</v>
      </c>
      <c r="G126" s="177" t="s">
        <v>3007</v>
      </c>
      <c r="H126" s="172">
        <v>2072</v>
      </c>
    </row>
    <row r="127" spans="1:8" ht="31.5" x14ac:dyDescent="0.25">
      <c r="A127" s="177" t="s">
        <v>7281</v>
      </c>
      <c r="B127" s="177" t="s">
        <v>7331</v>
      </c>
      <c r="C127" s="177" t="s">
        <v>7330</v>
      </c>
      <c r="D127" s="177" t="s">
        <v>7329</v>
      </c>
      <c r="E127" s="181">
        <v>0.56999999999999995</v>
      </c>
      <c r="F127" s="177" t="s">
        <v>7325</v>
      </c>
      <c r="G127" s="177" t="s">
        <v>3007</v>
      </c>
      <c r="H127" s="172">
        <v>2073</v>
      </c>
    </row>
    <row r="128" spans="1:8" ht="31.5" x14ac:dyDescent="0.25">
      <c r="A128" s="177" t="s">
        <v>7281</v>
      </c>
      <c r="B128" s="177" t="s">
        <v>7328</v>
      </c>
      <c r="C128" s="177" t="s">
        <v>7327</v>
      </c>
      <c r="D128" s="177" t="s">
        <v>7326</v>
      </c>
      <c r="E128" s="181">
        <v>5.45</v>
      </c>
      <c r="F128" s="177" t="s">
        <v>7325</v>
      </c>
      <c r="G128" s="177" t="s">
        <v>3007</v>
      </c>
      <c r="H128" s="172">
        <v>2074</v>
      </c>
    </row>
    <row r="129" spans="1:8" ht="31.5" x14ac:dyDescent="0.25">
      <c r="A129" s="177" t="s">
        <v>7281</v>
      </c>
      <c r="B129" s="177" t="s">
        <v>7324</v>
      </c>
      <c r="C129" s="177" t="s">
        <v>7323</v>
      </c>
      <c r="D129" s="177" t="s">
        <v>7322</v>
      </c>
      <c r="E129" s="181">
        <v>3.95</v>
      </c>
      <c r="F129" s="177" t="s">
        <v>7321</v>
      </c>
      <c r="G129" s="177" t="s">
        <v>3007</v>
      </c>
      <c r="H129" s="172">
        <v>2075</v>
      </c>
    </row>
    <row r="130" spans="1:8" ht="31.5" x14ac:dyDescent="0.25">
      <c r="A130" s="177" t="s">
        <v>7281</v>
      </c>
      <c r="B130" s="177" t="s">
        <v>7320</v>
      </c>
      <c r="C130" s="177" t="s">
        <v>7319</v>
      </c>
      <c r="D130" s="177" t="s">
        <v>5190</v>
      </c>
      <c r="E130" s="181">
        <v>3.4</v>
      </c>
      <c r="F130" s="177" t="s">
        <v>5189</v>
      </c>
      <c r="G130" s="177" t="s">
        <v>3007</v>
      </c>
      <c r="H130" s="172">
        <v>2076</v>
      </c>
    </row>
    <row r="131" spans="1:8" ht="31.5" x14ac:dyDescent="0.25">
      <c r="A131" s="177" t="s">
        <v>7281</v>
      </c>
      <c r="B131" s="177" t="s">
        <v>7318</v>
      </c>
      <c r="C131" s="177" t="s">
        <v>7317</v>
      </c>
      <c r="D131" s="177" t="s">
        <v>7316</v>
      </c>
      <c r="E131" s="181">
        <v>3.91</v>
      </c>
      <c r="F131" s="177" t="s">
        <v>7315</v>
      </c>
      <c r="G131" s="177" t="s">
        <v>3007</v>
      </c>
      <c r="H131" s="172">
        <v>2078</v>
      </c>
    </row>
    <row r="132" spans="1:8" ht="31.5" x14ac:dyDescent="0.25">
      <c r="A132" s="177" t="s">
        <v>7281</v>
      </c>
      <c r="B132" s="177" t="s">
        <v>7314</v>
      </c>
      <c r="C132" s="177" t="s">
        <v>7313</v>
      </c>
      <c r="D132" s="177" t="s">
        <v>5405</v>
      </c>
      <c r="E132" s="181">
        <v>0.91</v>
      </c>
      <c r="F132" s="177" t="s">
        <v>5404</v>
      </c>
      <c r="G132" s="177" t="s">
        <v>3007</v>
      </c>
      <c r="H132" s="172">
        <v>2079</v>
      </c>
    </row>
    <row r="133" spans="1:8" ht="31.5" x14ac:dyDescent="0.25">
      <c r="A133" s="177" t="s">
        <v>7281</v>
      </c>
      <c r="B133" s="177" t="s">
        <v>7312</v>
      </c>
      <c r="C133" s="177" t="s">
        <v>7311</v>
      </c>
      <c r="D133" s="177" t="s">
        <v>7310</v>
      </c>
      <c r="E133" s="181">
        <v>6.1</v>
      </c>
      <c r="F133" s="177" t="s">
        <v>7309</v>
      </c>
      <c r="G133" s="177" t="s">
        <v>3007</v>
      </c>
      <c r="H133" s="172">
        <v>2080</v>
      </c>
    </row>
    <row r="134" spans="1:8" ht="31.5" x14ac:dyDescent="0.25">
      <c r="A134" s="177" t="s">
        <v>7281</v>
      </c>
      <c r="B134" s="177" t="s">
        <v>7308</v>
      </c>
      <c r="C134" s="177" t="s">
        <v>7307</v>
      </c>
      <c r="D134" s="177" t="s">
        <v>7306</v>
      </c>
      <c r="E134" s="181">
        <v>11.25</v>
      </c>
      <c r="F134" s="177" t="s">
        <v>7305</v>
      </c>
      <c r="G134" s="177" t="s">
        <v>3007</v>
      </c>
      <c r="H134" s="172">
        <v>2081</v>
      </c>
    </row>
    <row r="135" spans="1:8" ht="31.5" x14ac:dyDescent="0.25">
      <c r="A135" s="177" t="s">
        <v>7281</v>
      </c>
      <c r="B135" s="177" t="s">
        <v>7304</v>
      </c>
      <c r="C135" s="177" t="s">
        <v>7303</v>
      </c>
      <c r="D135" s="177" t="s">
        <v>5083</v>
      </c>
      <c r="E135" s="181">
        <v>33.79</v>
      </c>
      <c r="F135" s="177" t="s">
        <v>5079</v>
      </c>
      <c r="G135" s="177" t="s">
        <v>3007</v>
      </c>
      <c r="H135" s="172">
        <v>2082</v>
      </c>
    </row>
    <row r="136" spans="1:8" ht="31.5" x14ac:dyDescent="0.25">
      <c r="A136" s="177" t="s">
        <v>7281</v>
      </c>
      <c r="B136" s="177" t="s">
        <v>7302</v>
      </c>
      <c r="C136" s="177" t="s">
        <v>7301</v>
      </c>
      <c r="D136" s="177" t="s">
        <v>5080</v>
      </c>
      <c r="E136" s="181">
        <v>14.93</v>
      </c>
      <c r="F136" s="177" t="s">
        <v>5079</v>
      </c>
      <c r="G136" s="177" t="s">
        <v>3007</v>
      </c>
      <c r="H136" s="172">
        <v>2083</v>
      </c>
    </row>
    <row r="137" spans="1:8" ht="31.5" x14ac:dyDescent="0.25">
      <c r="A137" s="177" t="s">
        <v>7281</v>
      </c>
      <c r="B137" s="177" t="s">
        <v>7300</v>
      </c>
      <c r="C137" s="177" t="s">
        <v>7299</v>
      </c>
      <c r="D137" s="177" t="s">
        <v>7298</v>
      </c>
      <c r="E137" s="181">
        <v>7.31</v>
      </c>
      <c r="F137" s="177" t="s">
        <v>7297</v>
      </c>
      <c r="G137" s="177" t="s">
        <v>3007</v>
      </c>
      <c r="H137" s="172">
        <v>2084</v>
      </c>
    </row>
    <row r="138" spans="1:8" ht="31.5" x14ac:dyDescent="0.25">
      <c r="A138" s="177" t="s">
        <v>7281</v>
      </c>
      <c r="B138" s="177" t="s">
        <v>7296</v>
      </c>
      <c r="C138" s="177" t="s">
        <v>7295</v>
      </c>
      <c r="D138" s="177" t="s">
        <v>7294</v>
      </c>
      <c r="E138" s="181">
        <v>17.75</v>
      </c>
      <c r="F138" s="177" t="s">
        <v>7293</v>
      </c>
      <c r="G138" s="177" t="s">
        <v>3007</v>
      </c>
      <c r="H138" s="172">
        <v>2088</v>
      </c>
    </row>
    <row r="139" spans="1:8" ht="31.5" x14ac:dyDescent="0.25">
      <c r="A139" s="177" t="s">
        <v>7281</v>
      </c>
      <c r="B139" s="177" t="s">
        <v>7292</v>
      </c>
      <c r="C139" s="177" t="s">
        <v>7291</v>
      </c>
      <c r="D139" s="177" t="s">
        <v>5285</v>
      </c>
      <c r="E139" s="181">
        <v>12.34</v>
      </c>
      <c r="F139" s="177" t="s">
        <v>5284</v>
      </c>
      <c r="G139" s="177" t="s">
        <v>3007</v>
      </c>
      <c r="H139" s="172">
        <v>2093</v>
      </c>
    </row>
    <row r="140" spans="1:8" ht="31.5" x14ac:dyDescent="0.25">
      <c r="A140" s="177" t="s">
        <v>7281</v>
      </c>
      <c r="B140" s="177" t="s">
        <v>3670</v>
      </c>
      <c r="C140" s="177" t="s">
        <v>7290</v>
      </c>
      <c r="D140" s="177" t="s">
        <v>7289</v>
      </c>
      <c r="E140" s="181">
        <v>3.8</v>
      </c>
      <c r="F140" s="177" t="s">
        <v>7288</v>
      </c>
      <c r="G140" s="177" t="s">
        <v>3007</v>
      </c>
      <c r="H140" s="172">
        <v>2095</v>
      </c>
    </row>
    <row r="141" spans="1:8" ht="31.5" x14ac:dyDescent="0.25">
      <c r="A141" s="177" t="s">
        <v>7281</v>
      </c>
      <c r="B141" s="177" t="s">
        <v>7287</v>
      </c>
      <c r="C141" s="177" t="s">
        <v>7286</v>
      </c>
      <c r="D141" s="177" t="s">
        <v>5470</v>
      </c>
      <c r="E141" s="181">
        <v>7.81</v>
      </c>
      <c r="F141" s="177" t="s">
        <v>5469</v>
      </c>
      <c r="G141" s="177" t="s">
        <v>3007</v>
      </c>
      <c r="H141" s="172">
        <v>2096</v>
      </c>
    </row>
    <row r="142" spans="1:8" ht="31.5" x14ac:dyDescent="0.25">
      <c r="A142" s="177" t="s">
        <v>7281</v>
      </c>
      <c r="B142" s="177" t="s">
        <v>7285</v>
      </c>
      <c r="C142" s="177" t="s">
        <v>7284</v>
      </c>
      <c r="D142" s="177" t="s">
        <v>7283</v>
      </c>
      <c r="E142" s="181">
        <v>16.760000000000002</v>
      </c>
      <c r="F142" s="177" t="s">
        <v>7282</v>
      </c>
      <c r="G142" s="177" t="s">
        <v>3007</v>
      </c>
      <c r="H142" s="172">
        <v>2097</v>
      </c>
    </row>
    <row r="143" spans="1:8" ht="31.5" x14ac:dyDescent="0.25">
      <c r="A143" s="177" t="s">
        <v>7281</v>
      </c>
      <c r="B143" s="177" t="s">
        <v>7280</v>
      </c>
      <c r="C143" s="177" t="s">
        <v>7279</v>
      </c>
      <c r="D143" s="177" t="s">
        <v>7278</v>
      </c>
      <c r="E143" s="181">
        <v>6.01</v>
      </c>
      <c r="F143" s="177" t="s">
        <v>7277</v>
      </c>
      <c r="G143" s="177" t="s">
        <v>3007</v>
      </c>
      <c r="H143" s="172">
        <v>2099</v>
      </c>
    </row>
    <row r="144" spans="1:8" ht="31.5" x14ac:dyDescent="0.25">
      <c r="A144" s="177" t="s">
        <v>7210</v>
      </c>
      <c r="B144" s="177" t="s">
        <v>7276</v>
      </c>
      <c r="C144" s="177" t="s">
        <v>7275</v>
      </c>
      <c r="D144" s="177" t="s">
        <v>4701</v>
      </c>
      <c r="E144" s="181">
        <v>21.03</v>
      </c>
      <c r="F144" s="177" t="s">
        <v>4700</v>
      </c>
      <c r="G144" s="177" t="s">
        <v>3007</v>
      </c>
      <c r="H144" s="172">
        <v>2345</v>
      </c>
    </row>
    <row r="145" spans="1:8" ht="31.5" x14ac:dyDescent="0.25">
      <c r="A145" s="177" t="s">
        <v>7210</v>
      </c>
      <c r="B145" s="177" t="s">
        <v>7274</v>
      </c>
      <c r="C145" s="177" t="s">
        <v>7273</v>
      </c>
      <c r="D145" s="177" t="s">
        <v>4893</v>
      </c>
      <c r="E145" s="181">
        <v>12.84</v>
      </c>
      <c r="F145" s="177" t="s">
        <v>4892</v>
      </c>
      <c r="G145" s="177" t="s">
        <v>3007</v>
      </c>
      <c r="H145" s="172">
        <v>2346</v>
      </c>
    </row>
    <row r="146" spans="1:8" ht="31.5" x14ac:dyDescent="0.25">
      <c r="A146" s="177" t="s">
        <v>7210</v>
      </c>
      <c r="B146" s="177" t="s">
        <v>4981</v>
      </c>
      <c r="C146" s="177" t="s">
        <v>7272</v>
      </c>
      <c r="D146" s="177" t="s">
        <v>4847</v>
      </c>
      <c r="E146" s="181">
        <v>3.09</v>
      </c>
      <c r="F146" s="177" t="s">
        <v>4846</v>
      </c>
      <c r="G146" s="177" t="s">
        <v>3007</v>
      </c>
      <c r="H146" s="172">
        <v>2347</v>
      </c>
    </row>
    <row r="147" spans="1:8" ht="31.5" x14ac:dyDescent="0.25">
      <c r="A147" s="177" t="s">
        <v>7210</v>
      </c>
      <c r="B147" s="177" t="s">
        <v>7271</v>
      </c>
      <c r="C147" s="177" t="s">
        <v>7270</v>
      </c>
      <c r="D147" s="177" t="s">
        <v>6190</v>
      </c>
      <c r="E147" s="181">
        <v>5.04</v>
      </c>
      <c r="F147" s="177" t="s">
        <v>6189</v>
      </c>
      <c r="G147" s="177" t="s">
        <v>3007</v>
      </c>
      <c r="H147" s="172">
        <v>2348</v>
      </c>
    </row>
    <row r="148" spans="1:8" ht="31.5" x14ac:dyDescent="0.25">
      <c r="A148" s="177" t="s">
        <v>7210</v>
      </c>
      <c r="B148" s="177" t="s">
        <v>7269</v>
      </c>
      <c r="C148" s="177" t="s">
        <v>7268</v>
      </c>
      <c r="D148" s="177" t="s">
        <v>7267</v>
      </c>
      <c r="E148" s="181">
        <v>1.8</v>
      </c>
      <c r="F148" s="177" t="s">
        <v>7266</v>
      </c>
      <c r="G148" s="177" t="s">
        <v>3007</v>
      </c>
      <c r="H148" s="172">
        <v>2349</v>
      </c>
    </row>
    <row r="149" spans="1:8" ht="31.5" x14ac:dyDescent="0.25">
      <c r="A149" s="177" t="s">
        <v>7210</v>
      </c>
      <c r="B149" s="177" t="s">
        <v>5624</v>
      </c>
      <c r="C149" s="177" t="s">
        <v>7265</v>
      </c>
      <c r="D149" s="177" t="s">
        <v>7264</v>
      </c>
      <c r="E149" s="181">
        <v>4.5</v>
      </c>
      <c r="F149" s="177" t="s">
        <v>7263</v>
      </c>
      <c r="G149" s="177" t="s">
        <v>3007</v>
      </c>
      <c r="H149" s="172">
        <v>2350</v>
      </c>
    </row>
    <row r="150" spans="1:8" ht="31.5" x14ac:dyDescent="0.25">
      <c r="A150" s="177" t="s">
        <v>7210</v>
      </c>
      <c r="B150" s="177" t="s">
        <v>7262</v>
      </c>
      <c r="C150" s="177" t="s">
        <v>7261</v>
      </c>
      <c r="D150" s="177" t="s">
        <v>5091</v>
      </c>
      <c r="E150" s="181">
        <v>1.3</v>
      </c>
      <c r="F150" s="177" t="s">
        <v>5090</v>
      </c>
      <c r="G150" s="177" t="s">
        <v>3007</v>
      </c>
      <c r="H150" s="172">
        <v>2351</v>
      </c>
    </row>
    <row r="151" spans="1:8" ht="31.5" x14ac:dyDescent="0.25">
      <c r="A151" s="177" t="s">
        <v>7210</v>
      </c>
      <c r="B151" s="177" t="s">
        <v>7260</v>
      </c>
      <c r="C151" s="177" t="s">
        <v>7259</v>
      </c>
      <c r="D151" s="177" t="s">
        <v>7258</v>
      </c>
      <c r="E151" s="181">
        <v>17.93</v>
      </c>
      <c r="F151" s="177" t="s">
        <v>7257</v>
      </c>
      <c r="G151" s="177" t="s">
        <v>3007</v>
      </c>
      <c r="H151" s="172">
        <v>2352</v>
      </c>
    </row>
    <row r="152" spans="1:8" ht="31.5" x14ac:dyDescent="0.25">
      <c r="A152" s="177" t="s">
        <v>7210</v>
      </c>
      <c r="B152" s="177" t="s">
        <v>7256</v>
      </c>
      <c r="C152" s="177" t="s">
        <v>7255</v>
      </c>
      <c r="D152" s="177" t="s">
        <v>7254</v>
      </c>
      <c r="E152" s="181">
        <v>5.36</v>
      </c>
      <c r="F152" s="177" t="s">
        <v>7253</v>
      </c>
      <c r="G152" s="177" t="s">
        <v>3007</v>
      </c>
      <c r="H152" s="172">
        <v>2353</v>
      </c>
    </row>
    <row r="153" spans="1:8" ht="31.5" x14ac:dyDescent="0.25">
      <c r="A153" s="177" t="s">
        <v>7210</v>
      </c>
      <c r="B153" s="177" t="s">
        <v>7252</v>
      </c>
      <c r="C153" s="177" t="s">
        <v>7251</v>
      </c>
      <c r="D153" s="177" t="s">
        <v>6402</v>
      </c>
      <c r="E153" s="181">
        <v>1.0900000000000001</v>
      </c>
      <c r="F153" s="177" t="s">
        <v>6401</v>
      </c>
      <c r="G153" s="177" t="s">
        <v>3007</v>
      </c>
      <c r="H153" s="172">
        <v>2354</v>
      </c>
    </row>
    <row r="154" spans="1:8" ht="31.5" x14ac:dyDescent="0.25">
      <c r="A154" s="177" t="s">
        <v>7210</v>
      </c>
      <c r="B154" s="177" t="s">
        <v>7250</v>
      </c>
      <c r="C154" s="177" t="s">
        <v>7249</v>
      </c>
      <c r="D154" s="177" t="s">
        <v>7248</v>
      </c>
      <c r="E154" s="181">
        <v>5.35</v>
      </c>
      <c r="F154" s="177" t="s">
        <v>7247</v>
      </c>
      <c r="G154" s="177" t="s">
        <v>3007</v>
      </c>
      <c r="H154" s="172">
        <v>2355</v>
      </c>
    </row>
    <row r="155" spans="1:8" ht="31.5" x14ac:dyDescent="0.25">
      <c r="A155" s="177" t="s">
        <v>7210</v>
      </c>
      <c r="B155" s="177" t="s">
        <v>7246</v>
      </c>
      <c r="C155" s="177" t="s">
        <v>7245</v>
      </c>
      <c r="D155" s="177" t="s">
        <v>7244</v>
      </c>
      <c r="E155" s="181">
        <v>1.9</v>
      </c>
      <c r="F155" s="177" t="s">
        <v>7243</v>
      </c>
      <c r="G155" s="177" t="s">
        <v>3007</v>
      </c>
      <c r="H155" s="172">
        <v>2356</v>
      </c>
    </row>
    <row r="156" spans="1:8" ht="31.5" x14ac:dyDescent="0.25">
      <c r="A156" s="177" t="s">
        <v>7210</v>
      </c>
      <c r="B156" s="177" t="s">
        <v>7242</v>
      </c>
      <c r="C156" s="177" t="s">
        <v>7241</v>
      </c>
      <c r="D156" s="177" t="s">
        <v>7240</v>
      </c>
      <c r="E156" s="181">
        <v>4.6500000000000004</v>
      </c>
      <c r="F156" s="177" t="s">
        <v>7239</v>
      </c>
      <c r="G156" s="177" t="s">
        <v>3007</v>
      </c>
      <c r="H156" s="172">
        <v>2357</v>
      </c>
    </row>
    <row r="157" spans="1:8" ht="31.5" x14ac:dyDescent="0.25">
      <c r="A157" s="177" t="s">
        <v>7210</v>
      </c>
      <c r="B157" s="177" t="s">
        <v>7238</v>
      </c>
      <c r="C157" s="177" t="s">
        <v>7237</v>
      </c>
      <c r="D157" s="177" t="s">
        <v>5056</v>
      </c>
      <c r="E157" s="181">
        <v>1.66</v>
      </c>
      <c r="F157" s="177" t="s">
        <v>5055</v>
      </c>
      <c r="G157" s="177" t="s">
        <v>3007</v>
      </c>
      <c r="H157" s="172">
        <v>2358</v>
      </c>
    </row>
    <row r="158" spans="1:8" ht="31.5" x14ac:dyDescent="0.25">
      <c r="A158" s="177" t="s">
        <v>7210</v>
      </c>
      <c r="B158" s="177" t="s">
        <v>7236</v>
      </c>
      <c r="C158" s="177" t="s">
        <v>7235</v>
      </c>
      <c r="D158" s="177" t="s">
        <v>7234</v>
      </c>
      <c r="E158" s="181">
        <v>7.96</v>
      </c>
      <c r="F158" s="177" t="s">
        <v>7233</v>
      </c>
      <c r="G158" s="177" t="s">
        <v>3007</v>
      </c>
      <c r="H158" s="172">
        <v>2359</v>
      </c>
    </row>
    <row r="159" spans="1:8" ht="31.5" x14ac:dyDescent="0.25">
      <c r="A159" s="177" t="s">
        <v>7210</v>
      </c>
      <c r="B159" s="177" t="s">
        <v>7232</v>
      </c>
      <c r="C159" s="177" t="s">
        <v>7231</v>
      </c>
      <c r="D159" s="177" t="s">
        <v>7230</v>
      </c>
      <c r="E159" s="181">
        <v>4.9800000000000004</v>
      </c>
      <c r="F159" s="177" t="s">
        <v>7229</v>
      </c>
      <c r="G159" s="177" t="s">
        <v>3007</v>
      </c>
      <c r="H159" s="172">
        <v>2360</v>
      </c>
    </row>
    <row r="160" spans="1:8" ht="31.5" x14ac:dyDescent="0.25">
      <c r="A160" s="177" t="s">
        <v>7210</v>
      </c>
      <c r="B160" s="177" t="s">
        <v>7228</v>
      </c>
      <c r="C160" s="177" t="s">
        <v>7227</v>
      </c>
      <c r="D160" s="177" t="s">
        <v>4321</v>
      </c>
      <c r="E160" s="181">
        <v>1.68</v>
      </c>
      <c r="F160" s="177" t="s">
        <v>4320</v>
      </c>
      <c r="G160" s="177" t="s">
        <v>3007</v>
      </c>
      <c r="H160" s="172">
        <v>2361</v>
      </c>
    </row>
    <row r="161" spans="1:8" ht="31.5" x14ac:dyDescent="0.25">
      <c r="A161" s="177" t="s">
        <v>7210</v>
      </c>
      <c r="B161" s="177" t="s">
        <v>7226</v>
      </c>
      <c r="C161" s="177" t="s">
        <v>7225</v>
      </c>
      <c r="D161" s="177" t="s">
        <v>7224</v>
      </c>
      <c r="E161" s="181">
        <v>16.18</v>
      </c>
      <c r="F161" s="177" t="s">
        <v>7223</v>
      </c>
      <c r="G161" s="177" t="s">
        <v>3007</v>
      </c>
      <c r="H161" s="172">
        <v>2362</v>
      </c>
    </row>
    <row r="162" spans="1:8" ht="31.5" x14ac:dyDescent="0.25">
      <c r="A162" s="177" t="s">
        <v>7210</v>
      </c>
      <c r="B162" s="177" t="s">
        <v>7222</v>
      </c>
      <c r="C162" s="177" t="s">
        <v>7221</v>
      </c>
      <c r="D162" s="177" t="s">
        <v>5044</v>
      </c>
      <c r="E162" s="181">
        <v>13.88</v>
      </c>
      <c r="F162" s="177" t="s">
        <v>5043</v>
      </c>
      <c r="G162" s="177" t="s">
        <v>3007</v>
      </c>
      <c r="H162" s="172">
        <v>2363</v>
      </c>
    </row>
    <row r="163" spans="1:8" ht="31.5" x14ac:dyDescent="0.25">
      <c r="A163" s="177" t="s">
        <v>7210</v>
      </c>
      <c r="B163" s="177" t="s">
        <v>7220</v>
      </c>
      <c r="C163" s="177" t="s">
        <v>7219</v>
      </c>
      <c r="D163" s="177" t="s">
        <v>7218</v>
      </c>
      <c r="E163" s="181">
        <v>2.4500000000000002</v>
      </c>
      <c r="F163" s="177" t="s">
        <v>7217</v>
      </c>
      <c r="G163" s="177" t="s">
        <v>3007</v>
      </c>
      <c r="H163" s="172">
        <v>2364</v>
      </c>
    </row>
    <row r="164" spans="1:8" ht="31.5" x14ac:dyDescent="0.25">
      <c r="A164" s="177" t="s">
        <v>7210</v>
      </c>
      <c r="B164" s="177" t="s">
        <v>7216</v>
      </c>
      <c r="C164" s="177" t="s">
        <v>7215</v>
      </c>
      <c r="D164" s="177" t="s">
        <v>7214</v>
      </c>
      <c r="E164" s="181">
        <v>0.22</v>
      </c>
      <c r="F164" s="177" t="s">
        <v>7213</v>
      </c>
      <c r="G164" s="177" t="s">
        <v>3007</v>
      </c>
      <c r="H164" s="172">
        <v>2365</v>
      </c>
    </row>
    <row r="165" spans="1:8" ht="31.5" x14ac:dyDescent="0.25">
      <c r="A165" s="177" t="s">
        <v>7210</v>
      </c>
      <c r="B165" s="177" t="s">
        <v>7212</v>
      </c>
      <c r="C165" s="177" t="s">
        <v>7211</v>
      </c>
      <c r="D165" s="177" t="s">
        <v>4779</v>
      </c>
      <c r="E165" s="181">
        <v>3.2</v>
      </c>
      <c r="F165" s="177" t="s">
        <v>4778</v>
      </c>
      <c r="G165" s="177" t="s">
        <v>3007</v>
      </c>
      <c r="H165" s="172">
        <v>2366</v>
      </c>
    </row>
    <row r="166" spans="1:8" ht="31.5" x14ac:dyDescent="0.25">
      <c r="A166" s="177" t="s">
        <v>7210</v>
      </c>
      <c r="B166" s="177" t="s">
        <v>7209</v>
      </c>
      <c r="C166" s="177" t="s">
        <v>7208</v>
      </c>
      <c r="D166" s="177" t="s">
        <v>5622</v>
      </c>
      <c r="E166" s="181">
        <v>1.95</v>
      </c>
      <c r="F166" s="177" t="s">
        <v>5621</v>
      </c>
      <c r="G166" s="177" t="s">
        <v>3007</v>
      </c>
      <c r="H166" s="172">
        <v>2367</v>
      </c>
    </row>
    <row r="167" spans="1:8" s="200" customFormat="1" x14ac:dyDescent="0.25">
      <c r="A167" s="198"/>
      <c r="B167" s="198"/>
      <c r="C167" s="198" t="s">
        <v>5691</v>
      </c>
      <c r="D167" s="198" t="s">
        <v>14408</v>
      </c>
      <c r="E167" s="199">
        <f>SUM(E3:E166)</f>
        <v>1387.77</v>
      </c>
      <c r="F167" s="198"/>
      <c r="G167" s="198"/>
      <c r="H167" s="172"/>
    </row>
    <row r="168" spans="1:8" x14ac:dyDescent="0.25">
      <c r="A168" s="177"/>
      <c r="B168" s="177"/>
      <c r="C168" s="177"/>
      <c r="D168" s="177"/>
      <c r="E168" s="181"/>
      <c r="F168" s="177"/>
      <c r="G168" s="177"/>
      <c r="H168" s="172"/>
    </row>
    <row r="169" spans="1:8" ht="31.5" x14ac:dyDescent="0.25">
      <c r="A169" s="177" t="s">
        <v>7136</v>
      </c>
      <c r="B169" s="177" t="s">
        <v>7207</v>
      </c>
      <c r="C169" s="177" t="s">
        <v>7206</v>
      </c>
      <c r="D169" s="177" t="s">
        <v>7205</v>
      </c>
      <c r="E169" s="181">
        <v>4.8499999999999996</v>
      </c>
      <c r="F169" s="177" t="s">
        <v>7204</v>
      </c>
      <c r="G169" s="177" t="s">
        <v>3007</v>
      </c>
      <c r="H169" s="172">
        <v>2430</v>
      </c>
    </row>
    <row r="170" spans="1:8" ht="31.5" x14ac:dyDescent="0.25">
      <c r="A170" s="177" t="s">
        <v>7136</v>
      </c>
      <c r="B170" s="177" t="s">
        <v>7203</v>
      </c>
      <c r="C170" s="177" t="s">
        <v>7202</v>
      </c>
      <c r="D170" s="177" t="s">
        <v>7201</v>
      </c>
      <c r="E170" s="181">
        <v>9.15</v>
      </c>
      <c r="F170" s="177" t="s">
        <v>7200</v>
      </c>
      <c r="G170" s="177" t="s">
        <v>3007</v>
      </c>
      <c r="H170" s="172">
        <v>2431</v>
      </c>
    </row>
    <row r="171" spans="1:8" ht="31.5" x14ac:dyDescent="0.25">
      <c r="A171" s="177" t="s">
        <v>7136</v>
      </c>
      <c r="B171" s="177" t="s">
        <v>7199</v>
      </c>
      <c r="C171" s="177" t="s">
        <v>7198</v>
      </c>
      <c r="D171" s="177" t="s">
        <v>4979</v>
      </c>
      <c r="E171" s="181">
        <v>5.68</v>
      </c>
      <c r="F171" s="177" t="s">
        <v>4978</v>
      </c>
      <c r="G171" s="177" t="s">
        <v>3007</v>
      </c>
      <c r="H171" s="172">
        <v>2432</v>
      </c>
    </row>
    <row r="172" spans="1:8" ht="31.5" x14ac:dyDescent="0.25">
      <c r="A172" s="177" t="s">
        <v>7136</v>
      </c>
      <c r="B172" s="177" t="s">
        <v>7197</v>
      </c>
      <c r="C172" s="177" t="s">
        <v>7196</v>
      </c>
      <c r="D172" s="177" t="s">
        <v>7195</v>
      </c>
      <c r="E172" s="181">
        <v>8.82</v>
      </c>
      <c r="F172" s="177" t="s">
        <v>7194</v>
      </c>
      <c r="G172" s="177" t="s">
        <v>3007</v>
      </c>
      <c r="H172" s="172">
        <v>2433</v>
      </c>
    </row>
    <row r="173" spans="1:8" ht="31.5" x14ac:dyDescent="0.25">
      <c r="A173" s="177" t="s">
        <v>7136</v>
      </c>
      <c r="B173" s="177" t="s">
        <v>7193</v>
      </c>
      <c r="C173" s="177" t="s">
        <v>7192</v>
      </c>
      <c r="D173" s="177" t="s">
        <v>7191</v>
      </c>
      <c r="E173" s="181">
        <v>0.52</v>
      </c>
      <c r="F173" s="177" t="s">
        <v>7190</v>
      </c>
      <c r="G173" s="177" t="s">
        <v>3007</v>
      </c>
      <c r="H173" s="172">
        <v>2434</v>
      </c>
    </row>
    <row r="174" spans="1:8" ht="31.5" x14ac:dyDescent="0.25">
      <c r="A174" s="177" t="s">
        <v>7136</v>
      </c>
      <c r="B174" s="177" t="s">
        <v>7189</v>
      </c>
      <c r="C174" s="177" t="s">
        <v>7188</v>
      </c>
      <c r="D174" s="177" t="s">
        <v>5130</v>
      </c>
      <c r="E174" s="181">
        <v>2.46</v>
      </c>
      <c r="F174" s="177" t="s">
        <v>5129</v>
      </c>
      <c r="G174" s="177" t="s">
        <v>3007</v>
      </c>
      <c r="H174" s="172">
        <v>2435</v>
      </c>
    </row>
    <row r="175" spans="1:8" ht="31.5" x14ac:dyDescent="0.25">
      <c r="A175" s="177" t="s">
        <v>7136</v>
      </c>
      <c r="B175" s="177" t="s">
        <v>7187</v>
      </c>
      <c r="C175" s="177" t="s">
        <v>7186</v>
      </c>
      <c r="D175" s="177" t="s">
        <v>4574</v>
      </c>
      <c r="E175" s="181">
        <v>1.87</v>
      </c>
      <c r="F175" s="177" t="s">
        <v>4573</v>
      </c>
      <c r="G175" s="177" t="s">
        <v>3007</v>
      </c>
      <c r="H175" s="172">
        <v>2436</v>
      </c>
    </row>
    <row r="176" spans="1:8" ht="31.5" x14ac:dyDescent="0.25">
      <c r="A176" s="177" t="s">
        <v>7136</v>
      </c>
      <c r="B176" s="177" t="s">
        <v>7185</v>
      </c>
      <c r="C176" s="177" t="s">
        <v>7184</v>
      </c>
      <c r="D176" s="177" t="s">
        <v>5478</v>
      </c>
      <c r="E176" s="181">
        <v>3</v>
      </c>
      <c r="F176" s="177" t="s">
        <v>5477</v>
      </c>
      <c r="G176" s="177" t="s">
        <v>3007</v>
      </c>
      <c r="H176" s="172">
        <v>2437</v>
      </c>
    </row>
    <row r="177" spans="1:8" ht="31.5" x14ac:dyDescent="0.25">
      <c r="A177" s="177" t="s">
        <v>7136</v>
      </c>
      <c r="B177" s="177" t="s">
        <v>7183</v>
      </c>
      <c r="C177" s="177" t="s">
        <v>7182</v>
      </c>
      <c r="D177" s="177" t="s">
        <v>7181</v>
      </c>
      <c r="E177" s="181">
        <v>8.5</v>
      </c>
      <c r="F177" s="177" t="s">
        <v>7180</v>
      </c>
      <c r="G177" s="177" t="s">
        <v>3007</v>
      </c>
      <c r="H177" s="172">
        <v>2438</v>
      </c>
    </row>
    <row r="178" spans="1:8" ht="31.5" x14ac:dyDescent="0.25">
      <c r="A178" s="177" t="s">
        <v>7136</v>
      </c>
      <c r="B178" s="177" t="s">
        <v>7179</v>
      </c>
      <c r="C178" s="177" t="s">
        <v>7178</v>
      </c>
      <c r="D178" s="177" t="s">
        <v>4823</v>
      </c>
      <c r="E178" s="181">
        <v>2.31</v>
      </c>
      <c r="F178" s="177" t="s">
        <v>4822</v>
      </c>
      <c r="G178" s="177" t="s">
        <v>3007</v>
      </c>
      <c r="H178" s="172">
        <v>2439</v>
      </c>
    </row>
    <row r="179" spans="1:8" ht="31.5" x14ac:dyDescent="0.25">
      <c r="A179" s="177" t="s">
        <v>7136</v>
      </c>
      <c r="B179" s="177" t="s">
        <v>7177</v>
      </c>
      <c r="C179" s="177" t="s">
        <v>7176</v>
      </c>
      <c r="D179" s="177" t="s">
        <v>5160</v>
      </c>
      <c r="E179" s="181">
        <v>1.68</v>
      </c>
      <c r="F179" s="177" t="s">
        <v>5159</v>
      </c>
      <c r="G179" s="177" t="s">
        <v>3007</v>
      </c>
      <c r="H179" s="172">
        <v>2440</v>
      </c>
    </row>
    <row r="180" spans="1:8" ht="31.5" x14ac:dyDescent="0.25">
      <c r="A180" s="177" t="s">
        <v>7136</v>
      </c>
      <c r="B180" s="177" t="s">
        <v>7175</v>
      </c>
      <c r="C180" s="177" t="s">
        <v>7174</v>
      </c>
      <c r="D180" s="177" t="s">
        <v>7173</v>
      </c>
      <c r="E180" s="181">
        <v>4.3499999999999996</v>
      </c>
      <c r="F180" s="177" t="s">
        <v>7172</v>
      </c>
      <c r="G180" s="177" t="s">
        <v>3007</v>
      </c>
      <c r="H180" s="172">
        <v>2441</v>
      </c>
    </row>
    <row r="181" spans="1:8" ht="31.5" x14ac:dyDescent="0.25">
      <c r="A181" s="177" t="s">
        <v>7136</v>
      </c>
      <c r="B181" s="177" t="s">
        <v>7171</v>
      </c>
      <c r="C181" s="177" t="s">
        <v>7170</v>
      </c>
      <c r="D181" s="177" t="s">
        <v>7169</v>
      </c>
      <c r="E181" s="181">
        <v>2.3199999999999998</v>
      </c>
      <c r="F181" s="177" t="s">
        <v>7168</v>
      </c>
      <c r="G181" s="177" t="s">
        <v>3007</v>
      </c>
      <c r="H181" s="172">
        <v>2442</v>
      </c>
    </row>
    <row r="182" spans="1:8" ht="31.5" x14ac:dyDescent="0.25">
      <c r="A182" s="177" t="s">
        <v>7136</v>
      </c>
      <c r="B182" s="177" t="s">
        <v>3521</v>
      </c>
      <c r="C182" s="177" t="s">
        <v>7167</v>
      </c>
      <c r="D182" s="177" t="s">
        <v>7166</v>
      </c>
      <c r="E182" s="181">
        <v>6.04</v>
      </c>
      <c r="F182" s="177" t="s">
        <v>7165</v>
      </c>
      <c r="G182" s="177" t="s">
        <v>3007</v>
      </c>
      <c r="H182" s="172">
        <v>2443</v>
      </c>
    </row>
    <row r="183" spans="1:8" ht="31.5" x14ac:dyDescent="0.25">
      <c r="A183" s="177" t="s">
        <v>7136</v>
      </c>
      <c r="B183" s="177" t="s">
        <v>7164</v>
      </c>
      <c r="C183" s="177" t="s">
        <v>7163</v>
      </c>
      <c r="D183" s="177" t="s">
        <v>5122</v>
      </c>
      <c r="E183" s="181">
        <v>1.7</v>
      </c>
      <c r="F183" s="177" t="s">
        <v>5121</v>
      </c>
      <c r="G183" s="177" t="s">
        <v>3007</v>
      </c>
      <c r="H183" s="172">
        <v>2444</v>
      </c>
    </row>
    <row r="184" spans="1:8" ht="31.5" x14ac:dyDescent="0.25">
      <c r="A184" s="177" t="s">
        <v>7136</v>
      </c>
      <c r="B184" s="177" t="s">
        <v>7162</v>
      </c>
      <c r="C184" s="177" t="s">
        <v>7161</v>
      </c>
      <c r="D184" s="177" t="s">
        <v>7160</v>
      </c>
      <c r="E184" s="181">
        <v>0.96</v>
      </c>
      <c r="F184" s="177" t="s">
        <v>7159</v>
      </c>
      <c r="G184" s="177" t="s">
        <v>3007</v>
      </c>
      <c r="H184" s="172">
        <v>2445</v>
      </c>
    </row>
    <row r="185" spans="1:8" ht="31.5" x14ac:dyDescent="0.25">
      <c r="A185" s="177" t="s">
        <v>7136</v>
      </c>
      <c r="B185" s="177" t="s">
        <v>7158</v>
      </c>
      <c r="C185" s="177" t="s">
        <v>7157</v>
      </c>
      <c r="D185" s="177" t="s">
        <v>7156</v>
      </c>
      <c r="E185" s="181">
        <v>3.34</v>
      </c>
      <c r="F185" s="177" t="s">
        <v>7155</v>
      </c>
      <c r="G185" s="177" t="s">
        <v>3007</v>
      </c>
      <c r="H185" s="172">
        <v>2446</v>
      </c>
    </row>
    <row r="186" spans="1:8" ht="31.5" x14ac:dyDescent="0.25">
      <c r="A186" s="177" t="s">
        <v>7136</v>
      </c>
      <c r="B186" s="177" t="s">
        <v>7154</v>
      </c>
      <c r="C186" s="177" t="s">
        <v>7153</v>
      </c>
      <c r="D186" s="177" t="s">
        <v>7152</v>
      </c>
      <c r="E186" s="181">
        <v>3.31</v>
      </c>
      <c r="F186" s="177" t="s">
        <v>7151</v>
      </c>
      <c r="G186" s="177" t="s">
        <v>3007</v>
      </c>
      <c r="H186" s="172">
        <v>2447</v>
      </c>
    </row>
    <row r="187" spans="1:8" ht="31.5" x14ac:dyDescent="0.25">
      <c r="A187" s="177" t="s">
        <v>7136</v>
      </c>
      <c r="B187" s="177" t="s">
        <v>4328</v>
      </c>
      <c r="C187" s="177" t="s">
        <v>7150</v>
      </c>
      <c r="D187" s="177" t="s">
        <v>4425</v>
      </c>
      <c r="E187" s="181">
        <v>3.04</v>
      </c>
      <c r="F187" s="177" t="s">
        <v>4424</v>
      </c>
      <c r="G187" s="177" t="s">
        <v>3007</v>
      </c>
      <c r="H187" s="172">
        <v>2448</v>
      </c>
    </row>
    <row r="188" spans="1:8" ht="31.5" x14ac:dyDescent="0.25">
      <c r="A188" s="177" t="s">
        <v>7136</v>
      </c>
      <c r="B188" s="177" t="s">
        <v>7149</v>
      </c>
      <c r="C188" s="177" t="s">
        <v>7148</v>
      </c>
      <c r="D188" s="177" t="s">
        <v>3263</v>
      </c>
      <c r="E188" s="181">
        <v>7.09</v>
      </c>
      <c r="F188" s="177" t="s">
        <v>3262</v>
      </c>
      <c r="G188" s="177" t="s">
        <v>3007</v>
      </c>
      <c r="H188" s="172">
        <v>2449</v>
      </c>
    </row>
    <row r="189" spans="1:8" ht="31.5" x14ac:dyDescent="0.25">
      <c r="A189" s="177" t="s">
        <v>7136</v>
      </c>
      <c r="B189" s="177" t="s">
        <v>7147</v>
      </c>
      <c r="C189" s="177" t="s">
        <v>7146</v>
      </c>
      <c r="D189" s="177" t="s">
        <v>7145</v>
      </c>
      <c r="E189" s="181">
        <v>3.64</v>
      </c>
      <c r="F189" s="177" t="s">
        <v>7141</v>
      </c>
      <c r="G189" s="177" t="s">
        <v>3007</v>
      </c>
      <c r="H189" s="172">
        <v>2451</v>
      </c>
    </row>
    <row r="190" spans="1:8" ht="31.5" x14ac:dyDescent="0.25">
      <c r="A190" s="177" t="s">
        <v>7136</v>
      </c>
      <c r="B190" s="177" t="s">
        <v>7144</v>
      </c>
      <c r="C190" s="177" t="s">
        <v>7143</v>
      </c>
      <c r="D190" s="177" t="s">
        <v>7142</v>
      </c>
      <c r="E190" s="181">
        <v>5.34</v>
      </c>
      <c r="F190" s="177" t="s">
        <v>7141</v>
      </c>
      <c r="G190" s="177" t="s">
        <v>3007</v>
      </c>
      <c r="H190" s="172">
        <v>2450</v>
      </c>
    </row>
    <row r="191" spans="1:8" ht="31.5" x14ac:dyDescent="0.25">
      <c r="A191" s="177" t="s">
        <v>7136</v>
      </c>
      <c r="B191" s="177" t="s">
        <v>7140</v>
      </c>
      <c r="C191" s="177" t="s">
        <v>7139</v>
      </c>
      <c r="D191" s="177" t="s">
        <v>7138</v>
      </c>
      <c r="E191" s="181">
        <v>17.25</v>
      </c>
      <c r="F191" s="177" t="s">
        <v>7137</v>
      </c>
      <c r="G191" s="177" t="s">
        <v>3007</v>
      </c>
      <c r="H191" s="172">
        <v>2452</v>
      </c>
    </row>
    <row r="192" spans="1:8" ht="31.5" x14ac:dyDescent="0.25">
      <c r="A192" s="177" t="s">
        <v>7136</v>
      </c>
      <c r="B192" s="177" t="s">
        <v>7135</v>
      </c>
      <c r="C192" s="177" t="s">
        <v>7134</v>
      </c>
      <c r="D192" s="177" t="s">
        <v>7133</v>
      </c>
      <c r="E192" s="181">
        <v>7.28</v>
      </c>
      <c r="F192" s="177" t="s">
        <v>7132</v>
      </c>
      <c r="G192" s="177" t="s">
        <v>3007</v>
      </c>
      <c r="H192" s="172">
        <v>2453</v>
      </c>
    </row>
    <row r="193" spans="1:8" ht="31.5" x14ac:dyDescent="0.25">
      <c r="A193" s="177" t="s">
        <v>7086</v>
      </c>
      <c r="B193" s="177" t="s">
        <v>7131</v>
      </c>
      <c r="C193" s="177" t="s">
        <v>7130</v>
      </c>
      <c r="D193" s="177" t="s">
        <v>4681</v>
      </c>
      <c r="E193" s="181">
        <v>2.82</v>
      </c>
      <c r="F193" s="177" t="s">
        <v>4680</v>
      </c>
      <c r="G193" s="177" t="s">
        <v>3007</v>
      </c>
      <c r="H193" s="172">
        <v>2454</v>
      </c>
    </row>
    <row r="194" spans="1:8" ht="31.5" x14ac:dyDescent="0.25">
      <c r="A194" s="177" t="s">
        <v>7086</v>
      </c>
      <c r="B194" s="177" t="s">
        <v>7129</v>
      </c>
      <c r="C194" s="177" t="s">
        <v>7128</v>
      </c>
      <c r="D194" s="177" t="s">
        <v>7127</v>
      </c>
      <c r="E194" s="181">
        <v>7.9</v>
      </c>
      <c r="F194" s="177" t="s">
        <v>7126</v>
      </c>
      <c r="G194" s="177" t="s">
        <v>3007</v>
      </c>
      <c r="H194" s="172">
        <v>2455</v>
      </c>
    </row>
    <row r="195" spans="1:8" ht="31.5" x14ac:dyDescent="0.25">
      <c r="A195" s="177" t="s">
        <v>7086</v>
      </c>
      <c r="B195" s="177" t="s">
        <v>7125</v>
      </c>
      <c r="C195" s="177" t="s">
        <v>7124</v>
      </c>
      <c r="D195" s="177" t="s">
        <v>7123</v>
      </c>
      <c r="E195" s="181">
        <v>0.19</v>
      </c>
      <c r="F195" s="177" t="s">
        <v>7122</v>
      </c>
      <c r="G195" s="177" t="s">
        <v>3007</v>
      </c>
      <c r="H195" s="172">
        <v>2456</v>
      </c>
    </row>
    <row r="196" spans="1:8" ht="31.5" x14ac:dyDescent="0.25">
      <c r="A196" s="177" t="s">
        <v>7086</v>
      </c>
      <c r="B196" s="177" t="s">
        <v>7121</v>
      </c>
      <c r="C196" s="177" t="s">
        <v>7120</v>
      </c>
      <c r="D196" s="177" t="s">
        <v>7119</v>
      </c>
      <c r="E196" s="181">
        <v>70.38</v>
      </c>
      <c r="F196" s="177" t="s">
        <v>7118</v>
      </c>
      <c r="G196" s="177" t="s">
        <v>3007</v>
      </c>
      <c r="H196" s="172">
        <v>2457</v>
      </c>
    </row>
    <row r="197" spans="1:8" ht="31.5" x14ac:dyDescent="0.25">
      <c r="A197" s="177" t="s">
        <v>7086</v>
      </c>
      <c r="B197" s="177" t="s">
        <v>7117</v>
      </c>
      <c r="C197" s="177" t="s">
        <v>7116</v>
      </c>
      <c r="D197" s="177" t="s">
        <v>6022</v>
      </c>
      <c r="E197" s="181">
        <v>1.68</v>
      </c>
      <c r="F197" s="177" t="s">
        <v>6021</v>
      </c>
      <c r="G197" s="177" t="s">
        <v>3007</v>
      </c>
      <c r="H197" s="172">
        <v>2458</v>
      </c>
    </row>
    <row r="198" spans="1:8" ht="31.5" x14ac:dyDescent="0.25">
      <c r="A198" s="177" t="s">
        <v>7086</v>
      </c>
      <c r="B198" s="177" t="s">
        <v>7115</v>
      </c>
      <c r="C198" s="177" t="s">
        <v>7114</v>
      </c>
      <c r="D198" s="177" t="s">
        <v>7113</v>
      </c>
      <c r="E198" s="181">
        <v>1.84</v>
      </c>
      <c r="F198" s="177" t="s">
        <v>7112</v>
      </c>
      <c r="G198" s="177" t="s">
        <v>3007</v>
      </c>
      <c r="H198" s="172">
        <v>2459</v>
      </c>
    </row>
    <row r="199" spans="1:8" ht="31.5" x14ac:dyDescent="0.25">
      <c r="A199" s="177" t="s">
        <v>7086</v>
      </c>
      <c r="B199" s="177" t="s">
        <v>7111</v>
      </c>
      <c r="C199" s="177" t="s">
        <v>7110</v>
      </c>
      <c r="D199" s="177" t="s">
        <v>5147</v>
      </c>
      <c r="E199" s="181">
        <v>5.57</v>
      </c>
      <c r="F199" s="177" t="s">
        <v>5146</v>
      </c>
      <c r="G199" s="177" t="s">
        <v>3007</v>
      </c>
      <c r="H199" s="172">
        <v>2460</v>
      </c>
    </row>
    <row r="200" spans="1:8" ht="31.5" x14ac:dyDescent="0.25">
      <c r="A200" s="177" t="s">
        <v>7086</v>
      </c>
      <c r="B200" s="177" t="s">
        <v>7109</v>
      </c>
      <c r="C200" s="177" t="s">
        <v>7108</v>
      </c>
      <c r="D200" s="177" t="s">
        <v>7107</v>
      </c>
      <c r="E200" s="181">
        <v>31.67</v>
      </c>
      <c r="F200" s="177" t="s">
        <v>7106</v>
      </c>
      <c r="G200" s="177" t="s">
        <v>3007</v>
      </c>
      <c r="H200" s="172">
        <v>2461</v>
      </c>
    </row>
    <row r="201" spans="1:8" ht="31.5" x14ac:dyDescent="0.25">
      <c r="A201" s="177" t="s">
        <v>7086</v>
      </c>
      <c r="B201" s="177" t="s">
        <v>7105</v>
      </c>
      <c r="C201" s="177" t="s">
        <v>7104</v>
      </c>
      <c r="D201" s="177" t="s">
        <v>7103</v>
      </c>
      <c r="E201" s="181">
        <v>14.27</v>
      </c>
      <c r="F201" s="177" t="s">
        <v>7102</v>
      </c>
      <c r="G201" s="177" t="s">
        <v>3007</v>
      </c>
      <c r="H201" s="172">
        <v>2462</v>
      </c>
    </row>
    <row r="202" spans="1:8" ht="31.5" x14ac:dyDescent="0.25">
      <c r="A202" s="177" t="s">
        <v>7086</v>
      </c>
      <c r="B202" s="177" t="s">
        <v>7101</v>
      </c>
      <c r="C202" s="177" t="s">
        <v>7100</v>
      </c>
      <c r="D202" s="177" t="s">
        <v>7099</v>
      </c>
      <c r="E202" s="181">
        <v>7.85</v>
      </c>
      <c r="F202" s="177" t="s">
        <v>7098</v>
      </c>
      <c r="G202" s="177" t="s">
        <v>3007</v>
      </c>
      <c r="H202" s="172">
        <v>2463</v>
      </c>
    </row>
    <row r="203" spans="1:8" ht="31.5" x14ac:dyDescent="0.25">
      <c r="A203" s="177" t="s">
        <v>7086</v>
      </c>
      <c r="B203" s="177" t="s">
        <v>7097</v>
      </c>
      <c r="C203" s="177" t="s">
        <v>7096</v>
      </c>
      <c r="D203" s="177" t="s">
        <v>5222</v>
      </c>
      <c r="E203" s="181">
        <v>2.67</v>
      </c>
      <c r="F203" s="177" t="s">
        <v>5221</v>
      </c>
      <c r="G203" s="177" t="s">
        <v>3007</v>
      </c>
      <c r="H203" s="172">
        <v>2464</v>
      </c>
    </row>
    <row r="204" spans="1:8" ht="31.5" x14ac:dyDescent="0.25">
      <c r="A204" s="177" t="s">
        <v>7086</v>
      </c>
      <c r="B204" s="177" t="s">
        <v>7095</v>
      </c>
      <c r="C204" s="177" t="s">
        <v>7094</v>
      </c>
      <c r="D204" s="177" t="s">
        <v>5321</v>
      </c>
      <c r="E204" s="181">
        <v>2.72</v>
      </c>
      <c r="F204" s="177" t="s">
        <v>5320</v>
      </c>
      <c r="G204" s="177" t="s">
        <v>3007</v>
      </c>
      <c r="H204" s="172">
        <v>2465</v>
      </c>
    </row>
    <row r="205" spans="1:8" ht="31.5" x14ac:dyDescent="0.25">
      <c r="A205" s="177" t="s">
        <v>7086</v>
      </c>
      <c r="B205" s="177" t="s">
        <v>7093</v>
      </c>
      <c r="C205" s="177" t="s">
        <v>7092</v>
      </c>
      <c r="D205" s="177" t="s">
        <v>5048</v>
      </c>
      <c r="E205" s="181">
        <v>5.38</v>
      </c>
      <c r="F205" s="177" t="s">
        <v>5047</v>
      </c>
      <c r="G205" s="177" t="s">
        <v>3007</v>
      </c>
      <c r="H205" s="172">
        <v>2466</v>
      </c>
    </row>
    <row r="206" spans="1:8" ht="31.5" x14ac:dyDescent="0.25">
      <c r="A206" s="177" t="s">
        <v>7086</v>
      </c>
      <c r="B206" s="177" t="s">
        <v>7091</v>
      </c>
      <c r="C206" s="177" t="s">
        <v>7090</v>
      </c>
      <c r="D206" s="177" t="s">
        <v>4077</v>
      </c>
      <c r="E206" s="181">
        <v>1.74</v>
      </c>
      <c r="F206" s="177" t="s">
        <v>4076</v>
      </c>
      <c r="G206" s="177" t="s">
        <v>3007</v>
      </c>
      <c r="H206" s="172">
        <v>2467</v>
      </c>
    </row>
    <row r="207" spans="1:8" ht="31.5" x14ac:dyDescent="0.25">
      <c r="A207" s="177" t="s">
        <v>7086</v>
      </c>
      <c r="B207" s="177" t="s">
        <v>7089</v>
      </c>
      <c r="C207" s="177" t="s">
        <v>7088</v>
      </c>
      <c r="D207" s="177" t="s">
        <v>7087</v>
      </c>
      <c r="E207" s="181">
        <v>1.68</v>
      </c>
      <c r="F207" s="177" t="s">
        <v>4076</v>
      </c>
      <c r="G207" s="177" t="s">
        <v>3007</v>
      </c>
      <c r="H207" s="172">
        <v>2469</v>
      </c>
    </row>
    <row r="208" spans="1:8" ht="31.5" x14ac:dyDescent="0.25">
      <c r="A208" s="177" t="s">
        <v>7086</v>
      </c>
      <c r="B208" s="177" t="s">
        <v>7085</v>
      </c>
      <c r="C208" s="177" t="s">
        <v>7084</v>
      </c>
      <c r="D208" s="177" t="s">
        <v>7083</v>
      </c>
      <c r="E208" s="181">
        <v>4.9000000000000004</v>
      </c>
      <c r="F208" s="177" t="s">
        <v>7082</v>
      </c>
      <c r="G208" s="177" t="s">
        <v>3007</v>
      </c>
      <c r="H208" s="172">
        <v>2470</v>
      </c>
    </row>
    <row r="209" spans="1:8" ht="31.5" x14ac:dyDescent="0.25">
      <c r="A209" s="177" t="s">
        <v>7069</v>
      </c>
      <c r="B209" s="177" t="s">
        <v>7081</v>
      </c>
      <c r="C209" s="177" t="s">
        <v>7080</v>
      </c>
      <c r="D209" s="177" t="s">
        <v>7079</v>
      </c>
      <c r="E209" s="181">
        <v>5.04</v>
      </c>
      <c r="F209" s="177" t="s">
        <v>7078</v>
      </c>
      <c r="G209" s="177" t="s">
        <v>3007</v>
      </c>
      <c r="H209" s="172">
        <v>2471</v>
      </c>
    </row>
    <row r="210" spans="1:8" ht="31.5" x14ac:dyDescent="0.25">
      <c r="A210" s="177" t="s">
        <v>7069</v>
      </c>
      <c r="B210" s="177" t="s">
        <v>7077</v>
      </c>
      <c r="C210" s="177" t="s">
        <v>7076</v>
      </c>
      <c r="D210" s="177" t="s">
        <v>7075</v>
      </c>
      <c r="E210" s="181">
        <v>4.97</v>
      </c>
      <c r="F210" s="177" t="s">
        <v>7074</v>
      </c>
      <c r="G210" s="177" t="s">
        <v>3007</v>
      </c>
      <c r="H210" s="172">
        <v>2472</v>
      </c>
    </row>
    <row r="211" spans="1:8" ht="31.5" x14ac:dyDescent="0.25">
      <c r="A211" s="177" t="s">
        <v>7069</v>
      </c>
      <c r="B211" s="177" t="s">
        <v>7073</v>
      </c>
      <c r="C211" s="177" t="s">
        <v>7072</v>
      </c>
      <c r="D211" s="177" t="s">
        <v>4652</v>
      </c>
      <c r="E211" s="181">
        <v>3.43</v>
      </c>
      <c r="F211" s="177" t="s">
        <v>4651</v>
      </c>
      <c r="G211" s="177" t="s">
        <v>3007</v>
      </c>
      <c r="H211" s="172">
        <v>2473</v>
      </c>
    </row>
    <row r="212" spans="1:8" ht="31.5" x14ac:dyDescent="0.25">
      <c r="A212" s="177" t="s">
        <v>7069</v>
      </c>
      <c r="B212" s="177" t="s">
        <v>7071</v>
      </c>
      <c r="C212" s="177" t="s">
        <v>7070</v>
      </c>
      <c r="D212" s="177" t="s">
        <v>6296</v>
      </c>
      <c r="E212" s="181">
        <v>4.1399999999999997</v>
      </c>
      <c r="F212" s="177" t="s">
        <v>6295</v>
      </c>
      <c r="G212" s="177" t="s">
        <v>3007</v>
      </c>
      <c r="H212" s="172">
        <v>2475</v>
      </c>
    </row>
    <row r="213" spans="1:8" ht="31.5" x14ac:dyDescent="0.25">
      <c r="A213" s="177" t="s">
        <v>7069</v>
      </c>
      <c r="B213" s="177" t="s">
        <v>7068</v>
      </c>
      <c r="C213" s="177" t="s">
        <v>7067</v>
      </c>
      <c r="D213" s="177" t="s">
        <v>7066</v>
      </c>
      <c r="E213" s="181">
        <v>6.76</v>
      </c>
      <c r="F213" s="177" t="s">
        <v>7065</v>
      </c>
      <c r="G213" s="177" t="s">
        <v>3007</v>
      </c>
      <c r="H213" s="172">
        <v>2476</v>
      </c>
    </row>
    <row r="214" spans="1:8" ht="31.5" x14ac:dyDescent="0.25">
      <c r="A214" s="177" t="s">
        <v>6974</v>
      </c>
      <c r="B214" s="177" t="s">
        <v>7064</v>
      </c>
      <c r="C214" s="177" t="s">
        <v>7063</v>
      </c>
      <c r="D214" s="177" t="s">
        <v>7062</v>
      </c>
      <c r="E214" s="181">
        <v>10.55</v>
      </c>
      <c r="F214" s="177" t="s">
        <v>7061</v>
      </c>
      <c r="G214" s="177" t="s">
        <v>3007</v>
      </c>
      <c r="H214" s="172">
        <v>2477</v>
      </c>
    </row>
    <row r="215" spans="1:8" ht="31.5" x14ac:dyDescent="0.25">
      <c r="A215" s="177" t="s">
        <v>6974</v>
      </c>
      <c r="B215" s="177" t="s">
        <v>7060</v>
      </c>
      <c r="C215" s="177" t="s">
        <v>7059</v>
      </c>
      <c r="D215" s="177" t="s">
        <v>7058</v>
      </c>
      <c r="E215" s="181">
        <v>8.36</v>
      </c>
      <c r="F215" s="177" t="s">
        <v>7057</v>
      </c>
      <c r="G215" s="177" t="s">
        <v>3007</v>
      </c>
      <c r="H215" s="172">
        <v>2478</v>
      </c>
    </row>
    <row r="216" spans="1:8" ht="31.5" x14ac:dyDescent="0.25">
      <c r="A216" s="177" t="s">
        <v>6974</v>
      </c>
      <c r="B216" s="177" t="s">
        <v>7056</v>
      </c>
      <c r="C216" s="177" t="s">
        <v>7055</v>
      </c>
      <c r="D216" s="177" t="s">
        <v>7054</v>
      </c>
      <c r="E216" s="181">
        <v>3.52</v>
      </c>
      <c r="F216" s="177" t="s">
        <v>7053</v>
      </c>
      <c r="G216" s="177" t="s">
        <v>3007</v>
      </c>
      <c r="H216" s="172">
        <v>2479</v>
      </c>
    </row>
    <row r="217" spans="1:8" ht="31.5" x14ac:dyDescent="0.25">
      <c r="A217" s="177" t="s">
        <v>6974</v>
      </c>
      <c r="B217" s="177" t="s">
        <v>7052</v>
      </c>
      <c r="C217" s="177" t="s">
        <v>7051</v>
      </c>
      <c r="D217" s="177" t="s">
        <v>7050</v>
      </c>
      <c r="E217" s="181">
        <v>6.27</v>
      </c>
      <c r="F217" s="177" t="s">
        <v>7049</v>
      </c>
      <c r="G217" s="177" t="s">
        <v>3007</v>
      </c>
      <c r="H217" s="172">
        <v>2480</v>
      </c>
    </row>
    <row r="218" spans="1:8" ht="31.5" x14ac:dyDescent="0.25">
      <c r="A218" s="177" t="s">
        <v>6974</v>
      </c>
      <c r="B218" s="177" t="s">
        <v>7048</v>
      </c>
      <c r="C218" s="177" t="s">
        <v>7047</v>
      </c>
      <c r="D218" s="177" t="s">
        <v>7046</v>
      </c>
      <c r="E218" s="181">
        <v>0.8</v>
      </c>
      <c r="F218" s="177" t="s">
        <v>7045</v>
      </c>
      <c r="G218" s="177" t="s">
        <v>3007</v>
      </c>
      <c r="H218" s="172">
        <v>2481</v>
      </c>
    </row>
    <row r="219" spans="1:8" ht="31.5" x14ac:dyDescent="0.25">
      <c r="A219" s="177" t="s">
        <v>6974</v>
      </c>
      <c r="B219" s="177" t="s">
        <v>7044</v>
      </c>
      <c r="C219" s="177" t="s">
        <v>7043</v>
      </c>
      <c r="D219" s="177" t="s">
        <v>7042</v>
      </c>
      <c r="E219" s="181">
        <v>8.59</v>
      </c>
      <c r="F219" s="177" t="s">
        <v>7038</v>
      </c>
      <c r="G219" s="177" t="s">
        <v>3007</v>
      </c>
      <c r="H219" s="172">
        <v>2482</v>
      </c>
    </row>
    <row r="220" spans="1:8" ht="31.5" x14ac:dyDescent="0.25">
      <c r="A220" s="177" t="s">
        <v>6974</v>
      </c>
      <c r="B220" s="177" t="s">
        <v>7041</v>
      </c>
      <c r="C220" s="177" t="s">
        <v>7040</v>
      </c>
      <c r="D220" s="177" t="s">
        <v>7039</v>
      </c>
      <c r="E220" s="181">
        <v>2.4</v>
      </c>
      <c r="F220" s="177" t="s">
        <v>7038</v>
      </c>
      <c r="G220" s="177" t="s">
        <v>3007</v>
      </c>
      <c r="H220" s="172">
        <v>2483</v>
      </c>
    </row>
    <row r="221" spans="1:8" ht="31.5" x14ac:dyDescent="0.25">
      <c r="A221" s="177" t="s">
        <v>6974</v>
      </c>
      <c r="B221" s="177" t="s">
        <v>7037</v>
      </c>
      <c r="C221" s="177" t="s">
        <v>7036</v>
      </c>
      <c r="D221" s="177" t="s">
        <v>7035</v>
      </c>
      <c r="E221" s="181">
        <v>4.37</v>
      </c>
      <c r="F221" s="177" t="s">
        <v>7034</v>
      </c>
      <c r="G221" s="177" t="s">
        <v>3007</v>
      </c>
      <c r="H221" s="172">
        <v>2484</v>
      </c>
    </row>
    <row r="222" spans="1:8" ht="31.5" x14ac:dyDescent="0.25">
      <c r="A222" s="177" t="s">
        <v>6974</v>
      </c>
      <c r="B222" s="177" t="s">
        <v>7033</v>
      </c>
      <c r="C222" s="177" t="s">
        <v>7032</v>
      </c>
      <c r="D222" s="177" t="s">
        <v>7031</v>
      </c>
      <c r="E222" s="181">
        <v>10.02</v>
      </c>
      <c r="F222" s="177" t="s">
        <v>7030</v>
      </c>
      <c r="G222" s="177" t="s">
        <v>3007</v>
      </c>
      <c r="H222" s="172">
        <v>2485</v>
      </c>
    </row>
    <row r="223" spans="1:8" ht="31.5" x14ac:dyDescent="0.25">
      <c r="A223" s="177" t="s">
        <v>6974</v>
      </c>
      <c r="B223" s="177" t="s">
        <v>7029</v>
      </c>
      <c r="C223" s="177" t="s">
        <v>7028</v>
      </c>
      <c r="D223" s="177" t="s">
        <v>4712</v>
      </c>
      <c r="E223" s="181">
        <v>2.5499999999999998</v>
      </c>
      <c r="F223" s="177" t="s">
        <v>4711</v>
      </c>
      <c r="G223" s="177" t="s">
        <v>3007</v>
      </c>
      <c r="H223" s="172">
        <v>2486</v>
      </c>
    </row>
    <row r="224" spans="1:8" ht="31.5" x14ac:dyDescent="0.25">
      <c r="A224" s="177" t="s">
        <v>6974</v>
      </c>
      <c r="B224" s="177" t="s">
        <v>7027</v>
      </c>
      <c r="C224" s="177" t="s">
        <v>7026</v>
      </c>
      <c r="D224" s="177" t="s">
        <v>7025</v>
      </c>
      <c r="E224" s="181">
        <v>15.32</v>
      </c>
      <c r="F224" s="177" t="s">
        <v>7024</v>
      </c>
      <c r="G224" s="177" t="s">
        <v>3007</v>
      </c>
      <c r="H224" s="172">
        <v>2487</v>
      </c>
    </row>
    <row r="225" spans="1:8" ht="31.5" x14ac:dyDescent="0.25">
      <c r="A225" s="177" t="s">
        <v>6974</v>
      </c>
      <c r="B225" s="177" t="s">
        <v>7023</v>
      </c>
      <c r="C225" s="177" t="s">
        <v>7022</v>
      </c>
      <c r="D225" s="177" t="s">
        <v>5388</v>
      </c>
      <c r="E225" s="181">
        <v>2.09</v>
      </c>
      <c r="F225" s="177" t="s">
        <v>5387</v>
      </c>
      <c r="G225" s="177" t="s">
        <v>3007</v>
      </c>
      <c r="H225" s="172">
        <v>2488</v>
      </c>
    </row>
    <row r="226" spans="1:8" ht="31.5" x14ac:dyDescent="0.25">
      <c r="A226" s="177" t="s">
        <v>6974</v>
      </c>
      <c r="B226" s="177" t="s">
        <v>7021</v>
      </c>
      <c r="C226" s="177" t="s">
        <v>7020</v>
      </c>
      <c r="D226" s="177" t="s">
        <v>7019</v>
      </c>
      <c r="E226" s="181">
        <v>10.76</v>
      </c>
      <c r="F226" s="177" t="s">
        <v>7018</v>
      </c>
      <c r="G226" s="177" t="s">
        <v>3007</v>
      </c>
      <c r="H226" s="172">
        <v>2489</v>
      </c>
    </row>
    <row r="227" spans="1:8" ht="31.5" x14ac:dyDescent="0.25">
      <c r="A227" s="177" t="s">
        <v>6974</v>
      </c>
      <c r="B227" s="177" t="s">
        <v>7017</v>
      </c>
      <c r="C227" s="177" t="s">
        <v>7016</v>
      </c>
      <c r="D227" s="177" t="s">
        <v>7015</v>
      </c>
      <c r="E227" s="181">
        <v>6.2</v>
      </c>
      <c r="F227" s="177" t="s">
        <v>7014</v>
      </c>
      <c r="G227" s="177" t="s">
        <v>3007</v>
      </c>
      <c r="H227" s="172">
        <v>2490</v>
      </c>
    </row>
    <row r="228" spans="1:8" ht="31.5" x14ac:dyDescent="0.25">
      <c r="A228" s="177" t="s">
        <v>6974</v>
      </c>
      <c r="B228" s="177" t="s">
        <v>7013</v>
      </c>
      <c r="C228" s="177" t="s">
        <v>7012</v>
      </c>
      <c r="D228" s="177" t="s">
        <v>7011</v>
      </c>
      <c r="E228" s="181">
        <v>4.7300000000000004</v>
      </c>
      <c r="F228" s="177" t="s">
        <v>7010</v>
      </c>
      <c r="G228" s="177" t="s">
        <v>3007</v>
      </c>
      <c r="H228" s="172">
        <v>2491</v>
      </c>
    </row>
    <row r="229" spans="1:8" ht="31.5" x14ac:dyDescent="0.25">
      <c r="A229" s="177" t="s">
        <v>6974</v>
      </c>
      <c r="B229" s="177" t="s">
        <v>7009</v>
      </c>
      <c r="C229" s="177" t="s">
        <v>7008</v>
      </c>
      <c r="D229" s="177" t="s">
        <v>7007</v>
      </c>
      <c r="E229" s="181">
        <v>6.38</v>
      </c>
      <c r="F229" s="177" t="s">
        <v>7006</v>
      </c>
      <c r="G229" s="177" t="s">
        <v>3007</v>
      </c>
      <c r="H229" s="172">
        <v>2492</v>
      </c>
    </row>
    <row r="230" spans="1:8" ht="31.5" x14ac:dyDescent="0.25">
      <c r="A230" s="177" t="s">
        <v>6974</v>
      </c>
      <c r="B230" s="177" t="s">
        <v>7005</v>
      </c>
      <c r="C230" s="177" t="s">
        <v>7004</v>
      </c>
      <c r="D230" s="177" t="s">
        <v>7003</v>
      </c>
      <c r="E230" s="181">
        <v>14.11</v>
      </c>
      <c r="F230" s="177" t="s">
        <v>4446</v>
      </c>
      <c r="G230" s="177" t="s">
        <v>3007</v>
      </c>
      <c r="H230" s="172">
        <v>2493</v>
      </c>
    </row>
    <row r="231" spans="1:8" ht="31.5" x14ac:dyDescent="0.25">
      <c r="A231" s="177" t="s">
        <v>6974</v>
      </c>
      <c r="B231" s="177" t="s">
        <v>7002</v>
      </c>
      <c r="C231" s="177" t="s">
        <v>7001</v>
      </c>
      <c r="D231" s="177" t="s">
        <v>5570</v>
      </c>
      <c r="E231" s="181">
        <v>1.69</v>
      </c>
      <c r="F231" s="177" t="s">
        <v>5569</v>
      </c>
      <c r="G231" s="177" t="s">
        <v>3007</v>
      </c>
      <c r="H231" s="172">
        <v>2494</v>
      </c>
    </row>
    <row r="232" spans="1:8" ht="31.5" x14ac:dyDescent="0.25">
      <c r="A232" s="177" t="s">
        <v>6974</v>
      </c>
      <c r="B232" s="177" t="s">
        <v>7000</v>
      </c>
      <c r="C232" s="177" t="s">
        <v>6999</v>
      </c>
      <c r="D232" s="177" t="s">
        <v>5214</v>
      </c>
      <c r="E232" s="181">
        <v>6.94</v>
      </c>
      <c r="F232" s="177" t="s">
        <v>5213</v>
      </c>
      <c r="G232" s="177" t="s">
        <v>3007</v>
      </c>
      <c r="H232" s="172">
        <v>2495</v>
      </c>
    </row>
    <row r="233" spans="1:8" ht="31.5" x14ac:dyDescent="0.25">
      <c r="A233" s="177" t="s">
        <v>6974</v>
      </c>
      <c r="B233" s="177" t="s">
        <v>6998</v>
      </c>
      <c r="C233" s="177" t="s">
        <v>6997</v>
      </c>
      <c r="D233" s="177" t="s">
        <v>6996</v>
      </c>
      <c r="E233" s="181">
        <v>8.3699999999999992</v>
      </c>
      <c r="F233" s="177" t="s">
        <v>6995</v>
      </c>
      <c r="G233" s="177" t="s">
        <v>3007</v>
      </c>
      <c r="H233" s="172">
        <v>2496</v>
      </c>
    </row>
    <row r="234" spans="1:8" ht="31.5" x14ac:dyDescent="0.25">
      <c r="A234" s="177" t="s">
        <v>6974</v>
      </c>
      <c r="B234" s="177" t="s">
        <v>6994</v>
      </c>
      <c r="C234" s="177" t="s">
        <v>6993</v>
      </c>
      <c r="D234" s="177" t="s">
        <v>4524</v>
      </c>
      <c r="E234" s="181">
        <v>4.09</v>
      </c>
      <c r="F234" s="177" t="s">
        <v>4523</v>
      </c>
      <c r="G234" s="177" t="s">
        <v>3007</v>
      </c>
      <c r="H234" s="172">
        <v>2497</v>
      </c>
    </row>
    <row r="235" spans="1:8" ht="31.5" x14ac:dyDescent="0.25">
      <c r="A235" s="177" t="s">
        <v>6974</v>
      </c>
      <c r="B235" s="177" t="s">
        <v>6992</v>
      </c>
      <c r="C235" s="177" t="s">
        <v>6991</v>
      </c>
      <c r="D235" s="177" t="s">
        <v>5250</v>
      </c>
      <c r="E235" s="181">
        <v>8.98</v>
      </c>
      <c r="F235" s="177" t="s">
        <v>5249</v>
      </c>
      <c r="G235" s="177" t="s">
        <v>3007</v>
      </c>
      <c r="H235" s="172">
        <v>2498</v>
      </c>
    </row>
    <row r="236" spans="1:8" ht="31.5" x14ac:dyDescent="0.25">
      <c r="A236" s="177" t="s">
        <v>6974</v>
      </c>
      <c r="B236" s="177" t="s">
        <v>6990</v>
      </c>
      <c r="C236" s="177" t="s">
        <v>6989</v>
      </c>
      <c r="D236" s="177" t="s">
        <v>5317</v>
      </c>
      <c r="E236" s="181">
        <v>1.72</v>
      </c>
      <c r="F236" s="177" t="s">
        <v>5316</v>
      </c>
      <c r="G236" s="177" t="s">
        <v>3007</v>
      </c>
      <c r="H236" s="172">
        <v>2501</v>
      </c>
    </row>
    <row r="237" spans="1:8" ht="31.5" x14ac:dyDescent="0.25">
      <c r="A237" s="177" t="s">
        <v>6974</v>
      </c>
      <c r="B237" s="177" t="s">
        <v>6988</v>
      </c>
      <c r="C237" s="177" t="s">
        <v>6987</v>
      </c>
      <c r="D237" s="177" t="s">
        <v>6986</v>
      </c>
      <c r="E237" s="181">
        <v>2.8</v>
      </c>
      <c r="F237" s="177" t="s">
        <v>6985</v>
      </c>
      <c r="G237" s="177" t="s">
        <v>3007</v>
      </c>
      <c r="H237" s="172">
        <v>2502</v>
      </c>
    </row>
    <row r="238" spans="1:8" ht="31.5" x14ac:dyDescent="0.25">
      <c r="A238" s="177" t="s">
        <v>6974</v>
      </c>
      <c r="B238" s="177" t="s">
        <v>6984</v>
      </c>
      <c r="C238" s="177" t="s">
        <v>6983</v>
      </c>
      <c r="D238" s="177" t="s">
        <v>6982</v>
      </c>
      <c r="E238" s="181">
        <v>13.52</v>
      </c>
      <c r="F238" s="177" t="s">
        <v>6981</v>
      </c>
      <c r="G238" s="177" t="s">
        <v>3007</v>
      </c>
      <c r="H238" s="172">
        <v>2503</v>
      </c>
    </row>
    <row r="239" spans="1:8" ht="31.5" x14ac:dyDescent="0.25">
      <c r="A239" s="177" t="s">
        <v>6974</v>
      </c>
      <c r="B239" s="177" t="s">
        <v>6980</v>
      </c>
      <c r="C239" s="177" t="s">
        <v>6979</v>
      </c>
      <c r="D239" s="177" t="s">
        <v>5024</v>
      </c>
      <c r="E239" s="181">
        <v>8.3800000000000008</v>
      </c>
      <c r="F239" s="177" t="s">
        <v>5023</v>
      </c>
      <c r="G239" s="177" t="s">
        <v>3007</v>
      </c>
      <c r="H239" s="172">
        <v>2504</v>
      </c>
    </row>
    <row r="240" spans="1:8" ht="31.5" x14ac:dyDescent="0.25">
      <c r="A240" s="177" t="s">
        <v>6974</v>
      </c>
      <c r="B240" s="177" t="s">
        <v>6978</v>
      </c>
      <c r="C240" s="177" t="s">
        <v>6977</v>
      </c>
      <c r="D240" s="177" t="s">
        <v>6976</v>
      </c>
      <c r="E240" s="181">
        <v>5.79</v>
      </c>
      <c r="F240" s="177" t="s">
        <v>6975</v>
      </c>
      <c r="G240" s="177" t="s">
        <v>3007</v>
      </c>
      <c r="H240" s="172">
        <v>2505</v>
      </c>
    </row>
    <row r="241" spans="1:8" ht="31.5" x14ac:dyDescent="0.25">
      <c r="A241" s="177" t="s">
        <v>6974</v>
      </c>
      <c r="B241" s="177" t="s">
        <v>6973</v>
      </c>
      <c r="C241" s="177" t="s">
        <v>6972</v>
      </c>
      <c r="D241" s="177" t="s">
        <v>6971</v>
      </c>
      <c r="E241" s="181">
        <v>8.07</v>
      </c>
      <c r="F241" s="177" t="s">
        <v>6970</v>
      </c>
      <c r="G241" s="177" t="s">
        <v>3007</v>
      </c>
      <c r="H241" s="172">
        <v>2506</v>
      </c>
    </row>
    <row r="242" spans="1:8" ht="31.5" x14ac:dyDescent="0.25">
      <c r="A242" s="177" t="s">
        <v>6903</v>
      </c>
      <c r="B242" s="177" t="s">
        <v>6969</v>
      </c>
      <c r="C242" s="177" t="s">
        <v>6968</v>
      </c>
      <c r="D242" s="177" t="s">
        <v>6967</v>
      </c>
      <c r="E242" s="181">
        <v>5.01</v>
      </c>
      <c r="F242" s="177" t="s">
        <v>6966</v>
      </c>
      <c r="G242" s="177" t="s">
        <v>3007</v>
      </c>
      <c r="H242" s="172">
        <v>2547</v>
      </c>
    </row>
    <row r="243" spans="1:8" ht="31.5" x14ac:dyDescent="0.25">
      <c r="A243" s="177" t="s">
        <v>6903</v>
      </c>
      <c r="B243" s="177" t="s">
        <v>6965</v>
      </c>
      <c r="C243" s="177" t="s">
        <v>6964</v>
      </c>
      <c r="D243" s="177" t="s">
        <v>4085</v>
      </c>
      <c r="E243" s="181">
        <v>7.82</v>
      </c>
      <c r="F243" s="177" t="s">
        <v>4084</v>
      </c>
      <c r="G243" s="177" t="s">
        <v>3007</v>
      </c>
      <c r="H243" s="172">
        <v>2548</v>
      </c>
    </row>
    <row r="244" spans="1:8" ht="31.5" x14ac:dyDescent="0.25">
      <c r="A244" s="177" t="s">
        <v>6903</v>
      </c>
      <c r="B244" s="177" t="s">
        <v>6963</v>
      </c>
      <c r="C244" s="177" t="s">
        <v>6962</v>
      </c>
      <c r="D244" s="177" t="s">
        <v>6961</v>
      </c>
      <c r="E244" s="181">
        <v>5.97</v>
      </c>
      <c r="F244" s="177" t="s">
        <v>6960</v>
      </c>
      <c r="G244" s="177" t="s">
        <v>3007</v>
      </c>
      <c r="H244" s="172">
        <v>2549</v>
      </c>
    </row>
    <row r="245" spans="1:8" ht="31.5" x14ac:dyDescent="0.25">
      <c r="A245" s="177" t="s">
        <v>6903</v>
      </c>
      <c r="B245" s="177" t="s">
        <v>6959</v>
      </c>
      <c r="C245" s="177" t="s">
        <v>6958</v>
      </c>
      <c r="D245" s="177" t="s">
        <v>6957</v>
      </c>
      <c r="E245" s="181">
        <v>7.24</v>
      </c>
      <c r="F245" s="177" t="s">
        <v>6956</v>
      </c>
      <c r="G245" s="177" t="s">
        <v>3007</v>
      </c>
      <c r="H245" s="172">
        <v>2550</v>
      </c>
    </row>
    <row r="246" spans="1:8" ht="31.5" x14ac:dyDescent="0.25">
      <c r="A246" s="177" t="s">
        <v>6903</v>
      </c>
      <c r="B246" s="177" t="s">
        <v>6955</v>
      </c>
      <c r="C246" s="177" t="s">
        <v>6954</v>
      </c>
      <c r="D246" s="177" t="s">
        <v>6953</v>
      </c>
      <c r="E246" s="181">
        <v>17.22</v>
      </c>
      <c r="F246" s="177" t="s">
        <v>6952</v>
      </c>
      <c r="G246" s="177" t="s">
        <v>3007</v>
      </c>
      <c r="H246" s="172">
        <v>2551</v>
      </c>
    </row>
    <row r="247" spans="1:8" ht="31.5" x14ac:dyDescent="0.25">
      <c r="A247" s="177" t="s">
        <v>6903</v>
      </c>
      <c r="B247" s="177" t="s">
        <v>6951</v>
      </c>
      <c r="C247" s="177" t="s">
        <v>6950</v>
      </c>
      <c r="D247" s="177" t="s">
        <v>6949</v>
      </c>
      <c r="E247" s="181">
        <v>1.54</v>
      </c>
      <c r="F247" s="177" t="s">
        <v>6948</v>
      </c>
      <c r="G247" s="177" t="s">
        <v>3007</v>
      </c>
      <c r="H247" s="172">
        <v>2552</v>
      </c>
    </row>
    <row r="248" spans="1:8" ht="31.5" x14ac:dyDescent="0.25">
      <c r="A248" s="177" t="s">
        <v>6903</v>
      </c>
      <c r="B248" s="177" t="s">
        <v>6947</v>
      </c>
      <c r="C248" s="177" t="s">
        <v>6946</v>
      </c>
      <c r="D248" s="177" t="s">
        <v>3993</v>
      </c>
      <c r="E248" s="181">
        <v>8.3800000000000008</v>
      </c>
      <c r="F248" s="177" t="s">
        <v>3992</v>
      </c>
      <c r="G248" s="177" t="s">
        <v>3007</v>
      </c>
      <c r="H248" s="172">
        <v>2553</v>
      </c>
    </row>
    <row r="249" spans="1:8" ht="31.5" x14ac:dyDescent="0.25">
      <c r="A249" s="177" t="s">
        <v>6903</v>
      </c>
      <c r="B249" s="177" t="s">
        <v>6945</v>
      </c>
      <c r="C249" s="177" t="s">
        <v>6944</v>
      </c>
      <c r="D249" s="177" t="s">
        <v>6943</v>
      </c>
      <c r="E249" s="181">
        <v>5.23</v>
      </c>
      <c r="F249" s="177" t="s">
        <v>6942</v>
      </c>
      <c r="G249" s="177" t="s">
        <v>3007</v>
      </c>
      <c r="H249" s="172">
        <v>2554</v>
      </c>
    </row>
    <row r="250" spans="1:8" ht="31.5" x14ac:dyDescent="0.25">
      <c r="A250" s="177" t="s">
        <v>6903</v>
      </c>
      <c r="B250" s="177" t="s">
        <v>6941</v>
      </c>
      <c r="C250" s="177" t="s">
        <v>6940</v>
      </c>
      <c r="D250" s="177" t="s">
        <v>5269</v>
      </c>
      <c r="E250" s="181">
        <v>2.4</v>
      </c>
      <c r="F250" s="177" t="s">
        <v>5268</v>
      </c>
      <c r="G250" s="177" t="s">
        <v>3007</v>
      </c>
      <c r="H250" s="172">
        <v>2566</v>
      </c>
    </row>
    <row r="251" spans="1:8" ht="31.5" x14ac:dyDescent="0.25">
      <c r="A251" s="177" t="s">
        <v>6903</v>
      </c>
      <c r="B251" s="177" t="s">
        <v>6939</v>
      </c>
      <c r="C251" s="177" t="s">
        <v>6938</v>
      </c>
      <c r="D251" s="177" t="s">
        <v>6937</v>
      </c>
      <c r="E251" s="181">
        <v>3.07</v>
      </c>
      <c r="F251" s="177" t="s">
        <v>6936</v>
      </c>
      <c r="G251" s="177" t="s">
        <v>3007</v>
      </c>
      <c r="H251" s="172">
        <v>2567</v>
      </c>
    </row>
    <row r="252" spans="1:8" ht="31.5" x14ac:dyDescent="0.25">
      <c r="A252" s="177" t="s">
        <v>6903</v>
      </c>
      <c r="B252" s="177" t="s">
        <v>6935</v>
      </c>
      <c r="C252" s="177" t="s">
        <v>6934</v>
      </c>
      <c r="D252" s="177" t="s">
        <v>6933</v>
      </c>
      <c r="E252" s="181">
        <v>5.87</v>
      </c>
      <c r="F252" s="177" t="s">
        <v>6932</v>
      </c>
      <c r="G252" s="177" t="s">
        <v>3007</v>
      </c>
      <c r="H252" s="172">
        <v>2568</v>
      </c>
    </row>
    <row r="253" spans="1:8" ht="31.5" x14ac:dyDescent="0.25">
      <c r="A253" s="177" t="s">
        <v>6903</v>
      </c>
      <c r="B253" s="177" t="s">
        <v>6931</v>
      </c>
      <c r="C253" s="177" t="s">
        <v>6930</v>
      </c>
      <c r="D253" s="177" t="s">
        <v>5893</v>
      </c>
      <c r="E253" s="181">
        <v>2.59</v>
      </c>
      <c r="F253" s="177" t="s">
        <v>6929</v>
      </c>
      <c r="G253" s="177" t="s">
        <v>3007</v>
      </c>
      <c r="H253" s="172">
        <v>2569</v>
      </c>
    </row>
    <row r="254" spans="1:8" ht="31.5" x14ac:dyDescent="0.25">
      <c r="A254" s="177" t="s">
        <v>6903</v>
      </c>
      <c r="B254" s="177" t="s">
        <v>3585</v>
      </c>
      <c r="C254" s="177" t="s">
        <v>6928</v>
      </c>
      <c r="D254" s="177" t="s">
        <v>6927</v>
      </c>
      <c r="E254" s="181">
        <v>16.670000000000002</v>
      </c>
      <c r="F254" s="177" t="s">
        <v>6926</v>
      </c>
      <c r="G254" s="177" t="s">
        <v>3007</v>
      </c>
      <c r="H254" s="172">
        <v>2570</v>
      </c>
    </row>
    <row r="255" spans="1:8" ht="31.5" x14ac:dyDescent="0.25">
      <c r="A255" s="177" t="s">
        <v>6903</v>
      </c>
      <c r="B255" s="177" t="s">
        <v>6925</v>
      </c>
      <c r="C255" s="177" t="s">
        <v>6924</v>
      </c>
      <c r="D255" s="177" t="s">
        <v>6923</v>
      </c>
      <c r="E255" s="181">
        <v>0.52</v>
      </c>
      <c r="F255" s="177" t="s">
        <v>6922</v>
      </c>
      <c r="G255" s="177" t="s">
        <v>3007</v>
      </c>
      <c r="H255" s="172">
        <v>2571</v>
      </c>
    </row>
    <row r="256" spans="1:8" ht="31.5" x14ac:dyDescent="0.25">
      <c r="A256" s="177" t="s">
        <v>6903</v>
      </c>
      <c r="B256" s="177" t="s">
        <v>6921</v>
      </c>
      <c r="C256" s="177" t="s">
        <v>6920</v>
      </c>
      <c r="D256" s="177" t="s">
        <v>6919</v>
      </c>
      <c r="E256" s="181">
        <v>6.29</v>
      </c>
      <c r="F256" s="177" t="s">
        <v>6918</v>
      </c>
      <c r="G256" s="177" t="s">
        <v>3007</v>
      </c>
      <c r="H256" s="172">
        <v>2572</v>
      </c>
    </row>
    <row r="257" spans="1:8" ht="31.5" x14ac:dyDescent="0.25">
      <c r="A257" s="177" t="s">
        <v>6903</v>
      </c>
      <c r="B257" s="177" t="s">
        <v>6917</v>
      </c>
      <c r="C257" s="177" t="s">
        <v>6916</v>
      </c>
      <c r="D257" s="177" t="s">
        <v>6915</v>
      </c>
      <c r="E257" s="181">
        <v>27.3</v>
      </c>
      <c r="F257" s="177" t="s">
        <v>6914</v>
      </c>
      <c r="G257" s="177" t="s">
        <v>3007</v>
      </c>
      <c r="H257" s="172">
        <v>2573</v>
      </c>
    </row>
    <row r="258" spans="1:8" ht="31.5" x14ac:dyDescent="0.25">
      <c r="A258" s="177" t="s">
        <v>6903</v>
      </c>
      <c r="B258" s="177" t="s">
        <v>6913</v>
      </c>
      <c r="C258" s="177" t="s">
        <v>6912</v>
      </c>
      <c r="D258" s="177" t="s">
        <v>6911</v>
      </c>
      <c r="E258" s="181">
        <v>13.57</v>
      </c>
      <c r="F258" s="177" t="s">
        <v>6910</v>
      </c>
      <c r="G258" s="177" t="s">
        <v>3007</v>
      </c>
      <c r="H258" s="172">
        <v>2574</v>
      </c>
    </row>
    <row r="259" spans="1:8" ht="31.5" x14ac:dyDescent="0.25">
      <c r="A259" s="177" t="s">
        <v>6903</v>
      </c>
      <c r="B259" s="177" t="s">
        <v>6909</v>
      </c>
      <c r="C259" s="177" t="s">
        <v>6908</v>
      </c>
      <c r="D259" s="177" t="s">
        <v>6907</v>
      </c>
      <c r="E259" s="181">
        <v>5.04</v>
      </c>
      <c r="F259" s="177" t="s">
        <v>6906</v>
      </c>
      <c r="G259" s="177" t="s">
        <v>3007</v>
      </c>
      <c r="H259" s="172">
        <v>2575</v>
      </c>
    </row>
    <row r="260" spans="1:8" ht="31.5" x14ac:dyDescent="0.25">
      <c r="A260" s="177" t="s">
        <v>6903</v>
      </c>
      <c r="B260" s="177" t="s">
        <v>6905</v>
      </c>
      <c r="C260" s="177" t="s">
        <v>6904</v>
      </c>
      <c r="D260" s="177" t="s">
        <v>5417</v>
      </c>
      <c r="E260" s="181">
        <v>7.64</v>
      </c>
      <c r="F260" s="177" t="s">
        <v>5416</v>
      </c>
      <c r="G260" s="177" t="s">
        <v>3007</v>
      </c>
      <c r="H260" s="172">
        <v>2576</v>
      </c>
    </row>
    <row r="261" spans="1:8" ht="31.5" x14ac:dyDescent="0.25">
      <c r="A261" s="177" t="s">
        <v>6903</v>
      </c>
      <c r="B261" s="177" t="s">
        <v>6902</v>
      </c>
      <c r="C261" s="177" t="s">
        <v>6901</v>
      </c>
      <c r="D261" s="177" t="s">
        <v>5008</v>
      </c>
      <c r="E261" s="181">
        <v>4.47</v>
      </c>
      <c r="F261" s="177" t="s">
        <v>5007</v>
      </c>
      <c r="G261" s="177" t="s">
        <v>3007</v>
      </c>
      <c r="H261" s="172">
        <v>2578</v>
      </c>
    </row>
    <row r="262" spans="1:8" ht="31.5" x14ac:dyDescent="0.25">
      <c r="A262" s="177" t="s">
        <v>6849</v>
      </c>
      <c r="B262" s="177" t="s">
        <v>6900</v>
      </c>
      <c r="C262" s="177" t="s">
        <v>6899</v>
      </c>
      <c r="D262" s="177" t="s">
        <v>6898</v>
      </c>
      <c r="E262" s="181">
        <v>6.52</v>
      </c>
      <c r="F262" s="177" t="s">
        <v>6897</v>
      </c>
      <c r="G262" s="177" t="s">
        <v>3007</v>
      </c>
      <c r="H262" s="172">
        <v>2599</v>
      </c>
    </row>
    <row r="263" spans="1:8" ht="31.5" x14ac:dyDescent="0.25">
      <c r="A263" s="177" t="s">
        <v>6849</v>
      </c>
      <c r="B263" s="177" t="s">
        <v>6896</v>
      </c>
      <c r="C263" s="177" t="s">
        <v>6895</v>
      </c>
      <c r="D263" s="177" t="s">
        <v>5265</v>
      </c>
      <c r="E263" s="181">
        <v>5.01</v>
      </c>
      <c r="F263" s="177" t="s">
        <v>5264</v>
      </c>
      <c r="G263" s="177" t="s">
        <v>3007</v>
      </c>
      <c r="H263" s="172">
        <v>2600</v>
      </c>
    </row>
    <row r="264" spans="1:8" ht="31.5" x14ac:dyDescent="0.25">
      <c r="A264" s="177" t="s">
        <v>6849</v>
      </c>
      <c r="B264" s="177" t="s">
        <v>6894</v>
      </c>
      <c r="C264" s="177" t="s">
        <v>6893</v>
      </c>
      <c r="D264" s="177" t="s">
        <v>6892</v>
      </c>
      <c r="E264" s="181">
        <v>9.7799999999999994</v>
      </c>
      <c r="F264" s="177" t="s">
        <v>6885</v>
      </c>
      <c r="G264" s="177" t="s">
        <v>3007</v>
      </c>
      <c r="H264" s="172">
        <v>2602</v>
      </c>
    </row>
    <row r="265" spans="1:8" ht="31.5" x14ac:dyDescent="0.25">
      <c r="A265" s="177" t="s">
        <v>6849</v>
      </c>
      <c r="B265" s="177" t="s">
        <v>6891</v>
      </c>
      <c r="C265" s="177" t="s">
        <v>6890</v>
      </c>
      <c r="D265" s="177" t="s">
        <v>6889</v>
      </c>
      <c r="E265" s="181">
        <v>13.88</v>
      </c>
      <c r="F265" s="177" t="s">
        <v>6885</v>
      </c>
      <c r="G265" s="177" t="s">
        <v>3007</v>
      </c>
      <c r="H265" s="172">
        <v>2603</v>
      </c>
    </row>
    <row r="266" spans="1:8" ht="31.5" x14ac:dyDescent="0.25">
      <c r="A266" s="177" t="s">
        <v>6849</v>
      </c>
      <c r="B266" s="177" t="s">
        <v>6888</v>
      </c>
      <c r="C266" s="177" t="s">
        <v>6887</v>
      </c>
      <c r="D266" s="177" t="s">
        <v>6886</v>
      </c>
      <c r="E266" s="181">
        <v>3.36</v>
      </c>
      <c r="F266" s="177" t="s">
        <v>6885</v>
      </c>
      <c r="G266" s="177" t="s">
        <v>3007</v>
      </c>
      <c r="H266" s="172">
        <v>2601</v>
      </c>
    </row>
    <row r="267" spans="1:8" ht="31.5" x14ac:dyDescent="0.25">
      <c r="A267" s="177" t="s">
        <v>6849</v>
      </c>
      <c r="B267" s="177" t="s">
        <v>6884</v>
      </c>
      <c r="C267" s="177" t="s">
        <v>6883</v>
      </c>
      <c r="D267" s="177" t="s">
        <v>6070</v>
      </c>
      <c r="E267" s="181">
        <v>7.27</v>
      </c>
      <c r="F267" s="177" t="s">
        <v>6069</v>
      </c>
      <c r="G267" s="177" t="s">
        <v>3007</v>
      </c>
      <c r="H267" s="172">
        <v>2604</v>
      </c>
    </row>
    <row r="268" spans="1:8" ht="31.5" x14ac:dyDescent="0.25">
      <c r="A268" s="177" t="s">
        <v>6849</v>
      </c>
      <c r="B268" s="177" t="s">
        <v>6882</v>
      </c>
      <c r="C268" s="177" t="s">
        <v>6881</v>
      </c>
      <c r="D268" s="177" t="s">
        <v>6880</v>
      </c>
      <c r="E268" s="181">
        <v>10.7</v>
      </c>
      <c r="F268" s="177" t="s">
        <v>6879</v>
      </c>
      <c r="G268" s="177" t="s">
        <v>3007</v>
      </c>
      <c r="H268" s="172">
        <v>2605</v>
      </c>
    </row>
    <row r="269" spans="1:8" ht="31.5" x14ac:dyDescent="0.25">
      <c r="A269" s="177" t="s">
        <v>6849</v>
      </c>
      <c r="B269" s="177" t="s">
        <v>6878</v>
      </c>
      <c r="C269" s="177" t="s">
        <v>6877</v>
      </c>
      <c r="D269" s="177" t="s">
        <v>4685</v>
      </c>
      <c r="E269" s="181">
        <v>5.44</v>
      </c>
      <c r="F269" s="177" t="s">
        <v>4684</v>
      </c>
      <c r="G269" s="177" t="s">
        <v>3007</v>
      </c>
      <c r="H269" s="172">
        <v>2606</v>
      </c>
    </row>
    <row r="270" spans="1:8" ht="31.5" x14ac:dyDescent="0.25">
      <c r="A270" s="177" t="s">
        <v>6849</v>
      </c>
      <c r="B270" s="177" t="s">
        <v>6876</v>
      </c>
      <c r="C270" s="177" t="s">
        <v>6875</v>
      </c>
      <c r="D270" s="177" t="s">
        <v>4297</v>
      </c>
      <c r="E270" s="181">
        <v>3.24</v>
      </c>
      <c r="F270" s="177" t="s">
        <v>4296</v>
      </c>
      <c r="G270" s="177" t="s">
        <v>3007</v>
      </c>
      <c r="H270" s="172">
        <v>2607</v>
      </c>
    </row>
    <row r="271" spans="1:8" ht="31.5" x14ac:dyDescent="0.25">
      <c r="A271" s="177" t="s">
        <v>6849</v>
      </c>
      <c r="B271" s="177" t="s">
        <v>6874</v>
      </c>
      <c r="C271" s="177" t="s">
        <v>6873</v>
      </c>
      <c r="D271" s="177" t="s">
        <v>4937</v>
      </c>
      <c r="E271" s="181">
        <v>2.08</v>
      </c>
      <c r="F271" s="177" t="s">
        <v>4936</v>
      </c>
      <c r="G271" s="177" t="s">
        <v>3007</v>
      </c>
      <c r="H271" s="172">
        <v>2608</v>
      </c>
    </row>
    <row r="272" spans="1:8" ht="31.5" x14ac:dyDescent="0.25">
      <c r="A272" s="177" t="s">
        <v>6849</v>
      </c>
      <c r="B272" s="177" t="s">
        <v>6872</v>
      </c>
      <c r="C272" s="177" t="s">
        <v>6871</v>
      </c>
      <c r="D272" s="177" t="s">
        <v>6870</v>
      </c>
      <c r="E272" s="181">
        <v>2.52</v>
      </c>
      <c r="F272" s="177" t="s">
        <v>6869</v>
      </c>
      <c r="G272" s="177" t="s">
        <v>3007</v>
      </c>
      <c r="H272" s="172">
        <v>2609</v>
      </c>
    </row>
    <row r="273" spans="1:8" ht="31.5" x14ac:dyDescent="0.25">
      <c r="A273" s="177" t="s">
        <v>6849</v>
      </c>
      <c r="B273" s="177" t="s">
        <v>6868</v>
      </c>
      <c r="C273" s="177" t="s">
        <v>6867</v>
      </c>
      <c r="D273" s="177" t="s">
        <v>6866</v>
      </c>
      <c r="E273" s="181">
        <v>2.09</v>
      </c>
      <c r="F273" s="177" t="s">
        <v>6865</v>
      </c>
      <c r="G273" s="177" t="s">
        <v>3007</v>
      </c>
      <c r="H273" s="172">
        <v>2610</v>
      </c>
    </row>
    <row r="274" spans="1:8" ht="31.5" x14ac:dyDescent="0.25">
      <c r="A274" s="177" t="s">
        <v>6849</v>
      </c>
      <c r="B274" s="177" t="s">
        <v>6864</v>
      </c>
      <c r="C274" s="177" t="s">
        <v>6863</v>
      </c>
      <c r="D274" s="177" t="s">
        <v>6862</v>
      </c>
      <c r="E274" s="181">
        <v>0.27</v>
      </c>
      <c r="F274" s="177" t="s">
        <v>6861</v>
      </c>
      <c r="G274" s="177" t="s">
        <v>3007</v>
      </c>
      <c r="H274" s="172">
        <v>2611</v>
      </c>
    </row>
    <row r="275" spans="1:8" ht="31.5" x14ac:dyDescent="0.25">
      <c r="A275" s="177" t="s">
        <v>6849</v>
      </c>
      <c r="B275" s="177" t="s">
        <v>6860</v>
      </c>
      <c r="C275" s="177" t="s">
        <v>6859</v>
      </c>
      <c r="D275" s="177" t="s">
        <v>5032</v>
      </c>
      <c r="E275" s="181">
        <v>2.14</v>
      </c>
      <c r="F275" s="177" t="s">
        <v>5031</v>
      </c>
      <c r="G275" s="177" t="s">
        <v>3007</v>
      </c>
      <c r="H275" s="172">
        <v>2612</v>
      </c>
    </row>
    <row r="276" spans="1:8" ht="31.5" x14ac:dyDescent="0.25">
      <c r="A276" s="177" t="s">
        <v>6849</v>
      </c>
      <c r="B276" s="177" t="s">
        <v>4455</v>
      </c>
      <c r="C276" s="177" t="s">
        <v>6858</v>
      </c>
      <c r="D276" s="177" t="s">
        <v>6857</v>
      </c>
      <c r="E276" s="181">
        <v>9.49</v>
      </c>
      <c r="F276" s="177" t="s">
        <v>6856</v>
      </c>
      <c r="G276" s="177" t="s">
        <v>3007</v>
      </c>
      <c r="H276" s="172">
        <v>2613</v>
      </c>
    </row>
    <row r="277" spans="1:8" ht="31.5" x14ac:dyDescent="0.25">
      <c r="A277" s="177" t="s">
        <v>6849</v>
      </c>
      <c r="B277" s="177" t="s">
        <v>6855</v>
      </c>
      <c r="C277" s="177" t="s">
        <v>6854</v>
      </c>
      <c r="D277" s="177" t="s">
        <v>6853</v>
      </c>
      <c r="E277" s="181">
        <v>3.43</v>
      </c>
      <c r="F277" s="177" t="s">
        <v>6852</v>
      </c>
      <c r="G277" s="177" t="s">
        <v>3007</v>
      </c>
      <c r="H277" s="172">
        <v>2614</v>
      </c>
    </row>
    <row r="278" spans="1:8" ht="31.5" x14ac:dyDescent="0.25">
      <c r="A278" s="177" t="s">
        <v>6849</v>
      </c>
      <c r="B278" s="177" t="s">
        <v>6851</v>
      </c>
      <c r="C278" s="177" t="s">
        <v>6850</v>
      </c>
      <c r="D278" s="177" t="s">
        <v>4975</v>
      </c>
      <c r="E278" s="181">
        <v>7.83</v>
      </c>
      <c r="F278" s="177" t="s">
        <v>4974</v>
      </c>
      <c r="G278" s="177" t="s">
        <v>3007</v>
      </c>
      <c r="H278" s="172">
        <v>2615</v>
      </c>
    </row>
    <row r="279" spans="1:8" ht="31.5" x14ac:dyDescent="0.25">
      <c r="A279" s="177" t="s">
        <v>6849</v>
      </c>
      <c r="B279" s="177" t="s">
        <v>6848</v>
      </c>
      <c r="C279" s="177" t="s">
        <v>6847</v>
      </c>
      <c r="D279" s="177" t="s">
        <v>6846</v>
      </c>
      <c r="E279" s="181">
        <v>0.9</v>
      </c>
      <c r="F279" s="177" t="s">
        <v>6845</v>
      </c>
      <c r="G279" s="177" t="s">
        <v>3007</v>
      </c>
      <c r="H279" s="172">
        <v>2622</v>
      </c>
    </row>
    <row r="280" spans="1:8" ht="31.5" x14ac:dyDescent="0.25">
      <c r="A280" s="177" t="s">
        <v>6780</v>
      </c>
      <c r="B280" s="177" t="s">
        <v>6844</v>
      </c>
      <c r="C280" s="177" t="s">
        <v>6843</v>
      </c>
      <c r="D280" s="177" t="s">
        <v>6842</v>
      </c>
      <c r="E280" s="181">
        <v>5.32</v>
      </c>
      <c r="F280" s="177" t="s">
        <v>6841</v>
      </c>
      <c r="G280" s="177" t="s">
        <v>3007</v>
      </c>
      <c r="H280" s="172">
        <v>2645</v>
      </c>
    </row>
    <row r="281" spans="1:8" ht="31.5" x14ac:dyDescent="0.25">
      <c r="A281" s="177" t="s">
        <v>6780</v>
      </c>
      <c r="B281" s="177" t="s">
        <v>6840</v>
      </c>
      <c r="C281" s="177" t="s">
        <v>6839</v>
      </c>
      <c r="D281" s="177" t="s">
        <v>4148</v>
      </c>
      <c r="E281" s="181">
        <v>3.21</v>
      </c>
      <c r="F281" s="177" t="s">
        <v>4147</v>
      </c>
      <c r="G281" s="177" t="s">
        <v>3007</v>
      </c>
      <c r="H281" s="172">
        <v>2646</v>
      </c>
    </row>
    <row r="282" spans="1:8" ht="31.5" x14ac:dyDescent="0.25">
      <c r="A282" s="177" t="s">
        <v>6780</v>
      </c>
      <c r="B282" s="177" t="s">
        <v>6838</v>
      </c>
      <c r="C282" s="177" t="s">
        <v>6837</v>
      </c>
      <c r="D282" s="177" t="s">
        <v>6836</v>
      </c>
      <c r="E282" s="181">
        <v>16.21</v>
      </c>
      <c r="F282" s="177" t="s">
        <v>6835</v>
      </c>
      <c r="G282" s="177" t="s">
        <v>3007</v>
      </c>
      <c r="H282" s="172">
        <v>2647</v>
      </c>
    </row>
    <row r="283" spans="1:8" ht="31.5" x14ac:dyDescent="0.25">
      <c r="A283" s="177" t="s">
        <v>6780</v>
      </c>
      <c r="B283" s="177" t="s">
        <v>6834</v>
      </c>
      <c r="C283" s="177" t="s">
        <v>6833</v>
      </c>
      <c r="D283" s="177" t="s">
        <v>6832</v>
      </c>
      <c r="E283" s="181">
        <v>1.7</v>
      </c>
      <c r="F283" s="177" t="s">
        <v>6831</v>
      </c>
      <c r="G283" s="177" t="s">
        <v>3007</v>
      </c>
      <c r="H283" s="172">
        <v>2648</v>
      </c>
    </row>
    <row r="284" spans="1:8" ht="31.5" x14ac:dyDescent="0.25">
      <c r="A284" s="177" t="s">
        <v>6780</v>
      </c>
      <c r="B284" s="177" t="s">
        <v>6830</v>
      </c>
      <c r="C284" s="177" t="s">
        <v>6829</v>
      </c>
      <c r="D284" s="177" t="s">
        <v>5661</v>
      </c>
      <c r="E284" s="181">
        <v>4.33</v>
      </c>
      <c r="F284" s="177" t="s">
        <v>5657</v>
      </c>
      <c r="G284" s="177" t="s">
        <v>3007</v>
      </c>
      <c r="H284" s="172">
        <v>2650</v>
      </c>
    </row>
    <row r="285" spans="1:8" ht="31.5" x14ac:dyDescent="0.25">
      <c r="A285" s="177" t="s">
        <v>6780</v>
      </c>
      <c r="B285" s="177" t="s">
        <v>6828</v>
      </c>
      <c r="C285" s="177" t="s">
        <v>6827</v>
      </c>
      <c r="D285" s="177" t="s">
        <v>5658</v>
      </c>
      <c r="E285" s="181">
        <v>3.89</v>
      </c>
      <c r="F285" s="177" t="s">
        <v>5657</v>
      </c>
      <c r="G285" s="177" t="s">
        <v>3007</v>
      </c>
      <c r="H285" s="172">
        <v>2649</v>
      </c>
    </row>
    <row r="286" spans="1:8" ht="31.5" x14ac:dyDescent="0.25">
      <c r="A286" s="177" t="s">
        <v>6780</v>
      </c>
      <c r="B286" s="177" t="s">
        <v>6826</v>
      </c>
      <c r="C286" s="177" t="s">
        <v>6825</v>
      </c>
      <c r="D286" s="177" t="s">
        <v>6250</v>
      </c>
      <c r="E286" s="181">
        <v>8.16</v>
      </c>
      <c r="F286" s="177" t="s">
        <v>6249</v>
      </c>
      <c r="G286" s="177" t="s">
        <v>3007</v>
      </c>
      <c r="H286" s="172">
        <v>2651</v>
      </c>
    </row>
    <row r="287" spans="1:8" ht="31.5" x14ac:dyDescent="0.25">
      <c r="A287" s="177" t="s">
        <v>6780</v>
      </c>
      <c r="B287" s="177" t="s">
        <v>6824</v>
      </c>
      <c r="C287" s="177" t="s">
        <v>6823</v>
      </c>
      <c r="D287" s="177" t="s">
        <v>6822</v>
      </c>
      <c r="E287" s="181">
        <v>5.63</v>
      </c>
      <c r="F287" s="177" t="s">
        <v>6821</v>
      </c>
      <c r="G287" s="177" t="s">
        <v>3007</v>
      </c>
      <c r="H287" s="172">
        <v>2652</v>
      </c>
    </row>
    <row r="288" spans="1:8" ht="31.5" x14ac:dyDescent="0.25">
      <c r="A288" s="177" t="s">
        <v>6780</v>
      </c>
      <c r="B288" s="177" t="s">
        <v>6820</v>
      </c>
      <c r="C288" s="177" t="s">
        <v>6819</v>
      </c>
      <c r="D288" s="177" t="s">
        <v>4552</v>
      </c>
      <c r="E288" s="181">
        <v>19.600000000000001</v>
      </c>
      <c r="F288" s="177" t="s">
        <v>4551</v>
      </c>
      <c r="G288" s="177" t="s">
        <v>3007</v>
      </c>
      <c r="H288" s="172">
        <v>2653</v>
      </c>
    </row>
    <row r="289" spans="1:8" ht="31.5" x14ac:dyDescent="0.25">
      <c r="A289" s="177" t="s">
        <v>6780</v>
      </c>
      <c r="B289" s="177" t="s">
        <v>6818</v>
      </c>
      <c r="C289" s="177" t="s">
        <v>6817</v>
      </c>
      <c r="D289" s="177" t="s">
        <v>6816</v>
      </c>
      <c r="E289" s="181">
        <v>4.04</v>
      </c>
      <c r="F289" s="177" t="s">
        <v>6815</v>
      </c>
      <c r="G289" s="177" t="s">
        <v>3007</v>
      </c>
      <c r="H289" s="172">
        <v>2654</v>
      </c>
    </row>
    <row r="290" spans="1:8" ht="31.5" x14ac:dyDescent="0.25">
      <c r="A290" s="177" t="s">
        <v>6780</v>
      </c>
      <c r="B290" s="177" t="s">
        <v>6814</v>
      </c>
      <c r="C290" s="177" t="s">
        <v>6813</v>
      </c>
      <c r="D290" s="177" t="s">
        <v>6812</v>
      </c>
      <c r="E290" s="181">
        <v>3.71</v>
      </c>
      <c r="F290" s="177" t="s">
        <v>6811</v>
      </c>
      <c r="G290" s="177" t="s">
        <v>3007</v>
      </c>
      <c r="H290" s="172">
        <v>2655</v>
      </c>
    </row>
    <row r="291" spans="1:8" ht="31.5" x14ac:dyDescent="0.25">
      <c r="A291" s="177" t="s">
        <v>6780</v>
      </c>
      <c r="B291" s="177" t="s">
        <v>6810</v>
      </c>
      <c r="C291" s="177" t="s">
        <v>6809</v>
      </c>
      <c r="D291" s="177" t="s">
        <v>4665</v>
      </c>
      <c r="E291" s="181">
        <v>13.99</v>
      </c>
      <c r="F291" s="177" t="s">
        <v>4664</v>
      </c>
      <c r="G291" s="177" t="s">
        <v>3007</v>
      </c>
      <c r="H291" s="172">
        <v>2656</v>
      </c>
    </row>
    <row r="292" spans="1:8" ht="31.5" x14ac:dyDescent="0.25">
      <c r="A292" s="177" t="s">
        <v>6780</v>
      </c>
      <c r="B292" s="177" t="s">
        <v>6808</v>
      </c>
      <c r="C292" s="177" t="s">
        <v>6807</v>
      </c>
      <c r="D292" s="177" t="s">
        <v>6806</v>
      </c>
      <c r="E292" s="181">
        <v>4.34</v>
      </c>
      <c r="F292" s="177" t="s">
        <v>6805</v>
      </c>
      <c r="G292" s="177" t="s">
        <v>3007</v>
      </c>
      <c r="H292" s="172">
        <v>2657</v>
      </c>
    </row>
    <row r="293" spans="1:8" ht="31.5" x14ac:dyDescent="0.25">
      <c r="A293" s="177" t="s">
        <v>6780</v>
      </c>
      <c r="B293" s="177" t="s">
        <v>6804</v>
      </c>
      <c r="C293" s="177" t="s">
        <v>6803</v>
      </c>
      <c r="D293" s="177" t="s">
        <v>6802</v>
      </c>
      <c r="E293" s="181">
        <v>6.73</v>
      </c>
      <c r="F293" s="177" t="s">
        <v>6801</v>
      </c>
      <c r="G293" s="177" t="s">
        <v>3007</v>
      </c>
      <c r="H293" s="172">
        <v>2658</v>
      </c>
    </row>
    <row r="294" spans="1:8" ht="31.5" x14ac:dyDescent="0.25">
      <c r="A294" s="177" t="s">
        <v>6780</v>
      </c>
      <c r="B294" s="177" t="s">
        <v>6800</v>
      </c>
      <c r="C294" s="177" t="s">
        <v>6799</v>
      </c>
      <c r="D294" s="177" t="s">
        <v>6798</v>
      </c>
      <c r="E294" s="181">
        <v>7.25</v>
      </c>
      <c r="F294" s="177" t="s">
        <v>6797</v>
      </c>
      <c r="G294" s="177" t="s">
        <v>3007</v>
      </c>
      <c r="H294" s="172">
        <v>2659</v>
      </c>
    </row>
    <row r="295" spans="1:8" ht="31.5" x14ac:dyDescent="0.25">
      <c r="A295" s="177" t="s">
        <v>6780</v>
      </c>
      <c r="B295" s="177" t="s">
        <v>6796</v>
      </c>
      <c r="C295" s="177" t="s">
        <v>6795</v>
      </c>
      <c r="D295" s="177" t="s">
        <v>6794</v>
      </c>
      <c r="E295" s="181">
        <v>5.5</v>
      </c>
      <c r="F295" s="177" t="s">
        <v>6793</v>
      </c>
      <c r="G295" s="177" t="s">
        <v>3007</v>
      </c>
      <c r="H295" s="172">
        <v>2660</v>
      </c>
    </row>
    <row r="296" spans="1:8" ht="31.5" x14ac:dyDescent="0.25">
      <c r="A296" s="177" t="s">
        <v>6780</v>
      </c>
      <c r="B296" s="177" t="s">
        <v>6792</v>
      </c>
      <c r="C296" s="177" t="s">
        <v>6791</v>
      </c>
      <c r="D296" s="177" t="s">
        <v>6790</v>
      </c>
      <c r="E296" s="181">
        <v>0.16</v>
      </c>
      <c r="F296" s="177" t="s">
        <v>6789</v>
      </c>
      <c r="G296" s="177" t="s">
        <v>3007</v>
      </c>
      <c r="H296" s="172">
        <v>2661</v>
      </c>
    </row>
    <row r="297" spans="1:8" ht="31.5" x14ac:dyDescent="0.25">
      <c r="A297" s="177" t="s">
        <v>6780</v>
      </c>
      <c r="B297" s="177" t="s">
        <v>6788</v>
      </c>
      <c r="C297" s="177" t="s">
        <v>6787</v>
      </c>
      <c r="D297" s="177" t="s">
        <v>6786</v>
      </c>
      <c r="E297" s="181">
        <v>17.54</v>
      </c>
      <c r="F297" s="177" t="s">
        <v>6785</v>
      </c>
      <c r="G297" s="177" t="s">
        <v>3007</v>
      </c>
      <c r="H297" s="172">
        <v>2662</v>
      </c>
    </row>
    <row r="298" spans="1:8" ht="31.5" x14ac:dyDescent="0.25">
      <c r="A298" s="177" t="s">
        <v>6780</v>
      </c>
      <c r="B298" s="177" t="s">
        <v>6784</v>
      </c>
      <c r="C298" s="177" t="s">
        <v>6783</v>
      </c>
      <c r="D298" s="177" t="s">
        <v>4606</v>
      </c>
      <c r="E298" s="181">
        <v>2.71</v>
      </c>
      <c r="F298" s="177" t="s">
        <v>4605</v>
      </c>
      <c r="G298" s="177" t="s">
        <v>3007</v>
      </c>
      <c r="H298" s="172">
        <v>2663</v>
      </c>
    </row>
    <row r="299" spans="1:8" ht="31.5" x14ac:dyDescent="0.25">
      <c r="A299" s="177" t="s">
        <v>6780</v>
      </c>
      <c r="B299" s="177" t="s">
        <v>6782</v>
      </c>
      <c r="C299" s="177" t="s">
        <v>6781</v>
      </c>
      <c r="D299" s="177" t="s">
        <v>3884</v>
      </c>
      <c r="E299" s="181">
        <v>4.42</v>
      </c>
      <c r="F299" s="177" t="s">
        <v>3883</v>
      </c>
      <c r="G299" s="177" t="s">
        <v>3007</v>
      </c>
      <c r="H299" s="172">
        <v>2664</v>
      </c>
    </row>
    <row r="300" spans="1:8" ht="31.5" x14ac:dyDescent="0.25">
      <c r="A300" s="177" t="s">
        <v>6780</v>
      </c>
      <c r="B300" s="177" t="s">
        <v>6779</v>
      </c>
      <c r="C300" s="177" t="s">
        <v>6778</v>
      </c>
      <c r="D300" s="177" t="s">
        <v>6777</v>
      </c>
      <c r="E300" s="181">
        <v>3.38</v>
      </c>
      <c r="F300" s="177" t="s">
        <v>6776</v>
      </c>
      <c r="G300" s="177" t="s">
        <v>3007</v>
      </c>
      <c r="H300" s="172">
        <v>2665</v>
      </c>
    </row>
    <row r="301" spans="1:8" s="200" customFormat="1" x14ac:dyDescent="0.25">
      <c r="A301" s="198"/>
      <c r="B301" s="198"/>
      <c r="C301" s="198" t="s">
        <v>5691</v>
      </c>
      <c r="D301" s="198" t="s">
        <v>14409</v>
      </c>
      <c r="E301" s="199">
        <f>SUM(E169:E300)</f>
        <v>881.08000000000015</v>
      </c>
      <c r="F301" s="198"/>
      <c r="G301" s="198"/>
      <c r="H301" s="172"/>
    </row>
    <row r="302" spans="1:8" x14ac:dyDescent="0.25">
      <c r="A302" s="177"/>
      <c r="B302" s="177"/>
      <c r="C302" s="177"/>
      <c r="D302" s="177"/>
      <c r="E302" s="181"/>
      <c r="F302" s="177"/>
      <c r="G302" s="177"/>
      <c r="H302" s="172"/>
    </row>
    <row r="303" spans="1:8" ht="31.5" x14ac:dyDescent="0.25">
      <c r="A303" s="177" t="s">
        <v>6712</v>
      </c>
      <c r="B303" s="177" t="s">
        <v>6775</v>
      </c>
      <c r="C303" s="177" t="s">
        <v>6774</v>
      </c>
      <c r="D303" s="177" t="s">
        <v>6773</v>
      </c>
      <c r="E303" s="181">
        <v>7.98</v>
      </c>
      <c r="F303" s="177" t="s">
        <v>6772</v>
      </c>
      <c r="G303" s="177" t="s">
        <v>3007</v>
      </c>
      <c r="H303" s="172">
        <v>2705</v>
      </c>
    </row>
    <row r="304" spans="1:8" ht="31.5" x14ac:dyDescent="0.25">
      <c r="A304" s="177" t="s">
        <v>6712</v>
      </c>
      <c r="B304" s="177" t="s">
        <v>6771</v>
      </c>
      <c r="C304" s="177" t="s">
        <v>6770</v>
      </c>
      <c r="D304" s="177" t="s">
        <v>6769</v>
      </c>
      <c r="E304" s="181">
        <v>11.2</v>
      </c>
      <c r="F304" s="177" t="s">
        <v>6768</v>
      </c>
      <c r="G304" s="177" t="s">
        <v>3007</v>
      </c>
      <c r="H304" s="172">
        <v>2706</v>
      </c>
    </row>
    <row r="305" spans="1:8" ht="31.5" x14ac:dyDescent="0.25">
      <c r="A305" s="177" t="s">
        <v>6712</v>
      </c>
      <c r="B305" s="177" t="s">
        <v>6767</v>
      </c>
      <c r="C305" s="177" t="s">
        <v>6766</v>
      </c>
      <c r="D305" s="177" t="s">
        <v>6765</v>
      </c>
      <c r="E305" s="181">
        <v>1.08</v>
      </c>
      <c r="F305" s="177" t="s">
        <v>6764</v>
      </c>
      <c r="G305" s="177" t="s">
        <v>3007</v>
      </c>
      <c r="H305" s="172">
        <v>2707</v>
      </c>
    </row>
    <row r="306" spans="1:8" ht="31.5" x14ac:dyDescent="0.25">
      <c r="A306" s="177" t="s">
        <v>6712</v>
      </c>
      <c r="B306" s="177" t="s">
        <v>6763</v>
      </c>
      <c r="C306" s="177" t="s">
        <v>6762</v>
      </c>
      <c r="D306" s="177" t="s">
        <v>4484</v>
      </c>
      <c r="E306" s="181">
        <v>3.86</v>
      </c>
      <c r="F306" s="177" t="s">
        <v>4483</v>
      </c>
      <c r="G306" s="177" t="s">
        <v>3007</v>
      </c>
      <c r="H306" s="172">
        <v>2708</v>
      </c>
    </row>
    <row r="307" spans="1:8" ht="31.5" x14ac:dyDescent="0.25">
      <c r="A307" s="177" t="s">
        <v>6712</v>
      </c>
      <c r="B307" s="177" t="s">
        <v>6761</v>
      </c>
      <c r="C307" s="177" t="s">
        <v>6760</v>
      </c>
      <c r="D307" s="177" t="s">
        <v>4953</v>
      </c>
      <c r="E307" s="181">
        <v>13.09</v>
      </c>
      <c r="F307" s="177" t="s">
        <v>4952</v>
      </c>
      <c r="G307" s="177" t="s">
        <v>3007</v>
      </c>
      <c r="H307" s="172">
        <v>2709</v>
      </c>
    </row>
    <row r="308" spans="1:8" ht="31.5" x14ac:dyDescent="0.25">
      <c r="A308" s="177" t="s">
        <v>6712</v>
      </c>
      <c r="B308" s="177" t="s">
        <v>6759</v>
      </c>
      <c r="C308" s="177" t="s">
        <v>6758</v>
      </c>
      <c r="D308" s="177" t="s">
        <v>6757</v>
      </c>
      <c r="E308" s="181">
        <v>9.64</v>
      </c>
      <c r="F308" s="177" t="s">
        <v>6756</v>
      </c>
      <c r="G308" s="177" t="s">
        <v>3007</v>
      </c>
      <c r="H308" s="172">
        <v>2710</v>
      </c>
    </row>
    <row r="309" spans="1:8" ht="31.5" x14ac:dyDescent="0.25">
      <c r="A309" s="177" t="s">
        <v>6712</v>
      </c>
      <c r="B309" s="177" t="s">
        <v>6755</v>
      </c>
      <c r="C309" s="177" t="s">
        <v>6754</v>
      </c>
      <c r="D309" s="177" t="s">
        <v>4421</v>
      </c>
      <c r="E309" s="181">
        <v>3.82</v>
      </c>
      <c r="F309" s="177" t="s">
        <v>4420</v>
      </c>
      <c r="G309" s="177" t="s">
        <v>3007</v>
      </c>
      <c r="H309" s="172">
        <v>2711</v>
      </c>
    </row>
    <row r="310" spans="1:8" ht="31.5" x14ac:dyDescent="0.25">
      <c r="A310" s="177" t="s">
        <v>6712</v>
      </c>
      <c r="B310" s="177" t="s">
        <v>6753</v>
      </c>
      <c r="C310" s="177" t="s">
        <v>6752</v>
      </c>
      <c r="D310" s="177" t="s">
        <v>6751</v>
      </c>
      <c r="E310" s="181">
        <v>1.52</v>
      </c>
      <c r="F310" s="177" t="s">
        <v>6750</v>
      </c>
      <c r="G310" s="177" t="s">
        <v>3007</v>
      </c>
      <c r="H310" s="173">
        <v>2712</v>
      </c>
    </row>
    <row r="311" spans="1:8" ht="31.5" x14ac:dyDescent="0.25">
      <c r="A311" s="177" t="s">
        <v>6712</v>
      </c>
      <c r="B311" s="177" t="s">
        <v>6749</v>
      </c>
      <c r="C311" s="177" t="s">
        <v>6748</v>
      </c>
      <c r="D311" s="177" t="s">
        <v>6747</v>
      </c>
      <c r="E311" s="181">
        <v>5.19</v>
      </c>
      <c r="F311" s="177" t="s">
        <v>6746</v>
      </c>
      <c r="G311" s="177" t="s">
        <v>3007</v>
      </c>
      <c r="H311" s="172">
        <v>2713</v>
      </c>
    </row>
    <row r="312" spans="1:8" ht="31.5" x14ac:dyDescent="0.25">
      <c r="A312" s="177" t="s">
        <v>6712</v>
      </c>
      <c r="B312" s="177" t="s">
        <v>6745</v>
      </c>
      <c r="C312" s="177" t="s">
        <v>6744</v>
      </c>
      <c r="D312" s="177" t="s">
        <v>6743</v>
      </c>
      <c r="E312" s="181">
        <v>3.97</v>
      </c>
      <c r="F312" s="177" t="s">
        <v>6742</v>
      </c>
      <c r="G312" s="177" t="s">
        <v>3007</v>
      </c>
      <c r="H312" s="172">
        <v>2714</v>
      </c>
    </row>
    <row r="313" spans="1:8" ht="31.5" x14ac:dyDescent="0.25">
      <c r="A313" s="177" t="s">
        <v>6712</v>
      </c>
      <c r="B313" s="177" t="s">
        <v>6741</v>
      </c>
      <c r="C313" s="177" t="s">
        <v>6740</v>
      </c>
      <c r="D313" s="177" t="s">
        <v>6739</v>
      </c>
      <c r="E313" s="181">
        <v>3.28</v>
      </c>
      <c r="F313" s="177" t="s">
        <v>6738</v>
      </c>
      <c r="G313" s="177" t="s">
        <v>3007</v>
      </c>
      <c r="H313" s="172">
        <v>2715</v>
      </c>
    </row>
    <row r="314" spans="1:8" ht="31.5" x14ac:dyDescent="0.25">
      <c r="A314" s="177" t="s">
        <v>6712</v>
      </c>
      <c r="B314" s="177" t="s">
        <v>6737</v>
      </c>
      <c r="C314" s="177" t="s">
        <v>6736</v>
      </c>
      <c r="D314" s="177" t="s">
        <v>6735</v>
      </c>
      <c r="E314" s="181">
        <v>10.35</v>
      </c>
      <c r="F314" s="177" t="s">
        <v>6734</v>
      </c>
      <c r="G314" s="177" t="s">
        <v>3007</v>
      </c>
      <c r="H314" s="172" t="s">
        <v>6733</v>
      </c>
    </row>
    <row r="315" spans="1:8" ht="31.5" x14ac:dyDescent="0.25">
      <c r="A315" s="177" t="s">
        <v>6712</v>
      </c>
      <c r="B315" s="177" t="s">
        <v>6732</v>
      </c>
      <c r="C315" s="177" t="s">
        <v>6731</v>
      </c>
      <c r="D315" s="177" t="s">
        <v>4897</v>
      </c>
      <c r="E315" s="181">
        <v>7.67</v>
      </c>
      <c r="F315" s="177" t="s">
        <v>4896</v>
      </c>
      <c r="G315" s="177" t="s">
        <v>3007</v>
      </c>
      <c r="H315" s="172">
        <v>2716</v>
      </c>
    </row>
    <row r="316" spans="1:8" ht="31.5" x14ac:dyDescent="0.25">
      <c r="A316" s="177" t="s">
        <v>6712</v>
      </c>
      <c r="B316" s="177" t="s">
        <v>6730</v>
      </c>
      <c r="C316" s="177" t="s">
        <v>6729</v>
      </c>
      <c r="D316" s="177" t="s">
        <v>3900</v>
      </c>
      <c r="E316" s="181">
        <v>4.1900000000000004</v>
      </c>
      <c r="F316" s="177" t="s">
        <v>3899</v>
      </c>
      <c r="G316" s="177" t="s">
        <v>3007</v>
      </c>
      <c r="H316" s="172">
        <v>2717</v>
      </c>
    </row>
    <row r="317" spans="1:8" ht="31.5" x14ac:dyDescent="0.25">
      <c r="A317" s="177" t="s">
        <v>6712</v>
      </c>
      <c r="B317" s="177" t="s">
        <v>6728</v>
      </c>
      <c r="C317" s="177" t="s">
        <v>6727</v>
      </c>
      <c r="D317" s="177" t="s">
        <v>6726</v>
      </c>
      <c r="E317" s="181">
        <v>3.96</v>
      </c>
      <c r="F317" s="177" t="s">
        <v>6725</v>
      </c>
      <c r="G317" s="177" t="s">
        <v>3007</v>
      </c>
      <c r="H317" s="172">
        <v>2718</v>
      </c>
    </row>
    <row r="318" spans="1:8" ht="31.5" x14ac:dyDescent="0.25">
      <c r="A318" s="177" t="s">
        <v>6712</v>
      </c>
      <c r="B318" s="177" t="s">
        <v>6724</v>
      </c>
      <c r="C318" s="177" t="s">
        <v>6723</v>
      </c>
      <c r="D318" s="177" t="s">
        <v>4224</v>
      </c>
      <c r="E318" s="181">
        <v>9.7799999999999994</v>
      </c>
      <c r="F318" s="177" t="s">
        <v>4223</v>
      </c>
      <c r="G318" s="177" t="s">
        <v>3007</v>
      </c>
      <c r="H318" s="172">
        <v>2719</v>
      </c>
    </row>
    <row r="319" spans="1:8" ht="31.5" x14ac:dyDescent="0.25">
      <c r="A319" s="177" t="s">
        <v>6712</v>
      </c>
      <c r="B319" s="177" t="s">
        <v>6722</v>
      </c>
      <c r="C319" s="177" t="s">
        <v>6721</v>
      </c>
      <c r="D319" s="177" t="s">
        <v>6720</v>
      </c>
      <c r="E319" s="181">
        <v>22.15</v>
      </c>
      <c r="F319" s="177" t="s">
        <v>6719</v>
      </c>
      <c r="G319" s="177" t="s">
        <v>3007</v>
      </c>
      <c r="H319" s="172">
        <v>2721</v>
      </c>
    </row>
    <row r="320" spans="1:8" ht="31.5" x14ac:dyDescent="0.25">
      <c r="A320" s="177" t="s">
        <v>6712</v>
      </c>
      <c r="B320" s="177" t="s">
        <v>6718</v>
      </c>
      <c r="C320" s="177" t="s">
        <v>6717</v>
      </c>
      <c r="D320" s="177" t="s">
        <v>4040</v>
      </c>
      <c r="E320" s="181">
        <v>1.9</v>
      </c>
      <c r="F320" s="177" t="s">
        <v>4039</v>
      </c>
      <c r="G320" s="177" t="s">
        <v>3007</v>
      </c>
      <c r="H320" s="172">
        <v>2722</v>
      </c>
    </row>
    <row r="321" spans="1:8" ht="31.5" x14ac:dyDescent="0.25">
      <c r="A321" s="177" t="s">
        <v>6712</v>
      </c>
      <c r="B321" s="177" t="s">
        <v>6716</v>
      </c>
      <c r="C321" s="177" t="s">
        <v>6715</v>
      </c>
      <c r="D321" s="177" t="s">
        <v>6714</v>
      </c>
      <c r="E321" s="181">
        <v>0.92</v>
      </c>
      <c r="F321" s="177" t="s">
        <v>6713</v>
      </c>
      <c r="G321" s="177" t="s">
        <v>3007</v>
      </c>
      <c r="H321" s="172">
        <v>2723</v>
      </c>
    </row>
    <row r="322" spans="1:8" ht="31.5" x14ac:dyDescent="0.25">
      <c r="A322" s="177" t="s">
        <v>6712</v>
      </c>
      <c r="B322" s="177" t="s">
        <v>6711</v>
      </c>
      <c r="C322" s="177" t="s">
        <v>6710</v>
      </c>
      <c r="D322" s="177" t="s">
        <v>4835</v>
      </c>
      <c r="E322" s="181">
        <v>4.8</v>
      </c>
      <c r="F322" s="177" t="s">
        <v>4834</v>
      </c>
      <c r="G322" s="177" t="s">
        <v>3007</v>
      </c>
      <c r="H322" s="172">
        <v>2724</v>
      </c>
    </row>
    <row r="323" spans="1:8" ht="31.5" x14ac:dyDescent="0.25">
      <c r="A323" s="177" t="s">
        <v>6669</v>
      </c>
      <c r="B323" s="177" t="s">
        <v>6709</v>
      </c>
      <c r="C323" s="177" t="s">
        <v>6708</v>
      </c>
      <c r="D323" s="177" t="s">
        <v>6707</v>
      </c>
      <c r="E323" s="181">
        <v>3.66</v>
      </c>
      <c r="F323" s="177" t="s">
        <v>6706</v>
      </c>
      <c r="G323" s="177" t="s">
        <v>3007</v>
      </c>
      <c r="H323" s="172">
        <v>2725</v>
      </c>
    </row>
    <row r="324" spans="1:8" ht="31.5" x14ac:dyDescent="0.25">
      <c r="A324" s="177" t="s">
        <v>6669</v>
      </c>
      <c r="B324" s="177" t="s">
        <v>6705</v>
      </c>
      <c r="C324" s="177" t="s">
        <v>6704</v>
      </c>
      <c r="D324" s="177" t="s">
        <v>6703</v>
      </c>
      <c r="E324" s="181">
        <v>3.98</v>
      </c>
      <c r="F324" s="177" t="s">
        <v>6702</v>
      </c>
      <c r="G324" s="177" t="s">
        <v>3007</v>
      </c>
      <c r="H324" s="172">
        <v>2726</v>
      </c>
    </row>
    <row r="325" spans="1:8" ht="31.5" x14ac:dyDescent="0.25">
      <c r="A325" s="177" t="s">
        <v>6669</v>
      </c>
      <c r="B325" s="177" t="s">
        <v>6701</v>
      </c>
      <c r="C325" s="177" t="s">
        <v>6700</v>
      </c>
      <c r="D325" s="177" t="s">
        <v>6699</v>
      </c>
      <c r="E325" s="181">
        <v>6.56</v>
      </c>
      <c r="F325" s="177" t="s">
        <v>6698</v>
      </c>
      <c r="G325" s="177" t="s">
        <v>3007</v>
      </c>
      <c r="H325" s="172">
        <v>2727</v>
      </c>
    </row>
    <row r="326" spans="1:8" ht="31.5" x14ac:dyDescent="0.25">
      <c r="A326" s="177" t="s">
        <v>6669</v>
      </c>
      <c r="B326" s="177" t="s">
        <v>6697</v>
      </c>
      <c r="C326" s="177" t="s">
        <v>6696</v>
      </c>
      <c r="D326" s="177" t="s">
        <v>6695</v>
      </c>
      <c r="E326" s="181">
        <v>5.32</v>
      </c>
      <c r="F326" s="177" t="s">
        <v>6694</v>
      </c>
      <c r="G326" s="177" t="s">
        <v>3007</v>
      </c>
      <c r="H326" s="172">
        <v>2728</v>
      </c>
    </row>
    <row r="327" spans="1:8" ht="31.5" x14ac:dyDescent="0.25">
      <c r="A327" s="177" t="s">
        <v>6669</v>
      </c>
      <c r="B327" s="177" t="s">
        <v>6693</v>
      </c>
      <c r="C327" s="177" t="s">
        <v>6692</v>
      </c>
      <c r="D327" s="177" t="s">
        <v>6691</v>
      </c>
      <c r="E327" s="181">
        <v>9.4700000000000006</v>
      </c>
      <c r="F327" s="177" t="s">
        <v>6690</v>
      </c>
      <c r="G327" s="177" t="s">
        <v>3007</v>
      </c>
      <c r="H327" s="172">
        <v>2729</v>
      </c>
    </row>
    <row r="328" spans="1:8" ht="31.5" x14ac:dyDescent="0.25">
      <c r="A328" s="177" t="s">
        <v>6669</v>
      </c>
      <c r="B328" s="177" t="s">
        <v>6689</v>
      </c>
      <c r="C328" s="177" t="s">
        <v>6688</v>
      </c>
      <c r="D328" s="177" t="s">
        <v>6687</v>
      </c>
      <c r="E328" s="181">
        <v>2.77</v>
      </c>
      <c r="F328" s="177" t="s">
        <v>6686</v>
      </c>
      <c r="G328" s="177" t="s">
        <v>3007</v>
      </c>
      <c r="H328" s="172">
        <v>2730</v>
      </c>
    </row>
    <row r="329" spans="1:8" ht="31.5" x14ac:dyDescent="0.25">
      <c r="A329" s="177" t="s">
        <v>6669</v>
      </c>
      <c r="B329" s="177" t="s">
        <v>6685</v>
      </c>
      <c r="C329" s="177" t="s">
        <v>6684</v>
      </c>
      <c r="D329" s="177" t="s">
        <v>6683</v>
      </c>
      <c r="E329" s="181">
        <v>9.82</v>
      </c>
      <c r="F329" s="177" t="s">
        <v>6682</v>
      </c>
      <c r="G329" s="177" t="s">
        <v>3007</v>
      </c>
      <c r="H329" s="172">
        <v>2731</v>
      </c>
    </row>
    <row r="330" spans="1:8" ht="31.5" x14ac:dyDescent="0.25">
      <c r="A330" s="177" t="s">
        <v>6669</v>
      </c>
      <c r="B330" s="177" t="s">
        <v>6681</v>
      </c>
      <c r="C330" s="177" t="s">
        <v>6680</v>
      </c>
      <c r="D330" s="177" t="s">
        <v>3969</v>
      </c>
      <c r="E330" s="181">
        <v>4.67</v>
      </c>
      <c r="F330" s="177" t="s">
        <v>3968</v>
      </c>
      <c r="G330" s="177" t="s">
        <v>3007</v>
      </c>
      <c r="H330" s="172">
        <v>2732</v>
      </c>
    </row>
    <row r="331" spans="1:8" ht="31.5" x14ac:dyDescent="0.25">
      <c r="A331" s="177" t="s">
        <v>6669</v>
      </c>
      <c r="B331" s="177" t="s">
        <v>6679</v>
      </c>
      <c r="C331" s="177" t="s">
        <v>6678</v>
      </c>
      <c r="D331" s="177" t="s">
        <v>6677</v>
      </c>
      <c r="E331" s="181">
        <v>3.17</v>
      </c>
      <c r="F331" s="177" t="s">
        <v>6676</v>
      </c>
      <c r="G331" s="177" t="s">
        <v>3007</v>
      </c>
      <c r="H331" s="172">
        <v>2733</v>
      </c>
    </row>
    <row r="332" spans="1:8" ht="31.5" x14ac:dyDescent="0.25">
      <c r="A332" s="177" t="s">
        <v>6669</v>
      </c>
      <c r="B332" s="177" t="s">
        <v>6675</v>
      </c>
      <c r="C332" s="177" t="s">
        <v>6674</v>
      </c>
      <c r="D332" s="177" t="s">
        <v>6673</v>
      </c>
      <c r="E332" s="181">
        <v>56.81</v>
      </c>
      <c r="F332" s="177" t="s">
        <v>6672</v>
      </c>
      <c r="G332" s="177" t="s">
        <v>3007</v>
      </c>
      <c r="H332" s="172">
        <v>2734</v>
      </c>
    </row>
    <row r="333" spans="1:8" ht="31.5" x14ac:dyDescent="0.25">
      <c r="A333" s="177" t="s">
        <v>6669</v>
      </c>
      <c r="B333" s="177" t="s">
        <v>6671</v>
      </c>
      <c r="C333" s="177" t="s">
        <v>6670</v>
      </c>
      <c r="D333" s="177" t="s">
        <v>5646</v>
      </c>
      <c r="E333" s="181">
        <v>4.0199999999999996</v>
      </c>
      <c r="F333" s="177" t="s">
        <v>5645</v>
      </c>
      <c r="G333" s="177" t="s">
        <v>3007</v>
      </c>
      <c r="H333" s="172">
        <v>2735</v>
      </c>
    </row>
    <row r="334" spans="1:8" ht="31.5" x14ac:dyDescent="0.25">
      <c r="A334" s="177" t="s">
        <v>6669</v>
      </c>
      <c r="B334" s="177" t="s">
        <v>6668</v>
      </c>
      <c r="C334" s="177" t="s">
        <v>6667</v>
      </c>
      <c r="D334" s="177" t="s">
        <v>6666</v>
      </c>
      <c r="E334" s="181">
        <v>10.77</v>
      </c>
      <c r="F334" s="177" t="s">
        <v>6665</v>
      </c>
      <c r="G334" s="177" t="s">
        <v>3007</v>
      </c>
      <c r="H334" s="172">
        <v>2737</v>
      </c>
    </row>
    <row r="335" spans="1:8" ht="31.5" x14ac:dyDescent="0.25">
      <c r="A335" s="177" t="s">
        <v>6654</v>
      </c>
      <c r="B335" s="177" t="s">
        <v>6664</v>
      </c>
      <c r="C335" s="177" t="s">
        <v>6663</v>
      </c>
      <c r="D335" s="177" t="s">
        <v>6662</v>
      </c>
      <c r="E335" s="181">
        <v>3.36</v>
      </c>
      <c r="F335" s="177" t="s">
        <v>6661</v>
      </c>
      <c r="G335" s="177" t="s">
        <v>3007</v>
      </c>
      <c r="H335" s="172">
        <v>2738</v>
      </c>
    </row>
    <row r="336" spans="1:8" ht="31.5" x14ac:dyDescent="0.25">
      <c r="A336" s="177" t="s">
        <v>6654</v>
      </c>
      <c r="B336" s="177" t="s">
        <v>6660</v>
      </c>
      <c r="C336" s="177" t="s">
        <v>6659</v>
      </c>
      <c r="D336" s="177" t="s">
        <v>6658</v>
      </c>
      <c r="E336" s="181">
        <v>7.03</v>
      </c>
      <c r="F336" s="177" t="s">
        <v>6657</v>
      </c>
      <c r="G336" s="177" t="s">
        <v>3007</v>
      </c>
      <c r="H336" s="172">
        <v>2739</v>
      </c>
    </row>
    <row r="337" spans="1:8" ht="31.5" x14ac:dyDescent="0.25">
      <c r="A337" s="177" t="s">
        <v>6654</v>
      </c>
      <c r="B337" s="177" t="s">
        <v>6656</v>
      </c>
      <c r="C337" s="177" t="s">
        <v>6655</v>
      </c>
      <c r="D337" s="177" t="s">
        <v>4885</v>
      </c>
      <c r="E337" s="181">
        <v>5.96</v>
      </c>
      <c r="F337" s="177" t="s">
        <v>4884</v>
      </c>
      <c r="G337" s="177" t="s">
        <v>3007</v>
      </c>
      <c r="H337" s="172">
        <v>2740</v>
      </c>
    </row>
    <row r="338" spans="1:8" ht="31.5" x14ac:dyDescent="0.25">
      <c r="A338" s="177" t="s">
        <v>6654</v>
      </c>
      <c r="B338" s="177" t="s">
        <v>6653</v>
      </c>
      <c r="C338" s="177" t="s">
        <v>6652</v>
      </c>
      <c r="D338" s="177" t="s">
        <v>6651</v>
      </c>
      <c r="E338" s="181">
        <v>0.09</v>
      </c>
      <c r="F338" s="177" t="s">
        <v>6650</v>
      </c>
      <c r="G338" s="177" t="s">
        <v>3007</v>
      </c>
      <c r="H338" s="172">
        <v>2741</v>
      </c>
    </row>
    <row r="339" spans="1:8" ht="31.5" x14ac:dyDescent="0.25">
      <c r="A339" s="177" t="s">
        <v>6572</v>
      </c>
      <c r="B339" s="177" t="s">
        <v>6649</v>
      </c>
      <c r="C339" s="177" t="s">
        <v>6648</v>
      </c>
      <c r="D339" s="177" t="s">
        <v>6647</v>
      </c>
      <c r="E339" s="181">
        <v>4.3899999999999997</v>
      </c>
      <c r="F339" s="177" t="s">
        <v>6646</v>
      </c>
      <c r="G339" s="177" t="s">
        <v>3007</v>
      </c>
      <c r="H339" s="172">
        <v>2768</v>
      </c>
    </row>
    <row r="340" spans="1:8" ht="31.5" x14ac:dyDescent="0.25">
      <c r="A340" s="177" t="s">
        <v>6572</v>
      </c>
      <c r="B340" s="177" t="s">
        <v>6645</v>
      </c>
      <c r="C340" s="177" t="s">
        <v>6644</v>
      </c>
      <c r="D340" s="177" t="s">
        <v>4309</v>
      </c>
      <c r="E340" s="181">
        <v>4.1900000000000004</v>
      </c>
      <c r="F340" s="177" t="s">
        <v>4308</v>
      </c>
      <c r="G340" s="177" t="s">
        <v>3007</v>
      </c>
      <c r="H340" s="172">
        <v>2769</v>
      </c>
    </row>
    <row r="341" spans="1:8" ht="31.5" x14ac:dyDescent="0.25">
      <c r="A341" s="177" t="s">
        <v>6572</v>
      </c>
      <c r="B341" s="177" t="s">
        <v>6643</v>
      </c>
      <c r="C341" s="177" t="s">
        <v>6642</v>
      </c>
      <c r="D341" s="177" t="s">
        <v>6230</v>
      </c>
      <c r="E341" s="181">
        <v>0.36</v>
      </c>
      <c r="F341" s="177" t="s">
        <v>6229</v>
      </c>
      <c r="G341" s="177" t="s">
        <v>3007</v>
      </c>
      <c r="H341" s="172">
        <v>2770</v>
      </c>
    </row>
    <row r="342" spans="1:8" ht="31.5" x14ac:dyDescent="0.25">
      <c r="A342" s="177" t="s">
        <v>6572</v>
      </c>
      <c r="B342" s="177" t="s">
        <v>6641</v>
      </c>
      <c r="C342" s="177" t="s">
        <v>6640</v>
      </c>
      <c r="D342" s="177" t="s">
        <v>6639</v>
      </c>
      <c r="E342" s="181">
        <v>2.5499999999999998</v>
      </c>
      <c r="F342" s="177" t="s">
        <v>6638</v>
      </c>
      <c r="G342" s="177" t="s">
        <v>3007</v>
      </c>
      <c r="H342" s="172">
        <v>2771</v>
      </c>
    </row>
    <row r="343" spans="1:8" ht="31.5" x14ac:dyDescent="0.25">
      <c r="A343" s="177" t="s">
        <v>6572</v>
      </c>
      <c r="B343" s="177" t="s">
        <v>6637</v>
      </c>
      <c r="C343" s="177" t="s">
        <v>6636</v>
      </c>
      <c r="D343" s="177" t="s">
        <v>5665</v>
      </c>
      <c r="E343" s="181">
        <v>5.04</v>
      </c>
      <c r="F343" s="177" t="s">
        <v>5664</v>
      </c>
      <c r="G343" s="177" t="s">
        <v>3007</v>
      </c>
      <c r="H343" s="172">
        <v>2772</v>
      </c>
    </row>
    <row r="344" spans="1:8" ht="31.5" x14ac:dyDescent="0.25">
      <c r="A344" s="177" t="s">
        <v>6572</v>
      </c>
      <c r="B344" s="177" t="s">
        <v>6635</v>
      </c>
      <c r="C344" s="177" t="s">
        <v>6634</v>
      </c>
      <c r="D344" s="177" t="s">
        <v>6633</v>
      </c>
      <c r="E344" s="181">
        <v>1.9</v>
      </c>
      <c r="F344" s="177" t="s">
        <v>6632</v>
      </c>
      <c r="G344" s="177" t="s">
        <v>3007</v>
      </c>
      <c r="H344" s="172">
        <v>2773</v>
      </c>
    </row>
    <row r="345" spans="1:8" ht="31.5" x14ac:dyDescent="0.25">
      <c r="A345" s="177" t="s">
        <v>6572</v>
      </c>
      <c r="B345" s="177" t="s">
        <v>6631</v>
      </c>
      <c r="C345" s="177" t="s">
        <v>6630</v>
      </c>
      <c r="D345" s="177" t="s">
        <v>6629</v>
      </c>
      <c r="E345" s="181">
        <v>3.36</v>
      </c>
      <c r="F345" s="177" t="s">
        <v>6628</v>
      </c>
      <c r="G345" s="177" t="s">
        <v>3007</v>
      </c>
      <c r="H345" s="172">
        <v>2774</v>
      </c>
    </row>
    <row r="346" spans="1:8" ht="31.5" x14ac:dyDescent="0.25">
      <c r="A346" s="177" t="s">
        <v>6572</v>
      </c>
      <c r="B346" s="177" t="s">
        <v>6627</v>
      </c>
      <c r="C346" s="177" t="s">
        <v>6626</v>
      </c>
      <c r="D346" s="177" t="s">
        <v>4245</v>
      </c>
      <c r="E346" s="181">
        <v>13.53</v>
      </c>
      <c r="F346" s="177" t="s">
        <v>4244</v>
      </c>
      <c r="G346" s="177" t="s">
        <v>3007</v>
      </c>
      <c r="H346" s="172">
        <v>2775</v>
      </c>
    </row>
    <row r="347" spans="1:8" ht="31.5" x14ac:dyDescent="0.25">
      <c r="A347" s="177" t="s">
        <v>6572</v>
      </c>
      <c r="B347" s="177" t="s">
        <v>6625</v>
      </c>
      <c r="C347" s="177" t="s">
        <v>6624</v>
      </c>
      <c r="D347" s="177" t="s">
        <v>6623</v>
      </c>
      <c r="E347" s="181">
        <v>5.86</v>
      </c>
      <c r="F347" s="177" t="s">
        <v>6622</v>
      </c>
      <c r="G347" s="177" t="s">
        <v>3007</v>
      </c>
      <c r="H347" s="172">
        <v>2776</v>
      </c>
    </row>
    <row r="348" spans="1:8" ht="31.5" x14ac:dyDescent="0.25">
      <c r="A348" s="177" t="s">
        <v>6572</v>
      </c>
      <c r="B348" s="177" t="s">
        <v>6621</v>
      </c>
      <c r="C348" s="177" t="s">
        <v>6620</v>
      </c>
      <c r="D348" s="177" t="s">
        <v>4277</v>
      </c>
      <c r="E348" s="181">
        <v>5.01</v>
      </c>
      <c r="F348" s="177" t="s">
        <v>4276</v>
      </c>
      <c r="G348" s="177" t="s">
        <v>3007</v>
      </c>
      <c r="H348" s="172">
        <v>2777</v>
      </c>
    </row>
    <row r="349" spans="1:8" ht="31.5" x14ac:dyDescent="0.25">
      <c r="A349" s="177" t="s">
        <v>6572</v>
      </c>
      <c r="B349" s="177" t="s">
        <v>6619</v>
      </c>
      <c r="C349" s="177" t="s">
        <v>6618</v>
      </c>
      <c r="D349" s="177" t="s">
        <v>6617</v>
      </c>
      <c r="E349" s="181">
        <v>1.68</v>
      </c>
      <c r="F349" s="177" t="s">
        <v>6616</v>
      </c>
      <c r="G349" s="177" t="s">
        <v>3007</v>
      </c>
      <c r="H349" s="172">
        <v>2778</v>
      </c>
    </row>
    <row r="350" spans="1:8" ht="31.5" x14ac:dyDescent="0.25">
      <c r="A350" s="177" t="s">
        <v>6572</v>
      </c>
      <c r="B350" s="177" t="s">
        <v>6615</v>
      </c>
      <c r="C350" s="177" t="s">
        <v>6614</v>
      </c>
      <c r="D350" s="177" t="s">
        <v>6613</v>
      </c>
      <c r="E350" s="181">
        <v>11.89</v>
      </c>
      <c r="F350" s="177" t="s">
        <v>6612</v>
      </c>
      <c r="G350" s="177" t="s">
        <v>3007</v>
      </c>
      <c r="H350" s="172">
        <v>2779</v>
      </c>
    </row>
    <row r="351" spans="1:8" ht="31.5" x14ac:dyDescent="0.25">
      <c r="A351" s="177" t="s">
        <v>6572</v>
      </c>
      <c r="B351" s="177" t="s">
        <v>6611</v>
      </c>
      <c r="C351" s="177" t="s">
        <v>6610</v>
      </c>
      <c r="D351" s="177" t="s">
        <v>6609</v>
      </c>
      <c r="E351" s="181">
        <v>7.63</v>
      </c>
      <c r="F351" s="177" t="s">
        <v>6608</v>
      </c>
      <c r="G351" s="177" t="s">
        <v>3007</v>
      </c>
      <c r="H351" s="172">
        <v>2788</v>
      </c>
    </row>
    <row r="352" spans="1:8" ht="31.5" x14ac:dyDescent="0.25">
      <c r="A352" s="177" t="s">
        <v>6572</v>
      </c>
      <c r="B352" s="177" t="s">
        <v>6607</v>
      </c>
      <c r="C352" s="177" t="s">
        <v>6606</v>
      </c>
      <c r="D352" s="177" t="s">
        <v>4689</v>
      </c>
      <c r="E352" s="181">
        <v>2.7</v>
      </c>
      <c r="F352" s="177" t="s">
        <v>4688</v>
      </c>
      <c r="G352" s="177" t="s">
        <v>3007</v>
      </c>
      <c r="H352" s="172">
        <v>2789</v>
      </c>
    </row>
    <row r="353" spans="1:8" ht="31.5" x14ac:dyDescent="0.25">
      <c r="A353" s="177" t="s">
        <v>6572</v>
      </c>
      <c r="B353" s="177" t="s">
        <v>6605</v>
      </c>
      <c r="C353" s="177" t="s">
        <v>6604</v>
      </c>
      <c r="D353" s="177" t="s">
        <v>6603</v>
      </c>
      <c r="E353" s="181">
        <v>4.0199999999999996</v>
      </c>
      <c r="F353" s="177" t="s">
        <v>6602</v>
      </c>
      <c r="G353" s="177" t="s">
        <v>3007</v>
      </c>
      <c r="H353" s="172">
        <v>2790</v>
      </c>
    </row>
    <row r="354" spans="1:8" ht="31.5" x14ac:dyDescent="0.25">
      <c r="A354" s="177" t="s">
        <v>6572</v>
      </c>
      <c r="B354" s="177" t="s">
        <v>6601</v>
      </c>
      <c r="C354" s="177" t="s">
        <v>6600</v>
      </c>
      <c r="D354" s="177" t="s">
        <v>6053</v>
      </c>
      <c r="E354" s="181">
        <v>4.21</v>
      </c>
      <c r="F354" s="177" t="s">
        <v>6052</v>
      </c>
      <c r="G354" s="177" t="s">
        <v>3007</v>
      </c>
      <c r="H354" s="172">
        <v>2791</v>
      </c>
    </row>
    <row r="355" spans="1:8" ht="31.5" x14ac:dyDescent="0.25">
      <c r="A355" s="177" t="s">
        <v>6572</v>
      </c>
      <c r="B355" s="177" t="s">
        <v>6599</v>
      </c>
      <c r="C355" s="177" t="s">
        <v>6598</v>
      </c>
      <c r="D355" s="177" t="s">
        <v>4261</v>
      </c>
      <c r="E355" s="181">
        <v>8.3800000000000008</v>
      </c>
      <c r="F355" s="177" t="s">
        <v>4260</v>
      </c>
      <c r="G355" s="177" t="s">
        <v>3007</v>
      </c>
      <c r="H355" s="172">
        <v>2792</v>
      </c>
    </row>
    <row r="356" spans="1:8" ht="31.5" x14ac:dyDescent="0.25">
      <c r="A356" s="177" t="s">
        <v>6572</v>
      </c>
      <c r="B356" s="177" t="s">
        <v>6597</v>
      </c>
      <c r="C356" s="177" t="s">
        <v>6596</v>
      </c>
      <c r="D356" s="177" t="s">
        <v>6595</v>
      </c>
      <c r="E356" s="181">
        <v>9.1</v>
      </c>
      <c r="F356" s="177" t="s">
        <v>6591</v>
      </c>
      <c r="G356" s="177" t="s">
        <v>3007</v>
      </c>
      <c r="H356" s="172">
        <v>2794</v>
      </c>
    </row>
    <row r="357" spans="1:8" ht="31.5" x14ac:dyDescent="0.25">
      <c r="A357" s="177" t="s">
        <v>6572</v>
      </c>
      <c r="B357" s="177" t="s">
        <v>6594</v>
      </c>
      <c r="C357" s="177" t="s">
        <v>6593</v>
      </c>
      <c r="D357" s="177" t="s">
        <v>6592</v>
      </c>
      <c r="E357" s="181">
        <v>4.4000000000000004</v>
      </c>
      <c r="F357" s="177" t="s">
        <v>6591</v>
      </c>
      <c r="G357" s="177" t="s">
        <v>3007</v>
      </c>
      <c r="H357" s="172">
        <v>2793</v>
      </c>
    </row>
    <row r="358" spans="1:8" ht="31.5" x14ac:dyDescent="0.25">
      <c r="A358" s="177" t="s">
        <v>6572</v>
      </c>
      <c r="B358" s="177" t="s">
        <v>6590</v>
      </c>
      <c r="C358" s="177" t="s">
        <v>6589</v>
      </c>
      <c r="D358" s="177" t="s">
        <v>4372</v>
      </c>
      <c r="E358" s="181">
        <v>4.1900000000000004</v>
      </c>
      <c r="F358" s="177" t="s">
        <v>4371</v>
      </c>
      <c r="G358" s="177" t="s">
        <v>3007</v>
      </c>
      <c r="H358" s="172">
        <v>2795</v>
      </c>
    </row>
    <row r="359" spans="1:8" ht="31.5" x14ac:dyDescent="0.25">
      <c r="A359" s="177" t="s">
        <v>6572</v>
      </c>
      <c r="B359" s="177" t="s">
        <v>6588</v>
      </c>
      <c r="C359" s="177" t="s">
        <v>6587</v>
      </c>
      <c r="D359" s="177" t="s">
        <v>6586</v>
      </c>
      <c r="E359" s="181">
        <v>4.7300000000000004</v>
      </c>
      <c r="F359" s="177" t="s">
        <v>6585</v>
      </c>
      <c r="G359" s="177" t="s">
        <v>3007</v>
      </c>
      <c r="H359" s="172">
        <v>2796</v>
      </c>
    </row>
    <row r="360" spans="1:8" ht="31.5" x14ac:dyDescent="0.25">
      <c r="A360" s="177" t="s">
        <v>6572</v>
      </c>
      <c r="B360" s="177" t="s">
        <v>6584</v>
      </c>
      <c r="C360" s="177" t="s">
        <v>6583</v>
      </c>
      <c r="D360" s="177" t="s">
        <v>4945</v>
      </c>
      <c r="E360" s="181">
        <v>3.33</v>
      </c>
      <c r="F360" s="177" t="s">
        <v>4944</v>
      </c>
      <c r="G360" s="177" t="s">
        <v>3007</v>
      </c>
      <c r="H360" s="172">
        <v>2797</v>
      </c>
    </row>
    <row r="361" spans="1:8" ht="31.5" x14ac:dyDescent="0.25">
      <c r="A361" s="177" t="s">
        <v>6572</v>
      </c>
      <c r="B361" s="177" t="s">
        <v>6582</v>
      </c>
      <c r="C361" s="177" t="s">
        <v>6581</v>
      </c>
      <c r="D361" s="177" t="s">
        <v>6580</v>
      </c>
      <c r="E361" s="181">
        <v>6.31</v>
      </c>
      <c r="F361" s="177" t="s">
        <v>6579</v>
      </c>
      <c r="G361" s="177" t="s">
        <v>3007</v>
      </c>
      <c r="H361" s="172">
        <v>2798</v>
      </c>
    </row>
    <row r="362" spans="1:8" ht="31.5" x14ac:dyDescent="0.25">
      <c r="A362" s="177" t="s">
        <v>6572</v>
      </c>
      <c r="B362" s="177" t="s">
        <v>6578</v>
      </c>
      <c r="C362" s="177" t="s">
        <v>6577</v>
      </c>
      <c r="D362" s="177" t="s">
        <v>4317</v>
      </c>
      <c r="E362" s="181">
        <v>1.96</v>
      </c>
      <c r="F362" s="177" t="s">
        <v>4316</v>
      </c>
      <c r="G362" s="177" t="s">
        <v>3007</v>
      </c>
      <c r="H362" s="172">
        <v>2800</v>
      </c>
    </row>
    <row r="363" spans="1:8" ht="31.5" x14ac:dyDescent="0.25">
      <c r="A363" s="177" t="s">
        <v>6572</v>
      </c>
      <c r="B363" s="177" t="s">
        <v>6576</v>
      </c>
      <c r="C363" s="177" t="s">
        <v>6575</v>
      </c>
      <c r="D363" s="177" t="s">
        <v>6574</v>
      </c>
      <c r="E363" s="181">
        <v>1.69</v>
      </c>
      <c r="F363" s="177" t="s">
        <v>6573</v>
      </c>
      <c r="G363" s="177" t="s">
        <v>3007</v>
      </c>
      <c r="H363" s="172">
        <v>2801</v>
      </c>
    </row>
    <row r="364" spans="1:8" ht="31.5" x14ac:dyDescent="0.25">
      <c r="A364" s="177" t="s">
        <v>6572</v>
      </c>
      <c r="B364" s="177" t="s">
        <v>6571</v>
      </c>
      <c r="C364" s="177" t="s">
        <v>6570</v>
      </c>
      <c r="D364" s="177" t="s">
        <v>4257</v>
      </c>
      <c r="E364" s="181">
        <v>8.3800000000000008</v>
      </c>
      <c r="F364" s="177" t="s">
        <v>4256</v>
      </c>
      <c r="G364" s="177" t="s">
        <v>3007</v>
      </c>
      <c r="H364" s="172">
        <v>2802</v>
      </c>
    </row>
    <row r="365" spans="1:8" ht="31.5" x14ac:dyDescent="0.25">
      <c r="A365" s="177" t="s">
        <v>6523</v>
      </c>
      <c r="B365" s="177" t="s">
        <v>6569</v>
      </c>
      <c r="C365" s="177" t="s">
        <v>6568</v>
      </c>
      <c r="D365" s="177" t="s">
        <v>6567</v>
      </c>
      <c r="E365" s="181">
        <v>7.94</v>
      </c>
      <c r="F365" s="177" t="s">
        <v>6566</v>
      </c>
      <c r="G365" s="177" t="s">
        <v>3007</v>
      </c>
      <c r="H365" s="172">
        <v>2819</v>
      </c>
    </row>
    <row r="366" spans="1:8" ht="31.5" x14ac:dyDescent="0.25">
      <c r="A366" s="177" t="s">
        <v>6523</v>
      </c>
      <c r="B366" s="177" t="s">
        <v>6565</v>
      </c>
      <c r="C366" s="177" t="s">
        <v>6564</v>
      </c>
      <c r="D366" s="177" t="s">
        <v>6563</v>
      </c>
      <c r="E366" s="181">
        <v>19.34</v>
      </c>
      <c r="F366" s="177" t="s">
        <v>6562</v>
      </c>
      <c r="G366" s="177" t="s">
        <v>3007</v>
      </c>
      <c r="H366" s="172">
        <v>2820</v>
      </c>
    </row>
    <row r="367" spans="1:8" ht="31.5" x14ac:dyDescent="0.25">
      <c r="A367" s="177" t="s">
        <v>6523</v>
      </c>
      <c r="B367" s="177" t="s">
        <v>6561</v>
      </c>
      <c r="C367" s="177" t="s">
        <v>6560</v>
      </c>
      <c r="D367" s="177" t="s">
        <v>3979</v>
      </c>
      <c r="E367" s="181">
        <v>1.68</v>
      </c>
      <c r="F367" s="177" t="s">
        <v>3978</v>
      </c>
      <c r="G367" s="177" t="s">
        <v>3007</v>
      </c>
      <c r="H367" s="172">
        <v>2821</v>
      </c>
    </row>
    <row r="368" spans="1:8" ht="31.5" x14ac:dyDescent="0.25">
      <c r="A368" s="177" t="s">
        <v>6523</v>
      </c>
      <c r="B368" s="177" t="s">
        <v>6559</v>
      </c>
      <c r="C368" s="177" t="s">
        <v>6558</v>
      </c>
      <c r="D368" s="177" t="s">
        <v>4305</v>
      </c>
      <c r="E368" s="181">
        <v>19.989999999999998</v>
      </c>
      <c r="F368" s="177" t="s">
        <v>4304</v>
      </c>
      <c r="G368" s="177" t="s">
        <v>3007</v>
      </c>
      <c r="H368" s="172">
        <v>2822</v>
      </c>
    </row>
    <row r="369" spans="1:8" ht="31.5" x14ac:dyDescent="0.25">
      <c r="A369" s="177" t="s">
        <v>6523</v>
      </c>
      <c r="B369" s="177" t="s">
        <v>6557</v>
      </c>
      <c r="C369" s="177" t="s">
        <v>6556</v>
      </c>
      <c r="D369" s="177" t="s">
        <v>5634</v>
      </c>
      <c r="E369" s="181">
        <v>0.69</v>
      </c>
      <c r="F369" s="177" t="s">
        <v>5633</v>
      </c>
      <c r="G369" s="177" t="s">
        <v>3007</v>
      </c>
      <c r="H369" s="172">
        <v>2823</v>
      </c>
    </row>
    <row r="370" spans="1:8" ht="31.5" x14ac:dyDescent="0.25">
      <c r="A370" s="177" t="s">
        <v>6523</v>
      </c>
      <c r="B370" s="177" t="s">
        <v>6555</v>
      </c>
      <c r="C370" s="177" t="s">
        <v>6554</v>
      </c>
      <c r="D370" s="177" t="s">
        <v>6553</v>
      </c>
      <c r="E370" s="181">
        <v>4.25</v>
      </c>
      <c r="F370" s="177" t="s">
        <v>6552</v>
      </c>
      <c r="G370" s="177" t="s">
        <v>3007</v>
      </c>
      <c r="H370" s="172">
        <v>2824</v>
      </c>
    </row>
    <row r="371" spans="1:8" ht="31.5" x14ac:dyDescent="0.25">
      <c r="A371" s="177" t="s">
        <v>6523</v>
      </c>
      <c r="B371" s="177" t="s">
        <v>6551</v>
      </c>
      <c r="C371" s="177" t="s">
        <v>6550</v>
      </c>
      <c r="D371" s="177" t="s">
        <v>4859</v>
      </c>
      <c r="E371" s="181">
        <v>1.94</v>
      </c>
      <c r="F371" s="177" t="s">
        <v>4854</v>
      </c>
      <c r="G371" s="177" t="s">
        <v>3007</v>
      </c>
      <c r="H371" s="172">
        <v>3205</v>
      </c>
    </row>
    <row r="372" spans="1:8" ht="31.5" x14ac:dyDescent="0.25">
      <c r="A372" s="177" t="s">
        <v>6523</v>
      </c>
      <c r="B372" s="177" t="s">
        <v>6549</v>
      </c>
      <c r="C372" s="177" t="s">
        <v>6548</v>
      </c>
      <c r="D372" s="177" t="s">
        <v>4855</v>
      </c>
      <c r="E372" s="181">
        <v>4.4800000000000004</v>
      </c>
      <c r="F372" s="177" t="s">
        <v>4854</v>
      </c>
      <c r="G372" s="177" t="s">
        <v>3007</v>
      </c>
      <c r="H372" s="172">
        <v>3206</v>
      </c>
    </row>
    <row r="373" spans="1:8" ht="31.5" x14ac:dyDescent="0.25">
      <c r="A373" s="177" t="s">
        <v>6523</v>
      </c>
      <c r="B373" s="177" t="s">
        <v>6547</v>
      </c>
      <c r="C373" s="177" t="s">
        <v>6546</v>
      </c>
      <c r="D373" s="177" t="s">
        <v>4566</v>
      </c>
      <c r="E373" s="181">
        <v>1.88</v>
      </c>
      <c r="F373" s="177" t="s">
        <v>4565</v>
      </c>
      <c r="G373" s="177" t="s">
        <v>3007</v>
      </c>
      <c r="H373" s="172">
        <v>2827</v>
      </c>
    </row>
    <row r="374" spans="1:8" ht="31.5" x14ac:dyDescent="0.25">
      <c r="A374" s="177" t="s">
        <v>6523</v>
      </c>
      <c r="B374" s="177" t="s">
        <v>6545</v>
      </c>
      <c r="C374" s="177" t="s">
        <v>6544</v>
      </c>
      <c r="D374" s="177" t="s">
        <v>6543</v>
      </c>
      <c r="E374" s="181">
        <v>8.36</v>
      </c>
      <c r="F374" s="177" t="s">
        <v>6542</v>
      </c>
      <c r="G374" s="177" t="s">
        <v>3007</v>
      </c>
      <c r="H374" s="172">
        <v>2829</v>
      </c>
    </row>
    <row r="375" spans="1:8" ht="31.5" x14ac:dyDescent="0.25">
      <c r="A375" s="177" t="s">
        <v>6523</v>
      </c>
      <c r="B375" s="177" t="s">
        <v>6541</v>
      </c>
      <c r="C375" s="177" t="s">
        <v>6540</v>
      </c>
      <c r="D375" s="177" t="s">
        <v>4771</v>
      </c>
      <c r="E375" s="181">
        <v>1.7</v>
      </c>
      <c r="F375" s="177" t="s">
        <v>4770</v>
      </c>
      <c r="G375" s="177" t="s">
        <v>3007</v>
      </c>
      <c r="H375" s="172">
        <v>2830</v>
      </c>
    </row>
    <row r="376" spans="1:8" ht="31.5" x14ac:dyDescent="0.25">
      <c r="A376" s="177" t="s">
        <v>6523</v>
      </c>
      <c r="B376" s="177" t="s">
        <v>6539</v>
      </c>
      <c r="C376" s="177" t="s">
        <v>6538</v>
      </c>
      <c r="D376" s="177" t="s">
        <v>6537</v>
      </c>
      <c r="E376" s="181">
        <v>5.89</v>
      </c>
      <c r="F376" s="177" t="s">
        <v>6536</v>
      </c>
      <c r="G376" s="177" t="s">
        <v>3007</v>
      </c>
      <c r="H376" s="172">
        <v>2831</v>
      </c>
    </row>
    <row r="377" spans="1:8" ht="31.5" x14ac:dyDescent="0.25">
      <c r="A377" s="177" t="s">
        <v>6523</v>
      </c>
      <c r="B377" s="177" t="s">
        <v>6535</v>
      </c>
      <c r="C377" s="177" t="s">
        <v>6534</v>
      </c>
      <c r="D377" s="177" t="s">
        <v>6533</v>
      </c>
      <c r="E377" s="181">
        <v>4.13</v>
      </c>
      <c r="F377" s="177" t="s">
        <v>6532</v>
      </c>
      <c r="G377" s="177" t="s">
        <v>3007</v>
      </c>
      <c r="H377" s="172">
        <v>2832</v>
      </c>
    </row>
    <row r="378" spans="1:8" ht="31.5" x14ac:dyDescent="0.25">
      <c r="A378" s="177" t="s">
        <v>6523</v>
      </c>
      <c r="B378" s="177" t="s">
        <v>6531</v>
      </c>
      <c r="C378" s="177" t="s">
        <v>6530</v>
      </c>
      <c r="D378" s="177" t="s">
        <v>3916</v>
      </c>
      <c r="E378" s="181">
        <v>8.3800000000000008</v>
      </c>
      <c r="F378" s="177" t="s">
        <v>3915</v>
      </c>
      <c r="G378" s="177" t="s">
        <v>3007</v>
      </c>
      <c r="H378" s="172">
        <v>2833</v>
      </c>
    </row>
    <row r="379" spans="1:8" ht="31.5" x14ac:dyDescent="0.25">
      <c r="A379" s="177" t="s">
        <v>6523</v>
      </c>
      <c r="B379" s="177" t="s">
        <v>6529</v>
      </c>
      <c r="C379" s="177" t="s">
        <v>6528</v>
      </c>
      <c r="D379" s="177" t="s">
        <v>6527</v>
      </c>
      <c r="E379" s="181">
        <v>1.92</v>
      </c>
      <c r="F379" s="177" t="s">
        <v>6526</v>
      </c>
      <c r="G379" s="177" t="s">
        <v>3007</v>
      </c>
      <c r="H379" s="172">
        <v>2834</v>
      </c>
    </row>
    <row r="380" spans="1:8" ht="31.5" x14ac:dyDescent="0.25">
      <c r="A380" s="177" t="s">
        <v>6523</v>
      </c>
      <c r="B380" s="177" t="s">
        <v>6525</v>
      </c>
      <c r="C380" s="177" t="s">
        <v>6524</v>
      </c>
      <c r="D380" s="177" t="s">
        <v>3953</v>
      </c>
      <c r="E380" s="181">
        <v>1.68</v>
      </c>
      <c r="F380" s="177" t="s">
        <v>3952</v>
      </c>
      <c r="G380" s="177" t="s">
        <v>3007</v>
      </c>
      <c r="H380" s="172">
        <v>2835</v>
      </c>
    </row>
    <row r="381" spans="1:8" ht="31.5" x14ac:dyDescent="0.25">
      <c r="A381" s="177" t="s">
        <v>6523</v>
      </c>
      <c r="B381" s="177" t="s">
        <v>6522</v>
      </c>
      <c r="C381" s="177" t="s">
        <v>6521</v>
      </c>
      <c r="D381" s="177" t="s">
        <v>6520</v>
      </c>
      <c r="E381" s="181">
        <v>12.4</v>
      </c>
      <c r="F381" s="177" t="s">
        <v>6519</v>
      </c>
      <c r="G381" s="177" t="s">
        <v>3007</v>
      </c>
      <c r="H381" s="172">
        <v>2836</v>
      </c>
    </row>
    <row r="382" spans="1:8" ht="31.5" x14ac:dyDescent="0.25">
      <c r="A382" s="177" t="s">
        <v>6477</v>
      </c>
      <c r="B382" s="177" t="s">
        <v>6518</v>
      </c>
      <c r="C382" s="177" t="s">
        <v>6517</v>
      </c>
      <c r="D382" s="177" t="s">
        <v>5309</v>
      </c>
      <c r="E382" s="181">
        <v>1.68</v>
      </c>
      <c r="F382" s="177" t="s">
        <v>5308</v>
      </c>
      <c r="G382" s="177" t="s">
        <v>3007</v>
      </c>
      <c r="H382" s="172">
        <v>2880</v>
      </c>
    </row>
    <row r="383" spans="1:8" ht="31.5" x14ac:dyDescent="0.25">
      <c r="A383" s="177" t="s">
        <v>6477</v>
      </c>
      <c r="B383" s="177" t="s">
        <v>6516</v>
      </c>
      <c r="C383" s="177" t="s">
        <v>6515</v>
      </c>
      <c r="D383" s="177" t="s">
        <v>6514</v>
      </c>
      <c r="E383" s="181">
        <v>1.95</v>
      </c>
      <c r="F383" s="177" t="s">
        <v>6513</v>
      </c>
      <c r="G383" s="177" t="s">
        <v>3007</v>
      </c>
      <c r="H383" s="172">
        <v>2881</v>
      </c>
    </row>
    <row r="384" spans="1:8" ht="31.5" x14ac:dyDescent="0.25">
      <c r="A384" s="177" t="s">
        <v>6477</v>
      </c>
      <c r="B384" s="177" t="s">
        <v>6512</v>
      </c>
      <c r="C384" s="177" t="s">
        <v>6511</v>
      </c>
      <c r="D384" s="177" t="s">
        <v>6510</v>
      </c>
      <c r="E384" s="181">
        <v>2.62</v>
      </c>
      <c r="F384" s="177" t="s">
        <v>6509</v>
      </c>
      <c r="G384" s="177" t="s">
        <v>3007</v>
      </c>
      <c r="H384" s="172">
        <v>2882</v>
      </c>
    </row>
    <row r="385" spans="1:8" ht="31.5" x14ac:dyDescent="0.25">
      <c r="A385" s="177" t="s">
        <v>6477</v>
      </c>
      <c r="B385" s="177" t="s">
        <v>6508</v>
      </c>
      <c r="C385" s="177" t="s">
        <v>6507</v>
      </c>
      <c r="D385" s="177" t="s">
        <v>4176</v>
      </c>
      <c r="E385" s="181">
        <v>2.54</v>
      </c>
      <c r="F385" s="177" t="s">
        <v>4175</v>
      </c>
      <c r="G385" s="177" t="s">
        <v>3007</v>
      </c>
      <c r="H385" s="172">
        <v>2883</v>
      </c>
    </row>
    <row r="386" spans="1:8" ht="31.5" x14ac:dyDescent="0.25">
      <c r="A386" s="177" t="s">
        <v>6477</v>
      </c>
      <c r="B386" s="177" t="s">
        <v>3605</v>
      </c>
      <c r="C386" s="177" t="s">
        <v>6506</v>
      </c>
      <c r="D386" s="177" t="s">
        <v>4720</v>
      </c>
      <c r="E386" s="181">
        <v>11.6</v>
      </c>
      <c r="F386" s="177" t="s">
        <v>4719</v>
      </c>
      <c r="G386" s="177" t="s">
        <v>3007</v>
      </c>
      <c r="H386" s="172">
        <v>2884</v>
      </c>
    </row>
    <row r="387" spans="1:8" ht="31.5" x14ac:dyDescent="0.25">
      <c r="A387" s="177" t="s">
        <v>6477</v>
      </c>
      <c r="B387" s="177" t="s">
        <v>6505</v>
      </c>
      <c r="C387" s="177" t="s">
        <v>6504</v>
      </c>
      <c r="D387" s="177" t="s">
        <v>6503</v>
      </c>
      <c r="E387" s="181">
        <v>5.62</v>
      </c>
      <c r="F387" s="177" t="s">
        <v>6502</v>
      </c>
      <c r="G387" s="177" t="s">
        <v>3007</v>
      </c>
      <c r="H387" s="172">
        <v>2885</v>
      </c>
    </row>
    <row r="388" spans="1:8" ht="31.5" x14ac:dyDescent="0.25">
      <c r="A388" s="177" t="s">
        <v>6477</v>
      </c>
      <c r="B388" s="177" t="s">
        <v>6501</v>
      </c>
      <c r="C388" s="177" t="s">
        <v>6500</v>
      </c>
      <c r="D388" s="177" t="s">
        <v>4021</v>
      </c>
      <c r="E388" s="181">
        <v>6.19</v>
      </c>
      <c r="F388" s="177" t="s">
        <v>4020</v>
      </c>
      <c r="G388" s="177" t="s">
        <v>3007</v>
      </c>
      <c r="H388" s="172">
        <v>2886</v>
      </c>
    </row>
    <row r="389" spans="1:8" ht="31.5" x14ac:dyDescent="0.25">
      <c r="A389" s="177" t="s">
        <v>6477</v>
      </c>
      <c r="B389" s="177" t="s">
        <v>6499</v>
      </c>
      <c r="C389" s="177" t="s">
        <v>6498</v>
      </c>
      <c r="D389" s="177" t="s">
        <v>4741</v>
      </c>
      <c r="E389" s="181">
        <v>7.65</v>
      </c>
      <c r="F389" s="177" t="s">
        <v>4740</v>
      </c>
      <c r="G389" s="177" t="s">
        <v>3007</v>
      </c>
      <c r="H389" s="172">
        <v>2887</v>
      </c>
    </row>
    <row r="390" spans="1:8" ht="31.5" x14ac:dyDescent="0.25">
      <c r="A390" s="177" t="s">
        <v>6477</v>
      </c>
      <c r="B390" s="177" t="s">
        <v>6497</v>
      </c>
      <c r="C390" s="177" t="s">
        <v>6496</v>
      </c>
      <c r="D390" s="177" t="s">
        <v>6495</v>
      </c>
      <c r="E390" s="181">
        <v>3.83</v>
      </c>
      <c r="F390" s="177" t="s">
        <v>6494</v>
      </c>
      <c r="G390" s="177" t="s">
        <v>3007</v>
      </c>
      <c r="H390" s="172">
        <v>2888</v>
      </c>
    </row>
    <row r="391" spans="1:8" ht="31.5" x14ac:dyDescent="0.25">
      <c r="A391" s="177" t="s">
        <v>6477</v>
      </c>
      <c r="B391" s="177" t="s">
        <v>6493</v>
      </c>
      <c r="C391" s="177" t="s">
        <v>6492</v>
      </c>
      <c r="D391" s="177" t="s">
        <v>4204</v>
      </c>
      <c r="E391" s="181">
        <v>4.66</v>
      </c>
      <c r="F391" s="177" t="s">
        <v>4203</v>
      </c>
      <c r="G391" s="177" t="s">
        <v>3007</v>
      </c>
      <c r="H391" s="172">
        <v>2889</v>
      </c>
    </row>
    <row r="392" spans="1:8" ht="31.5" x14ac:dyDescent="0.25">
      <c r="A392" s="177" t="s">
        <v>6477</v>
      </c>
      <c r="B392" s="177" t="s">
        <v>6491</v>
      </c>
      <c r="C392" s="177" t="s">
        <v>6490</v>
      </c>
      <c r="D392" s="177" t="s">
        <v>6489</v>
      </c>
      <c r="E392" s="181">
        <v>45.03</v>
      </c>
      <c r="F392" s="177" t="s">
        <v>6488</v>
      </c>
      <c r="G392" s="177" t="s">
        <v>3007</v>
      </c>
      <c r="H392" s="172">
        <v>2890</v>
      </c>
    </row>
    <row r="393" spans="1:8" ht="31.5" x14ac:dyDescent="0.25">
      <c r="A393" s="177" t="s">
        <v>6477</v>
      </c>
      <c r="B393" s="177" t="s">
        <v>6487</v>
      </c>
      <c r="C393" s="177" t="s">
        <v>6486</v>
      </c>
      <c r="D393" s="177" t="s">
        <v>4578</v>
      </c>
      <c r="E393" s="181">
        <v>2.2799999999999998</v>
      </c>
      <c r="F393" s="177" t="s">
        <v>4577</v>
      </c>
      <c r="G393" s="177" t="s">
        <v>3007</v>
      </c>
      <c r="H393" s="172">
        <v>2891</v>
      </c>
    </row>
    <row r="394" spans="1:8" ht="31.5" x14ac:dyDescent="0.25">
      <c r="A394" s="177" t="s">
        <v>6477</v>
      </c>
      <c r="B394" s="177" t="s">
        <v>6485</v>
      </c>
      <c r="C394" s="177" t="s">
        <v>6484</v>
      </c>
      <c r="D394" s="177" t="s">
        <v>3542</v>
      </c>
      <c r="E394" s="181">
        <v>1.68</v>
      </c>
      <c r="F394" s="177" t="s">
        <v>3541</v>
      </c>
      <c r="G394" s="177" t="s">
        <v>3007</v>
      </c>
      <c r="H394" s="172">
        <v>2892</v>
      </c>
    </row>
    <row r="395" spans="1:8" ht="31.5" x14ac:dyDescent="0.25">
      <c r="A395" s="177" t="s">
        <v>6477</v>
      </c>
      <c r="B395" s="177" t="s">
        <v>6483</v>
      </c>
      <c r="C395" s="177" t="s">
        <v>6482</v>
      </c>
      <c r="D395" s="177" t="s">
        <v>5234</v>
      </c>
      <c r="E395" s="181">
        <v>3.33</v>
      </c>
      <c r="F395" s="177" t="s">
        <v>5233</v>
      </c>
      <c r="G395" s="177" t="s">
        <v>3007</v>
      </c>
      <c r="H395" s="172">
        <v>2893</v>
      </c>
    </row>
    <row r="396" spans="1:8" ht="31.5" x14ac:dyDescent="0.25">
      <c r="A396" s="177" t="s">
        <v>6477</v>
      </c>
      <c r="B396" s="177" t="s">
        <v>6481</v>
      </c>
      <c r="C396" s="177" t="s">
        <v>6480</v>
      </c>
      <c r="D396" s="177" t="s">
        <v>6479</v>
      </c>
      <c r="E396" s="181">
        <v>7.46</v>
      </c>
      <c r="F396" s="177" t="s">
        <v>6478</v>
      </c>
      <c r="G396" s="177" t="s">
        <v>3007</v>
      </c>
      <c r="H396" s="172">
        <v>2894</v>
      </c>
    </row>
    <row r="397" spans="1:8" ht="31.5" x14ac:dyDescent="0.25">
      <c r="A397" s="177" t="s">
        <v>6477</v>
      </c>
      <c r="B397" s="177" t="s">
        <v>6476</v>
      </c>
      <c r="C397" s="177" t="s">
        <v>6475</v>
      </c>
      <c r="D397" s="177" t="s">
        <v>4032</v>
      </c>
      <c r="E397" s="181">
        <v>0.4</v>
      </c>
      <c r="F397" s="177" t="s">
        <v>4031</v>
      </c>
      <c r="G397" s="177" t="s">
        <v>3007</v>
      </c>
      <c r="H397" s="172">
        <v>2898</v>
      </c>
    </row>
    <row r="398" spans="1:8" ht="31.5" x14ac:dyDescent="0.25">
      <c r="A398" s="177" t="s">
        <v>6442</v>
      </c>
      <c r="B398" s="177" t="s">
        <v>6474</v>
      </c>
      <c r="C398" s="177" t="s">
        <v>6473</v>
      </c>
      <c r="D398" s="177" t="s">
        <v>3867</v>
      </c>
      <c r="E398" s="181">
        <v>1.78</v>
      </c>
      <c r="F398" s="177" t="s">
        <v>3866</v>
      </c>
      <c r="G398" s="177" t="s">
        <v>3007</v>
      </c>
      <c r="H398" s="172">
        <v>2926</v>
      </c>
    </row>
    <row r="399" spans="1:8" ht="31.5" x14ac:dyDescent="0.25">
      <c r="A399" s="177" t="s">
        <v>6442</v>
      </c>
      <c r="B399" s="177" t="s">
        <v>6472</v>
      </c>
      <c r="C399" s="177" t="s">
        <v>6471</v>
      </c>
      <c r="D399" s="177" t="s">
        <v>6470</v>
      </c>
      <c r="E399" s="181">
        <v>12.22</v>
      </c>
      <c r="F399" s="177" t="s">
        <v>6469</v>
      </c>
      <c r="G399" s="177" t="s">
        <v>3007</v>
      </c>
      <c r="H399" s="172">
        <v>2927</v>
      </c>
    </row>
    <row r="400" spans="1:8" ht="31.5" x14ac:dyDescent="0.25">
      <c r="A400" s="177" t="s">
        <v>6442</v>
      </c>
      <c r="B400" s="177" t="s">
        <v>4510</v>
      </c>
      <c r="C400" s="177" t="s">
        <v>6468</v>
      </c>
      <c r="D400" s="177" t="s">
        <v>6467</v>
      </c>
      <c r="E400" s="181">
        <v>25.14</v>
      </c>
      <c r="F400" s="177" t="s">
        <v>6466</v>
      </c>
      <c r="G400" s="177" t="s">
        <v>3007</v>
      </c>
      <c r="H400" s="172">
        <v>2928</v>
      </c>
    </row>
    <row r="401" spans="1:8" ht="31.5" x14ac:dyDescent="0.25">
      <c r="A401" s="177" t="s">
        <v>6442</v>
      </c>
      <c r="B401" s="177" t="s">
        <v>6465</v>
      </c>
      <c r="C401" s="177" t="s">
        <v>6464</v>
      </c>
      <c r="D401" s="177" t="s">
        <v>3965</v>
      </c>
      <c r="E401" s="181">
        <v>1.74</v>
      </c>
      <c r="F401" s="177" t="s">
        <v>3964</v>
      </c>
      <c r="G401" s="177" t="s">
        <v>3007</v>
      </c>
      <c r="H401" s="172">
        <v>2929</v>
      </c>
    </row>
    <row r="402" spans="1:8" ht="31.5" x14ac:dyDescent="0.25">
      <c r="A402" s="177" t="s">
        <v>6442</v>
      </c>
      <c r="B402" s="177" t="s">
        <v>6463</v>
      </c>
      <c r="C402" s="177" t="s">
        <v>6462</v>
      </c>
      <c r="D402" s="177" t="s">
        <v>4933</v>
      </c>
      <c r="E402" s="181">
        <v>9.48</v>
      </c>
      <c r="F402" s="177" t="s">
        <v>4932</v>
      </c>
      <c r="G402" s="177" t="s">
        <v>3007</v>
      </c>
      <c r="H402" s="172">
        <v>2930</v>
      </c>
    </row>
    <row r="403" spans="1:8" ht="31.5" x14ac:dyDescent="0.25">
      <c r="A403" s="177" t="s">
        <v>6442</v>
      </c>
      <c r="B403" s="177" t="s">
        <v>6461</v>
      </c>
      <c r="C403" s="177" t="s">
        <v>6460</v>
      </c>
      <c r="D403" s="177" t="s">
        <v>4156</v>
      </c>
      <c r="E403" s="181">
        <v>11.14</v>
      </c>
      <c r="F403" s="177" t="s">
        <v>4155</v>
      </c>
      <c r="G403" s="177" t="s">
        <v>3007</v>
      </c>
      <c r="H403" s="172">
        <v>2931</v>
      </c>
    </row>
    <row r="404" spans="1:8" ht="31.5" x14ac:dyDescent="0.25">
      <c r="A404" s="177" t="s">
        <v>6442</v>
      </c>
      <c r="B404" s="177" t="s">
        <v>6459</v>
      </c>
      <c r="C404" s="177" t="s">
        <v>6458</v>
      </c>
      <c r="D404" s="177" t="s">
        <v>4465</v>
      </c>
      <c r="E404" s="181">
        <v>4.45</v>
      </c>
      <c r="F404" s="177" t="s">
        <v>4464</v>
      </c>
      <c r="G404" s="177" t="s">
        <v>3007</v>
      </c>
      <c r="H404" s="172">
        <v>2932</v>
      </c>
    </row>
    <row r="405" spans="1:8" ht="31.5" x14ac:dyDescent="0.25">
      <c r="A405" s="177" t="s">
        <v>6442</v>
      </c>
      <c r="B405" s="177" t="s">
        <v>4486</v>
      </c>
      <c r="C405" s="177" t="s">
        <v>6457</v>
      </c>
      <c r="D405" s="177" t="s">
        <v>3975</v>
      </c>
      <c r="E405" s="181">
        <v>219.93</v>
      </c>
      <c r="F405" s="177" t="s">
        <v>3974</v>
      </c>
      <c r="G405" s="177" t="s">
        <v>3007</v>
      </c>
      <c r="H405" s="172">
        <v>2933</v>
      </c>
    </row>
    <row r="406" spans="1:8" ht="31.5" x14ac:dyDescent="0.25">
      <c r="A406" s="177" t="s">
        <v>6442</v>
      </c>
      <c r="B406" s="177" t="s">
        <v>6456</v>
      </c>
      <c r="C406" s="177" t="s">
        <v>6455</v>
      </c>
      <c r="D406" s="177" t="s">
        <v>6454</v>
      </c>
      <c r="E406" s="181">
        <v>14.61</v>
      </c>
      <c r="F406" s="177" t="s">
        <v>6453</v>
      </c>
      <c r="G406" s="177" t="s">
        <v>3007</v>
      </c>
      <c r="H406" s="172">
        <v>2934</v>
      </c>
    </row>
    <row r="407" spans="1:8" ht="31.5" x14ac:dyDescent="0.25">
      <c r="A407" s="177" t="s">
        <v>6442</v>
      </c>
      <c r="B407" s="177" t="s">
        <v>6452</v>
      </c>
      <c r="C407" s="177" t="s">
        <v>6451</v>
      </c>
      <c r="D407" s="177" t="s">
        <v>6450</v>
      </c>
      <c r="E407" s="181">
        <v>4.66</v>
      </c>
      <c r="F407" s="177" t="s">
        <v>6449</v>
      </c>
      <c r="G407" s="177" t="s">
        <v>3007</v>
      </c>
      <c r="H407" s="172">
        <v>2935</v>
      </c>
    </row>
    <row r="408" spans="1:8" ht="31.5" x14ac:dyDescent="0.25">
      <c r="A408" s="177" t="s">
        <v>6442</v>
      </c>
      <c r="B408" s="177" t="s">
        <v>6448</v>
      </c>
      <c r="C408" s="177" t="s">
        <v>6447</v>
      </c>
      <c r="D408" s="177" t="s">
        <v>6446</v>
      </c>
      <c r="E408" s="181">
        <v>8</v>
      </c>
      <c r="F408" s="177" t="s">
        <v>6445</v>
      </c>
      <c r="G408" s="177" t="s">
        <v>3007</v>
      </c>
      <c r="H408" s="172">
        <v>2936</v>
      </c>
    </row>
    <row r="409" spans="1:8" ht="31.5" x14ac:dyDescent="0.25">
      <c r="A409" s="177" t="s">
        <v>6442</v>
      </c>
      <c r="B409" s="177" t="s">
        <v>6444</v>
      </c>
      <c r="C409" s="177" t="s">
        <v>6443</v>
      </c>
      <c r="D409" s="177" t="s">
        <v>4091</v>
      </c>
      <c r="E409" s="181">
        <v>2.33</v>
      </c>
      <c r="F409" s="177" t="s">
        <v>4090</v>
      </c>
      <c r="G409" s="177" t="s">
        <v>3007</v>
      </c>
      <c r="H409" s="172">
        <v>2937</v>
      </c>
    </row>
    <row r="410" spans="1:8" ht="31.5" x14ac:dyDescent="0.25">
      <c r="A410" s="177" t="s">
        <v>6442</v>
      </c>
      <c r="B410" s="177" t="s">
        <v>6441</v>
      </c>
      <c r="C410" s="177" t="s">
        <v>6440</v>
      </c>
      <c r="D410" s="177" t="s">
        <v>6439</v>
      </c>
      <c r="E410" s="181">
        <v>5.32</v>
      </c>
      <c r="F410" s="177" t="s">
        <v>6438</v>
      </c>
      <c r="G410" s="177" t="s">
        <v>3007</v>
      </c>
      <c r="H410" s="172">
        <v>2938</v>
      </c>
    </row>
    <row r="411" spans="1:8" s="200" customFormat="1" x14ac:dyDescent="0.25">
      <c r="A411" s="198"/>
      <c r="B411" s="198"/>
      <c r="C411" s="198" t="s">
        <v>5691</v>
      </c>
      <c r="D411" s="198" t="s">
        <v>14412</v>
      </c>
      <c r="E411" s="199">
        <f>SUM(E303:E410)</f>
        <v>934.56999999999994</v>
      </c>
      <c r="F411" s="198"/>
      <c r="G411" s="198"/>
      <c r="H411" s="172"/>
    </row>
    <row r="412" spans="1:8" x14ac:dyDescent="0.25">
      <c r="A412" s="177"/>
      <c r="B412" s="177"/>
      <c r="C412" s="177"/>
      <c r="D412" s="177"/>
      <c r="E412" s="181"/>
      <c r="F412" s="177"/>
      <c r="G412" s="177"/>
      <c r="H412" s="172"/>
    </row>
    <row r="413" spans="1:8" ht="31.5" x14ac:dyDescent="0.25">
      <c r="A413" s="177" t="s">
        <v>6376</v>
      </c>
      <c r="B413" s="177" t="s">
        <v>6437</v>
      </c>
      <c r="C413" s="177" t="s">
        <v>6436</v>
      </c>
      <c r="D413" s="177" t="s">
        <v>6234</v>
      </c>
      <c r="E413" s="181">
        <v>3.36</v>
      </c>
      <c r="F413" s="177" t="s">
        <v>6233</v>
      </c>
      <c r="G413" s="177" t="s">
        <v>3007</v>
      </c>
      <c r="H413" s="172">
        <v>2975</v>
      </c>
    </row>
    <row r="414" spans="1:8" ht="31.5" x14ac:dyDescent="0.25">
      <c r="A414" s="177" t="s">
        <v>6376</v>
      </c>
      <c r="B414" s="177" t="s">
        <v>6435</v>
      </c>
      <c r="C414" s="177" t="s">
        <v>6434</v>
      </c>
      <c r="D414" s="177" t="s">
        <v>4212</v>
      </c>
      <c r="E414" s="181">
        <v>10.36</v>
      </c>
      <c r="F414" s="177" t="s">
        <v>4211</v>
      </c>
      <c r="G414" s="177" t="s">
        <v>3007</v>
      </c>
      <c r="H414" s="172">
        <v>2976</v>
      </c>
    </row>
    <row r="415" spans="1:8" ht="31.5" x14ac:dyDescent="0.25">
      <c r="A415" s="177" t="s">
        <v>6376</v>
      </c>
      <c r="B415" s="177" t="s">
        <v>6433</v>
      </c>
      <c r="C415" s="177" t="s">
        <v>6432</v>
      </c>
      <c r="D415" s="177" t="s">
        <v>6431</v>
      </c>
      <c r="E415" s="181">
        <v>6.51</v>
      </c>
      <c r="F415" s="177" t="s">
        <v>6430</v>
      </c>
      <c r="G415" s="177" t="s">
        <v>3007</v>
      </c>
      <c r="H415" s="172">
        <v>2977</v>
      </c>
    </row>
    <row r="416" spans="1:8" ht="31.5" x14ac:dyDescent="0.25">
      <c r="A416" s="177" t="s">
        <v>6376</v>
      </c>
      <c r="B416" s="177" t="s">
        <v>6429</v>
      </c>
      <c r="C416" s="177" t="s">
        <v>6428</v>
      </c>
      <c r="D416" s="177" t="s">
        <v>4827</v>
      </c>
      <c r="E416" s="181">
        <v>6.57</v>
      </c>
      <c r="F416" s="177" t="s">
        <v>4826</v>
      </c>
      <c r="G416" s="177" t="s">
        <v>3007</v>
      </c>
      <c r="H416" s="172">
        <v>2978</v>
      </c>
    </row>
    <row r="417" spans="1:8" ht="31.5" x14ac:dyDescent="0.25">
      <c r="A417" s="177" t="s">
        <v>6376</v>
      </c>
      <c r="B417" s="177" t="s">
        <v>6427</v>
      </c>
      <c r="C417" s="177" t="s">
        <v>6426</v>
      </c>
      <c r="D417" s="177" t="s">
        <v>6425</v>
      </c>
      <c r="E417" s="181">
        <v>2.72</v>
      </c>
      <c r="F417" s="177" t="s">
        <v>6424</v>
      </c>
      <c r="G417" s="177" t="s">
        <v>3007</v>
      </c>
      <c r="H417" s="172">
        <v>2979</v>
      </c>
    </row>
    <row r="418" spans="1:8" ht="31.5" x14ac:dyDescent="0.25">
      <c r="A418" s="177" t="s">
        <v>6376</v>
      </c>
      <c r="B418" s="177" t="s">
        <v>6423</v>
      </c>
      <c r="C418" s="177" t="s">
        <v>6422</v>
      </c>
      <c r="D418" s="177" t="s">
        <v>4285</v>
      </c>
      <c r="E418" s="181">
        <v>2.27</v>
      </c>
      <c r="F418" s="177" t="s">
        <v>4284</v>
      </c>
      <c r="G418" s="177" t="s">
        <v>3007</v>
      </c>
      <c r="H418" s="172" t="s">
        <v>6421</v>
      </c>
    </row>
    <row r="419" spans="1:8" ht="31.5" x14ac:dyDescent="0.25">
      <c r="A419" s="177" t="s">
        <v>6376</v>
      </c>
      <c r="B419" s="177" t="s">
        <v>6420</v>
      </c>
      <c r="C419" s="177" t="s">
        <v>6419</v>
      </c>
      <c r="D419" s="177" t="s">
        <v>5156</v>
      </c>
      <c r="E419" s="181">
        <v>2.39</v>
      </c>
      <c r="F419" s="177" t="s">
        <v>5155</v>
      </c>
      <c r="G419" s="177" t="s">
        <v>3007</v>
      </c>
      <c r="H419" s="172">
        <v>2980</v>
      </c>
    </row>
    <row r="420" spans="1:8" ht="31.5" x14ac:dyDescent="0.25">
      <c r="A420" s="177" t="s">
        <v>6376</v>
      </c>
      <c r="B420" s="177" t="s">
        <v>6418</v>
      </c>
      <c r="C420" s="177" t="s">
        <v>6417</v>
      </c>
      <c r="D420" s="177" t="s">
        <v>6416</v>
      </c>
      <c r="E420" s="181">
        <v>5.04</v>
      </c>
      <c r="F420" s="177" t="s">
        <v>6415</v>
      </c>
      <c r="G420" s="177" t="s">
        <v>3007</v>
      </c>
      <c r="H420" s="172">
        <v>2981</v>
      </c>
    </row>
    <row r="421" spans="1:8" ht="31.5" x14ac:dyDescent="0.25">
      <c r="A421" s="177" t="s">
        <v>6376</v>
      </c>
      <c r="B421" s="177" t="s">
        <v>6414</v>
      </c>
      <c r="C421" s="177" t="s">
        <v>6413</v>
      </c>
      <c r="D421" s="177" t="s">
        <v>6412</v>
      </c>
      <c r="E421" s="181">
        <v>3.78</v>
      </c>
      <c r="F421" s="177" t="s">
        <v>6411</v>
      </c>
      <c r="G421" s="177" t="s">
        <v>3007</v>
      </c>
      <c r="H421" s="172">
        <v>2982</v>
      </c>
    </row>
    <row r="422" spans="1:8" ht="31.5" x14ac:dyDescent="0.25">
      <c r="A422" s="177" t="s">
        <v>6376</v>
      </c>
      <c r="B422" s="177" t="s">
        <v>6410</v>
      </c>
      <c r="C422" s="177" t="s">
        <v>6409</v>
      </c>
      <c r="D422" s="177" t="s">
        <v>4957</v>
      </c>
      <c r="E422" s="181">
        <v>0.06</v>
      </c>
      <c r="F422" s="177" t="s">
        <v>4956</v>
      </c>
      <c r="G422" s="177" t="s">
        <v>3007</v>
      </c>
      <c r="H422" s="172">
        <v>2983</v>
      </c>
    </row>
    <row r="423" spans="1:8" ht="31.5" x14ac:dyDescent="0.25">
      <c r="A423" s="177" t="s">
        <v>6376</v>
      </c>
      <c r="B423" s="177" t="s">
        <v>6408</v>
      </c>
      <c r="C423" s="177" t="s">
        <v>6407</v>
      </c>
      <c r="D423" s="177" t="s">
        <v>3828</v>
      </c>
      <c r="E423" s="181">
        <v>8.41</v>
      </c>
      <c r="F423" s="177" t="s">
        <v>3827</v>
      </c>
      <c r="G423" s="177" t="s">
        <v>3007</v>
      </c>
      <c r="H423" s="172">
        <v>2984</v>
      </c>
    </row>
    <row r="424" spans="1:8" ht="31.5" x14ac:dyDescent="0.25">
      <c r="A424" s="177" t="s">
        <v>6376</v>
      </c>
      <c r="B424" s="177" t="s">
        <v>6406</v>
      </c>
      <c r="C424" s="177" t="s">
        <v>6405</v>
      </c>
      <c r="D424" s="177" t="s">
        <v>3836</v>
      </c>
      <c r="E424" s="181">
        <v>1.68</v>
      </c>
      <c r="F424" s="177" t="s">
        <v>3835</v>
      </c>
      <c r="G424" s="177" t="s">
        <v>3007</v>
      </c>
      <c r="H424" s="172">
        <v>2985</v>
      </c>
    </row>
    <row r="425" spans="1:8" ht="31.5" x14ac:dyDescent="0.25">
      <c r="A425" s="177" t="s">
        <v>6376</v>
      </c>
      <c r="B425" s="177" t="s">
        <v>6404</v>
      </c>
      <c r="C425" s="177" t="s">
        <v>6403</v>
      </c>
      <c r="D425" s="177" t="s">
        <v>6402</v>
      </c>
      <c r="E425" s="181">
        <v>1.0900000000000001</v>
      </c>
      <c r="F425" s="177" t="s">
        <v>6401</v>
      </c>
      <c r="G425" s="177" t="s">
        <v>3007</v>
      </c>
      <c r="H425" s="172">
        <v>2987</v>
      </c>
    </row>
    <row r="426" spans="1:8" ht="31.5" x14ac:dyDescent="0.25">
      <c r="A426" s="177" t="s">
        <v>6376</v>
      </c>
      <c r="B426" s="177" t="s">
        <v>6400</v>
      </c>
      <c r="C426" s="177" t="s">
        <v>6399</v>
      </c>
      <c r="D426" s="177" t="s">
        <v>6398</v>
      </c>
      <c r="E426" s="181">
        <v>11.2</v>
      </c>
      <c r="F426" s="177" t="s">
        <v>6397</v>
      </c>
      <c r="G426" s="177" t="s">
        <v>3007</v>
      </c>
      <c r="H426" s="172">
        <v>2988</v>
      </c>
    </row>
    <row r="427" spans="1:8" ht="31.5" x14ac:dyDescent="0.25">
      <c r="A427" s="177" t="s">
        <v>6376</v>
      </c>
      <c r="B427" s="177" t="s">
        <v>6396</v>
      </c>
      <c r="C427" s="177" t="s">
        <v>6395</v>
      </c>
      <c r="D427" s="177" t="s">
        <v>6394</v>
      </c>
      <c r="E427" s="181">
        <v>4.63</v>
      </c>
      <c r="F427" s="177" t="s">
        <v>6393</v>
      </c>
      <c r="G427" s="177" t="s">
        <v>3007</v>
      </c>
      <c r="H427" s="172">
        <v>2989</v>
      </c>
    </row>
    <row r="428" spans="1:8" ht="31.5" x14ac:dyDescent="0.25">
      <c r="A428" s="177" t="s">
        <v>6376</v>
      </c>
      <c r="B428" s="177" t="s">
        <v>6392</v>
      </c>
      <c r="C428" s="177" t="s">
        <v>6391</v>
      </c>
      <c r="D428" s="177" t="s">
        <v>6390</v>
      </c>
      <c r="E428" s="181">
        <v>56.21</v>
      </c>
      <c r="F428" s="177" t="s">
        <v>6389</v>
      </c>
      <c r="G428" s="177" t="s">
        <v>3007</v>
      </c>
      <c r="H428" s="172">
        <v>2990</v>
      </c>
    </row>
    <row r="429" spans="1:8" ht="31.5" x14ac:dyDescent="0.25">
      <c r="A429" s="177" t="s">
        <v>6376</v>
      </c>
      <c r="B429" s="177" t="s">
        <v>6388</v>
      </c>
      <c r="C429" s="177" t="s">
        <v>6387</v>
      </c>
      <c r="D429" s="177" t="s">
        <v>6386</v>
      </c>
      <c r="E429" s="181">
        <v>27.59</v>
      </c>
      <c r="F429" s="177" t="s">
        <v>6385</v>
      </c>
      <c r="G429" s="177" t="s">
        <v>3007</v>
      </c>
      <c r="H429" s="172">
        <v>2991</v>
      </c>
    </row>
    <row r="430" spans="1:8" ht="31.5" x14ac:dyDescent="0.25">
      <c r="A430" s="177" t="s">
        <v>6376</v>
      </c>
      <c r="B430" s="177" t="s">
        <v>6384</v>
      </c>
      <c r="C430" s="177" t="s">
        <v>6383</v>
      </c>
      <c r="D430" s="177" t="s">
        <v>4099</v>
      </c>
      <c r="E430" s="181">
        <v>2.78</v>
      </c>
      <c r="F430" s="177" t="s">
        <v>4098</v>
      </c>
      <c r="G430" s="177" t="s">
        <v>3007</v>
      </c>
      <c r="H430" s="173">
        <v>2992</v>
      </c>
    </row>
    <row r="431" spans="1:8" ht="31.5" x14ac:dyDescent="0.25">
      <c r="A431" s="177" t="s">
        <v>6376</v>
      </c>
      <c r="B431" s="177" t="s">
        <v>6382</v>
      </c>
      <c r="C431" s="177" t="s">
        <v>6381</v>
      </c>
      <c r="D431" s="177" t="s">
        <v>4642</v>
      </c>
      <c r="E431" s="181">
        <v>3.04</v>
      </c>
      <c r="F431" s="177" t="s">
        <v>4641</v>
      </c>
      <c r="G431" s="177" t="s">
        <v>3007</v>
      </c>
      <c r="H431" s="172">
        <v>2993</v>
      </c>
    </row>
    <row r="432" spans="1:8" ht="31.5" x14ac:dyDescent="0.25">
      <c r="A432" s="177" t="s">
        <v>6376</v>
      </c>
      <c r="B432" s="177" t="s">
        <v>6380</v>
      </c>
      <c r="C432" s="177" t="s">
        <v>6379</v>
      </c>
      <c r="D432" s="177" t="s">
        <v>6378</v>
      </c>
      <c r="E432" s="181">
        <v>16.760000000000002</v>
      </c>
      <c r="F432" s="177" t="s">
        <v>6377</v>
      </c>
      <c r="G432" s="177" t="s">
        <v>3007</v>
      </c>
      <c r="H432" s="172">
        <v>2994</v>
      </c>
    </row>
    <row r="433" spans="1:8" ht="31.5" x14ac:dyDescent="0.25">
      <c r="A433" s="177" t="s">
        <v>6376</v>
      </c>
      <c r="B433" s="177" t="s">
        <v>6375</v>
      </c>
      <c r="C433" s="177" t="s">
        <v>6374</v>
      </c>
      <c r="D433" s="177" t="s">
        <v>4013</v>
      </c>
      <c r="E433" s="181">
        <v>4.3899999999999997</v>
      </c>
      <c r="F433" s="177" t="s">
        <v>4012</v>
      </c>
      <c r="G433" s="177" t="s">
        <v>3007</v>
      </c>
      <c r="H433" s="172">
        <v>2995</v>
      </c>
    </row>
    <row r="434" spans="1:8" ht="31.5" x14ac:dyDescent="0.25">
      <c r="A434" s="177" t="s">
        <v>6347</v>
      </c>
      <c r="B434" s="177" t="s">
        <v>6373</v>
      </c>
      <c r="C434" s="177" t="s">
        <v>6372</v>
      </c>
      <c r="D434" s="177" t="s">
        <v>3920</v>
      </c>
      <c r="E434" s="181">
        <v>4.68</v>
      </c>
      <c r="F434" s="177" t="s">
        <v>3919</v>
      </c>
      <c r="G434" s="177" t="s">
        <v>3007</v>
      </c>
      <c r="H434" s="172">
        <v>2996</v>
      </c>
    </row>
    <row r="435" spans="1:8" ht="31.5" x14ac:dyDescent="0.25">
      <c r="A435" s="177" t="s">
        <v>6347</v>
      </c>
      <c r="B435" s="177" t="s">
        <v>6371</v>
      </c>
      <c r="C435" s="177" t="s">
        <v>6370</v>
      </c>
      <c r="D435" s="177" t="s">
        <v>4839</v>
      </c>
      <c r="E435" s="181">
        <v>1.7</v>
      </c>
      <c r="F435" s="177" t="s">
        <v>4838</v>
      </c>
      <c r="G435" s="177" t="s">
        <v>3007</v>
      </c>
      <c r="H435" s="172">
        <v>2997</v>
      </c>
    </row>
    <row r="436" spans="1:8" ht="31.5" x14ac:dyDescent="0.25">
      <c r="A436" s="177" t="s">
        <v>6347</v>
      </c>
      <c r="B436" s="177" t="s">
        <v>6369</v>
      </c>
      <c r="C436" s="177" t="s">
        <v>6368</v>
      </c>
      <c r="D436" s="177" t="s">
        <v>6367</v>
      </c>
      <c r="E436" s="181">
        <v>6.5</v>
      </c>
      <c r="F436" s="177" t="s">
        <v>6366</v>
      </c>
      <c r="G436" s="177" t="s">
        <v>3007</v>
      </c>
      <c r="H436" s="172">
        <v>2998</v>
      </c>
    </row>
    <row r="437" spans="1:8" ht="31.5" x14ac:dyDescent="0.25">
      <c r="A437" s="177" t="s">
        <v>6347</v>
      </c>
      <c r="B437" s="177" t="s">
        <v>6365</v>
      </c>
      <c r="C437" s="177" t="s">
        <v>6364</v>
      </c>
      <c r="D437" s="177" t="s">
        <v>6363</v>
      </c>
      <c r="E437" s="181">
        <v>24.6</v>
      </c>
      <c r="F437" s="177" t="s">
        <v>6362</v>
      </c>
      <c r="G437" s="177" t="s">
        <v>3007</v>
      </c>
      <c r="H437" s="172">
        <v>2999</v>
      </c>
    </row>
    <row r="438" spans="1:8" ht="31.5" x14ac:dyDescent="0.25">
      <c r="A438" s="177" t="s">
        <v>6347</v>
      </c>
      <c r="B438" s="177" t="s">
        <v>6361</v>
      </c>
      <c r="C438" s="177" t="s">
        <v>6360</v>
      </c>
      <c r="D438" s="177" t="s">
        <v>6359</v>
      </c>
      <c r="E438" s="181">
        <v>2.67</v>
      </c>
      <c r="F438" s="177" t="s">
        <v>6358</v>
      </c>
      <c r="G438" s="177" t="s">
        <v>3007</v>
      </c>
      <c r="H438" s="172">
        <v>3000</v>
      </c>
    </row>
    <row r="439" spans="1:8" ht="31.5" x14ac:dyDescent="0.25">
      <c r="A439" s="177" t="s">
        <v>6347</v>
      </c>
      <c r="B439" s="177" t="s">
        <v>6357</v>
      </c>
      <c r="C439" s="177" t="s">
        <v>6356</v>
      </c>
      <c r="D439" s="177" t="s">
        <v>6355</v>
      </c>
      <c r="E439" s="181">
        <v>3.37</v>
      </c>
      <c r="F439" s="177" t="s">
        <v>6354</v>
      </c>
      <c r="G439" s="177" t="s">
        <v>3007</v>
      </c>
      <c r="H439" s="172">
        <v>3000</v>
      </c>
    </row>
    <row r="440" spans="1:8" ht="31.5" x14ac:dyDescent="0.25">
      <c r="A440" s="177" t="s">
        <v>6347</v>
      </c>
      <c r="B440" s="177" t="s">
        <v>6353</v>
      </c>
      <c r="C440" s="177" t="s">
        <v>6352</v>
      </c>
      <c r="D440" s="177" t="s">
        <v>6351</v>
      </c>
      <c r="E440" s="181">
        <v>1.68</v>
      </c>
      <c r="F440" s="177" t="s">
        <v>6350</v>
      </c>
      <c r="G440" s="177" t="s">
        <v>3007</v>
      </c>
      <c r="H440" s="172">
        <v>3002</v>
      </c>
    </row>
    <row r="441" spans="1:8" ht="31.5" x14ac:dyDescent="0.25">
      <c r="A441" s="177" t="s">
        <v>6347</v>
      </c>
      <c r="B441" s="177" t="s">
        <v>6349</v>
      </c>
      <c r="C441" s="177" t="s">
        <v>6348</v>
      </c>
      <c r="D441" s="177" t="s">
        <v>4763</v>
      </c>
      <c r="E441" s="181">
        <v>2.39</v>
      </c>
      <c r="F441" s="177" t="s">
        <v>4762</v>
      </c>
      <c r="G441" s="177" t="s">
        <v>3007</v>
      </c>
      <c r="H441" s="172">
        <v>3003</v>
      </c>
    </row>
    <row r="442" spans="1:8" ht="31.5" x14ac:dyDescent="0.25">
      <c r="A442" s="177" t="s">
        <v>6347</v>
      </c>
      <c r="B442" s="177" t="s">
        <v>6346</v>
      </c>
      <c r="C442" s="177" t="s">
        <v>6345</v>
      </c>
      <c r="D442" s="177" t="s">
        <v>6344</v>
      </c>
      <c r="E442" s="181">
        <v>1.99</v>
      </c>
      <c r="F442" s="177" t="s">
        <v>6343</v>
      </c>
      <c r="G442" s="177" t="s">
        <v>3007</v>
      </c>
      <c r="H442" s="172">
        <v>3004</v>
      </c>
    </row>
    <row r="443" spans="1:8" ht="31.5" x14ac:dyDescent="0.25">
      <c r="A443" s="177" t="s">
        <v>6324</v>
      </c>
      <c r="B443" s="177" t="s">
        <v>6342</v>
      </c>
      <c r="C443" s="177" t="s">
        <v>6341</v>
      </c>
      <c r="D443" s="177" t="s">
        <v>6340</v>
      </c>
      <c r="E443" s="181">
        <v>3.55</v>
      </c>
      <c r="F443" s="177" t="s">
        <v>6339</v>
      </c>
      <c r="G443" s="177" t="s">
        <v>3007</v>
      </c>
      <c r="H443" s="172">
        <v>3005</v>
      </c>
    </row>
    <row r="444" spans="1:8" ht="31.5" x14ac:dyDescent="0.25">
      <c r="A444" s="177" t="s">
        <v>6324</v>
      </c>
      <c r="B444" s="177" t="s">
        <v>6338</v>
      </c>
      <c r="C444" s="177" t="s">
        <v>6337</v>
      </c>
      <c r="D444" s="177" t="s">
        <v>6336</v>
      </c>
      <c r="E444" s="181">
        <v>1.8</v>
      </c>
      <c r="F444" s="177" t="s">
        <v>6335</v>
      </c>
      <c r="G444" s="177" t="s">
        <v>3007</v>
      </c>
      <c r="H444" s="172">
        <v>3006</v>
      </c>
    </row>
    <row r="445" spans="1:8" ht="31.5" x14ac:dyDescent="0.25">
      <c r="A445" s="177" t="s">
        <v>6324</v>
      </c>
      <c r="B445" s="177" t="s">
        <v>6334</v>
      </c>
      <c r="C445" s="177" t="s">
        <v>6333</v>
      </c>
      <c r="D445" s="177" t="s">
        <v>6332</v>
      </c>
      <c r="E445" s="181">
        <v>24.91</v>
      </c>
      <c r="F445" s="177" t="s">
        <v>6331</v>
      </c>
      <c r="G445" s="177" t="s">
        <v>3007</v>
      </c>
      <c r="H445" s="172">
        <v>3008</v>
      </c>
    </row>
    <row r="446" spans="1:8" ht="31.5" x14ac:dyDescent="0.25">
      <c r="A446" s="177" t="s">
        <v>6324</v>
      </c>
      <c r="B446" s="177" t="s">
        <v>6330</v>
      </c>
      <c r="C446" s="177" t="s">
        <v>6329</v>
      </c>
      <c r="D446" s="177" t="s">
        <v>5325</v>
      </c>
      <c r="E446" s="181">
        <v>2.2000000000000002</v>
      </c>
      <c r="F446" s="177" t="s">
        <v>5324</v>
      </c>
      <c r="G446" s="177" t="s">
        <v>3007</v>
      </c>
      <c r="H446" s="172">
        <v>3009</v>
      </c>
    </row>
    <row r="447" spans="1:8" ht="31.5" x14ac:dyDescent="0.25">
      <c r="A447" s="177" t="s">
        <v>6324</v>
      </c>
      <c r="B447" s="177" t="s">
        <v>6328</v>
      </c>
      <c r="C447" s="177" t="s">
        <v>6327</v>
      </c>
      <c r="D447" s="177" t="s">
        <v>6326</v>
      </c>
      <c r="E447" s="181">
        <v>2.4300000000000002</v>
      </c>
      <c r="F447" s="177" t="s">
        <v>6325</v>
      </c>
      <c r="G447" s="177" t="s">
        <v>3007</v>
      </c>
      <c r="H447" s="172">
        <v>3011</v>
      </c>
    </row>
    <row r="448" spans="1:8" ht="31.5" x14ac:dyDescent="0.25">
      <c r="A448" s="177" t="s">
        <v>6324</v>
      </c>
      <c r="B448" s="177" t="s">
        <v>6323</v>
      </c>
      <c r="C448" s="177" t="s">
        <v>6322</v>
      </c>
      <c r="D448" s="177" t="s">
        <v>6321</v>
      </c>
      <c r="E448" s="181">
        <v>2.56</v>
      </c>
      <c r="F448" s="177" t="s">
        <v>6320</v>
      </c>
      <c r="G448" s="177" t="s">
        <v>3007</v>
      </c>
      <c r="H448" s="172">
        <v>3012</v>
      </c>
    </row>
    <row r="449" spans="1:8" ht="31.5" x14ac:dyDescent="0.25">
      <c r="A449" s="177" t="s">
        <v>6309</v>
      </c>
      <c r="B449" s="177" t="s">
        <v>6319</v>
      </c>
      <c r="C449" s="177" t="s">
        <v>6318</v>
      </c>
      <c r="D449" s="177" t="s">
        <v>6317</v>
      </c>
      <c r="E449" s="181">
        <v>1.9</v>
      </c>
      <c r="F449" s="177" t="s">
        <v>6316</v>
      </c>
      <c r="G449" s="177" t="s">
        <v>3007</v>
      </c>
      <c r="H449" s="172">
        <v>3013</v>
      </c>
    </row>
    <row r="450" spans="1:8" ht="31.5" x14ac:dyDescent="0.25">
      <c r="A450" s="177" t="s">
        <v>6309</v>
      </c>
      <c r="B450" s="177" t="s">
        <v>6315</v>
      </c>
      <c r="C450" s="177" t="s">
        <v>6314</v>
      </c>
      <c r="D450" s="177" t="s">
        <v>6313</v>
      </c>
      <c r="E450" s="181">
        <v>23.55</v>
      </c>
      <c r="F450" s="177" t="s">
        <v>6312</v>
      </c>
      <c r="G450" s="177" t="s">
        <v>3007</v>
      </c>
      <c r="H450" s="172">
        <v>3014</v>
      </c>
    </row>
    <row r="451" spans="1:8" ht="31.5" x14ac:dyDescent="0.25">
      <c r="A451" s="177" t="s">
        <v>6309</v>
      </c>
      <c r="B451" s="177" t="s">
        <v>6311</v>
      </c>
      <c r="C451" s="177" t="s">
        <v>6310</v>
      </c>
      <c r="D451" s="177" t="s">
        <v>4488</v>
      </c>
      <c r="E451" s="181">
        <v>4.4000000000000004</v>
      </c>
      <c r="F451" s="177" t="s">
        <v>4487</v>
      </c>
      <c r="G451" s="177" t="s">
        <v>3007</v>
      </c>
      <c r="H451" s="172">
        <v>3015</v>
      </c>
    </row>
    <row r="452" spans="1:8" ht="31.5" x14ac:dyDescent="0.25">
      <c r="A452" s="177" t="s">
        <v>6309</v>
      </c>
      <c r="B452" s="177" t="s">
        <v>6308</v>
      </c>
      <c r="C452" s="177" t="s">
        <v>6307</v>
      </c>
      <c r="D452" s="177" t="s">
        <v>6306</v>
      </c>
      <c r="E452" s="181">
        <v>32.479999999999997</v>
      </c>
      <c r="F452" s="177" t="s">
        <v>6305</v>
      </c>
      <c r="G452" s="177" t="s">
        <v>3007</v>
      </c>
      <c r="H452" s="172">
        <v>3016</v>
      </c>
    </row>
    <row r="453" spans="1:8" ht="31.5" x14ac:dyDescent="0.25">
      <c r="A453" s="177" t="s">
        <v>6290</v>
      </c>
      <c r="B453" s="177" t="s">
        <v>6304</v>
      </c>
      <c r="C453" s="177" t="s">
        <v>6303</v>
      </c>
      <c r="D453" s="177" t="s">
        <v>4917</v>
      </c>
      <c r="E453" s="181">
        <v>3.45</v>
      </c>
      <c r="F453" s="177" t="s">
        <v>4916</v>
      </c>
      <c r="G453" s="177" t="s">
        <v>3007</v>
      </c>
      <c r="H453" s="172">
        <v>3017</v>
      </c>
    </row>
    <row r="454" spans="1:8" ht="31.5" x14ac:dyDescent="0.25">
      <c r="A454" s="177" t="s">
        <v>6290</v>
      </c>
      <c r="B454" s="177" t="s">
        <v>6302</v>
      </c>
      <c r="C454" s="177" t="s">
        <v>6301</v>
      </c>
      <c r="D454" s="177" t="s">
        <v>6300</v>
      </c>
      <c r="E454" s="181">
        <v>5.0599999999999996</v>
      </c>
      <c r="F454" s="177" t="s">
        <v>6299</v>
      </c>
      <c r="G454" s="177" t="s">
        <v>3007</v>
      </c>
      <c r="H454" s="172">
        <v>3018</v>
      </c>
    </row>
    <row r="455" spans="1:8" ht="31.5" x14ac:dyDescent="0.25">
      <c r="A455" s="177" t="s">
        <v>6290</v>
      </c>
      <c r="B455" s="177" t="s">
        <v>6298</v>
      </c>
      <c r="C455" s="177" t="s">
        <v>6297</v>
      </c>
      <c r="D455" s="177" t="s">
        <v>6296</v>
      </c>
      <c r="E455" s="181">
        <v>4.1399999999999997</v>
      </c>
      <c r="F455" s="177" t="s">
        <v>6295</v>
      </c>
      <c r="G455" s="177" t="s">
        <v>3007</v>
      </c>
      <c r="H455" s="172">
        <v>3019</v>
      </c>
    </row>
    <row r="456" spans="1:8" ht="31.5" x14ac:dyDescent="0.25">
      <c r="A456" s="177" t="s">
        <v>6290</v>
      </c>
      <c r="B456" s="177" t="s">
        <v>6294</v>
      </c>
      <c r="C456" s="177" t="s">
        <v>6293</v>
      </c>
      <c r="D456" s="177" t="s">
        <v>6292</v>
      </c>
      <c r="E456" s="181">
        <v>16.760000000000002</v>
      </c>
      <c r="F456" s="177" t="s">
        <v>6291</v>
      </c>
      <c r="G456" s="177" t="s">
        <v>3007</v>
      </c>
      <c r="H456" s="172">
        <v>3020</v>
      </c>
    </row>
    <row r="457" spans="1:8" ht="31.5" x14ac:dyDescent="0.25">
      <c r="A457" s="177" t="s">
        <v>6290</v>
      </c>
      <c r="B457" s="177" t="s">
        <v>6289</v>
      </c>
      <c r="C457" s="177" t="s">
        <v>6288</v>
      </c>
      <c r="D457" s="177" t="s">
        <v>5122</v>
      </c>
      <c r="E457" s="181">
        <v>1.7</v>
      </c>
      <c r="F457" s="177" t="s">
        <v>5121</v>
      </c>
      <c r="G457" s="177" t="s">
        <v>3007</v>
      </c>
      <c r="H457" s="172">
        <v>3021</v>
      </c>
    </row>
    <row r="458" spans="1:8" ht="31.5" x14ac:dyDescent="0.25">
      <c r="A458" s="177" t="s">
        <v>6259</v>
      </c>
      <c r="B458" s="177" t="s">
        <v>6287</v>
      </c>
      <c r="C458" s="177" t="s">
        <v>6286</v>
      </c>
      <c r="D458" s="177" t="s">
        <v>6285</v>
      </c>
      <c r="E458" s="181">
        <v>13.45</v>
      </c>
      <c r="F458" s="177" t="s">
        <v>6284</v>
      </c>
      <c r="G458" s="177" t="s">
        <v>3007</v>
      </c>
      <c r="H458" s="172">
        <v>3059</v>
      </c>
    </row>
    <row r="459" spans="1:8" ht="31.5" x14ac:dyDescent="0.25">
      <c r="A459" s="177" t="s">
        <v>6259</v>
      </c>
      <c r="B459" s="177" t="s">
        <v>6283</v>
      </c>
      <c r="C459" s="177" t="s">
        <v>6282</v>
      </c>
      <c r="D459" s="177" t="s">
        <v>4069</v>
      </c>
      <c r="E459" s="181">
        <v>7.8</v>
      </c>
      <c r="F459" s="177" t="s">
        <v>4068</v>
      </c>
      <c r="G459" s="177" t="s">
        <v>3007</v>
      </c>
      <c r="H459" s="172">
        <v>3060</v>
      </c>
    </row>
    <row r="460" spans="1:8" ht="31.5" x14ac:dyDescent="0.25">
      <c r="A460" s="177" t="s">
        <v>6259</v>
      </c>
      <c r="B460" s="177" t="s">
        <v>6281</v>
      </c>
      <c r="C460" s="177" t="s">
        <v>6280</v>
      </c>
      <c r="D460" s="177" t="s">
        <v>6279</v>
      </c>
      <c r="E460" s="181">
        <v>12.23</v>
      </c>
      <c r="F460" s="177" t="s">
        <v>6278</v>
      </c>
      <c r="G460" s="177" t="s">
        <v>3007</v>
      </c>
      <c r="H460" s="172">
        <v>3061</v>
      </c>
    </row>
    <row r="461" spans="1:8" ht="31.5" x14ac:dyDescent="0.25">
      <c r="A461" s="177" t="s">
        <v>6259</v>
      </c>
      <c r="B461" s="177" t="s">
        <v>6277</v>
      </c>
      <c r="C461" s="177" t="s">
        <v>6276</v>
      </c>
      <c r="D461" s="177" t="s">
        <v>5095</v>
      </c>
      <c r="E461" s="181">
        <v>3.2</v>
      </c>
      <c r="F461" s="177" t="s">
        <v>5094</v>
      </c>
      <c r="G461" s="177" t="s">
        <v>3007</v>
      </c>
      <c r="H461" s="172">
        <v>3062</v>
      </c>
    </row>
    <row r="462" spans="1:8" ht="31.5" x14ac:dyDescent="0.25">
      <c r="A462" s="177" t="s">
        <v>6259</v>
      </c>
      <c r="B462" s="177" t="s">
        <v>6275</v>
      </c>
      <c r="C462" s="177" t="s">
        <v>6274</v>
      </c>
      <c r="D462" s="177" t="s">
        <v>5098</v>
      </c>
      <c r="E462" s="181">
        <v>2.4300000000000002</v>
      </c>
      <c r="F462" s="177" t="s">
        <v>5094</v>
      </c>
      <c r="G462" s="177" t="s">
        <v>3007</v>
      </c>
      <c r="H462" s="172">
        <v>3063</v>
      </c>
    </row>
    <row r="463" spans="1:8" ht="31.5" x14ac:dyDescent="0.25">
      <c r="A463" s="177" t="s">
        <v>6259</v>
      </c>
      <c r="B463" s="177" t="s">
        <v>6273</v>
      </c>
      <c r="C463" s="177" t="s">
        <v>6272</v>
      </c>
      <c r="D463" s="177" t="s">
        <v>6271</v>
      </c>
      <c r="E463" s="181">
        <v>4.0999999999999996</v>
      </c>
      <c r="F463" s="177" t="s">
        <v>6270</v>
      </c>
      <c r="G463" s="177" t="s">
        <v>3007</v>
      </c>
      <c r="H463" s="172">
        <v>3064</v>
      </c>
    </row>
    <row r="464" spans="1:8" ht="31.5" x14ac:dyDescent="0.25">
      <c r="A464" s="177" t="s">
        <v>6259</v>
      </c>
      <c r="B464" s="177" t="s">
        <v>6269</v>
      </c>
      <c r="C464" s="177" t="s">
        <v>6268</v>
      </c>
      <c r="D464" s="177" t="s">
        <v>5539</v>
      </c>
      <c r="E464" s="181">
        <v>2.16</v>
      </c>
      <c r="F464" s="177" t="s">
        <v>5538</v>
      </c>
      <c r="G464" s="177" t="s">
        <v>3007</v>
      </c>
      <c r="H464" s="172">
        <v>3065</v>
      </c>
    </row>
    <row r="465" spans="1:8" ht="31.5" x14ac:dyDescent="0.25">
      <c r="A465" s="177" t="s">
        <v>6259</v>
      </c>
      <c r="B465" s="177" t="s">
        <v>6267</v>
      </c>
      <c r="C465" s="177" t="s">
        <v>6266</v>
      </c>
      <c r="D465" s="177" t="s">
        <v>6265</v>
      </c>
      <c r="E465" s="181">
        <v>10.06</v>
      </c>
      <c r="F465" s="177" t="s">
        <v>6264</v>
      </c>
      <c r="G465" s="177" t="s">
        <v>3007</v>
      </c>
      <c r="H465" s="172">
        <v>3066</v>
      </c>
    </row>
    <row r="466" spans="1:8" ht="31.5" x14ac:dyDescent="0.25">
      <c r="A466" s="177" t="s">
        <v>6259</v>
      </c>
      <c r="B466" s="177" t="s">
        <v>6263</v>
      </c>
      <c r="C466" s="177" t="s">
        <v>6262</v>
      </c>
      <c r="D466" s="177" t="s">
        <v>5354</v>
      </c>
      <c r="E466" s="181">
        <v>7.53</v>
      </c>
      <c r="F466" s="177" t="s">
        <v>5353</v>
      </c>
      <c r="G466" s="177" t="s">
        <v>3007</v>
      </c>
      <c r="H466" s="172">
        <v>3067</v>
      </c>
    </row>
    <row r="467" spans="1:8" ht="31.5" x14ac:dyDescent="0.25">
      <c r="A467" s="177" t="s">
        <v>6259</v>
      </c>
      <c r="B467" s="177" t="s">
        <v>6261</v>
      </c>
      <c r="C467" s="177" t="s">
        <v>6260</v>
      </c>
      <c r="D467" s="177" t="s">
        <v>4512</v>
      </c>
      <c r="E467" s="181">
        <v>18.309999999999999</v>
      </c>
      <c r="F467" s="177" t="s">
        <v>4511</v>
      </c>
      <c r="G467" s="177" t="s">
        <v>3007</v>
      </c>
      <c r="H467" s="172">
        <v>3068</v>
      </c>
    </row>
    <row r="468" spans="1:8" ht="31.5" x14ac:dyDescent="0.25">
      <c r="A468" s="177" t="s">
        <v>6259</v>
      </c>
      <c r="B468" s="177" t="s">
        <v>6258</v>
      </c>
      <c r="C468" s="177" t="s">
        <v>6257</v>
      </c>
      <c r="D468" s="177" t="s">
        <v>5448</v>
      </c>
      <c r="E468" s="181">
        <v>1.94</v>
      </c>
      <c r="F468" s="177" t="s">
        <v>5447</v>
      </c>
      <c r="G468" s="177" t="s">
        <v>3007</v>
      </c>
      <c r="H468" s="172">
        <v>3069</v>
      </c>
    </row>
    <row r="469" spans="1:8" ht="31.5" x14ac:dyDescent="0.25">
      <c r="A469" s="177" t="s">
        <v>6158</v>
      </c>
      <c r="B469" s="177" t="s">
        <v>6256</v>
      </c>
      <c r="C469" s="177" t="s">
        <v>6255</v>
      </c>
      <c r="D469" s="177" t="s">
        <v>5566</v>
      </c>
      <c r="E469" s="181">
        <v>7.63</v>
      </c>
      <c r="F469" s="177" t="s">
        <v>5565</v>
      </c>
      <c r="G469" s="177" t="s">
        <v>3007</v>
      </c>
      <c r="H469" s="172">
        <v>3147</v>
      </c>
    </row>
    <row r="470" spans="1:8" ht="31.5" x14ac:dyDescent="0.25">
      <c r="A470" s="177" t="s">
        <v>6158</v>
      </c>
      <c r="B470" s="177" t="s">
        <v>6254</v>
      </c>
      <c r="C470" s="177" t="s">
        <v>6253</v>
      </c>
      <c r="D470" s="177" t="s">
        <v>4073</v>
      </c>
      <c r="E470" s="181">
        <v>3.68</v>
      </c>
      <c r="F470" s="177" t="s">
        <v>4072</v>
      </c>
      <c r="G470" s="177" t="s">
        <v>3007</v>
      </c>
      <c r="H470" s="172">
        <v>3148</v>
      </c>
    </row>
    <row r="471" spans="1:8" ht="31.5" x14ac:dyDescent="0.25">
      <c r="A471" s="177" t="s">
        <v>6158</v>
      </c>
      <c r="B471" s="177" t="s">
        <v>6252</v>
      </c>
      <c r="C471" s="177" t="s">
        <v>6251</v>
      </c>
      <c r="D471" s="177" t="s">
        <v>6250</v>
      </c>
      <c r="E471" s="181">
        <v>8.0399999999999991</v>
      </c>
      <c r="F471" s="177" t="s">
        <v>6249</v>
      </c>
      <c r="G471" s="177" t="s">
        <v>3007</v>
      </c>
      <c r="H471" s="172">
        <v>3149</v>
      </c>
    </row>
    <row r="472" spans="1:8" ht="31.5" x14ac:dyDescent="0.25">
      <c r="A472" s="177" t="s">
        <v>6158</v>
      </c>
      <c r="B472" s="177" t="s">
        <v>6248</v>
      </c>
      <c r="C472" s="177" t="s">
        <v>6247</v>
      </c>
      <c r="D472" s="177" t="s">
        <v>5682</v>
      </c>
      <c r="E472" s="181">
        <v>7.12</v>
      </c>
      <c r="F472" s="177" t="s">
        <v>5681</v>
      </c>
      <c r="G472" s="177" t="s">
        <v>3007</v>
      </c>
      <c r="H472" s="172">
        <v>3150</v>
      </c>
    </row>
    <row r="473" spans="1:8" ht="31.5" x14ac:dyDescent="0.25">
      <c r="A473" s="177" t="s">
        <v>6158</v>
      </c>
      <c r="B473" s="177" t="s">
        <v>6246</v>
      </c>
      <c r="C473" s="177" t="s">
        <v>6245</v>
      </c>
      <c r="D473" s="177" t="s">
        <v>3239</v>
      </c>
      <c r="E473" s="181">
        <v>11.8</v>
      </c>
      <c r="F473" s="177" t="s">
        <v>3238</v>
      </c>
      <c r="G473" s="177" t="s">
        <v>3007</v>
      </c>
      <c r="H473" s="172">
        <v>3151</v>
      </c>
    </row>
    <row r="474" spans="1:8" ht="31.5" x14ac:dyDescent="0.25">
      <c r="A474" s="177" t="s">
        <v>6158</v>
      </c>
      <c r="B474" s="177" t="s">
        <v>6244</v>
      </c>
      <c r="C474" s="177" t="s">
        <v>6243</v>
      </c>
      <c r="D474" s="177" t="s">
        <v>6242</v>
      </c>
      <c r="E474" s="181">
        <v>7.23</v>
      </c>
      <c r="F474" s="177" t="s">
        <v>6241</v>
      </c>
      <c r="G474" s="177" t="s">
        <v>3007</v>
      </c>
      <c r="H474" s="172">
        <v>3152</v>
      </c>
    </row>
    <row r="475" spans="1:8" ht="31.5" x14ac:dyDescent="0.25">
      <c r="A475" s="177" t="s">
        <v>6158</v>
      </c>
      <c r="B475" s="177" t="s">
        <v>6240</v>
      </c>
      <c r="C475" s="177" t="s">
        <v>6239</v>
      </c>
      <c r="D475" s="177" t="s">
        <v>6238</v>
      </c>
      <c r="E475" s="181">
        <v>3.44</v>
      </c>
      <c r="F475" s="177" t="s">
        <v>6237</v>
      </c>
      <c r="G475" s="177" t="s">
        <v>3007</v>
      </c>
      <c r="H475" s="172">
        <v>3153</v>
      </c>
    </row>
    <row r="476" spans="1:8" ht="31.5" x14ac:dyDescent="0.25">
      <c r="A476" s="177" t="s">
        <v>6158</v>
      </c>
      <c r="B476" s="177" t="s">
        <v>6236</v>
      </c>
      <c r="C476" s="177" t="s">
        <v>6235</v>
      </c>
      <c r="D476" s="177" t="s">
        <v>6234</v>
      </c>
      <c r="E476" s="181">
        <v>1.68</v>
      </c>
      <c r="F476" s="177" t="s">
        <v>6233</v>
      </c>
      <c r="G476" s="177" t="s">
        <v>3007</v>
      </c>
      <c r="H476" s="172">
        <v>3154</v>
      </c>
    </row>
    <row r="477" spans="1:8" ht="31.5" x14ac:dyDescent="0.25">
      <c r="A477" s="177" t="s">
        <v>6158</v>
      </c>
      <c r="B477" s="177" t="s">
        <v>6232</v>
      </c>
      <c r="C477" s="177" t="s">
        <v>6231</v>
      </c>
      <c r="D477" s="177" t="s">
        <v>6230</v>
      </c>
      <c r="E477" s="181">
        <v>2.4500000000000002</v>
      </c>
      <c r="F477" s="177" t="s">
        <v>6229</v>
      </c>
      <c r="G477" s="177" t="s">
        <v>3007</v>
      </c>
      <c r="H477" s="172">
        <v>3155</v>
      </c>
    </row>
    <row r="478" spans="1:8" ht="31.5" x14ac:dyDescent="0.25">
      <c r="A478" s="177" t="s">
        <v>6158</v>
      </c>
      <c r="B478" s="177" t="s">
        <v>6228</v>
      </c>
      <c r="C478" s="177" t="s">
        <v>6227</v>
      </c>
      <c r="D478" s="177" t="s">
        <v>3563</v>
      </c>
      <c r="E478" s="181">
        <v>6.94</v>
      </c>
      <c r="F478" s="177" t="s">
        <v>3562</v>
      </c>
      <c r="G478" s="177" t="s">
        <v>3007</v>
      </c>
      <c r="H478" s="172">
        <v>3156</v>
      </c>
    </row>
    <row r="479" spans="1:8" ht="31.5" x14ac:dyDescent="0.25">
      <c r="A479" s="177" t="s">
        <v>6158</v>
      </c>
      <c r="B479" s="177" t="s">
        <v>6226</v>
      </c>
      <c r="C479" s="177" t="s">
        <v>6225</v>
      </c>
      <c r="D479" s="177" t="s">
        <v>6224</v>
      </c>
      <c r="E479" s="181">
        <v>16.22</v>
      </c>
      <c r="F479" s="177" t="s">
        <v>6223</v>
      </c>
      <c r="G479" s="177" t="s">
        <v>3007</v>
      </c>
      <c r="H479" s="172">
        <v>3157</v>
      </c>
    </row>
    <row r="480" spans="1:8" ht="31.5" x14ac:dyDescent="0.25">
      <c r="A480" s="177" t="s">
        <v>6158</v>
      </c>
      <c r="B480" s="177" t="s">
        <v>6222</v>
      </c>
      <c r="C480" s="177" t="s">
        <v>6221</v>
      </c>
      <c r="D480" s="177" t="s">
        <v>3851</v>
      </c>
      <c r="E480" s="181">
        <v>0.84</v>
      </c>
      <c r="F480" s="177" t="s">
        <v>3847</v>
      </c>
      <c r="G480" s="177" t="s">
        <v>3007</v>
      </c>
      <c r="H480" s="172">
        <v>3159</v>
      </c>
    </row>
    <row r="481" spans="1:8" ht="31.5" x14ac:dyDescent="0.25">
      <c r="A481" s="177" t="s">
        <v>6158</v>
      </c>
      <c r="B481" s="177" t="s">
        <v>6220</v>
      </c>
      <c r="C481" s="177" t="s">
        <v>6219</v>
      </c>
      <c r="D481" s="177" t="s">
        <v>3848</v>
      </c>
      <c r="E481" s="181">
        <v>0.04</v>
      </c>
      <c r="F481" s="177" t="s">
        <v>3847</v>
      </c>
      <c r="G481" s="177" t="s">
        <v>3007</v>
      </c>
      <c r="H481" s="172">
        <v>3158</v>
      </c>
    </row>
    <row r="482" spans="1:8" ht="31.5" x14ac:dyDescent="0.25">
      <c r="A482" s="177" t="s">
        <v>6158</v>
      </c>
      <c r="B482" s="177" t="s">
        <v>6218</v>
      </c>
      <c r="C482" s="177" t="s">
        <v>6217</v>
      </c>
      <c r="D482" s="177" t="s">
        <v>3349</v>
      </c>
      <c r="E482" s="181">
        <v>1.78</v>
      </c>
      <c r="F482" s="177" t="s">
        <v>3348</v>
      </c>
      <c r="G482" s="177" t="s">
        <v>3007</v>
      </c>
      <c r="H482" s="172">
        <v>3160</v>
      </c>
    </row>
    <row r="483" spans="1:8" ht="31.5" x14ac:dyDescent="0.25">
      <c r="A483" s="177" t="s">
        <v>6158</v>
      </c>
      <c r="B483" s="177" t="s">
        <v>6216</v>
      </c>
      <c r="C483" s="177" t="s">
        <v>6215</v>
      </c>
      <c r="D483" s="177" t="s">
        <v>3957</v>
      </c>
      <c r="E483" s="181">
        <v>9.4</v>
      </c>
      <c r="F483" s="177" t="s">
        <v>3956</v>
      </c>
      <c r="G483" s="177" t="s">
        <v>3007</v>
      </c>
      <c r="H483" s="172">
        <v>3161</v>
      </c>
    </row>
    <row r="484" spans="1:8" ht="31.5" x14ac:dyDescent="0.25">
      <c r="A484" s="177" t="s">
        <v>6158</v>
      </c>
      <c r="B484" s="177" t="s">
        <v>6214</v>
      </c>
      <c r="C484" s="177" t="s">
        <v>6213</v>
      </c>
      <c r="D484" s="177" t="s">
        <v>3390</v>
      </c>
      <c r="E484" s="181">
        <v>8.3800000000000008</v>
      </c>
      <c r="F484" s="177" t="s">
        <v>3389</v>
      </c>
      <c r="G484" s="177" t="s">
        <v>3007</v>
      </c>
      <c r="H484" s="172">
        <v>3162</v>
      </c>
    </row>
    <row r="485" spans="1:8" ht="31.5" x14ac:dyDescent="0.25">
      <c r="A485" s="177" t="s">
        <v>6158</v>
      </c>
      <c r="B485" s="177" t="s">
        <v>6212</v>
      </c>
      <c r="C485" s="177" t="s">
        <v>6211</v>
      </c>
      <c r="D485" s="177" t="s">
        <v>3309</v>
      </c>
      <c r="E485" s="181">
        <v>3.92</v>
      </c>
      <c r="F485" s="177" t="s">
        <v>3308</v>
      </c>
      <c r="G485" s="177" t="s">
        <v>3007</v>
      </c>
      <c r="H485" s="172">
        <v>3163</v>
      </c>
    </row>
    <row r="486" spans="1:8" ht="31.5" x14ac:dyDescent="0.25">
      <c r="A486" s="177" t="s">
        <v>6158</v>
      </c>
      <c r="B486" s="177" t="s">
        <v>6210</v>
      </c>
      <c r="C486" s="177" t="s">
        <v>6209</v>
      </c>
      <c r="D486" s="177" t="s">
        <v>6208</v>
      </c>
      <c r="E486" s="181">
        <v>38.5</v>
      </c>
      <c r="F486" s="177" t="s">
        <v>6207</v>
      </c>
      <c r="G486" s="177" t="s">
        <v>3007</v>
      </c>
      <c r="H486" s="172">
        <v>3164</v>
      </c>
    </row>
    <row r="487" spans="1:8" ht="31.5" x14ac:dyDescent="0.25">
      <c r="A487" s="177" t="s">
        <v>6158</v>
      </c>
      <c r="B487" s="177" t="s">
        <v>6206</v>
      </c>
      <c r="C487" s="177" t="s">
        <v>6205</v>
      </c>
      <c r="D487" s="177" t="s">
        <v>4168</v>
      </c>
      <c r="E487" s="181">
        <v>9.36</v>
      </c>
      <c r="F487" s="177" t="s">
        <v>4167</v>
      </c>
      <c r="G487" s="177" t="s">
        <v>3007</v>
      </c>
      <c r="H487" s="172">
        <v>3165</v>
      </c>
    </row>
    <row r="488" spans="1:8" ht="31.5" x14ac:dyDescent="0.25">
      <c r="A488" s="177" t="s">
        <v>6158</v>
      </c>
      <c r="B488" s="177" t="s">
        <v>6204</v>
      </c>
      <c r="C488" s="177" t="s">
        <v>6203</v>
      </c>
      <c r="D488" s="177" t="s">
        <v>6202</v>
      </c>
      <c r="E488" s="181">
        <v>0.72</v>
      </c>
      <c r="F488" s="177" t="s">
        <v>6201</v>
      </c>
      <c r="G488" s="177" t="s">
        <v>3007</v>
      </c>
      <c r="H488" s="172">
        <v>3166</v>
      </c>
    </row>
    <row r="489" spans="1:8" ht="31.5" x14ac:dyDescent="0.25">
      <c r="A489" s="177" t="s">
        <v>6158</v>
      </c>
      <c r="B489" s="177" t="s">
        <v>6200</v>
      </c>
      <c r="C489" s="177" t="s">
        <v>6199</v>
      </c>
      <c r="D489" s="177" t="s">
        <v>4907</v>
      </c>
      <c r="E489" s="181">
        <v>13.88</v>
      </c>
      <c r="F489" s="177" t="s">
        <v>4906</v>
      </c>
      <c r="G489" s="177" t="s">
        <v>3007</v>
      </c>
      <c r="H489" s="172">
        <v>3167</v>
      </c>
    </row>
    <row r="490" spans="1:8" ht="31.5" x14ac:dyDescent="0.25">
      <c r="A490" s="177" t="s">
        <v>6158</v>
      </c>
      <c r="B490" s="177" t="s">
        <v>6198</v>
      </c>
      <c r="C490" s="177" t="s">
        <v>6197</v>
      </c>
      <c r="D490" s="177" t="s">
        <v>3527</v>
      </c>
      <c r="E490" s="181">
        <v>6.16</v>
      </c>
      <c r="F490" s="177" t="s">
        <v>3526</v>
      </c>
      <c r="G490" s="177" t="s">
        <v>3007</v>
      </c>
      <c r="H490" s="172">
        <v>3168</v>
      </c>
    </row>
    <row r="491" spans="1:8" ht="31.5" x14ac:dyDescent="0.25">
      <c r="A491" s="177" t="s">
        <v>6158</v>
      </c>
      <c r="B491" s="177" t="s">
        <v>6196</v>
      </c>
      <c r="C491" s="177" t="s">
        <v>6195</v>
      </c>
      <c r="D491" s="177" t="s">
        <v>3530</v>
      </c>
      <c r="E491" s="181">
        <v>10.32</v>
      </c>
      <c r="F491" s="177" t="s">
        <v>3526</v>
      </c>
      <c r="G491" s="177" t="s">
        <v>3007</v>
      </c>
      <c r="H491" s="172">
        <v>3169</v>
      </c>
    </row>
    <row r="492" spans="1:8" ht="31.5" x14ac:dyDescent="0.25">
      <c r="A492" s="177" t="s">
        <v>6158</v>
      </c>
      <c r="B492" s="177" t="s">
        <v>6194</v>
      </c>
      <c r="C492" s="177" t="s">
        <v>6193</v>
      </c>
      <c r="D492" s="177" t="s">
        <v>3450</v>
      </c>
      <c r="E492" s="181">
        <v>10.28</v>
      </c>
      <c r="F492" s="177" t="s">
        <v>3449</v>
      </c>
      <c r="G492" s="177" t="s">
        <v>3007</v>
      </c>
      <c r="H492" s="172">
        <v>3170</v>
      </c>
    </row>
    <row r="493" spans="1:8" ht="31.5" x14ac:dyDescent="0.25">
      <c r="A493" s="177" t="s">
        <v>6158</v>
      </c>
      <c r="B493" s="177" t="s">
        <v>6192</v>
      </c>
      <c r="C493" s="177" t="s">
        <v>6191</v>
      </c>
      <c r="D493" s="177" t="s">
        <v>6190</v>
      </c>
      <c r="E493" s="181">
        <v>1.68</v>
      </c>
      <c r="F493" s="177" t="s">
        <v>6189</v>
      </c>
      <c r="G493" s="177" t="s">
        <v>3007</v>
      </c>
      <c r="H493" s="172">
        <v>3171</v>
      </c>
    </row>
    <row r="494" spans="1:8" ht="31.5" x14ac:dyDescent="0.25">
      <c r="A494" s="177" t="s">
        <v>6158</v>
      </c>
      <c r="B494" s="177" t="s">
        <v>6188</v>
      </c>
      <c r="C494" s="177" t="s">
        <v>6187</v>
      </c>
      <c r="D494" s="177" t="s">
        <v>3615</v>
      </c>
      <c r="E494" s="181">
        <v>8.99</v>
      </c>
      <c r="F494" s="177" t="s">
        <v>3614</v>
      </c>
      <c r="G494" s="177" t="s">
        <v>3007</v>
      </c>
      <c r="H494" s="172">
        <v>3172</v>
      </c>
    </row>
    <row r="495" spans="1:8" ht="31.5" x14ac:dyDescent="0.25">
      <c r="A495" s="177" t="s">
        <v>6158</v>
      </c>
      <c r="B495" s="177" t="s">
        <v>6186</v>
      </c>
      <c r="C495" s="177" t="s">
        <v>6185</v>
      </c>
      <c r="D495" s="177" t="s">
        <v>3599</v>
      </c>
      <c r="E495" s="181">
        <v>7.25</v>
      </c>
      <c r="F495" s="177" t="s">
        <v>3598</v>
      </c>
      <c r="G495" s="177" t="s">
        <v>3007</v>
      </c>
      <c r="H495" s="172">
        <v>3173</v>
      </c>
    </row>
    <row r="496" spans="1:8" ht="31.5" x14ac:dyDescent="0.25">
      <c r="A496" s="177" t="s">
        <v>6158</v>
      </c>
      <c r="B496" s="177" t="s">
        <v>6184</v>
      </c>
      <c r="C496" s="177" t="s">
        <v>6183</v>
      </c>
      <c r="D496" s="177" t="s">
        <v>3215</v>
      </c>
      <c r="E496" s="181">
        <v>4.88</v>
      </c>
      <c r="F496" s="177" t="s">
        <v>3214</v>
      </c>
      <c r="G496" s="177" t="s">
        <v>3007</v>
      </c>
      <c r="H496" s="172">
        <v>3174</v>
      </c>
    </row>
    <row r="497" spans="1:8" ht="31.5" x14ac:dyDescent="0.25">
      <c r="A497" s="177" t="s">
        <v>6158</v>
      </c>
      <c r="B497" s="177" t="s">
        <v>6182</v>
      </c>
      <c r="C497" s="177" t="s">
        <v>6181</v>
      </c>
      <c r="D497" s="177" t="s">
        <v>4188</v>
      </c>
      <c r="E497" s="181">
        <v>13.88</v>
      </c>
      <c r="F497" s="177" t="s">
        <v>4187</v>
      </c>
      <c r="G497" s="177" t="s">
        <v>3007</v>
      </c>
      <c r="H497" s="172">
        <v>3175</v>
      </c>
    </row>
    <row r="498" spans="1:8" ht="31.5" x14ac:dyDescent="0.25">
      <c r="A498" s="177" t="s">
        <v>6158</v>
      </c>
      <c r="B498" s="177" t="s">
        <v>6180</v>
      </c>
      <c r="C498" s="177" t="s">
        <v>6179</v>
      </c>
      <c r="D498" s="177" t="s">
        <v>6178</v>
      </c>
      <c r="E498" s="181">
        <v>23.33</v>
      </c>
      <c r="F498" s="177" t="s">
        <v>6177</v>
      </c>
      <c r="G498" s="177" t="s">
        <v>3007</v>
      </c>
      <c r="H498" s="172">
        <v>3176</v>
      </c>
    </row>
    <row r="499" spans="1:8" ht="31.5" x14ac:dyDescent="0.25">
      <c r="A499" s="177" t="s">
        <v>6158</v>
      </c>
      <c r="B499" s="177" t="s">
        <v>6176</v>
      </c>
      <c r="C499" s="177" t="s">
        <v>6175</v>
      </c>
      <c r="D499" s="177" t="s">
        <v>5417</v>
      </c>
      <c r="E499" s="181">
        <v>11.2</v>
      </c>
      <c r="F499" s="177" t="s">
        <v>5416</v>
      </c>
      <c r="G499" s="177" t="s">
        <v>3007</v>
      </c>
      <c r="H499" s="172">
        <v>3177</v>
      </c>
    </row>
    <row r="500" spans="1:8" ht="31.5" x14ac:dyDescent="0.25">
      <c r="A500" s="177" t="s">
        <v>6158</v>
      </c>
      <c r="B500" s="177" t="s">
        <v>6174</v>
      </c>
      <c r="C500" s="177" t="s">
        <v>6173</v>
      </c>
      <c r="D500" s="177" t="s">
        <v>3434</v>
      </c>
      <c r="E500" s="181">
        <v>8.3800000000000008</v>
      </c>
      <c r="F500" s="177" t="s">
        <v>3433</v>
      </c>
      <c r="G500" s="177" t="s">
        <v>3007</v>
      </c>
      <c r="H500" s="172">
        <v>3178</v>
      </c>
    </row>
    <row r="501" spans="1:8" ht="31.5" x14ac:dyDescent="0.25">
      <c r="A501" s="177" t="s">
        <v>6158</v>
      </c>
      <c r="B501" s="177" t="s">
        <v>6172</v>
      </c>
      <c r="C501" s="177" t="s">
        <v>6171</v>
      </c>
      <c r="D501" s="177" t="s">
        <v>3763</v>
      </c>
      <c r="E501" s="181">
        <v>2.68</v>
      </c>
      <c r="F501" s="177" t="s">
        <v>3762</v>
      </c>
      <c r="G501" s="177" t="s">
        <v>3007</v>
      </c>
      <c r="H501" s="172">
        <v>3179</v>
      </c>
    </row>
    <row r="502" spans="1:8" ht="31.5" x14ac:dyDescent="0.25">
      <c r="A502" s="177" t="s">
        <v>6158</v>
      </c>
      <c r="B502" s="177" t="s">
        <v>6170</v>
      </c>
      <c r="C502" s="177" t="s">
        <v>6169</v>
      </c>
      <c r="D502" s="177" t="s">
        <v>5313</v>
      </c>
      <c r="E502" s="181">
        <v>5.04</v>
      </c>
      <c r="F502" s="177" t="s">
        <v>5312</v>
      </c>
      <c r="G502" s="177" t="s">
        <v>3007</v>
      </c>
      <c r="H502" s="172">
        <v>3180</v>
      </c>
    </row>
    <row r="503" spans="1:8" ht="31.5" x14ac:dyDescent="0.25">
      <c r="A503" s="177" t="s">
        <v>6158</v>
      </c>
      <c r="B503" s="177" t="s">
        <v>6168</v>
      </c>
      <c r="C503" s="177" t="s">
        <v>6167</v>
      </c>
      <c r="D503" s="177" t="s">
        <v>3219</v>
      </c>
      <c r="E503" s="181">
        <v>1.68</v>
      </c>
      <c r="F503" s="177" t="s">
        <v>3218</v>
      </c>
      <c r="G503" s="177" t="s">
        <v>3007</v>
      </c>
      <c r="H503" s="172">
        <v>3181</v>
      </c>
    </row>
    <row r="504" spans="1:8" ht="31.5" x14ac:dyDescent="0.25">
      <c r="A504" s="177" t="s">
        <v>6158</v>
      </c>
      <c r="B504" s="177" t="s">
        <v>6166</v>
      </c>
      <c r="C504" s="177" t="s">
        <v>6165</v>
      </c>
      <c r="D504" s="177" t="s">
        <v>3150</v>
      </c>
      <c r="E504" s="181">
        <v>5.4</v>
      </c>
      <c r="F504" s="177" t="s">
        <v>3149</v>
      </c>
      <c r="G504" s="177" t="s">
        <v>3007</v>
      </c>
      <c r="H504" s="172">
        <v>3182</v>
      </c>
    </row>
    <row r="505" spans="1:8" ht="31.5" x14ac:dyDescent="0.25">
      <c r="A505" s="177" t="s">
        <v>6158</v>
      </c>
      <c r="B505" s="177" t="s">
        <v>6164</v>
      </c>
      <c r="C505" s="177" t="s">
        <v>6163</v>
      </c>
      <c r="D505" s="177" t="s">
        <v>3611</v>
      </c>
      <c r="E505" s="181">
        <v>2.2000000000000002</v>
      </c>
      <c r="F505" s="177" t="s">
        <v>3610</v>
      </c>
      <c r="G505" s="177" t="s">
        <v>3007</v>
      </c>
      <c r="H505" s="172">
        <v>3183</v>
      </c>
    </row>
    <row r="506" spans="1:8" ht="31.5" x14ac:dyDescent="0.25">
      <c r="A506" s="177" t="s">
        <v>6158</v>
      </c>
      <c r="B506" s="177" t="s">
        <v>6162</v>
      </c>
      <c r="C506" s="177" t="s">
        <v>6161</v>
      </c>
      <c r="D506" s="177" t="s">
        <v>3708</v>
      </c>
      <c r="E506" s="181">
        <v>1.68</v>
      </c>
      <c r="F506" s="177" t="s">
        <v>3707</v>
      </c>
      <c r="G506" s="177" t="s">
        <v>3007</v>
      </c>
      <c r="H506" s="172">
        <v>3184</v>
      </c>
    </row>
    <row r="507" spans="1:8" ht="31.5" x14ac:dyDescent="0.25">
      <c r="A507" s="177" t="s">
        <v>6158</v>
      </c>
      <c r="B507" s="177" t="s">
        <v>6160</v>
      </c>
      <c r="C507" s="177" t="s">
        <v>6159</v>
      </c>
      <c r="D507" s="177" t="s">
        <v>3656</v>
      </c>
      <c r="E507" s="181">
        <v>2.61</v>
      </c>
      <c r="F507" s="177" t="s">
        <v>3655</v>
      </c>
      <c r="G507" s="177" t="s">
        <v>3007</v>
      </c>
      <c r="H507" s="172">
        <v>3185</v>
      </c>
    </row>
    <row r="508" spans="1:8" ht="31.5" x14ac:dyDescent="0.25">
      <c r="A508" s="177" t="s">
        <v>6158</v>
      </c>
      <c r="B508" s="177" t="s">
        <v>6157</v>
      </c>
      <c r="C508" s="177" t="s">
        <v>6156</v>
      </c>
      <c r="D508" s="177" t="s">
        <v>3711</v>
      </c>
      <c r="E508" s="181">
        <v>2.2000000000000002</v>
      </c>
      <c r="F508" s="177" t="s">
        <v>3707</v>
      </c>
      <c r="G508" s="177" t="s">
        <v>3007</v>
      </c>
      <c r="H508" s="172">
        <v>3186</v>
      </c>
    </row>
    <row r="509" spans="1:8" s="200" customFormat="1" x14ac:dyDescent="0.25">
      <c r="A509" s="198"/>
      <c r="B509" s="198"/>
      <c r="C509" s="198" t="s">
        <v>5691</v>
      </c>
      <c r="D509" s="198" t="s">
        <v>14413</v>
      </c>
      <c r="E509" s="199">
        <f>SUM(E413:E508)</f>
        <v>737.40999999999985</v>
      </c>
      <c r="F509" s="198"/>
      <c r="G509" s="198"/>
      <c r="H509" s="172"/>
    </row>
    <row r="510" spans="1:8" s="195" customFormat="1" ht="32.25" thickBot="1" x14ac:dyDescent="0.3">
      <c r="A510" s="193"/>
      <c r="B510" s="193"/>
      <c r="C510" s="193" t="s">
        <v>14410</v>
      </c>
      <c r="D510" s="193"/>
      <c r="E510" s="197">
        <v>-121.62</v>
      </c>
      <c r="F510" s="193"/>
      <c r="G510" s="193"/>
      <c r="H510" s="123"/>
    </row>
    <row r="511" spans="1:8" s="195" customFormat="1" x14ac:dyDescent="0.25">
      <c r="A511" s="193"/>
      <c r="B511" s="193"/>
      <c r="C511" s="193" t="s">
        <v>5691</v>
      </c>
      <c r="D511" s="193"/>
      <c r="E511" s="196">
        <f>SUM(E509:E510)</f>
        <v>615.78999999999985</v>
      </c>
      <c r="F511" s="193"/>
      <c r="G511" s="193"/>
      <c r="H511" s="123"/>
    </row>
    <row r="512" spans="1:8" s="195" customFormat="1" x14ac:dyDescent="0.25">
      <c r="A512" s="193"/>
      <c r="B512" s="193"/>
      <c r="C512" s="193"/>
      <c r="D512" s="193"/>
      <c r="E512" s="194"/>
      <c r="F512" s="193"/>
      <c r="G512" s="193"/>
      <c r="H512" s="123"/>
    </row>
    <row r="513" spans="1:8" x14ac:dyDescent="0.25">
      <c r="A513" s="177"/>
      <c r="B513" s="177"/>
      <c r="C513" s="177"/>
      <c r="D513" s="177"/>
      <c r="E513" s="181"/>
      <c r="F513" s="177"/>
      <c r="G513" s="177"/>
      <c r="H513" s="172"/>
    </row>
    <row r="514" spans="1:8" ht="31.5" x14ac:dyDescent="0.25">
      <c r="A514" s="177" t="s">
        <v>6075</v>
      </c>
      <c r="B514" s="177" t="s">
        <v>6155</v>
      </c>
      <c r="C514" s="177" t="s">
        <v>6154</v>
      </c>
      <c r="D514" s="177" t="s">
        <v>3050</v>
      </c>
      <c r="E514" s="181">
        <v>1.92</v>
      </c>
      <c r="F514" s="177" t="s">
        <v>3049</v>
      </c>
      <c r="G514" s="177" t="s">
        <v>3007</v>
      </c>
      <c r="H514" s="172">
        <v>3227</v>
      </c>
    </row>
    <row r="515" spans="1:8" ht="31.5" x14ac:dyDescent="0.25">
      <c r="A515" s="177" t="s">
        <v>6075</v>
      </c>
      <c r="B515" s="177" t="s">
        <v>6153</v>
      </c>
      <c r="C515" s="177" t="s">
        <v>6152</v>
      </c>
      <c r="D515" s="177" t="s">
        <v>6151</v>
      </c>
      <c r="E515" s="181">
        <v>38.119999999999997</v>
      </c>
      <c r="F515" s="177" t="s">
        <v>6150</v>
      </c>
      <c r="G515" s="177" t="s">
        <v>3007</v>
      </c>
      <c r="H515" s="172">
        <v>3228</v>
      </c>
    </row>
    <row r="516" spans="1:8" ht="31.5" x14ac:dyDescent="0.25">
      <c r="A516" s="177" t="s">
        <v>6075</v>
      </c>
      <c r="B516" s="177" t="s">
        <v>6149</v>
      </c>
      <c r="C516" s="177" t="s">
        <v>6148</v>
      </c>
      <c r="D516" s="177" t="s">
        <v>3783</v>
      </c>
      <c r="E516" s="181">
        <v>3.64</v>
      </c>
      <c r="F516" s="177" t="s">
        <v>3782</v>
      </c>
      <c r="G516" s="177" t="s">
        <v>3007</v>
      </c>
      <c r="H516" s="172">
        <v>3229</v>
      </c>
    </row>
    <row r="517" spans="1:8" ht="31.5" x14ac:dyDescent="0.25">
      <c r="A517" s="177" t="s">
        <v>6075</v>
      </c>
      <c r="B517" s="177" t="s">
        <v>6147</v>
      </c>
      <c r="C517" s="177" t="s">
        <v>6146</v>
      </c>
      <c r="D517" s="177" t="s">
        <v>3454</v>
      </c>
      <c r="E517" s="181">
        <v>27.48</v>
      </c>
      <c r="F517" s="177" t="s">
        <v>3453</v>
      </c>
      <c r="G517" s="177" t="s">
        <v>3007</v>
      </c>
      <c r="H517" s="172">
        <v>3230</v>
      </c>
    </row>
    <row r="518" spans="1:8" ht="31.5" x14ac:dyDescent="0.25">
      <c r="A518" s="177" t="s">
        <v>6075</v>
      </c>
      <c r="B518" s="177" t="s">
        <v>6145</v>
      </c>
      <c r="C518" s="177" t="s">
        <v>6144</v>
      </c>
      <c r="D518" s="177" t="s">
        <v>6143</v>
      </c>
      <c r="E518" s="181">
        <v>2.04</v>
      </c>
      <c r="F518" s="177" t="s">
        <v>6142</v>
      </c>
      <c r="G518" s="177" t="s">
        <v>3007</v>
      </c>
      <c r="H518" s="172">
        <v>3231</v>
      </c>
    </row>
    <row r="519" spans="1:8" ht="31.5" x14ac:dyDescent="0.25">
      <c r="A519" s="177" t="s">
        <v>6075</v>
      </c>
      <c r="B519" s="177" t="s">
        <v>6141</v>
      </c>
      <c r="C519" s="177" t="s">
        <v>6140</v>
      </c>
      <c r="D519" s="177" t="s">
        <v>3727</v>
      </c>
      <c r="E519" s="181">
        <v>2.02</v>
      </c>
      <c r="F519" s="177" t="s">
        <v>3726</v>
      </c>
      <c r="G519" s="177" t="s">
        <v>3007</v>
      </c>
      <c r="H519" s="172">
        <v>3232</v>
      </c>
    </row>
    <row r="520" spans="1:8" ht="31.5" x14ac:dyDescent="0.25">
      <c r="A520" s="177" t="s">
        <v>6075</v>
      </c>
      <c r="B520" s="177" t="s">
        <v>6139</v>
      </c>
      <c r="C520" s="177" t="s">
        <v>6138</v>
      </c>
      <c r="D520" s="177" t="s">
        <v>6137</v>
      </c>
      <c r="E520" s="181">
        <v>2.84</v>
      </c>
      <c r="F520" s="177" t="s">
        <v>6136</v>
      </c>
      <c r="G520" s="177" t="s">
        <v>3007</v>
      </c>
      <c r="H520" s="172">
        <v>3233</v>
      </c>
    </row>
    <row r="521" spans="1:8" ht="31.5" x14ac:dyDescent="0.25">
      <c r="A521" s="177" t="s">
        <v>6075</v>
      </c>
      <c r="B521" s="177" t="s">
        <v>6135</v>
      </c>
      <c r="C521" s="177" t="s">
        <v>6134</v>
      </c>
      <c r="D521" s="177" t="s">
        <v>3668</v>
      </c>
      <c r="E521" s="181">
        <v>4.3600000000000003</v>
      </c>
      <c r="F521" s="177" t="s">
        <v>3667</v>
      </c>
      <c r="G521" s="177" t="s">
        <v>3007</v>
      </c>
      <c r="H521" s="172">
        <v>3234</v>
      </c>
    </row>
    <row r="522" spans="1:8" ht="31.5" x14ac:dyDescent="0.25">
      <c r="A522" s="177" t="s">
        <v>6075</v>
      </c>
      <c r="B522" s="177" t="s">
        <v>6133</v>
      </c>
      <c r="C522" s="177" t="s">
        <v>6132</v>
      </c>
      <c r="D522" s="177" t="s">
        <v>4582</v>
      </c>
      <c r="E522" s="181">
        <v>11.2</v>
      </c>
      <c r="F522" s="177" t="s">
        <v>4581</v>
      </c>
      <c r="G522" s="177" t="s">
        <v>3007</v>
      </c>
      <c r="H522" s="172">
        <v>3235</v>
      </c>
    </row>
    <row r="523" spans="1:8" ht="31.5" x14ac:dyDescent="0.25">
      <c r="A523" s="177" t="s">
        <v>6075</v>
      </c>
      <c r="B523" s="177" t="s">
        <v>6131</v>
      </c>
      <c r="C523" s="177" t="s">
        <v>6130</v>
      </c>
      <c r="D523" s="177" t="s">
        <v>6129</v>
      </c>
      <c r="E523" s="181">
        <v>1.68</v>
      </c>
      <c r="F523" s="177" t="s">
        <v>6128</v>
      </c>
      <c r="G523" s="177" t="s">
        <v>3007</v>
      </c>
      <c r="H523" s="172">
        <v>3236</v>
      </c>
    </row>
    <row r="524" spans="1:8" ht="31.5" x14ac:dyDescent="0.25">
      <c r="A524" s="177" t="s">
        <v>6075</v>
      </c>
      <c r="B524" s="177" t="s">
        <v>6127</v>
      </c>
      <c r="C524" s="177" t="s">
        <v>6126</v>
      </c>
      <c r="D524" s="177" t="s">
        <v>5474</v>
      </c>
      <c r="E524" s="181">
        <v>6.69</v>
      </c>
      <c r="F524" s="177" t="s">
        <v>5473</v>
      </c>
      <c r="G524" s="177" t="s">
        <v>3007</v>
      </c>
      <c r="H524" s="172">
        <v>3237</v>
      </c>
    </row>
    <row r="525" spans="1:8" ht="31.5" x14ac:dyDescent="0.25">
      <c r="A525" s="177" t="s">
        <v>6075</v>
      </c>
      <c r="B525" s="177" t="s">
        <v>6125</v>
      </c>
      <c r="C525" s="177" t="s">
        <v>6124</v>
      </c>
      <c r="D525" s="177" t="s">
        <v>6123</v>
      </c>
      <c r="E525" s="181">
        <v>10.52</v>
      </c>
      <c r="F525" s="177" t="s">
        <v>6122</v>
      </c>
      <c r="G525" s="177" t="s">
        <v>3007</v>
      </c>
      <c r="H525" s="172">
        <v>3238</v>
      </c>
    </row>
    <row r="526" spans="1:8" ht="31.5" x14ac:dyDescent="0.25">
      <c r="A526" s="177" t="s">
        <v>6075</v>
      </c>
      <c r="B526" s="177" t="s">
        <v>6121</v>
      </c>
      <c r="C526" s="177" t="s">
        <v>6120</v>
      </c>
      <c r="D526" s="177" t="s">
        <v>5102</v>
      </c>
      <c r="E526" s="181">
        <v>1.85</v>
      </c>
      <c r="F526" s="177" t="s">
        <v>5101</v>
      </c>
      <c r="G526" s="177" t="s">
        <v>3007</v>
      </c>
      <c r="H526" s="172">
        <v>3239</v>
      </c>
    </row>
    <row r="527" spans="1:8" ht="31.5" x14ac:dyDescent="0.25">
      <c r="A527" s="177" t="s">
        <v>6075</v>
      </c>
      <c r="B527" s="177" t="s">
        <v>6119</v>
      </c>
      <c r="C527" s="177" t="s">
        <v>6118</v>
      </c>
      <c r="D527" s="177" t="s">
        <v>6117</v>
      </c>
      <c r="E527" s="181">
        <v>5.15</v>
      </c>
      <c r="F527" s="177" t="s">
        <v>6116</v>
      </c>
      <c r="G527" s="177" t="s">
        <v>3007</v>
      </c>
      <c r="H527" s="172">
        <v>3240</v>
      </c>
    </row>
    <row r="528" spans="1:8" ht="31.5" x14ac:dyDescent="0.25">
      <c r="A528" s="177" t="s">
        <v>6075</v>
      </c>
      <c r="B528" s="177" t="s">
        <v>6115</v>
      </c>
      <c r="C528" s="177" t="s">
        <v>6114</v>
      </c>
      <c r="D528" s="177" t="s">
        <v>3203</v>
      </c>
      <c r="E528" s="181">
        <v>4.75</v>
      </c>
      <c r="F528" s="177" t="s">
        <v>3202</v>
      </c>
      <c r="G528" s="177" t="s">
        <v>3007</v>
      </c>
      <c r="H528" s="172">
        <v>3241</v>
      </c>
    </row>
    <row r="529" spans="1:8" ht="31.5" x14ac:dyDescent="0.25">
      <c r="A529" s="177" t="s">
        <v>6075</v>
      </c>
      <c r="B529" s="177" t="s">
        <v>6113</v>
      </c>
      <c r="C529" s="177" t="s">
        <v>6112</v>
      </c>
      <c r="D529" s="177" t="s">
        <v>3247</v>
      </c>
      <c r="E529" s="181">
        <v>5.49</v>
      </c>
      <c r="F529" s="177" t="s">
        <v>3246</v>
      </c>
      <c r="G529" s="177" t="s">
        <v>3007</v>
      </c>
      <c r="H529" s="172">
        <v>3242</v>
      </c>
    </row>
    <row r="530" spans="1:8" ht="31.5" x14ac:dyDescent="0.25">
      <c r="A530" s="177" t="s">
        <v>6075</v>
      </c>
      <c r="B530" s="177" t="s">
        <v>6111</v>
      </c>
      <c r="C530" s="177" t="s">
        <v>6110</v>
      </c>
      <c r="D530" s="177" t="s">
        <v>6109</v>
      </c>
      <c r="E530" s="181">
        <v>8.98</v>
      </c>
      <c r="F530" s="177" t="s">
        <v>6108</v>
      </c>
      <c r="G530" s="177" t="s">
        <v>3007</v>
      </c>
      <c r="H530" s="172">
        <v>3243</v>
      </c>
    </row>
    <row r="531" spans="1:8" ht="31.5" x14ac:dyDescent="0.25">
      <c r="A531" s="177" t="s">
        <v>6075</v>
      </c>
      <c r="B531" s="177" t="s">
        <v>6107</v>
      </c>
      <c r="C531" s="177" t="s">
        <v>6106</v>
      </c>
      <c r="D531" s="177" t="s">
        <v>3747</v>
      </c>
      <c r="E531" s="181">
        <v>4.26</v>
      </c>
      <c r="F531" s="177" t="s">
        <v>3746</v>
      </c>
      <c r="G531" s="177" t="s">
        <v>3007</v>
      </c>
      <c r="H531" s="172">
        <v>3244</v>
      </c>
    </row>
    <row r="532" spans="1:8" ht="31.5" x14ac:dyDescent="0.25">
      <c r="A532" s="177" t="s">
        <v>6075</v>
      </c>
      <c r="B532" s="177" t="s">
        <v>6105</v>
      </c>
      <c r="C532" s="177" t="s">
        <v>6104</v>
      </c>
      <c r="D532" s="177" t="s">
        <v>3406</v>
      </c>
      <c r="E532" s="181">
        <v>3.26</v>
      </c>
      <c r="F532" s="177" t="s">
        <v>3405</v>
      </c>
      <c r="G532" s="177" t="s">
        <v>3007</v>
      </c>
      <c r="H532" s="172">
        <v>3245</v>
      </c>
    </row>
    <row r="533" spans="1:8" ht="31.5" x14ac:dyDescent="0.25">
      <c r="A533" s="177" t="s">
        <v>6075</v>
      </c>
      <c r="B533" s="177" t="s">
        <v>6103</v>
      </c>
      <c r="C533" s="177" t="s">
        <v>6102</v>
      </c>
      <c r="D533" s="177" t="s">
        <v>3154</v>
      </c>
      <c r="E533" s="181">
        <v>1.72</v>
      </c>
      <c r="F533" s="177" t="s">
        <v>3153</v>
      </c>
      <c r="G533" s="177" t="s">
        <v>3007</v>
      </c>
      <c r="H533" s="172">
        <v>3246</v>
      </c>
    </row>
    <row r="534" spans="1:8" ht="31.5" x14ac:dyDescent="0.25">
      <c r="A534" s="177" t="s">
        <v>6075</v>
      </c>
      <c r="B534" s="177" t="s">
        <v>6101</v>
      </c>
      <c r="C534" s="177" t="s">
        <v>6100</v>
      </c>
      <c r="D534" s="177" t="s">
        <v>6099</v>
      </c>
      <c r="E534" s="181">
        <v>1.72</v>
      </c>
      <c r="F534" s="177" t="s">
        <v>6095</v>
      </c>
      <c r="G534" s="177" t="s">
        <v>3007</v>
      </c>
      <c r="H534" s="172">
        <v>3247</v>
      </c>
    </row>
    <row r="535" spans="1:8" ht="31.5" x14ac:dyDescent="0.25">
      <c r="A535" s="177" t="s">
        <v>6075</v>
      </c>
      <c r="B535" s="177" t="s">
        <v>6098</v>
      </c>
      <c r="C535" s="177" t="s">
        <v>6097</v>
      </c>
      <c r="D535" s="177" t="s">
        <v>6096</v>
      </c>
      <c r="E535" s="181">
        <v>40.99</v>
      </c>
      <c r="F535" s="177" t="s">
        <v>6095</v>
      </c>
      <c r="G535" s="177" t="s">
        <v>3007</v>
      </c>
      <c r="H535" s="172">
        <v>3248</v>
      </c>
    </row>
    <row r="536" spans="1:8" ht="31.5" x14ac:dyDescent="0.25">
      <c r="A536" s="177" t="s">
        <v>6075</v>
      </c>
      <c r="B536" s="177" t="s">
        <v>6094</v>
      </c>
      <c r="C536" s="177" t="s">
        <v>6093</v>
      </c>
      <c r="D536" s="177" t="s">
        <v>3062</v>
      </c>
      <c r="E536" s="181">
        <v>0.92</v>
      </c>
      <c r="F536" s="177" t="s">
        <v>3061</v>
      </c>
      <c r="G536" s="177" t="s">
        <v>3007</v>
      </c>
      <c r="H536" s="172">
        <v>3249</v>
      </c>
    </row>
    <row r="537" spans="1:8" ht="31.5" x14ac:dyDescent="0.25">
      <c r="A537" s="177" t="s">
        <v>6075</v>
      </c>
      <c r="B537" s="177" t="s">
        <v>6092</v>
      </c>
      <c r="C537" s="177" t="s">
        <v>6091</v>
      </c>
      <c r="D537" s="177" t="s">
        <v>6090</v>
      </c>
      <c r="E537" s="181">
        <v>15.85</v>
      </c>
      <c r="F537" s="177" t="s">
        <v>6089</v>
      </c>
      <c r="G537" s="177" t="s">
        <v>3007</v>
      </c>
      <c r="H537" s="172">
        <v>3250</v>
      </c>
    </row>
    <row r="538" spans="1:8" ht="31.5" x14ac:dyDescent="0.25">
      <c r="A538" s="177" t="s">
        <v>6075</v>
      </c>
      <c r="B538" s="177" t="s">
        <v>6088</v>
      </c>
      <c r="C538" s="177" t="s">
        <v>6087</v>
      </c>
      <c r="D538" s="177" t="s">
        <v>3166</v>
      </c>
      <c r="E538" s="181">
        <v>3.07</v>
      </c>
      <c r="F538" s="177" t="s">
        <v>3165</v>
      </c>
      <c r="G538" s="177" t="s">
        <v>3007</v>
      </c>
      <c r="H538" s="172">
        <v>3251</v>
      </c>
    </row>
    <row r="539" spans="1:8" ht="31.5" x14ac:dyDescent="0.25">
      <c r="A539" s="177" t="s">
        <v>6075</v>
      </c>
      <c r="B539" s="177" t="s">
        <v>6086</v>
      </c>
      <c r="C539" s="177" t="s">
        <v>6085</v>
      </c>
      <c r="D539" s="177" t="s">
        <v>3361</v>
      </c>
      <c r="E539" s="181">
        <v>2.41</v>
      </c>
      <c r="F539" s="177" t="s">
        <v>3360</v>
      </c>
      <c r="G539" s="177" t="s">
        <v>3007</v>
      </c>
      <c r="H539" s="172">
        <v>3252</v>
      </c>
    </row>
    <row r="540" spans="1:8" ht="31.5" x14ac:dyDescent="0.25">
      <c r="A540" s="177" t="s">
        <v>6075</v>
      </c>
      <c r="B540" s="177" t="s">
        <v>6084</v>
      </c>
      <c r="C540" s="177" t="s">
        <v>6083</v>
      </c>
      <c r="D540" s="177" t="s">
        <v>3107</v>
      </c>
      <c r="E540" s="181">
        <v>2.54</v>
      </c>
      <c r="F540" s="177" t="s">
        <v>3106</v>
      </c>
      <c r="G540" s="177" t="s">
        <v>3007</v>
      </c>
      <c r="H540" s="172">
        <v>3253</v>
      </c>
    </row>
    <row r="541" spans="1:8" ht="31.5" x14ac:dyDescent="0.25">
      <c r="A541" s="177" t="s">
        <v>6075</v>
      </c>
      <c r="B541" s="177" t="s">
        <v>6082</v>
      </c>
      <c r="C541" s="177" t="s">
        <v>6081</v>
      </c>
      <c r="D541" s="177" t="s">
        <v>3317</v>
      </c>
      <c r="E541" s="181">
        <v>2.2999999999999998</v>
      </c>
      <c r="F541" s="177" t="s">
        <v>3316</v>
      </c>
      <c r="G541" s="177" t="s">
        <v>3007</v>
      </c>
      <c r="H541" s="172">
        <v>3254</v>
      </c>
    </row>
    <row r="542" spans="1:8" ht="31.5" x14ac:dyDescent="0.25">
      <c r="A542" s="177" t="s">
        <v>6075</v>
      </c>
      <c r="B542" s="177" t="s">
        <v>3955</v>
      </c>
      <c r="C542" s="177" t="s">
        <v>6080</v>
      </c>
      <c r="D542" s="177" t="s">
        <v>6079</v>
      </c>
      <c r="E542" s="181">
        <v>5.04</v>
      </c>
      <c r="F542" s="177" t="s">
        <v>6078</v>
      </c>
      <c r="G542" s="177" t="s">
        <v>3007</v>
      </c>
      <c r="H542" s="172">
        <v>3255</v>
      </c>
    </row>
    <row r="543" spans="1:8" ht="31.5" x14ac:dyDescent="0.25">
      <c r="A543" s="177" t="s">
        <v>6075</v>
      </c>
      <c r="B543" s="177" t="s">
        <v>6077</v>
      </c>
      <c r="C543" s="177" t="s">
        <v>6076</v>
      </c>
      <c r="D543" s="177" t="s">
        <v>3832</v>
      </c>
      <c r="E543" s="181">
        <v>19.809999999999999</v>
      </c>
      <c r="F543" s="177" t="s">
        <v>3831</v>
      </c>
      <c r="G543" s="177" t="s">
        <v>3007</v>
      </c>
      <c r="H543" s="172">
        <v>3256</v>
      </c>
    </row>
    <row r="544" spans="1:8" ht="31.5" x14ac:dyDescent="0.25">
      <c r="A544" s="177" t="s">
        <v>6075</v>
      </c>
      <c r="B544" s="177" t="s">
        <v>6074</v>
      </c>
      <c r="C544" s="177" t="s">
        <v>6073</v>
      </c>
      <c r="D544" s="177" t="s">
        <v>3195</v>
      </c>
      <c r="E544" s="181">
        <v>2.4500000000000002</v>
      </c>
      <c r="F544" s="177" t="s">
        <v>3194</v>
      </c>
      <c r="G544" s="177" t="s">
        <v>3007</v>
      </c>
      <c r="H544" s="172">
        <v>3257</v>
      </c>
    </row>
    <row r="545" spans="1:8" ht="31.5" x14ac:dyDescent="0.25">
      <c r="A545" s="177" t="s">
        <v>5986</v>
      </c>
      <c r="B545" s="177" t="s">
        <v>6072</v>
      </c>
      <c r="C545" s="177" t="s">
        <v>6071</v>
      </c>
      <c r="D545" s="177" t="s">
        <v>6070</v>
      </c>
      <c r="E545" s="181">
        <v>14.52</v>
      </c>
      <c r="F545" s="177" t="s">
        <v>6069</v>
      </c>
      <c r="G545" s="177" t="s">
        <v>3007</v>
      </c>
      <c r="H545" s="172">
        <v>3258</v>
      </c>
    </row>
    <row r="546" spans="1:8" ht="31.5" x14ac:dyDescent="0.25">
      <c r="A546" s="177" t="s">
        <v>5986</v>
      </c>
      <c r="B546" s="177" t="s">
        <v>6068</v>
      </c>
      <c r="C546" s="177" t="s">
        <v>6067</v>
      </c>
      <c r="D546" s="177" t="s">
        <v>6066</v>
      </c>
      <c r="E546" s="181">
        <v>0.79</v>
      </c>
      <c r="F546" s="177" t="s">
        <v>3266</v>
      </c>
      <c r="G546" s="177" t="s">
        <v>3007</v>
      </c>
      <c r="H546" s="172">
        <v>3259</v>
      </c>
    </row>
    <row r="547" spans="1:8" ht="31.5" x14ac:dyDescent="0.25">
      <c r="A547" s="177" t="s">
        <v>5986</v>
      </c>
      <c r="B547" s="177" t="s">
        <v>6065</v>
      </c>
      <c r="C547" s="177" t="s">
        <v>6064</v>
      </c>
      <c r="D547" s="177" t="s">
        <v>4216</v>
      </c>
      <c r="E547" s="181">
        <v>4.09</v>
      </c>
      <c r="F547" s="177" t="s">
        <v>4215</v>
      </c>
      <c r="G547" s="177" t="s">
        <v>3007</v>
      </c>
      <c r="H547" s="172">
        <v>3260</v>
      </c>
    </row>
    <row r="548" spans="1:8" ht="31.5" x14ac:dyDescent="0.25">
      <c r="A548" s="177" t="s">
        <v>5986</v>
      </c>
      <c r="B548" s="177" t="s">
        <v>6063</v>
      </c>
      <c r="C548" s="177" t="s">
        <v>6062</v>
      </c>
      <c r="D548" s="177" t="s">
        <v>6061</v>
      </c>
      <c r="E548" s="181">
        <v>5.17</v>
      </c>
      <c r="F548" s="177" t="s">
        <v>6060</v>
      </c>
      <c r="G548" s="177" t="s">
        <v>3007</v>
      </c>
      <c r="H548" s="172">
        <v>3261</v>
      </c>
    </row>
    <row r="549" spans="1:8" ht="31.5" x14ac:dyDescent="0.25">
      <c r="A549" s="177" t="s">
        <v>5986</v>
      </c>
      <c r="B549" s="177" t="s">
        <v>6059</v>
      </c>
      <c r="C549" s="177" t="s">
        <v>6058</v>
      </c>
      <c r="D549" s="177" t="s">
        <v>6057</v>
      </c>
      <c r="E549" s="181">
        <v>1.85</v>
      </c>
      <c r="F549" s="177" t="s">
        <v>6056</v>
      </c>
      <c r="G549" s="177" t="s">
        <v>3007</v>
      </c>
      <c r="H549" s="172">
        <v>3262</v>
      </c>
    </row>
    <row r="550" spans="1:8" ht="31.5" x14ac:dyDescent="0.25">
      <c r="A550" s="177" t="s">
        <v>5986</v>
      </c>
      <c r="B550" s="177" t="s">
        <v>6055</v>
      </c>
      <c r="C550" s="177" t="s">
        <v>6054</v>
      </c>
      <c r="D550" s="177" t="s">
        <v>6053</v>
      </c>
      <c r="E550" s="181">
        <v>2.39</v>
      </c>
      <c r="F550" s="177" t="s">
        <v>6052</v>
      </c>
      <c r="G550" s="177" t="s">
        <v>3007</v>
      </c>
      <c r="H550" s="172">
        <v>3263</v>
      </c>
    </row>
    <row r="551" spans="1:8" ht="31.5" x14ac:dyDescent="0.25">
      <c r="A551" s="177" t="s">
        <v>5986</v>
      </c>
      <c r="B551" s="177" t="s">
        <v>6051</v>
      </c>
      <c r="C551" s="177" t="s">
        <v>6050</v>
      </c>
      <c r="D551" s="177" t="s">
        <v>4048</v>
      </c>
      <c r="E551" s="181">
        <v>4.3600000000000003</v>
      </c>
      <c r="F551" s="177" t="s">
        <v>4047</v>
      </c>
      <c r="G551" s="177" t="s">
        <v>3007</v>
      </c>
      <c r="H551" s="172">
        <v>3264</v>
      </c>
    </row>
    <row r="552" spans="1:8" ht="31.5" x14ac:dyDescent="0.25">
      <c r="A552" s="177" t="s">
        <v>5986</v>
      </c>
      <c r="B552" s="177" t="s">
        <v>6049</v>
      </c>
      <c r="C552" s="177" t="s">
        <v>6048</v>
      </c>
      <c r="D552" s="177" t="s">
        <v>5281</v>
      </c>
      <c r="E552" s="181">
        <v>10.07</v>
      </c>
      <c r="F552" s="177" t="s">
        <v>5280</v>
      </c>
      <c r="G552" s="177" t="s">
        <v>3007</v>
      </c>
      <c r="H552" s="172">
        <v>3265</v>
      </c>
    </row>
    <row r="553" spans="1:8" ht="31.5" x14ac:dyDescent="0.25">
      <c r="A553" s="177" t="s">
        <v>5986</v>
      </c>
      <c r="B553" s="177" t="s">
        <v>6047</v>
      </c>
      <c r="C553" s="177" t="s">
        <v>6046</v>
      </c>
      <c r="D553" s="177" t="s">
        <v>6045</v>
      </c>
      <c r="E553" s="181">
        <v>15.49</v>
      </c>
      <c r="F553" s="177" t="s">
        <v>6044</v>
      </c>
      <c r="G553" s="177" t="s">
        <v>3007</v>
      </c>
      <c r="H553" s="172">
        <v>3266</v>
      </c>
    </row>
    <row r="554" spans="1:8" ht="31.5" x14ac:dyDescent="0.25">
      <c r="A554" s="177" t="s">
        <v>5986</v>
      </c>
      <c r="B554" s="177" t="s">
        <v>6043</v>
      </c>
      <c r="C554" s="177" t="s">
        <v>6042</v>
      </c>
      <c r="D554" s="177" t="s">
        <v>6041</v>
      </c>
      <c r="E554" s="181">
        <v>19.739999999999998</v>
      </c>
      <c r="F554" s="177" t="s">
        <v>6040</v>
      </c>
      <c r="G554" s="177" t="s">
        <v>3007</v>
      </c>
      <c r="H554" s="172">
        <v>3267</v>
      </c>
    </row>
    <row r="555" spans="1:8" ht="31.5" x14ac:dyDescent="0.25">
      <c r="A555" s="177" t="s">
        <v>5986</v>
      </c>
      <c r="B555" s="177" t="s">
        <v>6039</v>
      </c>
      <c r="C555" s="177" t="s">
        <v>6038</v>
      </c>
      <c r="D555" s="177" t="s">
        <v>6037</v>
      </c>
      <c r="E555" s="181">
        <v>6.68</v>
      </c>
      <c r="F555" s="177" t="s">
        <v>6036</v>
      </c>
      <c r="G555" s="177" t="s">
        <v>3007</v>
      </c>
      <c r="H555" s="172">
        <v>3268</v>
      </c>
    </row>
    <row r="556" spans="1:8" ht="31.5" x14ac:dyDescent="0.25">
      <c r="A556" s="177" t="s">
        <v>5986</v>
      </c>
      <c r="B556" s="177" t="s">
        <v>6035</v>
      </c>
      <c r="C556" s="177" t="s">
        <v>6034</v>
      </c>
      <c r="D556" s="177" t="s">
        <v>3474</v>
      </c>
      <c r="E556" s="181">
        <v>1.68</v>
      </c>
      <c r="F556" s="177" t="s">
        <v>3473</v>
      </c>
      <c r="G556" s="177" t="s">
        <v>3007</v>
      </c>
      <c r="H556" s="172">
        <v>3269</v>
      </c>
    </row>
    <row r="557" spans="1:8" ht="31.5" x14ac:dyDescent="0.25">
      <c r="A557" s="177" t="s">
        <v>5986</v>
      </c>
      <c r="B557" s="177" t="s">
        <v>6033</v>
      </c>
      <c r="C557" s="177" t="s">
        <v>6032</v>
      </c>
      <c r="D557" s="177" t="s">
        <v>6031</v>
      </c>
      <c r="E557" s="181">
        <v>20.170000000000002</v>
      </c>
      <c r="F557" s="177" t="s">
        <v>6030</v>
      </c>
      <c r="G557" s="177" t="s">
        <v>3007</v>
      </c>
      <c r="H557" s="172">
        <v>3271</v>
      </c>
    </row>
    <row r="558" spans="1:8" ht="31.5" x14ac:dyDescent="0.25">
      <c r="A558" s="177" t="s">
        <v>5986</v>
      </c>
      <c r="B558" s="177" t="s">
        <v>5456</v>
      </c>
      <c r="C558" s="177" t="s">
        <v>6029</v>
      </c>
      <c r="D558" s="177" t="s">
        <v>6028</v>
      </c>
      <c r="E558" s="181">
        <v>2.56</v>
      </c>
      <c r="F558" s="177" t="s">
        <v>6027</v>
      </c>
      <c r="G558" s="177" t="s">
        <v>3007</v>
      </c>
      <c r="H558" s="172">
        <v>3272</v>
      </c>
    </row>
    <row r="559" spans="1:8" ht="31.5" x14ac:dyDescent="0.25">
      <c r="A559" s="177" t="s">
        <v>5986</v>
      </c>
      <c r="B559" s="177" t="s">
        <v>6026</v>
      </c>
      <c r="C559" s="177" t="s">
        <v>6025</v>
      </c>
      <c r="D559" s="177" t="s">
        <v>4380</v>
      </c>
      <c r="E559" s="181">
        <v>3.62</v>
      </c>
      <c r="F559" s="177" t="s">
        <v>4379</v>
      </c>
      <c r="G559" s="177" t="s">
        <v>3007</v>
      </c>
      <c r="H559" s="172">
        <v>3273</v>
      </c>
    </row>
    <row r="560" spans="1:8" ht="31.5" x14ac:dyDescent="0.25">
      <c r="A560" s="177" t="s">
        <v>5986</v>
      </c>
      <c r="B560" s="177" t="s">
        <v>6024</v>
      </c>
      <c r="C560" s="177" t="s">
        <v>6023</v>
      </c>
      <c r="D560" s="177" t="s">
        <v>6022</v>
      </c>
      <c r="E560" s="181">
        <v>1.89</v>
      </c>
      <c r="F560" s="177" t="s">
        <v>6021</v>
      </c>
      <c r="G560" s="177" t="s">
        <v>3007</v>
      </c>
      <c r="H560" s="172">
        <v>3274</v>
      </c>
    </row>
    <row r="561" spans="1:8" ht="31.5" x14ac:dyDescent="0.25">
      <c r="A561" s="177" t="s">
        <v>5986</v>
      </c>
      <c r="B561" s="177" t="s">
        <v>6020</v>
      </c>
      <c r="C561" s="177" t="s">
        <v>6019</v>
      </c>
      <c r="D561" s="177" t="s">
        <v>6018</v>
      </c>
      <c r="E561" s="181">
        <v>12.05</v>
      </c>
      <c r="F561" s="177" t="s">
        <v>6017</v>
      </c>
      <c r="G561" s="177" t="s">
        <v>3007</v>
      </c>
      <c r="H561" s="172">
        <v>3275</v>
      </c>
    </row>
    <row r="562" spans="1:8" ht="31.5" x14ac:dyDescent="0.25">
      <c r="A562" s="177" t="s">
        <v>5986</v>
      </c>
      <c r="B562" s="177" t="s">
        <v>6016</v>
      </c>
      <c r="C562" s="177" t="s">
        <v>6015</v>
      </c>
      <c r="D562" s="177" t="s">
        <v>6014</v>
      </c>
      <c r="E562" s="181">
        <v>1.69</v>
      </c>
      <c r="F562" s="177" t="s">
        <v>6013</v>
      </c>
      <c r="G562" s="177" t="s">
        <v>3007</v>
      </c>
      <c r="H562" s="172">
        <v>3276</v>
      </c>
    </row>
    <row r="563" spans="1:8" ht="31.5" x14ac:dyDescent="0.25">
      <c r="A563" s="177" t="s">
        <v>5986</v>
      </c>
      <c r="B563" s="177" t="s">
        <v>6012</v>
      </c>
      <c r="C563" s="177" t="s">
        <v>6011</v>
      </c>
      <c r="D563" s="177" t="s">
        <v>6010</v>
      </c>
      <c r="E563" s="181">
        <v>16.760000000000002</v>
      </c>
      <c r="F563" s="177" t="s">
        <v>6009</v>
      </c>
      <c r="G563" s="177" t="s">
        <v>3007</v>
      </c>
      <c r="H563" s="172">
        <v>3277</v>
      </c>
    </row>
    <row r="564" spans="1:8" ht="31.5" x14ac:dyDescent="0.25">
      <c r="A564" s="177" t="s">
        <v>5986</v>
      </c>
      <c r="B564" s="177" t="s">
        <v>6008</v>
      </c>
      <c r="C564" s="177" t="s">
        <v>6007</v>
      </c>
      <c r="D564" s="177" t="s">
        <v>3680</v>
      </c>
      <c r="E564" s="181">
        <v>4.84</v>
      </c>
      <c r="F564" s="177" t="s">
        <v>3679</v>
      </c>
      <c r="G564" s="177" t="s">
        <v>3007</v>
      </c>
      <c r="H564" s="172">
        <v>3278</v>
      </c>
    </row>
    <row r="565" spans="1:8" ht="31.5" x14ac:dyDescent="0.25">
      <c r="A565" s="177" t="s">
        <v>5986</v>
      </c>
      <c r="B565" s="177" t="s">
        <v>6006</v>
      </c>
      <c r="C565" s="177" t="s">
        <v>6005</v>
      </c>
      <c r="D565" s="177" t="s">
        <v>6004</v>
      </c>
      <c r="E565" s="181">
        <v>6.87</v>
      </c>
      <c r="F565" s="177" t="s">
        <v>6003</v>
      </c>
      <c r="G565" s="177" t="s">
        <v>3007</v>
      </c>
      <c r="H565" s="172">
        <v>3279</v>
      </c>
    </row>
    <row r="566" spans="1:8" ht="31.5" x14ac:dyDescent="0.25">
      <c r="A566" s="177" t="s">
        <v>5986</v>
      </c>
      <c r="B566" s="177" t="s">
        <v>6002</v>
      </c>
      <c r="C566" s="177" t="s">
        <v>6001</v>
      </c>
      <c r="D566" s="177" t="s">
        <v>3519</v>
      </c>
      <c r="E566" s="181">
        <v>5.48</v>
      </c>
      <c r="F566" s="177" t="s">
        <v>3518</v>
      </c>
      <c r="G566" s="177" t="s">
        <v>3007</v>
      </c>
      <c r="H566" s="172">
        <v>3280</v>
      </c>
    </row>
    <row r="567" spans="1:8" ht="31.5" x14ac:dyDescent="0.25">
      <c r="A567" s="177" t="s">
        <v>5986</v>
      </c>
      <c r="B567" s="177" t="s">
        <v>6000</v>
      </c>
      <c r="C567" s="177" t="s">
        <v>5999</v>
      </c>
      <c r="D567" s="177" t="s">
        <v>5514</v>
      </c>
      <c r="E567" s="181">
        <v>16.010000000000002</v>
      </c>
      <c r="F567" s="177" t="s">
        <v>5513</v>
      </c>
      <c r="G567" s="177" t="s">
        <v>3007</v>
      </c>
      <c r="H567" s="172">
        <v>3281</v>
      </c>
    </row>
    <row r="568" spans="1:8" ht="31.5" x14ac:dyDescent="0.25">
      <c r="A568" s="177" t="s">
        <v>5986</v>
      </c>
      <c r="B568" s="177" t="s">
        <v>5998</v>
      </c>
      <c r="C568" s="177" t="s">
        <v>5997</v>
      </c>
      <c r="D568" s="177" t="s">
        <v>5996</v>
      </c>
      <c r="E568" s="181">
        <v>7.11</v>
      </c>
      <c r="F568" s="177" t="s">
        <v>5995</v>
      </c>
      <c r="G568" s="177" t="s">
        <v>3007</v>
      </c>
      <c r="H568" s="172">
        <v>3282</v>
      </c>
    </row>
    <row r="569" spans="1:8" ht="31.5" x14ac:dyDescent="0.25">
      <c r="A569" s="177" t="s">
        <v>5986</v>
      </c>
      <c r="B569" s="177" t="s">
        <v>5994</v>
      </c>
      <c r="C569" s="177" t="s">
        <v>5993</v>
      </c>
      <c r="D569" s="177" t="s">
        <v>5992</v>
      </c>
      <c r="E569" s="181">
        <v>3</v>
      </c>
      <c r="F569" s="177" t="s">
        <v>5991</v>
      </c>
      <c r="G569" s="177" t="s">
        <v>3007</v>
      </c>
      <c r="H569" s="172">
        <v>3286</v>
      </c>
    </row>
    <row r="570" spans="1:8" ht="31.5" x14ac:dyDescent="0.25">
      <c r="A570" s="177" t="s">
        <v>5986</v>
      </c>
      <c r="B570" s="177" t="s">
        <v>5990</v>
      </c>
      <c r="C570" s="177" t="s">
        <v>5989</v>
      </c>
      <c r="D570" s="177" t="s">
        <v>5988</v>
      </c>
      <c r="E570" s="181">
        <v>5.53</v>
      </c>
      <c r="F570" s="177" t="s">
        <v>5987</v>
      </c>
      <c r="G570" s="177" t="s">
        <v>3007</v>
      </c>
      <c r="H570" s="172">
        <v>3287</v>
      </c>
    </row>
    <row r="571" spans="1:8" ht="31.5" x14ac:dyDescent="0.25">
      <c r="A571" s="177" t="s">
        <v>5986</v>
      </c>
      <c r="B571" s="177" t="s">
        <v>5985</v>
      </c>
      <c r="C571" s="177" t="s">
        <v>5984</v>
      </c>
      <c r="D571" s="177" t="s">
        <v>5983</v>
      </c>
      <c r="E571" s="181">
        <v>0.35</v>
      </c>
      <c r="F571" s="177" t="s">
        <v>5982</v>
      </c>
      <c r="G571" s="177" t="s">
        <v>3007</v>
      </c>
      <c r="H571" s="172">
        <v>3288</v>
      </c>
    </row>
    <row r="572" spans="1:8" s="200" customFormat="1" x14ac:dyDescent="0.25">
      <c r="A572" s="198"/>
      <c r="B572" s="198"/>
      <c r="C572" s="198" t="s">
        <v>5691</v>
      </c>
      <c r="D572" s="198" t="s">
        <v>14414</v>
      </c>
      <c r="E572" s="199">
        <f>SUM(E514:E571)</f>
        <v>439.83</v>
      </c>
      <c r="F572" s="198"/>
      <c r="G572" s="198"/>
      <c r="H572" s="172"/>
    </row>
    <row r="573" spans="1:8" x14ac:dyDescent="0.25">
      <c r="A573" s="177"/>
      <c r="B573" s="177"/>
      <c r="C573" s="177"/>
      <c r="D573" s="177"/>
      <c r="E573" s="181"/>
      <c r="F573" s="177"/>
      <c r="G573" s="177"/>
      <c r="H573" s="172"/>
    </row>
    <row r="574" spans="1:8" x14ac:dyDescent="0.25">
      <c r="A574" s="177"/>
      <c r="B574" s="177"/>
      <c r="C574" s="177"/>
      <c r="D574" s="177"/>
      <c r="E574" s="181"/>
      <c r="F574" s="177"/>
      <c r="G574" s="179"/>
      <c r="H574" s="172"/>
    </row>
    <row r="575" spans="1:8" x14ac:dyDescent="0.25">
      <c r="A575" s="177"/>
      <c r="B575" s="177"/>
      <c r="C575" s="177"/>
      <c r="D575" s="177"/>
      <c r="E575" s="181"/>
      <c r="F575" s="177"/>
      <c r="G575" s="179"/>
      <c r="H575" s="172"/>
    </row>
    <row r="576" spans="1:8" x14ac:dyDescent="0.25">
      <c r="A576" s="177"/>
      <c r="B576" s="177"/>
      <c r="C576" s="177"/>
      <c r="D576" s="177"/>
      <c r="E576" s="181"/>
      <c r="F576" s="177"/>
      <c r="G576" s="179"/>
      <c r="H576" s="172"/>
    </row>
    <row r="577" spans="1:8" x14ac:dyDescent="0.25">
      <c r="A577" s="177"/>
      <c r="B577" s="177"/>
      <c r="C577" s="177"/>
      <c r="D577" s="177"/>
      <c r="E577" s="181"/>
      <c r="F577" s="177"/>
      <c r="G577" s="179"/>
      <c r="H577" s="172"/>
    </row>
    <row r="578" spans="1:8" x14ac:dyDescent="0.25">
      <c r="A578" s="177"/>
      <c r="B578" s="177"/>
      <c r="C578" s="177"/>
      <c r="D578" s="177"/>
      <c r="E578" s="181"/>
      <c r="F578" s="177"/>
      <c r="G578" s="179"/>
      <c r="H578" s="172"/>
    </row>
    <row r="579" spans="1:8" x14ac:dyDescent="0.25">
      <c r="A579" s="177"/>
      <c r="B579" s="177"/>
      <c r="C579" s="177"/>
      <c r="D579" s="177"/>
      <c r="E579" s="181"/>
      <c r="F579" s="177"/>
      <c r="G579" s="179"/>
      <c r="H579" s="172"/>
    </row>
    <row r="580" spans="1:8" x14ac:dyDescent="0.25">
      <c r="A580" s="177"/>
      <c r="B580" s="177"/>
      <c r="C580" s="177"/>
      <c r="D580" s="177"/>
      <c r="E580" s="181"/>
      <c r="F580" s="177"/>
      <c r="G580" s="179"/>
      <c r="H580" s="172"/>
    </row>
    <row r="581" spans="1:8" x14ac:dyDescent="0.25">
      <c r="A581" s="177"/>
      <c r="B581" s="177"/>
      <c r="C581" s="177"/>
      <c r="D581" s="177"/>
      <c r="E581" s="181"/>
      <c r="F581" s="177"/>
      <c r="G581" s="179"/>
      <c r="H581" s="172"/>
    </row>
    <row r="582" spans="1:8" x14ac:dyDescent="0.25">
      <c r="A582" s="177"/>
      <c r="B582" s="177"/>
      <c r="C582" s="177"/>
      <c r="D582" s="177"/>
      <c r="E582" s="181"/>
      <c r="F582" s="177"/>
      <c r="G582" s="179"/>
      <c r="H582" s="172"/>
    </row>
    <row r="583" spans="1:8" x14ac:dyDescent="0.25">
      <c r="A583" s="177"/>
      <c r="B583" s="177"/>
      <c r="C583" s="177"/>
      <c r="D583" s="177"/>
      <c r="E583" s="181"/>
      <c r="F583" s="177"/>
      <c r="G583" s="179"/>
      <c r="H583" s="172"/>
    </row>
    <row r="584" spans="1:8" x14ac:dyDescent="0.25">
      <c r="A584" s="177"/>
      <c r="B584" s="177"/>
      <c r="C584" s="177"/>
      <c r="D584" s="177"/>
      <c r="E584" s="181"/>
      <c r="F584" s="177"/>
      <c r="G584" s="179"/>
      <c r="H584" s="172"/>
    </row>
    <row r="585" spans="1:8" x14ac:dyDescent="0.25">
      <c r="A585" s="177"/>
      <c r="B585" s="177"/>
      <c r="C585" s="177"/>
      <c r="D585" s="177"/>
      <c r="E585" s="181"/>
      <c r="F585" s="177"/>
      <c r="G585" s="179"/>
      <c r="H585" s="172"/>
    </row>
    <row r="586" spans="1:8" x14ac:dyDescent="0.25">
      <c r="A586" s="177"/>
      <c r="B586" s="177"/>
      <c r="C586" s="177"/>
      <c r="D586" s="177"/>
      <c r="E586" s="181"/>
      <c r="F586" s="177"/>
      <c r="G586" s="179"/>
      <c r="H586" s="172"/>
    </row>
    <row r="587" spans="1:8" x14ac:dyDescent="0.25">
      <c r="A587" s="177"/>
      <c r="B587" s="177"/>
      <c r="C587" s="177"/>
      <c r="D587" s="177"/>
      <c r="E587" s="181"/>
      <c r="F587" s="177"/>
      <c r="G587" s="179"/>
      <c r="H587" s="172"/>
    </row>
    <row r="588" spans="1:8" x14ac:dyDescent="0.25">
      <c r="A588" s="177"/>
      <c r="B588" s="177"/>
      <c r="C588" s="177"/>
      <c r="D588" s="177"/>
      <c r="E588" s="181"/>
      <c r="F588" s="177"/>
      <c r="G588" s="179"/>
      <c r="H588" s="172"/>
    </row>
    <row r="589" spans="1:8" x14ac:dyDescent="0.25">
      <c r="A589" s="177"/>
      <c r="B589" s="177"/>
      <c r="C589" s="177"/>
      <c r="D589" s="177"/>
      <c r="E589" s="181"/>
      <c r="F589" s="177"/>
      <c r="G589" s="179"/>
      <c r="H589" s="172"/>
    </row>
    <row r="590" spans="1:8" x14ac:dyDescent="0.25">
      <c r="A590" s="177"/>
      <c r="B590" s="177"/>
      <c r="C590" s="177"/>
      <c r="D590" s="177"/>
      <c r="E590" s="181"/>
      <c r="F590" s="177"/>
      <c r="G590" s="179"/>
      <c r="H590" s="172"/>
    </row>
    <row r="591" spans="1:8" x14ac:dyDescent="0.25">
      <c r="A591" s="177"/>
      <c r="B591" s="177"/>
      <c r="C591" s="177"/>
      <c r="D591" s="177"/>
      <c r="E591" s="181"/>
      <c r="F591" s="177"/>
      <c r="G591" s="179"/>
      <c r="H591" s="172"/>
    </row>
    <row r="592" spans="1:8" x14ac:dyDescent="0.25">
      <c r="A592" s="177"/>
      <c r="B592" s="177"/>
      <c r="C592" s="177"/>
      <c r="D592" s="177"/>
      <c r="E592" s="181"/>
      <c r="F592" s="177"/>
      <c r="G592" s="179"/>
      <c r="H592" s="172"/>
    </row>
    <row r="593" spans="1:8" x14ac:dyDescent="0.25">
      <c r="A593" s="177"/>
      <c r="B593" s="177"/>
      <c r="C593" s="177"/>
      <c r="D593" s="177"/>
      <c r="E593" s="181"/>
      <c r="F593" s="177"/>
      <c r="G593" s="179"/>
      <c r="H593" s="172"/>
    </row>
    <row r="594" spans="1:8" x14ac:dyDescent="0.25">
      <c r="A594" s="177"/>
      <c r="B594" s="177"/>
      <c r="C594" s="177"/>
      <c r="D594" s="177"/>
      <c r="E594" s="181"/>
      <c r="F594" s="177"/>
      <c r="G594" s="179"/>
      <c r="H594" s="172"/>
    </row>
    <row r="595" spans="1:8" x14ac:dyDescent="0.25">
      <c r="A595" s="177"/>
      <c r="B595" s="177"/>
      <c r="C595" s="177"/>
      <c r="D595" s="177"/>
      <c r="E595" s="181"/>
      <c r="F595" s="177"/>
      <c r="G595" s="179"/>
      <c r="H595" s="172"/>
    </row>
    <row r="596" spans="1:8" x14ac:dyDescent="0.25">
      <c r="A596" s="177"/>
      <c r="B596" s="177"/>
      <c r="C596" s="177"/>
      <c r="D596" s="177"/>
      <c r="E596" s="181"/>
      <c r="F596" s="177"/>
      <c r="G596" s="179"/>
      <c r="H596" s="172"/>
    </row>
    <row r="597" spans="1:8" x14ac:dyDescent="0.25">
      <c r="A597" s="177"/>
      <c r="B597" s="177"/>
      <c r="C597" s="177"/>
      <c r="D597" s="177"/>
      <c r="E597" s="181"/>
      <c r="F597" s="177"/>
      <c r="G597" s="179"/>
      <c r="H597" s="172"/>
    </row>
    <row r="598" spans="1:8" x14ac:dyDescent="0.25">
      <c r="A598" s="177"/>
      <c r="B598" s="177"/>
      <c r="C598" s="177"/>
      <c r="D598" s="177"/>
      <c r="E598" s="181"/>
      <c r="F598" s="177"/>
      <c r="G598" s="179"/>
      <c r="H598" s="172"/>
    </row>
    <row r="599" spans="1:8" x14ac:dyDescent="0.25">
      <c r="A599" s="177"/>
      <c r="B599" s="177"/>
      <c r="C599" s="177"/>
      <c r="D599" s="177"/>
      <c r="E599" s="181"/>
      <c r="F599" s="177"/>
      <c r="G599" s="179"/>
      <c r="H599" s="172"/>
    </row>
    <row r="600" spans="1:8" x14ac:dyDescent="0.25">
      <c r="A600" s="177"/>
      <c r="B600" s="177"/>
      <c r="C600" s="177"/>
      <c r="D600" s="177"/>
      <c r="E600" s="181"/>
      <c r="F600" s="177"/>
      <c r="G600" s="179"/>
      <c r="H600" s="172"/>
    </row>
    <row r="601" spans="1:8" x14ac:dyDescent="0.25">
      <c r="A601" s="177"/>
      <c r="B601" s="177"/>
      <c r="C601" s="177"/>
      <c r="D601" s="177"/>
      <c r="E601" s="181"/>
      <c r="F601" s="177"/>
      <c r="G601" s="179"/>
      <c r="H601" s="172"/>
    </row>
    <row r="602" spans="1:8" x14ac:dyDescent="0.25">
      <c r="A602" s="177"/>
      <c r="B602" s="177"/>
      <c r="C602" s="177"/>
      <c r="D602" s="177"/>
      <c r="E602" s="181"/>
      <c r="F602" s="177"/>
      <c r="G602" s="179"/>
      <c r="H602" s="172"/>
    </row>
    <row r="603" spans="1:8" x14ac:dyDescent="0.25">
      <c r="A603" s="177"/>
      <c r="B603" s="177"/>
      <c r="C603" s="177"/>
      <c r="D603" s="177"/>
      <c r="E603" s="181"/>
      <c r="F603" s="177"/>
      <c r="G603" s="179"/>
      <c r="H603" s="172"/>
    </row>
    <row r="604" spans="1:8" x14ac:dyDescent="0.25">
      <c r="A604" s="177"/>
      <c r="B604" s="177"/>
      <c r="C604" s="177"/>
      <c r="D604" s="177"/>
      <c r="E604" s="181"/>
      <c r="F604" s="177"/>
      <c r="G604" s="179"/>
      <c r="H604" s="172"/>
    </row>
    <row r="605" spans="1:8" x14ac:dyDescent="0.25">
      <c r="A605" s="177"/>
      <c r="B605" s="177"/>
      <c r="C605" s="177"/>
      <c r="D605" s="177"/>
      <c r="E605" s="181"/>
      <c r="F605" s="177"/>
      <c r="G605" s="179"/>
      <c r="H605" s="172"/>
    </row>
    <row r="606" spans="1:8" x14ac:dyDescent="0.25">
      <c r="A606" s="177"/>
      <c r="B606" s="177"/>
      <c r="C606" s="177"/>
      <c r="D606" s="177"/>
      <c r="E606" s="181"/>
      <c r="F606" s="177"/>
      <c r="G606" s="179"/>
      <c r="H606" s="172"/>
    </row>
    <row r="607" spans="1:8" x14ac:dyDescent="0.25">
      <c r="A607" s="177"/>
      <c r="B607" s="177"/>
      <c r="C607" s="177"/>
      <c r="D607" s="177"/>
      <c r="E607" s="181"/>
      <c r="F607" s="177"/>
      <c r="G607" s="179"/>
      <c r="H607" s="172"/>
    </row>
    <row r="608" spans="1:8" x14ac:dyDescent="0.25">
      <c r="A608" s="177"/>
      <c r="B608" s="177"/>
      <c r="C608" s="177"/>
      <c r="D608" s="177"/>
      <c r="E608" s="181"/>
      <c r="F608" s="177"/>
      <c r="G608" s="179"/>
      <c r="H608" s="172"/>
    </row>
    <row r="609" spans="1:8" x14ac:dyDescent="0.25">
      <c r="A609" s="177"/>
      <c r="B609" s="177"/>
      <c r="C609" s="177"/>
      <c r="D609" s="177"/>
      <c r="E609" s="181"/>
      <c r="F609" s="177"/>
      <c r="G609" s="179"/>
      <c r="H609" s="172"/>
    </row>
    <row r="610" spans="1:8" x14ac:dyDescent="0.25">
      <c r="A610" s="177"/>
      <c r="B610" s="177"/>
      <c r="C610" s="177"/>
      <c r="D610" s="177"/>
      <c r="E610" s="181"/>
      <c r="F610" s="177"/>
      <c r="G610" s="179"/>
      <c r="H610" s="172"/>
    </row>
    <row r="611" spans="1:8" x14ac:dyDescent="0.25">
      <c r="A611" s="177"/>
      <c r="B611" s="177"/>
      <c r="C611" s="177"/>
      <c r="D611" s="177"/>
      <c r="E611" s="181"/>
      <c r="F611" s="177"/>
      <c r="G611" s="179"/>
      <c r="H611" s="172"/>
    </row>
    <row r="612" spans="1:8" x14ac:dyDescent="0.25">
      <c r="A612" s="177"/>
      <c r="B612" s="177"/>
      <c r="C612" s="177"/>
      <c r="D612" s="177"/>
      <c r="E612" s="181"/>
      <c r="F612" s="177"/>
      <c r="G612" s="179"/>
      <c r="H612" s="172"/>
    </row>
    <row r="613" spans="1:8" x14ac:dyDescent="0.25">
      <c r="A613" s="177"/>
      <c r="B613" s="177"/>
      <c r="C613" s="177"/>
      <c r="D613" s="177"/>
      <c r="E613" s="181"/>
      <c r="F613" s="177"/>
      <c r="G613" s="179"/>
      <c r="H613" s="172"/>
    </row>
    <row r="614" spans="1:8" x14ac:dyDescent="0.25">
      <c r="A614" s="177"/>
      <c r="B614" s="177"/>
      <c r="C614" s="177"/>
      <c r="D614" s="177"/>
      <c r="E614" s="181"/>
      <c r="F614" s="177"/>
      <c r="G614" s="179"/>
      <c r="H614" s="172"/>
    </row>
    <row r="615" spans="1:8" x14ac:dyDescent="0.25">
      <c r="A615" s="177"/>
      <c r="B615" s="177"/>
      <c r="C615" s="177"/>
      <c r="D615" s="177"/>
      <c r="E615" s="181"/>
      <c r="F615" s="177"/>
      <c r="G615" s="179"/>
      <c r="H615" s="172"/>
    </row>
    <row r="616" spans="1:8" x14ac:dyDescent="0.25">
      <c r="A616" s="177"/>
      <c r="B616" s="177"/>
      <c r="C616" s="177"/>
      <c r="D616" s="177"/>
      <c r="E616" s="181"/>
      <c r="F616" s="177"/>
      <c r="G616" s="179"/>
      <c r="H616" s="172"/>
    </row>
    <row r="617" spans="1:8" x14ac:dyDescent="0.25">
      <c r="A617" s="177"/>
      <c r="B617" s="177"/>
      <c r="C617" s="177"/>
      <c r="D617" s="177"/>
      <c r="E617" s="181"/>
      <c r="F617" s="177"/>
      <c r="G617" s="179"/>
      <c r="H617" s="172"/>
    </row>
    <row r="618" spans="1:8" x14ac:dyDescent="0.25">
      <c r="A618" s="177"/>
      <c r="B618" s="177"/>
      <c r="C618" s="177"/>
      <c r="D618" s="177"/>
      <c r="E618" s="181"/>
      <c r="F618" s="177"/>
      <c r="G618" s="179"/>
      <c r="H618" s="172"/>
    </row>
    <row r="619" spans="1:8" x14ac:dyDescent="0.25">
      <c r="A619" s="177"/>
      <c r="B619" s="177"/>
      <c r="C619" s="177"/>
      <c r="D619" s="177"/>
      <c r="E619" s="181"/>
      <c r="F619" s="177"/>
      <c r="G619" s="179"/>
      <c r="H619" s="172"/>
    </row>
    <row r="620" spans="1:8" x14ac:dyDescent="0.25">
      <c r="A620" s="177"/>
      <c r="B620" s="177"/>
      <c r="C620" s="177"/>
      <c r="D620" s="177"/>
      <c r="E620" s="181"/>
      <c r="F620" s="177"/>
      <c r="G620" s="179"/>
      <c r="H620" s="172"/>
    </row>
    <row r="621" spans="1:8" x14ac:dyDescent="0.25">
      <c r="A621" s="177"/>
      <c r="B621" s="177"/>
      <c r="C621" s="177"/>
      <c r="D621" s="177"/>
      <c r="E621" s="181"/>
      <c r="F621" s="177"/>
      <c r="G621" s="179"/>
      <c r="H621" s="172"/>
    </row>
    <row r="622" spans="1:8" x14ac:dyDescent="0.25">
      <c r="A622" s="177"/>
      <c r="B622" s="177"/>
      <c r="C622" s="177"/>
      <c r="D622" s="177"/>
      <c r="E622" s="181"/>
      <c r="F622" s="177"/>
      <c r="G622" s="179"/>
      <c r="H622" s="172"/>
    </row>
    <row r="623" spans="1:8" x14ac:dyDescent="0.25">
      <c r="A623" s="177"/>
      <c r="B623" s="177"/>
      <c r="C623" s="177"/>
      <c r="D623" s="177"/>
      <c r="E623" s="181"/>
      <c r="F623" s="177"/>
      <c r="G623" s="179"/>
      <c r="H623" s="172"/>
    </row>
    <row r="624" spans="1:8" x14ac:dyDescent="0.25">
      <c r="A624" s="177"/>
      <c r="B624" s="177"/>
      <c r="C624" s="177"/>
      <c r="D624" s="177"/>
      <c r="E624" s="181"/>
      <c r="F624" s="177"/>
      <c r="G624" s="179"/>
      <c r="H624" s="172"/>
    </row>
    <row r="625" spans="1:8" x14ac:dyDescent="0.25">
      <c r="A625" s="177"/>
      <c r="B625" s="177"/>
      <c r="C625" s="177"/>
      <c r="D625" s="177"/>
      <c r="E625" s="181"/>
      <c r="F625" s="177"/>
      <c r="G625" s="179"/>
      <c r="H625" s="172"/>
    </row>
    <row r="626" spans="1:8" x14ac:dyDescent="0.25">
      <c r="A626" s="177"/>
      <c r="B626" s="177"/>
      <c r="C626" s="177"/>
      <c r="D626" s="177"/>
      <c r="E626" s="181"/>
      <c r="F626" s="177"/>
      <c r="G626" s="179"/>
      <c r="H626" s="172"/>
    </row>
    <row r="627" spans="1:8" x14ac:dyDescent="0.25">
      <c r="A627" s="177"/>
      <c r="B627" s="177"/>
      <c r="C627" s="177"/>
      <c r="D627" s="177"/>
      <c r="E627" s="181"/>
      <c r="F627" s="177"/>
      <c r="G627" s="179"/>
      <c r="H627" s="172"/>
    </row>
    <row r="628" spans="1:8" x14ac:dyDescent="0.25">
      <c r="A628" s="177"/>
      <c r="B628" s="177"/>
      <c r="C628" s="177"/>
      <c r="D628" s="177"/>
      <c r="E628" s="181"/>
      <c r="F628" s="177"/>
      <c r="G628" s="179"/>
      <c r="H628" s="172"/>
    </row>
    <row r="629" spans="1:8" x14ac:dyDescent="0.25">
      <c r="A629" s="177"/>
      <c r="B629" s="177"/>
      <c r="C629" s="177"/>
      <c r="D629" s="177"/>
      <c r="E629" s="181"/>
      <c r="F629" s="177"/>
      <c r="G629" s="179"/>
      <c r="H629" s="172"/>
    </row>
    <row r="630" spans="1:8" x14ac:dyDescent="0.25">
      <c r="A630" s="177"/>
      <c r="B630" s="177"/>
      <c r="C630" s="177"/>
      <c r="D630" s="177"/>
      <c r="E630" s="181"/>
      <c r="F630" s="177"/>
      <c r="G630" s="179"/>
      <c r="H630" s="172"/>
    </row>
    <row r="631" spans="1:8" x14ac:dyDescent="0.25">
      <c r="A631" s="177"/>
      <c r="B631" s="177"/>
      <c r="C631" s="177"/>
      <c r="D631" s="177"/>
      <c r="E631" s="181"/>
      <c r="F631" s="177"/>
      <c r="G631" s="179"/>
      <c r="H631" s="172"/>
    </row>
    <row r="632" spans="1:8" x14ac:dyDescent="0.25">
      <c r="A632" s="177"/>
      <c r="B632" s="177"/>
      <c r="C632" s="177"/>
      <c r="D632" s="177"/>
      <c r="E632" s="181"/>
      <c r="F632" s="177"/>
      <c r="G632" s="179"/>
      <c r="H632" s="172"/>
    </row>
    <row r="633" spans="1:8" x14ac:dyDescent="0.25">
      <c r="A633" s="177"/>
      <c r="B633" s="177"/>
      <c r="C633" s="177"/>
      <c r="D633" s="177"/>
      <c r="E633" s="181"/>
      <c r="F633" s="177"/>
      <c r="G633" s="179"/>
      <c r="H633" s="172"/>
    </row>
    <row r="634" spans="1:8" x14ac:dyDescent="0.25">
      <c r="A634" s="177"/>
      <c r="B634" s="177"/>
      <c r="C634" s="177"/>
      <c r="D634" s="177"/>
      <c r="E634" s="181"/>
      <c r="F634" s="177"/>
      <c r="G634" s="179"/>
      <c r="H634" s="172"/>
    </row>
    <row r="635" spans="1:8" x14ac:dyDescent="0.25">
      <c r="A635" s="177"/>
      <c r="B635" s="177"/>
      <c r="C635" s="177"/>
      <c r="D635" s="177"/>
      <c r="E635" s="181"/>
      <c r="F635" s="177"/>
      <c r="G635" s="179"/>
      <c r="H635" s="172"/>
    </row>
    <row r="636" spans="1:8" x14ac:dyDescent="0.25">
      <c r="A636" s="177"/>
      <c r="B636" s="177"/>
      <c r="C636" s="177"/>
      <c r="D636" s="177"/>
      <c r="E636" s="181"/>
      <c r="F636" s="177"/>
      <c r="G636" s="179"/>
      <c r="H636" s="172"/>
    </row>
    <row r="637" spans="1:8" x14ac:dyDescent="0.25">
      <c r="A637" s="177"/>
      <c r="B637" s="177"/>
      <c r="C637" s="177"/>
      <c r="D637" s="177"/>
      <c r="E637" s="181"/>
      <c r="F637" s="177"/>
      <c r="G637" s="179"/>
      <c r="H637" s="172"/>
    </row>
    <row r="638" spans="1:8" x14ac:dyDescent="0.25">
      <c r="A638" s="177"/>
      <c r="B638" s="177"/>
      <c r="C638" s="177"/>
      <c r="D638" s="177"/>
      <c r="E638" s="181"/>
      <c r="F638" s="177"/>
      <c r="G638" s="179"/>
      <c r="H638" s="172"/>
    </row>
    <row r="639" spans="1:8" x14ac:dyDescent="0.25">
      <c r="A639" s="177"/>
      <c r="B639" s="177"/>
      <c r="C639" s="177"/>
      <c r="D639" s="177"/>
      <c r="E639" s="181"/>
      <c r="F639" s="177"/>
      <c r="G639" s="179"/>
      <c r="H639" s="172"/>
    </row>
    <row r="640" spans="1:8" x14ac:dyDescent="0.25">
      <c r="A640" s="177"/>
      <c r="B640" s="177"/>
      <c r="C640" s="177"/>
      <c r="D640" s="177"/>
      <c r="E640" s="181"/>
      <c r="F640" s="177"/>
      <c r="G640" s="179"/>
      <c r="H640" s="172"/>
    </row>
    <row r="641" spans="1:8" x14ac:dyDescent="0.25">
      <c r="A641" s="177"/>
      <c r="B641" s="177"/>
      <c r="C641" s="177"/>
      <c r="D641" s="177"/>
      <c r="E641" s="181"/>
      <c r="F641" s="177"/>
      <c r="G641" s="179"/>
      <c r="H641" s="172"/>
    </row>
    <row r="642" spans="1:8" x14ac:dyDescent="0.25">
      <c r="A642" s="177"/>
      <c r="B642" s="177"/>
      <c r="C642" s="177"/>
      <c r="D642" s="177"/>
      <c r="E642" s="181"/>
      <c r="F642" s="177"/>
      <c r="G642" s="179"/>
      <c r="H642" s="172"/>
    </row>
    <row r="643" spans="1:8" x14ac:dyDescent="0.25">
      <c r="A643" s="177"/>
      <c r="B643" s="177"/>
      <c r="C643" s="177"/>
      <c r="D643" s="177"/>
      <c r="E643" s="181"/>
      <c r="F643" s="177"/>
      <c r="G643" s="179"/>
      <c r="H643" s="172"/>
    </row>
    <row r="644" spans="1:8" x14ac:dyDescent="0.25">
      <c r="A644" s="177"/>
      <c r="B644" s="177"/>
      <c r="C644" s="177"/>
      <c r="D644" s="177"/>
      <c r="E644" s="181"/>
      <c r="F644" s="177"/>
      <c r="G644" s="179"/>
      <c r="H644" s="172"/>
    </row>
    <row r="645" spans="1:8" x14ac:dyDescent="0.25">
      <c r="A645" s="177"/>
      <c r="B645" s="177"/>
      <c r="C645" s="177"/>
      <c r="D645" s="177"/>
      <c r="E645" s="181"/>
      <c r="F645" s="177"/>
      <c r="G645" s="179"/>
      <c r="H645" s="172"/>
    </row>
    <row r="646" spans="1:8" x14ac:dyDescent="0.25">
      <c r="A646" s="177"/>
      <c r="B646" s="177"/>
      <c r="C646" s="177"/>
      <c r="D646" s="177"/>
      <c r="E646" s="181"/>
      <c r="F646" s="177"/>
      <c r="G646" s="179"/>
      <c r="H646" s="172"/>
    </row>
    <row r="647" spans="1:8" x14ac:dyDescent="0.25">
      <c r="A647" s="177"/>
      <c r="B647" s="177"/>
      <c r="C647" s="177"/>
      <c r="D647" s="177"/>
      <c r="E647" s="181"/>
      <c r="F647" s="177"/>
      <c r="G647" s="179"/>
      <c r="H647" s="172"/>
    </row>
    <row r="648" spans="1:8" x14ac:dyDescent="0.25">
      <c r="A648" s="177"/>
      <c r="B648" s="177"/>
      <c r="C648" s="177"/>
      <c r="D648" s="177"/>
      <c r="E648" s="181"/>
      <c r="F648" s="177"/>
      <c r="G648" s="179"/>
      <c r="H648" s="172"/>
    </row>
    <row r="649" spans="1:8" x14ac:dyDescent="0.25">
      <c r="A649" s="177"/>
      <c r="B649" s="177"/>
      <c r="C649" s="177"/>
      <c r="D649" s="177"/>
      <c r="E649" s="181"/>
      <c r="F649" s="177"/>
      <c r="G649" s="179"/>
      <c r="H649" s="172"/>
    </row>
    <row r="650" spans="1:8" x14ac:dyDescent="0.25">
      <c r="A650" s="177"/>
      <c r="B650" s="177"/>
      <c r="C650" s="177"/>
      <c r="D650" s="177"/>
      <c r="E650" s="181"/>
      <c r="F650" s="177"/>
      <c r="G650" s="179"/>
      <c r="H650" s="172"/>
    </row>
    <row r="651" spans="1:8" x14ac:dyDescent="0.25">
      <c r="A651" s="177"/>
      <c r="B651" s="177"/>
      <c r="C651" s="177"/>
      <c r="D651" s="177"/>
      <c r="E651" s="181"/>
      <c r="F651" s="177"/>
      <c r="G651" s="179"/>
      <c r="H651" s="172"/>
    </row>
    <row r="652" spans="1:8" x14ac:dyDescent="0.25">
      <c r="A652" s="177"/>
      <c r="B652" s="177"/>
      <c r="C652" s="177"/>
      <c r="D652" s="177"/>
      <c r="E652" s="181"/>
      <c r="F652" s="177"/>
      <c r="G652" s="179"/>
      <c r="H652" s="172"/>
    </row>
    <row r="653" spans="1:8" x14ac:dyDescent="0.25">
      <c r="A653" s="177"/>
      <c r="B653" s="177"/>
      <c r="C653" s="177"/>
      <c r="D653" s="177"/>
      <c r="E653" s="181"/>
      <c r="F653" s="177"/>
      <c r="G653" s="179"/>
      <c r="H653" s="172"/>
    </row>
    <row r="654" spans="1:8" x14ac:dyDescent="0.25">
      <c r="A654" s="177"/>
      <c r="B654" s="177"/>
      <c r="C654" s="177"/>
      <c r="D654" s="177"/>
      <c r="E654" s="181"/>
      <c r="F654" s="177"/>
      <c r="G654" s="179"/>
      <c r="H654" s="172"/>
    </row>
    <row r="655" spans="1:8" x14ac:dyDescent="0.25">
      <c r="A655" s="177"/>
      <c r="B655" s="177"/>
      <c r="C655" s="177"/>
      <c r="D655" s="177"/>
      <c r="E655" s="181"/>
      <c r="F655" s="177"/>
      <c r="G655" s="179"/>
      <c r="H655" s="172"/>
    </row>
    <row r="656" spans="1:8" x14ac:dyDescent="0.25">
      <c r="A656" s="177"/>
      <c r="B656" s="177"/>
      <c r="C656" s="177"/>
      <c r="D656" s="177"/>
      <c r="E656" s="181"/>
      <c r="F656" s="177"/>
      <c r="G656" s="179"/>
      <c r="H656" s="172"/>
    </row>
    <row r="657" spans="1:8" x14ac:dyDescent="0.25">
      <c r="A657" s="177"/>
      <c r="B657" s="177"/>
      <c r="C657" s="177"/>
      <c r="D657" s="177"/>
      <c r="E657" s="181"/>
      <c r="F657" s="177"/>
      <c r="G657" s="179"/>
      <c r="H657" s="172"/>
    </row>
    <row r="658" spans="1:8" x14ac:dyDescent="0.25">
      <c r="A658" s="177"/>
      <c r="B658" s="177"/>
      <c r="C658" s="177"/>
      <c r="D658" s="177"/>
      <c r="E658" s="181"/>
      <c r="F658" s="177"/>
      <c r="G658" s="179"/>
      <c r="H658" s="172"/>
    </row>
    <row r="659" spans="1:8" x14ac:dyDescent="0.25">
      <c r="A659" s="177"/>
      <c r="B659" s="177"/>
      <c r="C659" s="177"/>
      <c r="D659" s="177"/>
      <c r="E659" s="181"/>
      <c r="F659" s="177"/>
      <c r="G659" s="179"/>
      <c r="H659" s="172"/>
    </row>
    <row r="660" spans="1:8" x14ac:dyDescent="0.25">
      <c r="A660" s="177"/>
      <c r="B660" s="177"/>
      <c r="C660" s="177"/>
      <c r="D660" s="177"/>
      <c r="E660" s="181"/>
      <c r="F660" s="177"/>
      <c r="G660" s="179"/>
      <c r="H660" s="172"/>
    </row>
    <row r="661" spans="1:8" x14ac:dyDescent="0.25">
      <c r="A661" s="177"/>
      <c r="B661" s="177"/>
      <c r="C661" s="177"/>
      <c r="D661" s="177"/>
      <c r="E661" s="181"/>
      <c r="F661" s="177"/>
      <c r="G661" s="179"/>
      <c r="H661" s="172"/>
    </row>
    <row r="662" spans="1:8" x14ac:dyDescent="0.25">
      <c r="A662" s="177"/>
      <c r="B662" s="177"/>
      <c r="C662" s="177"/>
      <c r="D662" s="177"/>
      <c r="E662" s="181"/>
      <c r="F662" s="177"/>
      <c r="G662" s="179"/>
      <c r="H662" s="172"/>
    </row>
    <row r="663" spans="1:8" x14ac:dyDescent="0.25">
      <c r="A663" s="177"/>
      <c r="B663" s="177"/>
      <c r="C663" s="177"/>
      <c r="D663" s="177"/>
      <c r="E663" s="181"/>
      <c r="F663" s="177"/>
      <c r="G663" s="179"/>
      <c r="H663" s="172"/>
    </row>
    <row r="664" spans="1:8" x14ac:dyDescent="0.25">
      <c r="A664" s="177"/>
      <c r="B664" s="177"/>
      <c r="C664" s="177"/>
      <c r="D664" s="177"/>
      <c r="E664" s="181"/>
      <c r="F664" s="177"/>
      <c r="G664" s="179"/>
      <c r="H664" s="172"/>
    </row>
    <row r="665" spans="1:8" x14ac:dyDescent="0.25">
      <c r="A665" s="177"/>
      <c r="B665" s="177"/>
      <c r="C665" s="177"/>
      <c r="D665" s="177"/>
      <c r="E665" s="181"/>
      <c r="F665" s="177"/>
      <c r="G665" s="179"/>
      <c r="H665" s="172"/>
    </row>
    <row r="666" spans="1:8" x14ac:dyDescent="0.25">
      <c r="A666" s="177"/>
      <c r="B666" s="177"/>
      <c r="C666" s="177"/>
      <c r="D666" s="177"/>
      <c r="E666" s="181"/>
      <c r="F666" s="177"/>
      <c r="G666" s="179"/>
      <c r="H666" s="172"/>
    </row>
    <row r="667" spans="1:8" x14ac:dyDescent="0.25">
      <c r="A667" s="177"/>
      <c r="B667" s="177"/>
      <c r="C667" s="177"/>
      <c r="D667" s="177"/>
      <c r="E667" s="181"/>
      <c r="F667" s="177"/>
      <c r="G667" s="179"/>
      <c r="H667" s="172"/>
    </row>
    <row r="668" spans="1:8" x14ac:dyDescent="0.25">
      <c r="A668" s="177"/>
      <c r="B668" s="177"/>
      <c r="C668" s="177"/>
      <c r="D668" s="177"/>
      <c r="E668" s="181"/>
      <c r="F668" s="177"/>
      <c r="G668" s="179"/>
      <c r="H668" s="172"/>
    </row>
    <row r="669" spans="1:8" x14ac:dyDescent="0.25">
      <c r="A669" s="177"/>
      <c r="B669" s="177"/>
      <c r="C669" s="177"/>
      <c r="D669" s="177"/>
      <c r="E669" s="181"/>
      <c r="F669" s="177"/>
      <c r="G669" s="179"/>
      <c r="H669" s="172"/>
    </row>
    <row r="670" spans="1:8" x14ac:dyDescent="0.25">
      <c r="A670" s="177"/>
      <c r="B670" s="177"/>
      <c r="C670" s="177"/>
      <c r="D670" s="177"/>
      <c r="E670" s="181"/>
      <c r="F670" s="177"/>
      <c r="G670" s="179"/>
      <c r="H670" s="172"/>
    </row>
    <row r="671" spans="1:8" x14ac:dyDescent="0.25">
      <c r="A671" s="177"/>
      <c r="B671" s="177"/>
      <c r="C671" s="177"/>
      <c r="D671" s="177"/>
      <c r="E671" s="181"/>
      <c r="F671" s="177"/>
      <c r="G671" s="179"/>
      <c r="H671" s="172"/>
    </row>
    <row r="672" spans="1:8" x14ac:dyDescent="0.25">
      <c r="A672" s="177"/>
      <c r="B672" s="177"/>
      <c r="C672" s="177"/>
      <c r="D672" s="177"/>
      <c r="E672" s="181"/>
      <c r="F672" s="177"/>
      <c r="G672" s="179"/>
      <c r="H672" s="172"/>
    </row>
    <row r="673" spans="1:8" x14ac:dyDescent="0.25">
      <c r="A673" s="177"/>
      <c r="B673" s="177"/>
      <c r="C673" s="177"/>
      <c r="D673" s="177"/>
      <c r="E673" s="181"/>
      <c r="F673" s="177"/>
      <c r="G673" s="179"/>
      <c r="H673" s="172"/>
    </row>
    <row r="674" spans="1:8" x14ac:dyDescent="0.25">
      <c r="A674" s="177"/>
      <c r="B674" s="177"/>
      <c r="C674" s="177"/>
      <c r="D674" s="177"/>
      <c r="E674" s="181"/>
      <c r="F674" s="177"/>
      <c r="G674" s="179"/>
      <c r="H674" s="172"/>
    </row>
    <row r="675" spans="1:8" x14ac:dyDescent="0.25">
      <c r="A675" s="177"/>
      <c r="B675" s="177"/>
      <c r="C675" s="177"/>
      <c r="D675" s="177"/>
      <c r="E675" s="181"/>
      <c r="F675" s="177"/>
      <c r="G675" s="179"/>
      <c r="H675" s="172"/>
    </row>
    <row r="676" spans="1:8" x14ac:dyDescent="0.25">
      <c r="A676" s="177"/>
      <c r="B676" s="177"/>
      <c r="C676" s="177"/>
      <c r="D676" s="177"/>
      <c r="E676" s="181"/>
      <c r="F676" s="177"/>
      <c r="G676" s="179"/>
      <c r="H676" s="172"/>
    </row>
    <row r="677" spans="1:8" x14ac:dyDescent="0.25">
      <c r="A677" s="177"/>
      <c r="B677" s="177"/>
      <c r="C677" s="177"/>
      <c r="D677" s="177"/>
      <c r="E677" s="181"/>
      <c r="F677" s="177"/>
      <c r="G677" s="179"/>
      <c r="H677" s="172"/>
    </row>
    <row r="678" spans="1:8" x14ac:dyDescent="0.25">
      <c r="A678" s="177"/>
      <c r="B678" s="177"/>
      <c r="C678" s="177"/>
      <c r="D678" s="177"/>
      <c r="E678" s="181"/>
      <c r="F678" s="177"/>
      <c r="G678" s="179"/>
      <c r="H678" s="172"/>
    </row>
    <row r="679" spans="1:8" x14ac:dyDescent="0.25">
      <c r="A679" s="177"/>
      <c r="B679" s="177"/>
      <c r="C679" s="177"/>
      <c r="D679" s="177"/>
      <c r="E679" s="181"/>
      <c r="F679" s="177"/>
      <c r="G679" s="179"/>
      <c r="H679" s="172"/>
    </row>
    <row r="680" spans="1:8" x14ac:dyDescent="0.25">
      <c r="A680" s="177"/>
      <c r="B680" s="177"/>
      <c r="C680" s="177"/>
      <c r="D680" s="177"/>
      <c r="E680" s="181"/>
      <c r="F680" s="177"/>
      <c r="G680" s="179"/>
      <c r="H680" s="172"/>
    </row>
    <row r="681" spans="1:8" x14ac:dyDescent="0.25">
      <c r="A681" s="177"/>
      <c r="B681" s="177"/>
      <c r="C681" s="177"/>
      <c r="D681" s="177"/>
      <c r="E681" s="181"/>
      <c r="F681" s="177"/>
      <c r="G681" s="179"/>
      <c r="H681" s="172"/>
    </row>
    <row r="682" spans="1:8" x14ac:dyDescent="0.25">
      <c r="A682" s="177"/>
      <c r="B682" s="177"/>
      <c r="C682" s="177"/>
      <c r="D682" s="177"/>
      <c r="E682" s="181"/>
      <c r="F682" s="177"/>
      <c r="G682" s="179"/>
      <c r="H682" s="180"/>
    </row>
    <row r="683" spans="1:8" x14ac:dyDescent="0.25">
      <c r="A683" s="177"/>
      <c r="B683" s="177"/>
      <c r="C683" s="177"/>
      <c r="D683" s="177"/>
      <c r="E683" s="181"/>
      <c r="F683" s="177"/>
      <c r="G683" s="179"/>
      <c r="H683" s="180"/>
    </row>
    <row r="684" spans="1:8" x14ac:dyDescent="0.25">
      <c r="A684" s="177"/>
      <c r="B684" s="177"/>
      <c r="C684" s="177"/>
      <c r="D684" s="177"/>
      <c r="E684" s="181"/>
      <c r="F684" s="177"/>
      <c r="G684" s="179"/>
      <c r="H684" s="180"/>
    </row>
    <row r="685" spans="1:8" x14ac:dyDescent="0.25">
      <c r="A685" s="177"/>
      <c r="B685" s="177"/>
      <c r="C685" s="177"/>
      <c r="D685" s="177"/>
      <c r="E685" s="181"/>
      <c r="F685" s="177"/>
      <c r="G685" s="179"/>
      <c r="H685" s="180"/>
    </row>
    <row r="686" spans="1:8" x14ac:dyDescent="0.25">
      <c r="A686" s="177"/>
      <c r="B686" s="177"/>
      <c r="C686" s="177"/>
      <c r="D686" s="177"/>
      <c r="E686" s="181"/>
      <c r="F686" s="177"/>
      <c r="G686" s="179"/>
      <c r="H686" s="180"/>
    </row>
    <row r="687" spans="1:8" x14ac:dyDescent="0.25">
      <c r="A687" s="177"/>
      <c r="B687" s="177"/>
      <c r="C687" s="177"/>
      <c r="D687" s="177"/>
      <c r="E687" s="181"/>
      <c r="F687" s="177"/>
      <c r="G687" s="179"/>
      <c r="H687" s="180"/>
    </row>
    <row r="688" spans="1:8" x14ac:dyDescent="0.25">
      <c r="A688" s="177"/>
      <c r="B688" s="177"/>
      <c r="C688" s="177"/>
      <c r="D688" s="177"/>
      <c r="E688" s="181"/>
      <c r="F688" s="177"/>
      <c r="G688" s="179"/>
      <c r="H688" s="180"/>
    </row>
    <row r="689" spans="1:8" x14ac:dyDescent="0.25">
      <c r="A689" s="177"/>
      <c r="B689" s="177"/>
      <c r="C689" s="177"/>
      <c r="D689" s="177"/>
      <c r="E689" s="181"/>
      <c r="F689" s="177"/>
      <c r="G689" s="179"/>
      <c r="H689" s="180"/>
    </row>
    <row r="690" spans="1:8" x14ac:dyDescent="0.25">
      <c r="A690" s="177"/>
      <c r="B690" s="177"/>
      <c r="C690" s="177"/>
      <c r="D690" s="177"/>
      <c r="E690" s="181"/>
      <c r="F690" s="177"/>
      <c r="G690" s="179"/>
      <c r="H690" s="180"/>
    </row>
    <row r="691" spans="1:8" x14ac:dyDescent="0.25">
      <c r="A691" s="177"/>
      <c r="B691" s="177"/>
      <c r="C691" s="177"/>
      <c r="D691" s="177"/>
      <c r="E691" s="181"/>
      <c r="F691" s="177"/>
      <c r="G691" s="179"/>
      <c r="H691" s="180"/>
    </row>
    <row r="692" spans="1:8" x14ac:dyDescent="0.25">
      <c r="A692" s="177"/>
      <c r="B692" s="177"/>
      <c r="C692" s="177"/>
      <c r="D692" s="177"/>
      <c r="E692" s="181"/>
      <c r="F692" s="177"/>
      <c r="G692" s="179"/>
      <c r="H692" s="180"/>
    </row>
    <row r="693" spans="1:8" x14ac:dyDescent="0.25">
      <c r="A693" s="177"/>
      <c r="B693" s="177"/>
      <c r="C693" s="177"/>
      <c r="D693" s="177"/>
      <c r="E693" s="181"/>
      <c r="F693" s="177"/>
      <c r="G693" s="179"/>
      <c r="H693" s="180"/>
    </row>
    <row r="694" spans="1:8" x14ac:dyDescent="0.25">
      <c r="A694" s="177"/>
      <c r="B694" s="177"/>
      <c r="C694" s="177"/>
      <c r="D694" s="177"/>
      <c r="E694" s="181"/>
      <c r="F694" s="177"/>
      <c r="G694" s="179"/>
      <c r="H694" s="180"/>
    </row>
    <row r="695" spans="1:8" x14ac:dyDescent="0.25">
      <c r="A695" s="177"/>
      <c r="B695" s="177"/>
      <c r="C695" s="177"/>
      <c r="D695" s="177"/>
      <c r="E695" s="181"/>
      <c r="F695" s="177"/>
      <c r="G695" s="179"/>
      <c r="H695" s="180"/>
    </row>
    <row r="696" spans="1:8" x14ac:dyDescent="0.25">
      <c r="A696" s="177"/>
      <c r="B696" s="177"/>
      <c r="C696" s="177"/>
      <c r="D696" s="177"/>
      <c r="E696" s="181"/>
      <c r="F696" s="177"/>
      <c r="G696" s="179"/>
      <c r="H696" s="180"/>
    </row>
    <row r="697" spans="1:8" x14ac:dyDescent="0.25">
      <c r="A697" s="177"/>
      <c r="B697" s="177"/>
      <c r="C697" s="177"/>
      <c r="D697" s="177"/>
      <c r="E697" s="181"/>
      <c r="F697" s="177"/>
      <c r="G697" s="179"/>
      <c r="H697" s="180"/>
    </row>
    <row r="698" spans="1:8" x14ac:dyDescent="0.25">
      <c r="A698" s="177"/>
      <c r="B698" s="177"/>
      <c r="C698" s="177"/>
      <c r="D698" s="177"/>
      <c r="E698" s="181"/>
      <c r="F698" s="177"/>
      <c r="G698" s="179"/>
      <c r="H698" s="180"/>
    </row>
    <row r="699" spans="1:8" x14ac:dyDescent="0.25">
      <c r="A699" s="177"/>
      <c r="B699" s="177"/>
      <c r="C699" s="177"/>
      <c r="D699" s="177"/>
      <c r="E699" s="181"/>
      <c r="F699" s="177"/>
      <c r="G699" s="179"/>
      <c r="H699" s="180"/>
    </row>
    <row r="700" spans="1:8" x14ac:dyDescent="0.25">
      <c r="A700" s="177"/>
      <c r="B700" s="177"/>
      <c r="C700" s="177"/>
      <c r="D700" s="177"/>
      <c r="E700" s="181"/>
      <c r="F700" s="177"/>
      <c r="G700" s="179"/>
      <c r="H700" s="180"/>
    </row>
    <row r="701" spans="1:8" x14ac:dyDescent="0.25">
      <c r="A701" s="177"/>
      <c r="B701" s="177"/>
      <c r="C701" s="177"/>
      <c r="D701" s="177"/>
      <c r="E701" s="181"/>
      <c r="F701" s="177"/>
      <c r="G701" s="179"/>
      <c r="H701" s="180"/>
    </row>
    <row r="702" spans="1:8" x14ac:dyDescent="0.25">
      <c r="A702" s="177"/>
      <c r="B702" s="177"/>
      <c r="C702" s="177"/>
      <c r="D702" s="177"/>
      <c r="E702" s="181"/>
      <c r="F702" s="177"/>
      <c r="G702" s="179"/>
      <c r="H702" s="180"/>
    </row>
    <row r="703" spans="1:8" x14ac:dyDescent="0.25">
      <c r="A703" s="177"/>
      <c r="B703" s="177"/>
      <c r="C703" s="177"/>
      <c r="D703" s="177"/>
      <c r="E703" s="181"/>
      <c r="F703" s="177"/>
      <c r="G703" s="179"/>
      <c r="H703" s="180"/>
    </row>
    <row r="704" spans="1:8" x14ac:dyDescent="0.25">
      <c r="A704" s="177"/>
      <c r="B704" s="177"/>
      <c r="C704" s="177"/>
      <c r="D704" s="177"/>
      <c r="E704" s="181"/>
      <c r="F704" s="177"/>
      <c r="G704" s="179"/>
      <c r="H704" s="180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4" fitToHeight="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B9939-629E-44DB-9108-79B867460390}">
  <sheetPr>
    <pageSetUpPr fitToPage="1"/>
  </sheetPr>
  <dimension ref="A1:L110"/>
  <sheetViews>
    <sheetView topLeftCell="A7" zoomScaleNormal="100" workbookViewId="0">
      <selection activeCell="A29" sqref="A29:XFD29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8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8" x14ac:dyDescent="0.2">
      <c r="A2" s="1"/>
      <c r="B2" s="2"/>
      <c r="C2" s="3"/>
      <c r="D2" s="3"/>
      <c r="E2" s="3"/>
      <c r="F2" s="4"/>
      <c r="G2" s="3"/>
      <c r="H2" s="5"/>
    </row>
    <row r="3" spans="1:8" x14ac:dyDescent="0.2">
      <c r="A3" s="1"/>
      <c r="B3" s="2"/>
      <c r="C3" s="3"/>
      <c r="D3" s="3"/>
      <c r="E3" s="3"/>
      <c r="F3" s="4"/>
      <c r="G3" s="3"/>
      <c r="H3" s="5"/>
    </row>
    <row r="4" spans="1:8" x14ac:dyDescent="0.2">
      <c r="A4" s="1" t="s">
        <v>1</v>
      </c>
      <c r="B4" s="1"/>
      <c r="D4" s="6"/>
      <c r="E4" s="6"/>
      <c r="G4" s="6"/>
    </row>
    <row r="5" spans="1:8" x14ac:dyDescent="0.2">
      <c r="A5" s="8"/>
      <c r="B5" s="2"/>
      <c r="C5" s="3"/>
      <c r="D5" s="3"/>
      <c r="E5" s="3"/>
      <c r="F5" s="4"/>
      <c r="G5" s="3"/>
      <c r="H5" s="5"/>
    </row>
    <row r="6" spans="1:8" x14ac:dyDescent="0.2">
      <c r="A6" s="8"/>
      <c r="B6" s="2"/>
      <c r="C6" s="3"/>
      <c r="D6" s="3"/>
      <c r="E6" s="3"/>
      <c r="F6" s="4"/>
      <c r="G6" s="3"/>
      <c r="H6" s="5"/>
    </row>
    <row r="7" spans="1:8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8" x14ac:dyDescent="0.2">
      <c r="A8" s="8"/>
      <c r="B8" s="2"/>
      <c r="C8" s="3"/>
      <c r="D8" s="3"/>
      <c r="E8" s="3"/>
      <c r="F8" s="4"/>
      <c r="G8" s="3"/>
      <c r="H8" s="5"/>
    </row>
    <row r="9" spans="1:8" ht="13.5" customHeight="1" x14ac:dyDescent="0.2">
      <c r="A9" s="10" t="s">
        <v>14463</v>
      </c>
      <c r="B9" s="10"/>
      <c r="C9" s="11"/>
      <c r="D9" s="3"/>
      <c r="E9" s="3"/>
      <c r="F9" s="4"/>
      <c r="G9" s="12" t="s">
        <v>4</v>
      </c>
      <c r="H9" s="13">
        <v>40057.33</v>
      </c>
    </row>
    <row r="10" spans="1:8" x14ac:dyDescent="0.2">
      <c r="A10" s="3"/>
      <c r="B10" s="9"/>
      <c r="C10" s="3"/>
      <c r="D10" s="3"/>
      <c r="E10" s="3"/>
      <c r="F10" s="4"/>
      <c r="G10" s="3"/>
      <c r="H10" s="5"/>
    </row>
    <row r="11" spans="1:8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8" ht="12.75" customHeight="1" x14ac:dyDescent="0.2">
      <c r="A12" s="14"/>
      <c r="B12" s="18" t="s">
        <v>6</v>
      </c>
      <c r="C12" s="3"/>
      <c r="D12" s="16"/>
      <c r="E12" s="16"/>
      <c r="F12" s="17"/>
      <c r="G12" s="3"/>
      <c r="H12" s="5"/>
    </row>
    <row r="13" spans="1:8" x14ac:dyDescent="0.2">
      <c r="A13" s="14"/>
      <c r="B13" s="9"/>
      <c r="C13" s="3"/>
      <c r="D13" s="16"/>
      <c r="E13" s="16"/>
      <c r="F13" s="17"/>
      <c r="G13" s="3"/>
      <c r="H13" s="5"/>
    </row>
    <row r="14" spans="1:8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8" x14ac:dyDescent="0.2">
      <c r="A15" s="23"/>
      <c r="B15" s="24"/>
      <c r="C15" s="34"/>
      <c r="D15" s="35"/>
      <c r="E15" s="26"/>
      <c r="F15" s="36"/>
      <c r="G15" s="3"/>
      <c r="H15" s="5"/>
    </row>
    <row r="16" spans="1:8" x14ac:dyDescent="0.2">
      <c r="A16" s="37"/>
      <c r="B16" s="38"/>
      <c r="C16" s="39"/>
      <c r="D16" s="40"/>
      <c r="E16" s="22"/>
      <c r="F16" s="41"/>
      <c r="G16" s="3"/>
      <c r="H16" s="13">
        <f>SUM(F15:F15)</f>
        <v>0</v>
      </c>
    </row>
    <row r="17" spans="1:9" x14ac:dyDescent="0.2">
      <c r="A17" s="19"/>
      <c r="B17" s="42"/>
      <c r="C17" s="3"/>
      <c r="D17" s="22"/>
      <c r="E17" s="22"/>
      <c r="F17" s="43"/>
      <c r="G17" s="12"/>
      <c r="H17" s="5"/>
    </row>
    <row r="18" spans="1:9" x14ac:dyDescent="0.2">
      <c r="A18" s="3"/>
      <c r="B18" s="44" t="s">
        <v>5</v>
      </c>
      <c r="C18" s="3"/>
      <c r="D18" s="16"/>
      <c r="E18" s="16"/>
      <c r="F18" s="22" t="s">
        <v>11</v>
      </c>
      <c r="G18" s="3"/>
      <c r="H18" s="5"/>
    </row>
    <row r="19" spans="1:9" ht="13.5" customHeight="1" x14ac:dyDescent="0.2">
      <c r="A19" s="21" t="s">
        <v>7</v>
      </c>
      <c r="B19" s="18" t="s">
        <v>14</v>
      </c>
      <c r="C19" s="3"/>
      <c r="D19" s="16"/>
      <c r="E19" s="16"/>
      <c r="F19" s="43"/>
      <c r="G19" s="3"/>
      <c r="H19" s="5"/>
    </row>
    <row r="20" spans="1:9" ht="13.5" customHeight="1" x14ac:dyDescent="0.2">
      <c r="A20" s="54"/>
      <c r="B20" s="55"/>
      <c r="D20" s="51"/>
      <c r="E20" s="51"/>
      <c r="F20" s="56"/>
      <c r="H20" s="57"/>
    </row>
    <row r="21" spans="1:9" x14ac:dyDescent="0.2">
      <c r="A21" s="58"/>
      <c r="D21" s="51"/>
      <c r="E21" s="51"/>
      <c r="F21" s="57"/>
      <c r="H21" s="60">
        <f>SUM(F20:F20)</f>
        <v>0</v>
      </c>
    </row>
    <row r="22" spans="1:9" s="64" customFormat="1" x14ac:dyDescent="0.2">
      <c r="A22" s="61"/>
      <c r="B22" s="62" t="s">
        <v>29</v>
      </c>
      <c r="C22" s="63"/>
      <c r="D22" s="63"/>
      <c r="E22" s="63"/>
      <c r="G22" s="65"/>
    </row>
    <row r="23" spans="1:9" s="64" customFormat="1" x14ac:dyDescent="0.2">
      <c r="A23" s="21" t="s">
        <v>7</v>
      </c>
      <c r="B23" s="62" t="s">
        <v>30</v>
      </c>
      <c r="C23" s="63"/>
      <c r="D23" s="63"/>
      <c r="E23" s="63"/>
      <c r="F23" s="22" t="s">
        <v>11</v>
      </c>
      <c r="G23" s="65"/>
    </row>
    <row r="24" spans="1:9" x14ac:dyDescent="0.2">
      <c r="A24" s="45"/>
      <c r="B24" s="66"/>
      <c r="D24" s="51"/>
      <c r="E24" s="51"/>
      <c r="F24" s="56"/>
      <c r="G24" s="3"/>
      <c r="H24" s="5"/>
    </row>
    <row r="25" spans="1:9" x14ac:dyDescent="0.2">
      <c r="A25" s="75"/>
      <c r="B25" s="2"/>
      <c r="C25" s="3"/>
      <c r="D25" s="16"/>
      <c r="E25" s="16"/>
      <c r="F25" s="76"/>
      <c r="G25" s="3"/>
      <c r="H25" s="60">
        <f>SUM(F24:F24)</f>
        <v>0</v>
      </c>
    </row>
    <row r="26" spans="1:9" x14ac:dyDescent="0.2">
      <c r="C26" s="3"/>
      <c r="D26" s="16"/>
      <c r="E26" s="16"/>
      <c r="F26" s="76"/>
      <c r="G26" s="3"/>
      <c r="H26" s="5"/>
    </row>
    <row r="27" spans="1:9" x14ac:dyDescent="0.2">
      <c r="B27" s="62" t="s">
        <v>29</v>
      </c>
      <c r="C27" s="3"/>
      <c r="D27" s="16"/>
      <c r="E27" s="16"/>
      <c r="F27" s="22" t="s">
        <v>11</v>
      </c>
      <c r="G27" s="3"/>
      <c r="H27" s="5"/>
    </row>
    <row r="28" spans="1:9" x14ac:dyDescent="0.2">
      <c r="A28" s="21" t="s">
        <v>7</v>
      </c>
      <c r="B28" s="18" t="s">
        <v>44</v>
      </c>
      <c r="C28" s="3"/>
      <c r="D28" s="16"/>
      <c r="E28" s="16"/>
      <c r="F28" s="12"/>
      <c r="G28" s="3"/>
      <c r="H28" s="5"/>
    </row>
    <row r="29" spans="1:9" x14ac:dyDescent="0.2">
      <c r="A29" s="77"/>
      <c r="B29" s="78"/>
      <c r="C29" s="79"/>
      <c r="D29" s="68"/>
      <c r="E29" s="51"/>
      <c r="F29" s="80"/>
      <c r="G29" s="3"/>
      <c r="I29" s="33"/>
    </row>
    <row r="30" spans="1:9" s="53" customFormat="1" ht="21" x14ac:dyDescent="0.2">
      <c r="A30" s="47">
        <v>43522</v>
      </c>
      <c r="B30" s="48" t="s">
        <v>45</v>
      </c>
      <c r="C30" s="49" t="s">
        <v>46</v>
      </c>
      <c r="D30" s="73"/>
      <c r="E30" s="49"/>
      <c r="F30" s="270">
        <v>3.08</v>
      </c>
      <c r="G30" s="271"/>
      <c r="I30" s="272"/>
    </row>
    <row r="31" spans="1:9" s="53" customFormat="1" ht="21" x14ac:dyDescent="0.2">
      <c r="A31" s="47">
        <v>43549</v>
      </c>
      <c r="B31" s="48" t="s">
        <v>47</v>
      </c>
      <c r="C31" s="49" t="s">
        <v>48</v>
      </c>
      <c r="D31" s="73"/>
      <c r="E31" s="49"/>
      <c r="F31" s="270">
        <v>3.53</v>
      </c>
      <c r="G31" s="271"/>
      <c r="I31" s="272"/>
    </row>
    <row r="32" spans="1:9" s="53" customFormat="1" ht="15" x14ac:dyDescent="0.2">
      <c r="A32" s="47">
        <v>43823</v>
      </c>
      <c r="B32" s="48" t="s">
        <v>14461</v>
      </c>
      <c r="C32" s="49" t="s">
        <v>14462</v>
      </c>
      <c r="D32" s="73"/>
      <c r="E32" s="49"/>
      <c r="F32" s="270">
        <v>6.94</v>
      </c>
      <c r="G32" s="271"/>
      <c r="I32" s="272"/>
    </row>
    <row r="33" spans="1:9" ht="15" x14ac:dyDescent="0.2">
      <c r="A33" s="288">
        <v>43889</v>
      </c>
      <c r="B33" s="269" t="s">
        <v>14620</v>
      </c>
      <c r="C33" s="261" t="s">
        <v>14621</v>
      </c>
      <c r="D33" s="68"/>
      <c r="E33" s="25"/>
      <c r="F33" s="160">
        <v>17.39</v>
      </c>
      <c r="G33" s="3"/>
      <c r="I33" s="33"/>
    </row>
    <row r="34" spans="1:9" ht="15" x14ac:dyDescent="0.2">
      <c r="A34" s="288">
        <v>43889</v>
      </c>
      <c r="B34" s="269" t="s">
        <v>14618</v>
      </c>
      <c r="C34" s="261" t="s">
        <v>14619</v>
      </c>
      <c r="D34" s="68"/>
      <c r="E34" s="25"/>
      <c r="F34" s="160">
        <v>6.94</v>
      </c>
      <c r="G34" s="3"/>
      <c r="I34" s="33"/>
    </row>
    <row r="35" spans="1:9" ht="15" x14ac:dyDescent="0.2">
      <c r="A35" s="288">
        <v>43889</v>
      </c>
      <c r="B35" s="269" t="s">
        <v>14614</v>
      </c>
      <c r="C35" s="261" t="s">
        <v>14615</v>
      </c>
      <c r="D35" s="68"/>
      <c r="E35" s="25"/>
      <c r="F35" s="160">
        <v>11.13</v>
      </c>
      <c r="G35" s="3"/>
      <c r="I35" s="33"/>
    </row>
    <row r="36" spans="1:9" ht="15" x14ac:dyDescent="0.2">
      <c r="A36" s="288">
        <v>43889</v>
      </c>
      <c r="B36" s="269" t="s">
        <v>14610</v>
      </c>
      <c r="C36" s="261" t="s">
        <v>14611</v>
      </c>
      <c r="D36" s="68"/>
      <c r="E36" s="25"/>
      <c r="F36" s="160">
        <v>34.11</v>
      </c>
      <c r="G36" s="3"/>
      <c r="I36" s="33"/>
    </row>
    <row r="37" spans="1:9" ht="15" x14ac:dyDescent="0.2">
      <c r="A37" s="288">
        <v>43889</v>
      </c>
      <c r="B37" s="269" t="s">
        <v>14608</v>
      </c>
      <c r="C37" s="261" t="s">
        <v>14609</v>
      </c>
      <c r="D37" s="68"/>
      <c r="E37" s="25"/>
      <c r="F37" s="160">
        <v>16.760000000000002</v>
      </c>
      <c r="G37" s="3"/>
      <c r="I37" s="33"/>
    </row>
    <row r="38" spans="1:9" ht="19.5" x14ac:dyDescent="0.2">
      <c r="A38" s="288">
        <v>43889</v>
      </c>
      <c r="B38" s="269" t="s">
        <v>14606</v>
      </c>
      <c r="C38" s="261" t="s">
        <v>14607</v>
      </c>
      <c r="D38" s="68"/>
      <c r="E38" s="25"/>
      <c r="F38" s="160">
        <v>25.32</v>
      </c>
      <c r="G38" s="3"/>
      <c r="I38" s="33"/>
    </row>
    <row r="39" spans="1:9" ht="15" x14ac:dyDescent="0.2">
      <c r="A39" s="288">
        <v>43889</v>
      </c>
      <c r="B39" s="269" t="s">
        <v>14604</v>
      </c>
      <c r="C39" s="261" t="s">
        <v>14605</v>
      </c>
      <c r="D39" s="68"/>
      <c r="E39" s="25"/>
      <c r="F39" s="160">
        <v>5.81</v>
      </c>
      <c r="G39" s="3"/>
      <c r="I39" s="33"/>
    </row>
    <row r="40" spans="1:9" ht="15" x14ac:dyDescent="0.2">
      <c r="A40" s="296">
        <v>43889</v>
      </c>
      <c r="B40" s="297" t="s">
        <v>14602</v>
      </c>
      <c r="C40" s="295" t="s">
        <v>14603</v>
      </c>
      <c r="D40" s="68"/>
      <c r="E40" s="25"/>
      <c r="F40" s="258">
        <v>1.92</v>
      </c>
      <c r="G40" s="3"/>
      <c r="I40" s="33"/>
    </row>
    <row r="41" spans="1:9" ht="15" x14ac:dyDescent="0.2">
      <c r="A41" s="296">
        <v>43889</v>
      </c>
      <c r="B41" s="297" t="s">
        <v>14600</v>
      </c>
      <c r="C41" s="295" t="s">
        <v>14601</v>
      </c>
      <c r="D41" s="68"/>
      <c r="E41" s="25"/>
      <c r="F41" s="258">
        <v>38.119999999999997</v>
      </c>
      <c r="G41" s="3"/>
      <c r="I41" s="33"/>
    </row>
    <row r="42" spans="1:9" ht="15" x14ac:dyDescent="0.2">
      <c r="A42" s="296">
        <v>43889</v>
      </c>
      <c r="B42" s="297" t="s">
        <v>14598</v>
      </c>
      <c r="C42" s="295" t="s">
        <v>14599</v>
      </c>
      <c r="D42" s="68"/>
      <c r="E42" s="25"/>
      <c r="F42" s="258">
        <v>3.64</v>
      </c>
      <c r="G42" s="3"/>
      <c r="I42" s="33"/>
    </row>
    <row r="43" spans="1:9" ht="15" x14ac:dyDescent="0.2">
      <c r="A43" s="296">
        <v>43889</v>
      </c>
      <c r="B43" s="297" t="s">
        <v>14596</v>
      </c>
      <c r="C43" s="295" t="s">
        <v>14597</v>
      </c>
      <c r="D43" s="68"/>
      <c r="E43" s="25"/>
      <c r="F43" s="258">
        <v>27.48</v>
      </c>
      <c r="G43" s="3"/>
      <c r="I43" s="33"/>
    </row>
    <row r="44" spans="1:9" ht="15" x14ac:dyDescent="0.2">
      <c r="A44" s="296">
        <v>43889</v>
      </c>
      <c r="B44" s="297" t="s">
        <v>14594</v>
      </c>
      <c r="C44" s="295" t="s">
        <v>14595</v>
      </c>
      <c r="D44" s="68"/>
      <c r="E44" s="25"/>
      <c r="F44" s="258">
        <v>2.04</v>
      </c>
      <c r="G44" s="3"/>
      <c r="I44" s="33"/>
    </row>
    <row r="45" spans="1:9" ht="15" x14ac:dyDescent="0.2">
      <c r="A45" s="296">
        <v>43889</v>
      </c>
      <c r="B45" s="297" t="s">
        <v>14592</v>
      </c>
      <c r="C45" s="295" t="s">
        <v>14593</v>
      </c>
      <c r="D45" s="68"/>
      <c r="E45" s="25"/>
      <c r="F45" s="258">
        <v>2.02</v>
      </c>
      <c r="G45" s="3"/>
      <c r="I45" s="33"/>
    </row>
    <row r="46" spans="1:9" ht="15" x14ac:dyDescent="0.2">
      <c r="A46" s="296">
        <v>43889</v>
      </c>
      <c r="B46" s="297" t="s">
        <v>14590</v>
      </c>
      <c r="C46" s="295" t="s">
        <v>14591</v>
      </c>
      <c r="D46" s="68"/>
      <c r="E46" s="25"/>
      <c r="F46" s="258">
        <v>2.84</v>
      </c>
      <c r="G46" s="3"/>
      <c r="I46" s="33"/>
    </row>
    <row r="47" spans="1:9" ht="15" x14ac:dyDescent="0.2">
      <c r="A47" s="296">
        <v>43889</v>
      </c>
      <c r="B47" s="297" t="s">
        <v>14588</v>
      </c>
      <c r="C47" s="295" t="s">
        <v>14589</v>
      </c>
      <c r="D47" s="68"/>
      <c r="E47" s="25"/>
      <c r="F47" s="258">
        <v>4.3600000000000003</v>
      </c>
      <c r="G47" s="3"/>
      <c r="I47" s="33"/>
    </row>
    <row r="48" spans="1:9" ht="15" x14ac:dyDescent="0.2">
      <c r="A48" s="296">
        <v>43889</v>
      </c>
      <c r="B48" s="297" t="s">
        <v>14586</v>
      </c>
      <c r="C48" s="295" t="s">
        <v>14587</v>
      </c>
      <c r="D48" s="68"/>
      <c r="E48" s="25"/>
      <c r="F48" s="258">
        <v>11.2</v>
      </c>
      <c r="G48" s="3"/>
      <c r="I48" s="33"/>
    </row>
    <row r="49" spans="1:9" ht="15" x14ac:dyDescent="0.2">
      <c r="A49" s="296">
        <v>43889</v>
      </c>
      <c r="B49" s="297" t="s">
        <v>14584</v>
      </c>
      <c r="C49" s="295" t="s">
        <v>14585</v>
      </c>
      <c r="D49" s="68"/>
      <c r="E49" s="25"/>
      <c r="F49" s="258">
        <v>1.68</v>
      </c>
      <c r="G49" s="3"/>
      <c r="I49" s="33"/>
    </row>
    <row r="50" spans="1:9" ht="15" x14ac:dyDescent="0.2">
      <c r="A50" s="296">
        <v>43889</v>
      </c>
      <c r="B50" s="297" t="s">
        <v>14582</v>
      </c>
      <c r="C50" s="295" t="s">
        <v>14583</v>
      </c>
      <c r="D50" s="68"/>
      <c r="E50" s="25"/>
      <c r="F50" s="258">
        <v>6.69</v>
      </c>
      <c r="G50" s="3"/>
      <c r="I50" s="33"/>
    </row>
    <row r="51" spans="1:9" ht="15" x14ac:dyDescent="0.2">
      <c r="A51" s="296">
        <v>43889</v>
      </c>
      <c r="B51" s="297" t="s">
        <v>14580</v>
      </c>
      <c r="C51" s="295" t="s">
        <v>14581</v>
      </c>
      <c r="D51" s="68"/>
      <c r="E51" s="25"/>
      <c r="F51" s="258">
        <v>10.52</v>
      </c>
      <c r="G51" s="3"/>
      <c r="I51" s="33"/>
    </row>
    <row r="52" spans="1:9" ht="15" x14ac:dyDescent="0.2">
      <c r="A52" s="296">
        <v>43889</v>
      </c>
      <c r="B52" s="297" t="s">
        <v>14578</v>
      </c>
      <c r="C52" s="295" t="s">
        <v>14579</v>
      </c>
      <c r="D52" s="68"/>
      <c r="E52" s="25"/>
      <c r="F52" s="258">
        <v>1.85</v>
      </c>
      <c r="G52" s="3"/>
      <c r="I52" s="33"/>
    </row>
    <row r="53" spans="1:9" ht="15" x14ac:dyDescent="0.2">
      <c r="A53" s="296">
        <v>43889</v>
      </c>
      <c r="B53" s="297" t="s">
        <v>14576</v>
      </c>
      <c r="C53" s="295" t="s">
        <v>14577</v>
      </c>
      <c r="D53" s="68"/>
      <c r="E53" s="25"/>
      <c r="F53" s="258">
        <v>5.15</v>
      </c>
      <c r="G53" s="3"/>
      <c r="I53" s="33"/>
    </row>
    <row r="54" spans="1:9" ht="15" x14ac:dyDescent="0.2">
      <c r="A54" s="296">
        <v>43889</v>
      </c>
      <c r="B54" s="297" t="s">
        <v>14574</v>
      </c>
      <c r="C54" s="295" t="s">
        <v>14575</v>
      </c>
      <c r="D54" s="68"/>
      <c r="E54" s="25"/>
      <c r="F54" s="258">
        <v>4.75</v>
      </c>
      <c r="G54" s="3"/>
      <c r="I54" s="33"/>
    </row>
    <row r="55" spans="1:9" ht="15" x14ac:dyDescent="0.2">
      <c r="A55" s="296">
        <v>43889</v>
      </c>
      <c r="B55" s="297" t="s">
        <v>14572</v>
      </c>
      <c r="C55" s="295" t="s">
        <v>14573</v>
      </c>
      <c r="D55" s="68"/>
      <c r="E55" s="25"/>
      <c r="F55" s="258">
        <v>5.49</v>
      </c>
      <c r="G55" s="3"/>
      <c r="I55" s="33"/>
    </row>
    <row r="56" spans="1:9" ht="19.5" x14ac:dyDescent="0.2">
      <c r="A56" s="296">
        <v>43889</v>
      </c>
      <c r="B56" s="297" t="s">
        <v>14570</v>
      </c>
      <c r="C56" s="295" t="s">
        <v>14571</v>
      </c>
      <c r="D56" s="68"/>
      <c r="E56" s="25"/>
      <c r="F56" s="258">
        <v>8.98</v>
      </c>
      <c r="G56" s="3"/>
      <c r="I56" s="33"/>
    </row>
    <row r="57" spans="1:9" ht="15" x14ac:dyDescent="0.2">
      <c r="A57" s="296">
        <v>43889</v>
      </c>
      <c r="B57" s="297" t="s">
        <v>14568</v>
      </c>
      <c r="C57" s="295" t="s">
        <v>14569</v>
      </c>
      <c r="D57" s="68"/>
      <c r="E57" s="25"/>
      <c r="F57" s="258">
        <v>4.26</v>
      </c>
      <c r="G57" s="3"/>
      <c r="I57" s="33"/>
    </row>
    <row r="58" spans="1:9" ht="15" x14ac:dyDescent="0.2">
      <c r="A58" s="296">
        <v>43889</v>
      </c>
      <c r="B58" s="297" t="s">
        <v>14566</v>
      </c>
      <c r="C58" s="295" t="s">
        <v>14567</v>
      </c>
      <c r="D58" s="68"/>
      <c r="E58" s="25"/>
      <c r="F58" s="258">
        <v>3.26</v>
      </c>
      <c r="G58" s="3"/>
      <c r="I58" s="33"/>
    </row>
    <row r="59" spans="1:9" ht="15" x14ac:dyDescent="0.2">
      <c r="A59" s="296">
        <v>43889</v>
      </c>
      <c r="B59" s="297" t="s">
        <v>14564</v>
      </c>
      <c r="C59" s="295" t="s">
        <v>14565</v>
      </c>
      <c r="D59" s="68"/>
      <c r="E59" s="25"/>
      <c r="F59" s="258">
        <v>1.72</v>
      </c>
      <c r="G59" s="3"/>
      <c r="I59" s="33"/>
    </row>
    <row r="60" spans="1:9" ht="15" x14ac:dyDescent="0.2">
      <c r="A60" s="296">
        <v>43889</v>
      </c>
      <c r="B60" s="297" t="s">
        <v>14562</v>
      </c>
      <c r="C60" s="295" t="s">
        <v>14563</v>
      </c>
      <c r="D60" s="68"/>
      <c r="E60" s="25"/>
      <c r="F60" s="258">
        <v>1.72</v>
      </c>
      <c r="G60" s="3"/>
      <c r="I60" s="33"/>
    </row>
    <row r="61" spans="1:9" ht="15" x14ac:dyDescent="0.2">
      <c r="A61" s="296">
        <v>43889</v>
      </c>
      <c r="B61" s="297" t="s">
        <v>14560</v>
      </c>
      <c r="C61" s="295" t="s">
        <v>14561</v>
      </c>
      <c r="D61" s="68"/>
      <c r="E61" s="25"/>
      <c r="F61" s="258">
        <v>40.99</v>
      </c>
      <c r="G61" s="3"/>
      <c r="I61" s="33"/>
    </row>
    <row r="62" spans="1:9" ht="15" x14ac:dyDescent="0.2">
      <c r="A62" s="296">
        <v>43889</v>
      </c>
      <c r="B62" s="297" t="s">
        <v>14558</v>
      </c>
      <c r="C62" s="295" t="s">
        <v>14559</v>
      </c>
      <c r="D62" s="68"/>
      <c r="E62" s="25"/>
      <c r="F62" s="258">
        <v>0.92</v>
      </c>
      <c r="G62" s="3"/>
      <c r="I62" s="33"/>
    </row>
    <row r="63" spans="1:9" ht="15" x14ac:dyDescent="0.2">
      <c r="A63" s="296">
        <v>43889</v>
      </c>
      <c r="B63" s="297" t="s">
        <v>14556</v>
      </c>
      <c r="C63" s="295" t="s">
        <v>14557</v>
      </c>
      <c r="D63" s="68"/>
      <c r="E63" s="25"/>
      <c r="F63" s="258">
        <v>15.85</v>
      </c>
      <c r="G63" s="3"/>
      <c r="I63" s="33"/>
    </row>
    <row r="64" spans="1:9" ht="15" x14ac:dyDescent="0.2">
      <c r="A64" s="296">
        <v>43889</v>
      </c>
      <c r="B64" s="297" t="s">
        <v>14554</v>
      </c>
      <c r="C64" s="295" t="s">
        <v>14555</v>
      </c>
      <c r="D64" s="68"/>
      <c r="E64" s="25"/>
      <c r="F64" s="258">
        <v>3.07</v>
      </c>
      <c r="G64" s="3"/>
      <c r="I64" s="33"/>
    </row>
    <row r="65" spans="1:9" ht="15" x14ac:dyDescent="0.2">
      <c r="A65" s="296">
        <v>43889</v>
      </c>
      <c r="B65" s="297" t="s">
        <v>14552</v>
      </c>
      <c r="C65" s="295" t="s">
        <v>14553</v>
      </c>
      <c r="D65" s="68"/>
      <c r="E65" s="25"/>
      <c r="F65" s="258">
        <v>2.41</v>
      </c>
      <c r="G65" s="3"/>
      <c r="I65" s="33"/>
    </row>
    <row r="66" spans="1:9" ht="15" x14ac:dyDescent="0.2">
      <c r="A66" s="296">
        <v>43889</v>
      </c>
      <c r="B66" s="297" t="s">
        <v>14550</v>
      </c>
      <c r="C66" s="295" t="s">
        <v>14551</v>
      </c>
      <c r="D66" s="68"/>
      <c r="E66" s="25"/>
      <c r="F66" s="258">
        <v>2.54</v>
      </c>
      <c r="G66" s="3"/>
      <c r="I66" s="33"/>
    </row>
    <row r="67" spans="1:9" ht="15" x14ac:dyDescent="0.2">
      <c r="A67" s="296">
        <v>43889</v>
      </c>
      <c r="B67" s="297" t="s">
        <v>14548</v>
      </c>
      <c r="C67" s="295" t="s">
        <v>14549</v>
      </c>
      <c r="D67" s="68"/>
      <c r="E67" s="25"/>
      <c r="F67" s="258">
        <v>2.2999999999999998</v>
      </c>
      <c r="G67" s="3"/>
      <c r="I67" s="33"/>
    </row>
    <row r="68" spans="1:9" ht="15" x14ac:dyDescent="0.2">
      <c r="A68" s="296">
        <v>43889</v>
      </c>
      <c r="B68" s="297" t="s">
        <v>14546</v>
      </c>
      <c r="C68" s="295" t="s">
        <v>14547</v>
      </c>
      <c r="D68" s="68"/>
      <c r="E68" s="25"/>
      <c r="F68" s="258">
        <v>5.04</v>
      </c>
      <c r="G68" s="3"/>
      <c r="I68" s="33"/>
    </row>
    <row r="69" spans="1:9" ht="15" x14ac:dyDescent="0.2">
      <c r="A69" s="296">
        <v>43889</v>
      </c>
      <c r="B69" s="297" t="s">
        <v>14544</v>
      </c>
      <c r="C69" s="295" t="s">
        <v>14545</v>
      </c>
      <c r="D69" s="68"/>
      <c r="E69" s="25"/>
      <c r="F69" s="258">
        <v>19.809999999999999</v>
      </c>
      <c r="G69" s="3"/>
      <c r="I69" s="33"/>
    </row>
    <row r="70" spans="1:9" ht="15" x14ac:dyDescent="0.2">
      <c r="A70" s="296">
        <v>43889</v>
      </c>
      <c r="B70" s="297" t="s">
        <v>14542</v>
      </c>
      <c r="C70" s="295" t="s">
        <v>14543</v>
      </c>
      <c r="D70" s="68"/>
      <c r="E70" s="25"/>
      <c r="F70" s="258">
        <v>2.4500000000000002</v>
      </c>
      <c r="G70" s="3"/>
      <c r="I70" s="33"/>
    </row>
    <row r="71" spans="1:9" ht="15" x14ac:dyDescent="0.2">
      <c r="A71" s="296">
        <v>43889</v>
      </c>
      <c r="B71" s="297" t="s">
        <v>14540</v>
      </c>
      <c r="C71" s="295" t="s">
        <v>14541</v>
      </c>
      <c r="D71" s="68"/>
      <c r="E71" s="25"/>
      <c r="F71" s="258">
        <v>14.52</v>
      </c>
      <c r="G71" s="3"/>
      <c r="I71" s="33"/>
    </row>
    <row r="72" spans="1:9" ht="15" x14ac:dyDescent="0.2">
      <c r="A72" s="296">
        <v>43890</v>
      </c>
      <c r="B72" s="297" t="s">
        <v>14515</v>
      </c>
      <c r="C72" s="295" t="s">
        <v>14516</v>
      </c>
      <c r="D72" s="68"/>
      <c r="E72" s="25"/>
      <c r="F72" s="258">
        <v>0.79</v>
      </c>
      <c r="G72" s="3"/>
      <c r="I72" s="33"/>
    </row>
    <row r="73" spans="1:9" ht="15" x14ac:dyDescent="0.2">
      <c r="A73" s="296">
        <v>43890</v>
      </c>
      <c r="B73" s="297" t="s">
        <v>14513</v>
      </c>
      <c r="C73" s="295" t="s">
        <v>14514</v>
      </c>
      <c r="D73" s="68"/>
      <c r="E73" s="25"/>
      <c r="F73" s="258">
        <v>4.09</v>
      </c>
      <c r="G73" s="3"/>
      <c r="I73" s="33"/>
    </row>
    <row r="74" spans="1:9" ht="15" x14ac:dyDescent="0.2">
      <c r="A74" s="296">
        <v>43890</v>
      </c>
      <c r="B74" s="297" t="s">
        <v>14511</v>
      </c>
      <c r="C74" s="295" t="s">
        <v>14512</v>
      </c>
      <c r="D74" s="68"/>
      <c r="E74" s="25"/>
      <c r="F74" s="258">
        <v>5.17</v>
      </c>
      <c r="G74" s="3"/>
      <c r="I74" s="33"/>
    </row>
    <row r="75" spans="1:9" ht="15" x14ac:dyDescent="0.2">
      <c r="A75" s="296">
        <v>43890</v>
      </c>
      <c r="B75" s="297" t="s">
        <v>14509</v>
      </c>
      <c r="C75" s="295" t="s">
        <v>14510</v>
      </c>
      <c r="D75" s="68"/>
      <c r="E75" s="25"/>
      <c r="F75" s="258">
        <v>1.85</v>
      </c>
      <c r="G75" s="3"/>
      <c r="I75" s="33"/>
    </row>
    <row r="76" spans="1:9" ht="15" x14ac:dyDescent="0.2">
      <c r="A76" s="296">
        <v>43890</v>
      </c>
      <c r="B76" s="297" t="s">
        <v>14507</v>
      </c>
      <c r="C76" s="295" t="s">
        <v>14508</v>
      </c>
      <c r="D76" s="68"/>
      <c r="E76" s="25"/>
      <c r="F76" s="258">
        <v>2.39</v>
      </c>
      <c r="G76" s="3"/>
      <c r="I76" s="33"/>
    </row>
    <row r="77" spans="1:9" ht="15" x14ac:dyDescent="0.2">
      <c r="A77" s="296">
        <v>43890</v>
      </c>
      <c r="B77" s="297" t="s">
        <v>14505</v>
      </c>
      <c r="C77" s="295" t="s">
        <v>14506</v>
      </c>
      <c r="D77" s="68"/>
      <c r="E77" s="25"/>
      <c r="F77" s="258">
        <v>4.3600000000000003</v>
      </c>
      <c r="G77" s="3"/>
      <c r="I77" s="33"/>
    </row>
    <row r="78" spans="1:9" ht="15" x14ac:dyDescent="0.2">
      <c r="A78" s="296">
        <v>43890</v>
      </c>
      <c r="B78" s="297" t="s">
        <v>14503</v>
      </c>
      <c r="C78" s="295" t="s">
        <v>14504</v>
      </c>
      <c r="D78" s="68"/>
      <c r="E78" s="25"/>
      <c r="F78" s="258">
        <v>10.07</v>
      </c>
      <c r="G78" s="3"/>
      <c r="I78" s="33"/>
    </row>
    <row r="79" spans="1:9" ht="19.5" x14ac:dyDescent="0.2">
      <c r="A79" s="296">
        <v>43890</v>
      </c>
      <c r="B79" s="297" t="s">
        <v>14501</v>
      </c>
      <c r="C79" s="295" t="s">
        <v>14502</v>
      </c>
      <c r="D79" s="68"/>
      <c r="E79" s="25"/>
      <c r="F79" s="258">
        <v>15.49</v>
      </c>
      <c r="G79" s="3"/>
      <c r="I79" s="33"/>
    </row>
    <row r="80" spans="1:9" ht="15" x14ac:dyDescent="0.2">
      <c r="A80" s="296">
        <v>43890</v>
      </c>
      <c r="B80" s="297" t="s">
        <v>14499</v>
      </c>
      <c r="C80" s="295" t="s">
        <v>14500</v>
      </c>
      <c r="D80" s="68"/>
      <c r="E80" s="25"/>
      <c r="F80" s="258">
        <v>19.739999999999998</v>
      </c>
      <c r="G80" s="3"/>
      <c r="I80" s="33"/>
    </row>
    <row r="81" spans="1:9" ht="15" x14ac:dyDescent="0.2">
      <c r="A81" s="296">
        <v>43890</v>
      </c>
      <c r="B81" s="297" t="s">
        <v>14497</v>
      </c>
      <c r="C81" s="295" t="s">
        <v>14498</v>
      </c>
      <c r="D81" s="68"/>
      <c r="E81" s="25"/>
      <c r="F81" s="258">
        <v>6.68</v>
      </c>
      <c r="G81" s="3"/>
      <c r="I81" s="33"/>
    </row>
    <row r="82" spans="1:9" ht="15" x14ac:dyDescent="0.2">
      <c r="A82" s="296">
        <v>43890</v>
      </c>
      <c r="B82" s="297" t="s">
        <v>14495</v>
      </c>
      <c r="C82" s="295" t="s">
        <v>14496</v>
      </c>
      <c r="D82" s="68"/>
      <c r="E82" s="25"/>
      <c r="F82" s="258">
        <v>1.68</v>
      </c>
      <c r="G82" s="3"/>
      <c r="I82" s="33"/>
    </row>
    <row r="83" spans="1:9" ht="19.5" x14ac:dyDescent="0.2">
      <c r="A83" s="296">
        <v>43890</v>
      </c>
      <c r="B83" s="297" t="s">
        <v>14493</v>
      </c>
      <c r="C83" s="295" t="s">
        <v>14494</v>
      </c>
      <c r="D83" s="68"/>
      <c r="E83" s="25"/>
      <c r="F83" s="258">
        <v>20.170000000000002</v>
      </c>
      <c r="G83" s="3"/>
      <c r="I83" s="33"/>
    </row>
    <row r="84" spans="1:9" ht="15" x14ac:dyDescent="0.2">
      <c r="A84" s="296">
        <v>43890</v>
      </c>
      <c r="B84" s="297" t="s">
        <v>14491</v>
      </c>
      <c r="C84" s="295" t="s">
        <v>14492</v>
      </c>
      <c r="D84" s="68"/>
      <c r="E84" s="25"/>
      <c r="F84" s="258">
        <v>2.56</v>
      </c>
      <c r="G84" s="3"/>
      <c r="I84" s="33"/>
    </row>
    <row r="85" spans="1:9" ht="15" x14ac:dyDescent="0.2">
      <c r="A85" s="296">
        <v>43890</v>
      </c>
      <c r="B85" s="297" t="s">
        <v>14489</v>
      </c>
      <c r="C85" s="295" t="s">
        <v>14490</v>
      </c>
      <c r="D85" s="68"/>
      <c r="E85" s="25"/>
      <c r="F85" s="258">
        <v>3.62</v>
      </c>
      <c r="G85" s="3"/>
      <c r="I85" s="33"/>
    </row>
    <row r="86" spans="1:9" ht="15" x14ac:dyDescent="0.2">
      <c r="A86" s="296">
        <v>43890</v>
      </c>
      <c r="B86" s="297" t="s">
        <v>14487</v>
      </c>
      <c r="C86" s="295" t="s">
        <v>14488</v>
      </c>
      <c r="D86" s="68"/>
      <c r="E86" s="25"/>
      <c r="F86" s="258">
        <v>1.89</v>
      </c>
      <c r="G86" s="3"/>
      <c r="I86" s="33"/>
    </row>
    <row r="87" spans="1:9" ht="15" x14ac:dyDescent="0.2">
      <c r="A87" s="296">
        <v>43890</v>
      </c>
      <c r="B87" s="297" t="s">
        <v>14485</v>
      </c>
      <c r="C87" s="295" t="s">
        <v>14486</v>
      </c>
      <c r="D87" s="68"/>
      <c r="E87" s="25"/>
      <c r="F87" s="258">
        <v>12.05</v>
      </c>
      <c r="G87" s="3"/>
      <c r="I87" s="33"/>
    </row>
    <row r="88" spans="1:9" ht="15" x14ac:dyDescent="0.2">
      <c r="A88" s="296">
        <v>43890</v>
      </c>
      <c r="B88" s="297" t="s">
        <v>14483</v>
      </c>
      <c r="C88" s="295" t="s">
        <v>14484</v>
      </c>
      <c r="D88" s="68"/>
      <c r="E88" s="25"/>
      <c r="F88" s="258">
        <v>1.69</v>
      </c>
      <c r="G88" s="3"/>
      <c r="I88" s="33"/>
    </row>
    <row r="89" spans="1:9" ht="15" x14ac:dyDescent="0.2">
      <c r="A89" s="296">
        <v>43890</v>
      </c>
      <c r="B89" s="297" t="s">
        <v>14481</v>
      </c>
      <c r="C89" s="295" t="s">
        <v>14482</v>
      </c>
      <c r="D89" s="68"/>
      <c r="E89" s="25"/>
      <c r="F89" s="258">
        <v>16.760000000000002</v>
      </c>
      <c r="G89" s="3"/>
      <c r="I89" s="33"/>
    </row>
    <row r="90" spans="1:9" ht="15" x14ac:dyDescent="0.2">
      <c r="A90" s="296">
        <v>43890</v>
      </c>
      <c r="B90" s="297" t="s">
        <v>14479</v>
      </c>
      <c r="C90" s="295" t="s">
        <v>14480</v>
      </c>
      <c r="D90" s="68"/>
      <c r="E90" s="25"/>
      <c r="F90" s="258">
        <v>4.84</v>
      </c>
      <c r="G90" s="3"/>
      <c r="I90" s="33"/>
    </row>
    <row r="91" spans="1:9" ht="15" x14ac:dyDescent="0.2">
      <c r="A91" s="296">
        <v>43890</v>
      </c>
      <c r="B91" s="297" t="s">
        <v>14477</v>
      </c>
      <c r="C91" s="295" t="s">
        <v>14478</v>
      </c>
      <c r="D91" s="68"/>
      <c r="E91" s="25"/>
      <c r="F91" s="258">
        <v>6.87</v>
      </c>
      <c r="G91" s="3"/>
      <c r="I91" s="33"/>
    </row>
    <row r="92" spans="1:9" ht="15" x14ac:dyDescent="0.2">
      <c r="A92" s="296">
        <v>43890</v>
      </c>
      <c r="B92" s="297" t="s">
        <v>14475</v>
      </c>
      <c r="C92" s="295" t="s">
        <v>14476</v>
      </c>
      <c r="D92" s="68"/>
      <c r="E92" s="25"/>
      <c r="F92" s="258">
        <v>5.48</v>
      </c>
      <c r="G92" s="3"/>
      <c r="I92" s="33"/>
    </row>
    <row r="93" spans="1:9" ht="15" x14ac:dyDescent="0.2">
      <c r="A93" s="296">
        <v>43890</v>
      </c>
      <c r="B93" s="297" t="s">
        <v>14473</v>
      </c>
      <c r="C93" s="295" t="s">
        <v>14474</v>
      </c>
      <c r="D93" s="68"/>
      <c r="E93" s="25"/>
      <c r="F93" s="258">
        <v>16.010000000000002</v>
      </c>
      <c r="G93" s="3"/>
      <c r="I93" s="33"/>
    </row>
    <row r="94" spans="1:9" ht="15" x14ac:dyDescent="0.2">
      <c r="A94" s="296">
        <v>43890</v>
      </c>
      <c r="B94" s="297" t="s">
        <v>14471</v>
      </c>
      <c r="C94" s="295" t="s">
        <v>14472</v>
      </c>
      <c r="D94" s="68"/>
      <c r="E94" s="25"/>
      <c r="F94" s="258">
        <v>7.11</v>
      </c>
      <c r="G94" s="3"/>
      <c r="I94" s="33"/>
    </row>
    <row r="95" spans="1:9" ht="19.5" x14ac:dyDescent="0.2">
      <c r="A95" s="296">
        <v>43890</v>
      </c>
      <c r="B95" s="297" t="s">
        <v>14469</v>
      </c>
      <c r="C95" s="295" t="s">
        <v>14470</v>
      </c>
      <c r="D95" s="68"/>
      <c r="E95" s="25"/>
      <c r="F95" s="258">
        <v>3</v>
      </c>
      <c r="G95" s="3"/>
      <c r="I95" s="33"/>
    </row>
    <row r="96" spans="1:9" ht="15" x14ac:dyDescent="0.2">
      <c r="A96" s="296">
        <v>43890</v>
      </c>
      <c r="B96" s="297" t="s">
        <v>14467</v>
      </c>
      <c r="C96" s="295" t="s">
        <v>14468</v>
      </c>
      <c r="D96" s="68"/>
      <c r="E96" s="25"/>
      <c r="F96" s="258">
        <v>5.53</v>
      </c>
      <c r="G96" s="3"/>
      <c r="I96" s="33"/>
    </row>
    <row r="97" spans="1:12" ht="15" x14ac:dyDescent="0.2">
      <c r="A97" s="296">
        <v>43890</v>
      </c>
      <c r="B97" s="297" t="s">
        <v>14465</v>
      </c>
      <c r="C97" s="295" t="s">
        <v>14466</v>
      </c>
      <c r="D97" s="68"/>
      <c r="E97" s="25"/>
      <c r="F97" s="258">
        <v>0.35</v>
      </c>
      <c r="G97" s="3"/>
      <c r="I97" s="33"/>
    </row>
    <row r="98" spans="1:12" ht="12.75" x14ac:dyDescent="0.2">
      <c r="A98" s="37"/>
      <c r="B98" s="91"/>
      <c r="C98" s="39"/>
      <c r="D98" s="16"/>
      <c r="E98" s="16"/>
      <c r="F98" s="92"/>
      <c r="G98" s="3"/>
      <c r="H98" s="301">
        <f>SUM(F30:F98)</f>
        <v>570.84000000000026</v>
      </c>
    </row>
    <row r="99" spans="1:12" x14ac:dyDescent="0.2">
      <c r="A99" s="3"/>
      <c r="B99" s="2"/>
      <c r="C99" s="3"/>
      <c r="D99" s="3"/>
      <c r="E99" s="3"/>
      <c r="F99" s="5"/>
      <c r="G99" s="3"/>
      <c r="H99" s="5"/>
    </row>
    <row r="100" spans="1:12" s="99" customFormat="1" ht="20.25" customHeight="1" thickBot="1" x14ac:dyDescent="0.3">
      <c r="A100" s="93"/>
      <c r="B100" s="94" t="s">
        <v>14464</v>
      </c>
      <c r="C100" s="95"/>
      <c r="D100" s="93"/>
      <c r="E100" s="93"/>
      <c r="F100" s="96"/>
      <c r="G100" s="97" t="s">
        <v>4</v>
      </c>
      <c r="H100" s="302">
        <f>+H9-H16-H21+H25+H98</f>
        <v>40628.170000000006</v>
      </c>
      <c r="I100" s="303"/>
      <c r="J100" s="303"/>
    </row>
    <row r="101" spans="1:12" ht="13.5" thickTop="1" x14ac:dyDescent="0.2">
      <c r="A101" s="3"/>
      <c r="B101" s="2"/>
      <c r="C101" s="3"/>
      <c r="D101" s="3"/>
      <c r="E101" s="3"/>
      <c r="F101" s="5"/>
      <c r="G101" s="3"/>
      <c r="H101" s="304"/>
      <c r="I101" s="305"/>
      <c r="J101" s="306">
        <f>+'BP FEB-20'!I962</f>
        <v>41229</v>
      </c>
    </row>
    <row r="102" spans="1:12" ht="12.75" x14ac:dyDescent="0.2">
      <c r="A102" s="3"/>
      <c r="B102" s="2"/>
      <c r="C102" s="3"/>
      <c r="D102" s="3"/>
      <c r="E102" s="3"/>
      <c r="F102" s="5"/>
      <c r="G102" s="3"/>
      <c r="H102" s="305"/>
      <c r="I102" s="305"/>
      <c r="J102" s="304"/>
    </row>
    <row r="103" spans="1:12" ht="12.75" x14ac:dyDescent="0.2">
      <c r="A103" s="3"/>
      <c r="B103" s="2"/>
      <c r="C103" s="3"/>
      <c r="D103" s="3"/>
      <c r="E103" s="3"/>
      <c r="G103" s="3"/>
      <c r="H103" s="305"/>
      <c r="I103" s="305"/>
      <c r="J103" s="304"/>
    </row>
    <row r="104" spans="1:12" ht="23.25" customHeight="1" thickBot="1" x14ac:dyDescent="0.25">
      <c r="A104" s="3"/>
      <c r="C104" s="100"/>
      <c r="D104" s="101"/>
      <c r="E104" s="3"/>
      <c r="F104" s="102"/>
      <c r="G104" s="3"/>
      <c r="H104" s="304"/>
      <c r="I104" s="305"/>
      <c r="J104" s="302">
        <f>+H100-J101</f>
        <v>-600.82999999999447</v>
      </c>
      <c r="L104" s="57"/>
    </row>
    <row r="105" spans="1:12" ht="26.25" customHeight="1" thickTop="1" x14ac:dyDescent="0.2">
      <c r="A105" s="3"/>
      <c r="C105" s="378" t="s">
        <v>314</v>
      </c>
      <c r="D105" s="378"/>
      <c r="E105" s="3"/>
      <c r="F105" s="378" t="s">
        <v>315</v>
      </c>
      <c r="G105" s="378"/>
      <c r="H105" s="304"/>
      <c r="I105" s="305"/>
      <c r="J105" s="305"/>
    </row>
    <row r="106" spans="1:12" ht="23.25" customHeight="1" thickBot="1" x14ac:dyDescent="0.25">
      <c r="H106" s="305"/>
      <c r="I106" s="305"/>
      <c r="J106" s="302">
        <f>+H100-J104</f>
        <v>41229</v>
      </c>
    </row>
    <row r="107" spans="1:12" ht="13.5" thickTop="1" x14ac:dyDescent="0.2">
      <c r="H107" s="305"/>
      <c r="I107" s="305"/>
      <c r="J107" s="305"/>
      <c r="L107" s="57"/>
    </row>
    <row r="109" spans="1:12" x14ac:dyDescent="0.2">
      <c r="L109" s="57"/>
    </row>
    <row r="110" spans="1:12" x14ac:dyDescent="0.2">
      <c r="A110" s="6"/>
      <c r="B110" s="6"/>
      <c r="C110" s="6"/>
      <c r="D110" s="6"/>
      <c r="E110" s="6"/>
      <c r="G110" s="6"/>
      <c r="J110" s="57"/>
    </row>
  </sheetData>
  <mergeCells count="2">
    <mergeCell ref="C105:D105"/>
    <mergeCell ref="F105:G105"/>
  </mergeCells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A9E42-AA7D-40CA-8C85-48A45F98696A}">
  <dimension ref="A2:K874"/>
  <sheetViews>
    <sheetView topLeftCell="A16" workbookViewId="0">
      <pane xSplit="5" ySplit="2" topLeftCell="F631" activePane="bottomRight" state="frozen"/>
      <selection activeCell="A16" sqref="A16"/>
      <selection pane="topRight" activeCell="F16" sqref="F16"/>
      <selection pane="bottomLeft" activeCell="A18" sqref="A18"/>
      <selection pane="bottomRight" activeCell="E633" sqref="E633"/>
    </sheetView>
  </sheetViews>
  <sheetFormatPr baseColWidth="10" defaultColWidth="11.5703125" defaultRowHeight="15.75" x14ac:dyDescent="0.25"/>
  <cols>
    <col min="1" max="1" width="11.5703125" style="103"/>
    <col min="2" max="4" width="11.5703125" style="145"/>
    <col min="5" max="5" width="46.7109375" style="111" customWidth="1"/>
    <col min="6" max="6" width="6.42578125" style="257" customWidth="1"/>
    <col min="7" max="7" width="12.42578125" style="152" bestFit="1" customWidth="1"/>
    <col min="8" max="8" width="18.5703125" style="152" bestFit="1" customWidth="1"/>
    <col min="9" max="9" width="17.7109375" style="152" customWidth="1"/>
    <col min="10" max="16384" width="11.5703125" style="103"/>
  </cols>
  <sheetData>
    <row r="2" spans="1:9" ht="19.5" x14ac:dyDescent="0.2">
      <c r="E2" s="110" t="s">
        <v>2771</v>
      </c>
      <c r="G2" s="109"/>
      <c r="H2" s="109" t="s">
        <v>2770</v>
      </c>
      <c r="I2" s="315">
        <v>1</v>
      </c>
    </row>
    <row r="3" spans="1:9" x14ac:dyDescent="0.2">
      <c r="G3" s="109"/>
      <c r="H3" s="109" t="s">
        <v>2769</v>
      </c>
      <c r="I3" s="316">
        <v>44169</v>
      </c>
    </row>
    <row r="4" spans="1:9" x14ac:dyDescent="0.2">
      <c r="G4" s="109"/>
      <c r="H4" s="109"/>
      <c r="I4" s="315"/>
    </row>
    <row r="5" spans="1:9" x14ac:dyDescent="0.2">
      <c r="A5" s="112" t="s">
        <v>2768</v>
      </c>
      <c r="B5" s="307" t="s">
        <v>18033</v>
      </c>
      <c r="C5" s="310" t="s">
        <v>2767</v>
      </c>
      <c r="D5" s="307" t="s">
        <v>18033</v>
      </c>
      <c r="G5" s="109"/>
      <c r="H5" s="109">
        <v>0.42579861111111111</v>
      </c>
      <c r="I5" s="315"/>
    </row>
    <row r="6" spans="1:9" x14ac:dyDescent="0.2">
      <c r="G6" s="109"/>
      <c r="H6" s="109"/>
      <c r="I6" s="315"/>
    </row>
    <row r="7" spans="1:9" x14ac:dyDescent="0.2">
      <c r="G7" s="109"/>
      <c r="H7" s="109" t="s">
        <v>2765</v>
      </c>
      <c r="I7" s="315" t="s">
        <v>2764</v>
      </c>
    </row>
    <row r="8" spans="1:9" x14ac:dyDescent="0.2">
      <c r="B8" s="147"/>
      <c r="C8" s="147" t="s">
        <v>2763</v>
      </c>
      <c r="D8" s="146" t="s">
        <v>2762</v>
      </c>
      <c r="G8" s="109" t="s">
        <v>2760</v>
      </c>
      <c r="H8" s="109" t="s">
        <v>2759</v>
      </c>
      <c r="I8" s="315"/>
    </row>
    <row r="9" spans="1:9" x14ac:dyDescent="0.2">
      <c r="G9" s="109" t="s">
        <v>2761</v>
      </c>
      <c r="H9" s="109" t="s">
        <v>2759</v>
      </c>
      <c r="I9" s="315"/>
    </row>
    <row r="10" spans="1:9" x14ac:dyDescent="0.2">
      <c r="G10" s="109"/>
      <c r="H10" s="109"/>
      <c r="I10" s="315"/>
    </row>
    <row r="11" spans="1:9" x14ac:dyDescent="0.2">
      <c r="A11" s="108" t="s">
        <v>2758</v>
      </c>
      <c r="B11" s="109"/>
      <c r="C11" s="109" t="s">
        <v>2757</v>
      </c>
      <c r="D11" s="109" t="s">
        <v>2756</v>
      </c>
      <c r="E11" s="109" t="s">
        <v>2755</v>
      </c>
      <c r="G11" s="109" t="s">
        <v>322</v>
      </c>
      <c r="H11" s="109" t="s">
        <v>321</v>
      </c>
      <c r="I11" s="315" t="s">
        <v>2754</v>
      </c>
    </row>
    <row r="14" spans="1:9" x14ac:dyDescent="0.25">
      <c r="A14" s="108" t="s">
        <v>2753</v>
      </c>
      <c r="B14" s="108" t="s">
        <v>2752</v>
      </c>
    </row>
    <row r="15" spans="1:9" x14ac:dyDescent="0.25">
      <c r="B15" s="108"/>
    </row>
    <row r="16" spans="1:9" x14ac:dyDescent="0.25">
      <c r="A16" s="107" t="s">
        <v>2751</v>
      </c>
      <c r="B16" s="108" t="s">
        <v>2750</v>
      </c>
      <c r="H16" s="153" t="s">
        <v>323</v>
      </c>
      <c r="I16" s="160">
        <v>41229</v>
      </c>
    </row>
    <row r="18" spans="2:9" x14ac:dyDescent="0.25">
      <c r="B18" s="148"/>
      <c r="C18" s="148" t="s">
        <v>18032</v>
      </c>
      <c r="D18" s="150">
        <v>43891</v>
      </c>
      <c r="E18" s="113" t="s">
        <v>18031</v>
      </c>
      <c r="F18" s="257" t="s">
        <v>14408</v>
      </c>
      <c r="G18" s="258">
        <v>0.36</v>
      </c>
      <c r="I18" s="160">
        <f>+I16+G18-H18</f>
        <v>41229.360000000001</v>
      </c>
    </row>
    <row r="19" spans="2:9" ht="19.5" x14ac:dyDescent="0.25">
      <c r="B19" s="148"/>
      <c r="C19" s="148" t="s">
        <v>18030</v>
      </c>
      <c r="D19" s="150">
        <v>43891</v>
      </c>
      <c r="E19" s="113" t="s">
        <v>18029</v>
      </c>
      <c r="F19" s="257" t="s">
        <v>14408</v>
      </c>
      <c r="G19" s="258">
        <v>1.79</v>
      </c>
      <c r="I19" s="160">
        <f>+I18+G19-H19</f>
        <v>41231.15</v>
      </c>
    </row>
    <row r="20" spans="2:9" x14ac:dyDescent="0.25">
      <c r="B20" s="148"/>
      <c r="C20" s="148" t="s">
        <v>18028</v>
      </c>
      <c r="D20" s="150">
        <v>43891</v>
      </c>
      <c r="E20" s="113" t="s">
        <v>18027</v>
      </c>
      <c r="F20" s="257" t="s">
        <v>14408</v>
      </c>
      <c r="G20" s="258">
        <v>2.0499999999999998</v>
      </c>
      <c r="I20" s="160">
        <f t="shared" ref="I20:I83" si="0">+I19+G20-H20</f>
        <v>41233.200000000004</v>
      </c>
    </row>
    <row r="21" spans="2:9" x14ac:dyDescent="0.25">
      <c r="B21" s="148"/>
      <c r="C21" s="148" t="s">
        <v>18026</v>
      </c>
      <c r="D21" s="150">
        <v>43891</v>
      </c>
      <c r="E21" s="113" t="s">
        <v>18025</v>
      </c>
      <c r="F21" s="257" t="s">
        <v>14408</v>
      </c>
      <c r="G21" s="258">
        <v>6.79</v>
      </c>
      <c r="I21" s="160">
        <f t="shared" si="0"/>
        <v>41239.990000000005</v>
      </c>
    </row>
    <row r="22" spans="2:9" ht="19.5" x14ac:dyDescent="0.25">
      <c r="B22" s="148"/>
      <c r="C22" s="148" t="s">
        <v>18024</v>
      </c>
      <c r="D22" s="150">
        <v>43891</v>
      </c>
      <c r="E22" s="113" t="s">
        <v>18023</v>
      </c>
      <c r="F22" s="257" t="s">
        <v>14408</v>
      </c>
      <c r="G22" s="258">
        <v>6.58</v>
      </c>
      <c r="I22" s="160">
        <f t="shared" si="0"/>
        <v>41246.570000000007</v>
      </c>
    </row>
    <row r="23" spans="2:9" ht="19.5" x14ac:dyDescent="0.25">
      <c r="B23" s="148"/>
      <c r="C23" s="148" t="s">
        <v>18022</v>
      </c>
      <c r="D23" s="150">
        <v>43891</v>
      </c>
      <c r="E23" s="113" t="s">
        <v>18021</v>
      </c>
      <c r="F23" s="257" t="s">
        <v>14408</v>
      </c>
      <c r="G23" s="258">
        <v>10.33</v>
      </c>
      <c r="I23" s="160">
        <f t="shared" si="0"/>
        <v>41256.900000000009</v>
      </c>
    </row>
    <row r="24" spans="2:9" ht="19.5" x14ac:dyDescent="0.25">
      <c r="B24" s="148"/>
      <c r="C24" s="148" t="s">
        <v>18020</v>
      </c>
      <c r="D24" s="150">
        <v>43891</v>
      </c>
      <c r="E24" s="113" t="s">
        <v>18019</v>
      </c>
      <c r="F24" s="257" t="s">
        <v>14408</v>
      </c>
      <c r="G24" s="258">
        <v>5.42</v>
      </c>
      <c r="I24" s="160">
        <f t="shared" si="0"/>
        <v>41262.320000000007</v>
      </c>
    </row>
    <row r="25" spans="2:9" ht="19.5" x14ac:dyDescent="0.25">
      <c r="B25" s="148"/>
      <c r="C25" s="148" t="s">
        <v>18018</v>
      </c>
      <c r="D25" s="150">
        <v>43891</v>
      </c>
      <c r="E25" s="113" t="s">
        <v>18017</v>
      </c>
      <c r="F25" s="257" t="s">
        <v>14408</v>
      </c>
      <c r="G25" s="258">
        <v>6.35</v>
      </c>
      <c r="I25" s="160">
        <f t="shared" si="0"/>
        <v>41268.670000000006</v>
      </c>
    </row>
    <row r="26" spans="2:9" ht="19.5" x14ac:dyDescent="0.25">
      <c r="B26" s="148"/>
      <c r="C26" s="148" t="s">
        <v>18016</v>
      </c>
      <c r="D26" s="150">
        <v>43891</v>
      </c>
      <c r="E26" s="113" t="s">
        <v>18015</v>
      </c>
      <c r="F26" s="257" t="s">
        <v>14408</v>
      </c>
      <c r="G26" s="258">
        <v>10.82</v>
      </c>
      <c r="I26" s="160">
        <f t="shared" si="0"/>
        <v>41279.490000000005</v>
      </c>
    </row>
    <row r="27" spans="2:9" ht="19.5" x14ac:dyDescent="0.25">
      <c r="B27" s="148"/>
      <c r="C27" s="148" t="s">
        <v>18014</v>
      </c>
      <c r="D27" s="150">
        <v>43891</v>
      </c>
      <c r="E27" s="113" t="s">
        <v>18013</v>
      </c>
      <c r="F27" s="257" t="s">
        <v>14408</v>
      </c>
      <c r="G27" s="258">
        <v>4.53</v>
      </c>
      <c r="I27" s="160">
        <f t="shared" si="0"/>
        <v>41284.020000000004</v>
      </c>
    </row>
    <row r="28" spans="2:9" ht="19.5" x14ac:dyDescent="0.25">
      <c r="B28" s="148"/>
      <c r="C28" s="148" t="s">
        <v>18012</v>
      </c>
      <c r="D28" s="150">
        <v>43891</v>
      </c>
      <c r="E28" s="113" t="s">
        <v>18011</v>
      </c>
      <c r="F28" s="257" t="s">
        <v>14408</v>
      </c>
      <c r="G28" s="258">
        <v>4.4000000000000004</v>
      </c>
      <c r="I28" s="160">
        <f t="shared" si="0"/>
        <v>41288.420000000006</v>
      </c>
    </row>
    <row r="29" spans="2:9" ht="19.5" x14ac:dyDescent="0.25">
      <c r="B29" s="148"/>
      <c r="C29" s="148" t="s">
        <v>18010</v>
      </c>
      <c r="D29" s="150">
        <v>43891</v>
      </c>
      <c r="E29" s="113" t="s">
        <v>18009</v>
      </c>
      <c r="F29" s="257" t="s">
        <v>14408</v>
      </c>
      <c r="G29" s="258">
        <v>13.67</v>
      </c>
      <c r="I29" s="160">
        <f t="shared" si="0"/>
        <v>41302.090000000004</v>
      </c>
    </row>
    <row r="30" spans="2:9" ht="19.5" x14ac:dyDescent="0.25">
      <c r="B30" s="148"/>
      <c r="C30" s="148" t="s">
        <v>18008</v>
      </c>
      <c r="D30" s="150">
        <v>43892</v>
      </c>
      <c r="E30" s="113" t="s">
        <v>18007</v>
      </c>
      <c r="F30" s="257" t="s">
        <v>14408</v>
      </c>
      <c r="G30" s="258">
        <v>2.02</v>
      </c>
      <c r="I30" s="160">
        <f t="shared" si="0"/>
        <v>41304.11</v>
      </c>
    </row>
    <row r="31" spans="2:9" ht="19.5" x14ac:dyDescent="0.25">
      <c r="B31" s="148"/>
      <c r="C31" s="148" t="s">
        <v>18006</v>
      </c>
      <c r="D31" s="150">
        <v>43892</v>
      </c>
      <c r="E31" s="113" t="s">
        <v>18005</v>
      </c>
      <c r="F31" s="257" t="s">
        <v>14408</v>
      </c>
      <c r="G31" s="258">
        <v>2.11</v>
      </c>
      <c r="I31" s="160">
        <f t="shared" si="0"/>
        <v>41306.22</v>
      </c>
    </row>
    <row r="32" spans="2:9" ht="19.5" x14ac:dyDescent="0.25">
      <c r="B32" s="148"/>
      <c r="C32" s="148" t="s">
        <v>18004</v>
      </c>
      <c r="D32" s="150">
        <v>43892</v>
      </c>
      <c r="E32" s="113" t="s">
        <v>18003</v>
      </c>
      <c r="G32" s="160">
        <v>2.02</v>
      </c>
      <c r="I32" s="160">
        <f t="shared" si="0"/>
        <v>41308.239999999998</v>
      </c>
    </row>
    <row r="33" spans="2:9" x14ac:dyDescent="0.25">
      <c r="B33" s="148"/>
      <c r="C33" s="148" t="s">
        <v>18002</v>
      </c>
      <c r="D33" s="150">
        <v>43892</v>
      </c>
      <c r="E33" s="113" t="s">
        <v>18001</v>
      </c>
      <c r="F33" s="257" t="s">
        <v>14439</v>
      </c>
      <c r="G33" s="258">
        <v>2.5</v>
      </c>
      <c r="I33" s="160">
        <f t="shared" si="0"/>
        <v>41310.74</v>
      </c>
    </row>
    <row r="34" spans="2:9" x14ac:dyDescent="0.25">
      <c r="B34" s="148"/>
      <c r="C34" s="148" t="s">
        <v>18000</v>
      </c>
      <c r="D34" s="150">
        <v>43892</v>
      </c>
      <c r="E34" s="113" t="s">
        <v>17999</v>
      </c>
      <c r="F34" s="257" t="s">
        <v>14439</v>
      </c>
      <c r="G34" s="258">
        <v>17.09</v>
      </c>
      <c r="I34" s="160">
        <f t="shared" si="0"/>
        <v>41327.829999999994</v>
      </c>
    </row>
    <row r="35" spans="2:9" x14ac:dyDescent="0.25">
      <c r="B35" s="148"/>
      <c r="C35" s="148" t="s">
        <v>17998</v>
      </c>
      <c r="D35" s="150">
        <v>43892</v>
      </c>
      <c r="E35" s="113" t="s">
        <v>17997</v>
      </c>
      <c r="F35" s="257" t="s">
        <v>14439</v>
      </c>
      <c r="G35" s="258">
        <v>6.54</v>
      </c>
      <c r="I35" s="160">
        <f t="shared" si="0"/>
        <v>41334.369999999995</v>
      </c>
    </row>
    <row r="36" spans="2:9" ht="19.5" x14ac:dyDescent="0.25">
      <c r="B36" s="148"/>
      <c r="C36" s="148" t="s">
        <v>17996</v>
      </c>
      <c r="D36" s="150">
        <v>43892</v>
      </c>
      <c r="E36" s="113" t="s">
        <v>17995</v>
      </c>
      <c r="F36" s="257" t="s">
        <v>14439</v>
      </c>
      <c r="G36" s="258">
        <v>25.19</v>
      </c>
      <c r="I36" s="160">
        <f t="shared" si="0"/>
        <v>41359.56</v>
      </c>
    </row>
    <row r="37" spans="2:9" ht="19.5" x14ac:dyDescent="0.25">
      <c r="B37" s="148"/>
      <c r="C37" s="148" t="s">
        <v>17994</v>
      </c>
      <c r="D37" s="150">
        <v>43892</v>
      </c>
      <c r="E37" s="113" t="s">
        <v>17993</v>
      </c>
      <c r="F37" s="257" t="s">
        <v>14439</v>
      </c>
      <c r="G37" s="258">
        <v>25.14</v>
      </c>
      <c r="I37" s="160">
        <f t="shared" si="0"/>
        <v>41384.699999999997</v>
      </c>
    </row>
    <row r="38" spans="2:9" x14ac:dyDescent="0.25">
      <c r="B38" s="148"/>
      <c r="C38" s="148" t="s">
        <v>17992</v>
      </c>
      <c r="D38" s="150">
        <v>43892</v>
      </c>
      <c r="E38" s="113" t="s">
        <v>17991</v>
      </c>
      <c r="F38" s="257" t="s">
        <v>14439</v>
      </c>
      <c r="G38" s="258">
        <v>6.15</v>
      </c>
      <c r="I38" s="160">
        <f t="shared" si="0"/>
        <v>41390.85</v>
      </c>
    </row>
    <row r="39" spans="2:9" ht="19.5" x14ac:dyDescent="0.25">
      <c r="B39" s="148"/>
      <c r="C39" s="148" t="s">
        <v>17990</v>
      </c>
      <c r="D39" s="150">
        <v>43892</v>
      </c>
      <c r="E39" s="113" t="s">
        <v>17989</v>
      </c>
      <c r="F39" s="257" t="s">
        <v>14436</v>
      </c>
      <c r="G39" s="160">
        <v>17.350000000000001</v>
      </c>
      <c r="I39" s="160">
        <f t="shared" si="0"/>
        <v>41408.199999999997</v>
      </c>
    </row>
    <row r="40" spans="2:9" x14ac:dyDescent="0.25">
      <c r="B40" s="148"/>
      <c r="C40" s="148" t="s">
        <v>17988</v>
      </c>
      <c r="D40" s="150">
        <v>43892</v>
      </c>
      <c r="E40" s="113" t="s">
        <v>17987</v>
      </c>
      <c r="F40" s="257" t="s">
        <v>14439</v>
      </c>
      <c r="G40" s="258">
        <v>13.87</v>
      </c>
      <c r="I40" s="160">
        <f t="shared" si="0"/>
        <v>41422.07</v>
      </c>
    </row>
    <row r="41" spans="2:9" x14ac:dyDescent="0.25">
      <c r="B41" s="148"/>
      <c r="C41" s="148" t="s">
        <v>17986</v>
      </c>
      <c r="D41" s="150">
        <v>43892</v>
      </c>
      <c r="E41" s="113" t="s">
        <v>17985</v>
      </c>
      <c r="F41" s="257" t="s">
        <v>14437</v>
      </c>
      <c r="G41" s="160">
        <v>1.68</v>
      </c>
      <c r="I41" s="160">
        <f t="shared" si="0"/>
        <v>41423.75</v>
      </c>
    </row>
    <row r="42" spans="2:9" ht="19.5" x14ac:dyDescent="0.25">
      <c r="B42" s="148"/>
      <c r="C42" s="148" t="s">
        <v>17984</v>
      </c>
      <c r="D42" s="150">
        <v>43892</v>
      </c>
      <c r="E42" s="113" t="s">
        <v>17983</v>
      </c>
      <c r="F42" s="257" t="s">
        <v>14439</v>
      </c>
      <c r="G42" s="258">
        <v>17.62</v>
      </c>
      <c r="I42" s="160">
        <f t="shared" si="0"/>
        <v>41441.370000000003</v>
      </c>
    </row>
    <row r="43" spans="2:9" x14ac:dyDescent="0.25">
      <c r="B43" s="148"/>
      <c r="C43" s="148" t="s">
        <v>17982</v>
      </c>
      <c r="D43" s="150">
        <v>43892</v>
      </c>
      <c r="E43" s="113" t="s">
        <v>17981</v>
      </c>
      <c r="F43" s="257" t="s">
        <v>14439</v>
      </c>
      <c r="G43" s="258">
        <v>2.21</v>
      </c>
      <c r="I43" s="160">
        <f t="shared" si="0"/>
        <v>41443.58</v>
      </c>
    </row>
    <row r="44" spans="2:9" x14ac:dyDescent="0.25">
      <c r="B44" s="148"/>
      <c r="C44" s="148" t="s">
        <v>17980</v>
      </c>
      <c r="D44" s="150">
        <v>43892</v>
      </c>
      <c r="E44" s="113" t="s">
        <v>17979</v>
      </c>
      <c r="F44" s="257" t="s">
        <v>14436</v>
      </c>
      <c r="G44" s="160">
        <v>10.9</v>
      </c>
      <c r="I44" s="160">
        <f t="shared" si="0"/>
        <v>41454.480000000003</v>
      </c>
    </row>
    <row r="45" spans="2:9" x14ac:dyDescent="0.25">
      <c r="B45" s="148"/>
      <c r="C45" s="148" t="s">
        <v>17978</v>
      </c>
      <c r="D45" s="150">
        <v>43892</v>
      </c>
      <c r="E45" s="113" t="s">
        <v>17977</v>
      </c>
      <c r="F45" s="257" t="s">
        <v>14439</v>
      </c>
      <c r="G45" s="258">
        <v>2.72</v>
      </c>
      <c r="I45" s="160">
        <f t="shared" si="0"/>
        <v>41457.200000000004</v>
      </c>
    </row>
    <row r="46" spans="2:9" x14ac:dyDescent="0.25">
      <c r="B46" s="148"/>
      <c r="C46" s="148" t="s">
        <v>17976</v>
      </c>
      <c r="D46" s="150">
        <v>43892</v>
      </c>
      <c r="E46" s="113" t="s">
        <v>17975</v>
      </c>
      <c r="F46" s="257" t="s">
        <v>14439</v>
      </c>
      <c r="G46" s="258">
        <v>7.28</v>
      </c>
      <c r="I46" s="160">
        <f t="shared" si="0"/>
        <v>41464.480000000003</v>
      </c>
    </row>
    <row r="47" spans="2:9" x14ac:dyDescent="0.25">
      <c r="B47" s="148"/>
      <c r="C47" s="148" t="s">
        <v>17974</v>
      </c>
      <c r="D47" s="150">
        <v>43892</v>
      </c>
      <c r="E47" s="113" t="s">
        <v>17973</v>
      </c>
      <c r="F47" s="257" t="s">
        <v>14439</v>
      </c>
      <c r="G47" s="258">
        <v>13.89</v>
      </c>
      <c r="I47" s="160">
        <f t="shared" si="0"/>
        <v>41478.370000000003</v>
      </c>
    </row>
    <row r="48" spans="2:9" ht="19.5" x14ac:dyDescent="0.25">
      <c r="B48" s="148"/>
      <c r="C48" s="148" t="s">
        <v>17972</v>
      </c>
      <c r="D48" s="150">
        <v>43892</v>
      </c>
      <c r="E48" s="113" t="s">
        <v>17971</v>
      </c>
      <c r="F48" s="257" t="s">
        <v>14439</v>
      </c>
      <c r="G48" s="258">
        <v>5.69</v>
      </c>
      <c r="I48" s="160">
        <f t="shared" si="0"/>
        <v>41484.060000000005</v>
      </c>
    </row>
    <row r="49" spans="2:9" ht="19.5" x14ac:dyDescent="0.25">
      <c r="B49" s="148"/>
      <c r="C49" s="148" t="s">
        <v>17970</v>
      </c>
      <c r="D49" s="150">
        <v>43892</v>
      </c>
      <c r="E49" s="113" t="s">
        <v>17969</v>
      </c>
      <c r="F49" s="257" t="s">
        <v>14439</v>
      </c>
      <c r="G49" s="258">
        <v>3.59</v>
      </c>
      <c r="I49" s="160">
        <f t="shared" si="0"/>
        <v>41487.65</v>
      </c>
    </row>
    <row r="50" spans="2:9" ht="19.5" x14ac:dyDescent="0.25">
      <c r="B50" s="148"/>
      <c r="C50" s="148" t="s">
        <v>17968</v>
      </c>
      <c r="D50" s="150">
        <v>43892</v>
      </c>
      <c r="E50" s="113" t="s">
        <v>17967</v>
      </c>
      <c r="F50" s="257" t="s">
        <v>14439</v>
      </c>
      <c r="G50" s="258">
        <v>10.36</v>
      </c>
      <c r="I50" s="160">
        <f t="shared" si="0"/>
        <v>41498.01</v>
      </c>
    </row>
    <row r="51" spans="2:9" ht="19.5" x14ac:dyDescent="0.25">
      <c r="B51" s="148"/>
      <c r="C51" s="148" t="s">
        <v>17966</v>
      </c>
      <c r="D51" s="150">
        <v>43892</v>
      </c>
      <c r="E51" s="113" t="s">
        <v>17965</v>
      </c>
      <c r="F51" s="257" t="s">
        <v>14439</v>
      </c>
      <c r="G51" s="258">
        <v>2.15</v>
      </c>
      <c r="I51" s="160">
        <f t="shared" si="0"/>
        <v>41500.160000000003</v>
      </c>
    </row>
    <row r="52" spans="2:9" ht="19.5" x14ac:dyDescent="0.25">
      <c r="B52" s="148"/>
      <c r="C52" s="148" t="s">
        <v>17964</v>
      </c>
      <c r="D52" s="150">
        <v>43892</v>
      </c>
      <c r="E52" s="113" t="s">
        <v>17963</v>
      </c>
      <c r="F52" s="257" t="s">
        <v>14436</v>
      </c>
      <c r="G52" s="160">
        <v>22.75</v>
      </c>
      <c r="I52" s="160">
        <f t="shared" si="0"/>
        <v>41522.910000000003</v>
      </c>
    </row>
    <row r="53" spans="2:9" ht="19.5" x14ac:dyDescent="0.25">
      <c r="B53" s="148"/>
      <c r="C53" s="148" t="s">
        <v>17962</v>
      </c>
      <c r="D53" s="150">
        <v>43892</v>
      </c>
      <c r="E53" s="113" t="s">
        <v>17961</v>
      </c>
      <c r="F53" s="257" t="s">
        <v>14408</v>
      </c>
      <c r="G53" s="258">
        <v>3.43</v>
      </c>
      <c r="I53" s="160">
        <f t="shared" si="0"/>
        <v>41526.340000000004</v>
      </c>
    </row>
    <row r="54" spans="2:9" ht="19.5" x14ac:dyDescent="0.25">
      <c r="B54" s="148"/>
      <c r="C54" s="148" t="s">
        <v>17960</v>
      </c>
      <c r="D54" s="150">
        <v>43892</v>
      </c>
      <c r="E54" s="113" t="s">
        <v>17959</v>
      </c>
      <c r="F54" s="257" t="s">
        <v>14408</v>
      </c>
      <c r="G54" s="258">
        <v>8.2799999999999994</v>
      </c>
      <c r="I54" s="160">
        <f t="shared" si="0"/>
        <v>41534.620000000003</v>
      </c>
    </row>
    <row r="55" spans="2:9" ht="19.5" x14ac:dyDescent="0.25">
      <c r="B55" s="148"/>
      <c r="C55" s="148" t="s">
        <v>17958</v>
      </c>
      <c r="D55" s="150">
        <v>43892</v>
      </c>
      <c r="E55" s="113" t="s">
        <v>17957</v>
      </c>
      <c r="F55" s="257" t="s">
        <v>14408</v>
      </c>
      <c r="G55" s="258">
        <v>4.55</v>
      </c>
      <c r="I55" s="160">
        <f t="shared" si="0"/>
        <v>41539.170000000006</v>
      </c>
    </row>
    <row r="56" spans="2:9" x14ac:dyDescent="0.25">
      <c r="B56" s="148"/>
      <c r="C56" s="148" t="s">
        <v>17956</v>
      </c>
      <c r="D56" s="150">
        <v>43892</v>
      </c>
      <c r="E56" s="113" t="s">
        <v>17955</v>
      </c>
      <c r="F56" s="257" t="s">
        <v>14408</v>
      </c>
      <c r="G56" s="258">
        <v>1.38</v>
      </c>
      <c r="I56" s="160">
        <f t="shared" si="0"/>
        <v>41540.550000000003</v>
      </c>
    </row>
    <row r="57" spans="2:9" x14ac:dyDescent="0.25">
      <c r="B57" s="148"/>
      <c r="C57" s="148" t="s">
        <v>17954</v>
      </c>
      <c r="D57" s="150">
        <v>43892</v>
      </c>
      <c r="E57" s="113" t="s">
        <v>17953</v>
      </c>
      <c r="F57" s="257" t="s">
        <v>14408</v>
      </c>
      <c r="G57" s="258">
        <v>7.15</v>
      </c>
      <c r="I57" s="160">
        <f t="shared" si="0"/>
        <v>41547.700000000004</v>
      </c>
    </row>
    <row r="58" spans="2:9" ht="19.5" x14ac:dyDescent="0.25">
      <c r="B58" s="148"/>
      <c r="C58" s="148" t="s">
        <v>17952</v>
      </c>
      <c r="D58" s="150">
        <v>43892</v>
      </c>
      <c r="E58" s="113" t="s">
        <v>17951</v>
      </c>
      <c r="F58" s="257" t="s">
        <v>14408</v>
      </c>
      <c r="G58" s="258">
        <v>7.84</v>
      </c>
      <c r="I58" s="160">
        <f t="shared" si="0"/>
        <v>41555.54</v>
      </c>
    </row>
    <row r="59" spans="2:9" ht="19.5" x14ac:dyDescent="0.25">
      <c r="B59" s="148"/>
      <c r="C59" s="148" t="s">
        <v>17950</v>
      </c>
      <c r="D59" s="150">
        <v>43892</v>
      </c>
      <c r="E59" s="113" t="s">
        <v>17949</v>
      </c>
      <c r="F59" s="257" t="s">
        <v>14408</v>
      </c>
      <c r="G59" s="258">
        <v>1.68</v>
      </c>
      <c r="I59" s="160">
        <f t="shared" si="0"/>
        <v>41557.22</v>
      </c>
    </row>
    <row r="60" spans="2:9" x14ac:dyDescent="0.25">
      <c r="B60" s="148"/>
      <c r="C60" s="148" t="s">
        <v>17948</v>
      </c>
      <c r="D60" s="150">
        <v>43892</v>
      </c>
      <c r="E60" s="113" t="s">
        <v>17947</v>
      </c>
      <c r="F60" s="257" t="s">
        <v>14408</v>
      </c>
      <c r="G60" s="258">
        <v>5.22</v>
      </c>
      <c r="I60" s="160">
        <f t="shared" si="0"/>
        <v>41562.44</v>
      </c>
    </row>
    <row r="61" spans="2:9" x14ac:dyDescent="0.25">
      <c r="B61" s="148"/>
      <c r="C61" s="148" t="s">
        <v>17946</v>
      </c>
      <c r="D61" s="150">
        <v>43892</v>
      </c>
      <c r="E61" s="113" t="s">
        <v>17945</v>
      </c>
      <c r="F61" s="257" t="s">
        <v>14408</v>
      </c>
      <c r="G61" s="258">
        <v>1.68</v>
      </c>
      <c r="I61" s="160">
        <f t="shared" si="0"/>
        <v>41564.120000000003</v>
      </c>
    </row>
    <row r="62" spans="2:9" x14ac:dyDescent="0.25">
      <c r="B62" s="148"/>
      <c r="C62" s="148" t="s">
        <v>17944</v>
      </c>
      <c r="D62" s="150">
        <v>43892</v>
      </c>
      <c r="E62" s="113" t="s">
        <v>17943</v>
      </c>
      <c r="F62" s="257" t="s">
        <v>14408</v>
      </c>
      <c r="G62" s="258">
        <v>8.4600000000000009</v>
      </c>
      <c r="I62" s="160">
        <f t="shared" si="0"/>
        <v>41572.58</v>
      </c>
    </row>
    <row r="63" spans="2:9" x14ac:dyDescent="0.25">
      <c r="B63" s="148"/>
      <c r="C63" s="148" t="s">
        <v>17942</v>
      </c>
      <c r="D63" s="150">
        <v>43892</v>
      </c>
      <c r="E63" s="113" t="s">
        <v>17941</v>
      </c>
      <c r="F63" s="257" t="s">
        <v>14408</v>
      </c>
      <c r="G63" s="258">
        <v>6.43</v>
      </c>
      <c r="I63" s="160">
        <f t="shared" si="0"/>
        <v>41579.01</v>
      </c>
    </row>
    <row r="64" spans="2:9" x14ac:dyDescent="0.25">
      <c r="B64" s="148"/>
      <c r="C64" s="148" t="s">
        <v>17940</v>
      </c>
      <c r="D64" s="150">
        <v>43892</v>
      </c>
      <c r="E64" s="113" t="s">
        <v>17939</v>
      </c>
      <c r="F64" s="257" t="s">
        <v>14408</v>
      </c>
      <c r="G64" s="258">
        <v>2.21</v>
      </c>
      <c r="I64" s="160">
        <f t="shared" si="0"/>
        <v>41581.22</v>
      </c>
    </row>
    <row r="65" spans="2:9" x14ac:dyDescent="0.25">
      <c r="B65" s="148"/>
      <c r="C65" s="148" t="s">
        <v>17938</v>
      </c>
      <c r="D65" s="150">
        <v>43892</v>
      </c>
      <c r="E65" s="113" t="s">
        <v>17937</v>
      </c>
      <c r="F65" s="257" t="s">
        <v>14408</v>
      </c>
      <c r="G65" s="258">
        <v>0.84</v>
      </c>
      <c r="I65" s="160">
        <f t="shared" si="0"/>
        <v>41582.06</v>
      </c>
    </row>
    <row r="66" spans="2:9" x14ac:dyDescent="0.25">
      <c r="B66" s="148"/>
      <c r="C66" s="148" t="s">
        <v>17936</v>
      </c>
      <c r="D66" s="150">
        <v>43892</v>
      </c>
      <c r="E66" s="113" t="s">
        <v>17935</v>
      </c>
      <c r="F66" s="257" t="s">
        <v>14408</v>
      </c>
      <c r="G66" s="258">
        <v>0.44</v>
      </c>
      <c r="I66" s="160">
        <f t="shared" si="0"/>
        <v>41582.5</v>
      </c>
    </row>
    <row r="67" spans="2:9" ht="19.5" x14ac:dyDescent="0.25">
      <c r="B67" s="148"/>
      <c r="C67" s="148" t="s">
        <v>17934</v>
      </c>
      <c r="D67" s="150">
        <v>43892</v>
      </c>
      <c r="E67" s="113" t="s">
        <v>17933</v>
      </c>
      <c r="F67" s="257" t="s">
        <v>14408</v>
      </c>
      <c r="G67" s="258">
        <v>4.04</v>
      </c>
      <c r="I67" s="160">
        <f t="shared" si="0"/>
        <v>41586.54</v>
      </c>
    </row>
    <row r="68" spans="2:9" x14ac:dyDescent="0.25">
      <c r="B68" s="148"/>
      <c r="C68" s="148" t="s">
        <v>17932</v>
      </c>
      <c r="D68" s="150">
        <v>43892</v>
      </c>
      <c r="E68" s="113" t="s">
        <v>17931</v>
      </c>
      <c r="F68" s="257" t="s">
        <v>14408</v>
      </c>
      <c r="G68" s="258">
        <v>1.68</v>
      </c>
      <c r="I68" s="160">
        <f t="shared" si="0"/>
        <v>41588.22</v>
      </c>
    </row>
    <row r="69" spans="2:9" x14ac:dyDescent="0.25">
      <c r="B69" s="148"/>
      <c r="C69" s="148" t="s">
        <v>17930</v>
      </c>
      <c r="D69" s="150">
        <v>43892</v>
      </c>
      <c r="E69" s="113" t="s">
        <v>17929</v>
      </c>
      <c r="F69" s="257" t="s">
        <v>14408</v>
      </c>
      <c r="G69" s="258">
        <v>1.72</v>
      </c>
      <c r="I69" s="160">
        <f t="shared" si="0"/>
        <v>41589.94</v>
      </c>
    </row>
    <row r="70" spans="2:9" ht="19.5" x14ac:dyDescent="0.25">
      <c r="B70" s="148"/>
      <c r="C70" s="148" t="s">
        <v>17928</v>
      </c>
      <c r="D70" s="150">
        <v>43892</v>
      </c>
      <c r="E70" s="113" t="s">
        <v>17927</v>
      </c>
      <c r="F70" s="257" t="s">
        <v>14408</v>
      </c>
      <c r="G70" s="258">
        <v>4.8899999999999997</v>
      </c>
      <c r="I70" s="160">
        <f t="shared" si="0"/>
        <v>41594.83</v>
      </c>
    </row>
    <row r="71" spans="2:9" x14ac:dyDescent="0.25">
      <c r="B71" s="148"/>
      <c r="C71" s="148" t="s">
        <v>17926</v>
      </c>
      <c r="D71" s="150">
        <v>43892</v>
      </c>
      <c r="E71" s="113" t="s">
        <v>17925</v>
      </c>
      <c r="F71" s="257" t="s">
        <v>14408</v>
      </c>
      <c r="G71" s="258">
        <v>12.35</v>
      </c>
      <c r="I71" s="160">
        <f t="shared" si="0"/>
        <v>41607.18</v>
      </c>
    </row>
    <row r="72" spans="2:9" ht="19.5" x14ac:dyDescent="0.25">
      <c r="B72" s="148"/>
      <c r="C72" s="148" t="s">
        <v>17924</v>
      </c>
      <c r="D72" s="150">
        <v>43892</v>
      </c>
      <c r="E72" s="113" t="s">
        <v>17923</v>
      </c>
      <c r="F72" s="257" t="s">
        <v>14408</v>
      </c>
      <c r="G72" s="258">
        <v>5.57</v>
      </c>
      <c r="I72" s="160">
        <f t="shared" si="0"/>
        <v>41612.75</v>
      </c>
    </row>
    <row r="73" spans="2:9" x14ac:dyDescent="0.25">
      <c r="B73" s="148"/>
      <c r="C73" s="148" t="s">
        <v>17922</v>
      </c>
      <c r="D73" s="150">
        <v>43892</v>
      </c>
      <c r="E73" s="113" t="s">
        <v>17921</v>
      </c>
      <c r="F73" s="257" t="s">
        <v>14408</v>
      </c>
      <c r="G73" s="258">
        <v>5.17</v>
      </c>
      <c r="I73" s="160">
        <f t="shared" si="0"/>
        <v>41617.919999999998</v>
      </c>
    </row>
    <row r="74" spans="2:9" ht="19.5" x14ac:dyDescent="0.25">
      <c r="B74" s="148"/>
      <c r="C74" s="148" t="s">
        <v>17920</v>
      </c>
      <c r="D74" s="150">
        <v>43892</v>
      </c>
      <c r="E74" s="113" t="s">
        <v>17919</v>
      </c>
      <c r="F74" s="257" t="s">
        <v>14408</v>
      </c>
      <c r="G74" s="258">
        <v>5.05</v>
      </c>
      <c r="I74" s="160">
        <f t="shared" si="0"/>
        <v>41622.97</v>
      </c>
    </row>
    <row r="75" spans="2:9" x14ac:dyDescent="0.25">
      <c r="B75" s="148"/>
      <c r="C75" s="148" t="s">
        <v>17918</v>
      </c>
      <c r="D75" s="150">
        <v>43892</v>
      </c>
      <c r="E75" s="113" t="s">
        <v>17917</v>
      </c>
      <c r="F75" s="257" t="s">
        <v>14408</v>
      </c>
      <c r="G75" s="258">
        <v>8.3800000000000008</v>
      </c>
      <c r="I75" s="160">
        <f t="shared" si="0"/>
        <v>41631.35</v>
      </c>
    </row>
    <row r="76" spans="2:9" ht="19.5" x14ac:dyDescent="0.25">
      <c r="B76" s="148"/>
      <c r="C76" s="148" t="s">
        <v>17916</v>
      </c>
      <c r="D76" s="150">
        <v>43892</v>
      </c>
      <c r="E76" s="113" t="s">
        <v>17915</v>
      </c>
      <c r="F76" s="257" t="s">
        <v>14408</v>
      </c>
      <c r="G76" s="258">
        <v>15.3</v>
      </c>
      <c r="I76" s="160">
        <f t="shared" si="0"/>
        <v>41646.65</v>
      </c>
    </row>
    <row r="77" spans="2:9" x14ac:dyDescent="0.25">
      <c r="B77" s="148"/>
      <c r="C77" s="148" t="s">
        <v>17914</v>
      </c>
      <c r="D77" s="150">
        <v>43892</v>
      </c>
      <c r="E77" s="113" t="s">
        <v>17913</v>
      </c>
      <c r="F77" s="257" t="s">
        <v>14408</v>
      </c>
      <c r="G77" s="258">
        <v>8.25</v>
      </c>
      <c r="I77" s="160">
        <f t="shared" si="0"/>
        <v>41654.9</v>
      </c>
    </row>
    <row r="78" spans="2:9" ht="19.5" x14ac:dyDescent="0.25">
      <c r="B78" s="148"/>
      <c r="C78" s="148" t="s">
        <v>17912</v>
      </c>
      <c r="D78" s="150">
        <v>43892</v>
      </c>
      <c r="E78" s="113" t="s">
        <v>17911</v>
      </c>
      <c r="F78" s="257" t="s">
        <v>14408</v>
      </c>
      <c r="G78" s="258">
        <v>3.36</v>
      </c>
      <c r="I78" s="160">
        <f t="shared" si="0"/>
        <v>41658.26</v>
      </c>
    </row>
    <row r="79" spans="2:9" ht="19.5" x14ac:dyDescent="0.25">
      <c r="B79" s="148"/>
      <c r="C79" s="148" t="s">
        <v>17910</v>
      </c>
      <c r="D79" s="150">
        <v>43892</v>
      </c>
      <c r="E79" s="113" t="s">
        <v>17909</v>
      </c>
      <c r="F79" s="257" t="s">
        <v>14408</v>
      </c>
      <c r="G79" s="258">
        <v>5.08</v>
      </c>
      <c r="I79" s="160">
        <f t="shared" si="0"/>
        <v>41663.340000000004</v>
      </c>
    </row>
    <row r="80" spans="2:9" x14ac:dyDescent="0.25">
      <c r="B80" s="148"/>
      <c r="C80" s="148" t="s">
        <v>17908</v>
      </c>
      <c r="D80" s="150">
        <v>43892</v>
      </c>
      <c r="E80" s="113" t="s">
        <v>17907</v>
      </c>
      <c r="F80" s="257" t="s">
        <v>14408</v>
      </c>
      <c r="G80" s="258">
        <v>5.1100000000000003</v>
      </c>
      <c r="I80" s="160">
        <f t="shared" si="0"/>
        <v>41668.450000000004</v>
      </c>
    </row>
    <row r="81" spans="2:9" ht="19.5" x14ac:dyDescent="0.25">
      <c r="B81" s="148"/>
      <c r="C81" s="148" t="s">
        <v>17906</v>
      </c>
      <c r="D81" s="150">
        <v>43892</v>
      </c>
      <c r="E81" s="113" t="s">
        <v>17905</v>
      </c>
      <c r="F81" s="257" t="s">
        <v>14408</v>
      </c>
      <c r="G81" s="258">
        <v>10.08</v>
      </c>
      <c r="I81" s="160">
        <f t="shared" si="0"/>
        <v>41678.530000000006</v>
      </c>
    </row>
    <row r="82" spans="2:9" x14ac:dyDescent="0.25">
      <c r="B82" s="148"/>
      <c r="C82" s="148" t="s">
        <v>17904</v>
      </c>
      <c r="D82" s="150">
        <v>43892</v>
      </c>
      <c r="E82" s="113" t="s">
        <v>17903</v>
      </c>
      <c r="F82" s="257" t="s">
        <v>14408</v>
      </c>
      <c r="G82" s="258">
        <v>2.33</v>
      </c>
      <c r="I82" s="160">
        <f t="shared" si="0"/>
        <v>41680.860000000008</v>
      </c>
    </row>
    <row r="83" spans="2:9" ht="19.5" x14ac:dyDescent="0.25">
      <c r="B83" s="148"/>
      <c r="C83" s="148" t="s">
        <v>17902</v>
      </c>
      <c r="D83" s="150">
        <v>43892</v>
      </c>
      <c r="E83" s="113" t="s">
        <v>17901</v>
      </c>
      <c r="F83" s="257" t="s">
        <v>14408</v>
      </c>
      <c r="G83" s="258">
        <v>5.1100000000000003</v>
      </c>
      <c r="I83" s="160">
        <f t="shared" si="0"/>
        <v>41685.970000000008</v>
      </c>
    </row>
    <row r="84" spans="2:9" x14ac:dyDescent="0.25">
      <c r="B84" s="148"/>
      <c r="C84" s="148" t="s">
        <v>17900</v>
      </c>
      <c r="D84" s="150">
        <v>43892</v>
      </c>
      <c r="E84" s="113" t="s">
        <v>17899</v>
      </c>
      <c r="F84" s="257" t="s">
        <v>14408</v>
      </c>
      <c r="G84" s="258">
        <v>1.83</v>
      </c>
      <c r="I84" s="160">
        <f t="shared" ref="I84:I147" si="1">+I83+G84-H84</f>
        <v>41687.80000000001</v>
      </c>
    </row>
    <row r="85" spans="2:9" ht="19.5" x14ac:dyDescent="0.25">
      <c r="B85" s="148"/>
      <c r="C85" s="148" t="s">
        <v>17898</v>
      </c>
      <c r="D85" s="150">
        <v>43892</v>
      </c>
      <c r="E85" s="113" t="s">
        <v>17897</v>
      </c>
      <c r="F85" s="257" t="s">
        <v>14408</v>
      </c>
      <c r="G85" s="258">
        <v>3.48</v>
      </c>
      <c r="I85" s="160">
        <f t="shared" si="1"/>
        <v>41691.280000000013</v>
      </c>
    </row>
    <row r="86" spans="2:9" x14ac:dyDescent="0.25">
      <c r="B86" s="148"/>
      <c r="C86" s="148" t="s">
        <v>17896</v>
      </c>
      <c r="D86" s="150">
        <v>43892</v>
      </c>
      <c r="E86" s="113" t="s">
        <v>17895</v>
      </c>
      <c r="F86" s="257" t="s">
        <v>14408</v>
      </c>
      <c r="G86" s="258">
        <v>1.68</v>
      </c>
      <c r="I86" s="160">
        <f t="shared" si="1"/>
        <v>41692.960000000014</v>
      </c>
    </row>
    <row r="87" spans="2:9" ht="19.5" x14ac:dyDescent="0.25">
      <c r="B87" s="148"/>
      <c r="C87" s="148" t="s">
        <v>17894</v>
      </c>
      <c r="D87" s="150">
        <v>43892</v>
      </c>
      <c r="E87" s="113" t="s">
        <v>17893</v>
      </c>
      <c r="F87" s="257" t="s">
        <v>14408</v>
      </c>
      <c r="G87" s="258">
        <v>12.87</v>
      </c>
      <c r="I87" s="160">
        <f t="shared" si="1"/>
        <v>41705.830000000016</v>
      </c>
    </row>
    <row r="88" spans="2:9" ht="19.5" x14ac:dyDescent="0.25">
      <c r="B88" s="148"/>
      <c r="C88" s="148" t="s">
        <v>17892</v>
      </c>
      <c r="D88" s="150">
        <v>43892</v>
      </c>
      <c r="E88" s="113" t="s">
        <v>17891</v>
      </c>
      <c r="F88" s="257" t="s">
        <v>14408</v>
      </c>
      <c r="G88" s="258">
        <v>10.49</v>
      </c>
      <c r="I88" s="160">
        <f t="shared" si="1"/>
        <v>41716.320000000014</v>
      </c>
    </row>
    <row r="89" spans="2:9" ht="19.5" x14ac:dyDescent="0.25">
      <c r="B89" s="148"/>
      <c r="C89" s="148" t="s">
        <v>17890</v>
      </c>
      <c r="D89" s="150">
        <v>43892</v>
      </c>
      <c r="E89" s="113" t="s">
        <v>17889</v>
      </c>
      <c r="F89" s="257" t="s">
        <v>14408</v>
      </c>
      <c r="G89" s="258">
        <v>4.72</v>
      </c>
      <c r="I89" s="160">
        <f t="shared" si="1"/>
        <v>41721.040000000015</v>
      </c>
    </row>
    <row r="90" spans="2:9" ht="19.5" x14ac:dyDescent="0.25">
      <c r="B90" s="148"/>
      <c r="C90" s="148" t="s">
        <v>17888</v>
      </c>
      <c r="D90" s="150">
        <v>43892</v>
      </c>
      <c r="E90" s="113" t="s">
        <v>17887</v>
      </c>
      <c r="F90" s="257" t="s">
        <v>14408</v>
      </c>
      <c r="G90" s="258">
        <v>3.37</v>
      </c>
      <c r="I90" s="160">
        <f t="shared" si="1"/>
        <v>41724.410000000018</v>
      </c>
    </row>
    <row r="91" spans="2:9" x14ac:dyDescent="0.25">
      <c r="B91" s="148"/>
      <c r="C91" s="148" t="s">
        <v>17886</v>
      </c>
      <c r="D91" s="150">
        <v>43892</v>
      </c>
      <c r="E91" s="113" t="s">
        <v>17885</v>
      </c>
      <c r="F91" s="257" t="s">
        <v>14408</v>
      </c>
      <c r="G91" s="258">
        <v>6.31</v>
      </c>
      <c r="I91" s="160">
        <f t="shared" si="1"/>
        <v>41730.720000000016</v>
      </c>
    </row>
    <row r="92" spans="2:9" x14ac:dyDescent="0.25">
      <c r="B92" s="148"/>
      <c r="C92" s="148" t="s">
        <v>17884</v>
      </c>
      <c r="D92" s="150">
        <v>43892</v>
      </c>
      <c r="E92" s="113" t="s">
        <v>17883</v>
      </c>
      <c r="F92" s="257" t="s">
        <v>14408</v>
      </c>
      <c r="G92" s="258">
        <v>10.17</v>
      </c>
      <c r="I92" s="160">
        <f t="shared" si="1"/>
        <v>41740.890000000014</v>
      </c>
    </row>
    <row r="93" spans="2:9" ht="19.5" x14ac:dyDescent="0.25">
      <c r="B93" s="148"/>
      <c r="C93" s="148" t="s">
        <v>17882</v>
      </c>
      <c r="D93" s="150">
        <v>43892</v>
      </c>
      <c r="E93" s="113" t="s">
        <v>17881</v>
      </c>
      <c r="F93" s="257" t="s">
        <v>14408</v>
      </c>
      <c r="G93" s="258">
        <v>6.73</v>
      </c>
      <c r="I93" s="160">
        <f t="shared" si="1"/>
        <v>41747.620000000017</v>
      </c>
    </row>
    <row r="94" spans="2:9" ht="19.5" x14ac:dyDescent="0.25">
      <c r="B94" s="148"/>
      <c r="C94" s="148" t="s">
        <v>17880</v>
      </c>
      <c r="D94" s="150">
        <v>43892</v>
      </c>
      <c r="E94" s="113" t="s">
        <v>17879</v>
      </c>
      <c r="F94" s="257" t="s">
        <v>14408</v>
      </c>
      <c r="G94" s="258">
        <v>1.68</v>
      </c>
      <c r="I94" s="160">
        <f t="shared" si="1"/>
        <v>41749.300000000017</v>
      </c>
    </row>
    <row r="95" spans="2:9" x14ac:dyDescent="0.25">
      <c r="B95" s="148"/>
      <c r="C95" s="148" t="s">
        <v>17878</v>
      </c>
      <c r="D95" s="150">
        <v>43892</v>
      </c>
      <c r="E95" s="113" t="s">
        <v>17877</v>
      </c>
      <c r="F95" s="257" t="s">
        <v>14408</v>
      </c>
      <c r="G95" s="258">
        <v>3.57</v>
      </c>
      <c r="I95" s="160">
        <f t="shared" si="1"/>
        <v>41752.870000000017</v>
      </c>
    </row>
    <row r="96" spans="2:9" x14ac:dyDescent="0.25">
      <c r="B96" s="148"/>
      <c r="C96" s="148" t="s">
        <v>17876</v>
      </c>
      <c r="D96" s="150">
        <v>43892</v>
      </c>
      <c r="E96" s="113" t="s">
        <v>17875</v>
      </c>
      <c r="F96" s="257">
        <v>1</v>
      </c>
      <c r="G96" s="255">
        <v>8.68</v>
      </c>
      <c r="I96" s="160">
        <f t="shared" si="1"/>
        <v>41761.550000000017</v>
      </c>
    </row>
    <row r="97" spans="2:9" ht="19.5" x14ac:dyDescent="0.25">
      <c r="B97" s="148"/>
      <c r="C97" s="148" t="s">
        <v>17874</v>
      </c>
      <c r="D97" s="150">
        <v>43892</v>
      </c>
      <c r="E97" s="113" t="s">
        <v>17873</v>
      </c>
      <c r="F97" s="257">
        <v>1</v>
      </c>
      <c r="G97" s="255">
        <v>1.03</v>
      </c>
      <c r="I97" s="160">
        <f t="shared" si="1"/>
        <v>41762.580000000016</v>
      </c>
    </row>
    <row r="98" spans="2:9" ht="19.5" x14ac:dyDescent="0.25">
      <c r="B98" s="148"/>
      <c r="C98" s="148" t="s">
        <v>17872</v>
      </c>
      <c r="D98" s="150">
        <v>43892</v>
      </c>
      <c r="E98" s="113" t="s">
        <v>17871</v>
      </c>
      <c r="F98" s="257">
        <v>1</v>
      </c>
      <c r="G98" s="255">
        <v>12.63</v>
      </c>
      <c r="I98" s="160">
        <f t="shared" si="1"/>
        <v>41775.210000000014</v>
      </c>
    </row>
    <row r="99" spans="2:9" ht="19.5" x14ac:dyDescent="0.25">
      <c r="B99" s="148"/>
      <c r="C99" s="148" t="s">
        <v>17870</v>
      </c>
      <c r="D99" s="150">
        <v>43892</v>
      </c>
      <c r="E99" s="113" t="s">
        <v>17869</v>
      </c>
      <c r="F99" s="257">
        <v>1</v>
      </c>
      <c r="G99" s="255">
        <v>7.95</v>
      </c>
      <c r="I99" s="160">
        <f t="shared" si="1"/>
        <v>41783.160000000011</v>
      </c>
    </row>
    <row r="100" spans="2:9" x14ac:dyDescent="0.25">
      <c r="B100" s="148"/>
      <c r="C100" s="148" t="s">
        <v>17868</v>
      </c>
      <c r="D100" s="150">
        <v>43892</v>
      </c>
      <c r="E100" s="113" t="s">
        <v>17867</v>
      </c>
      <c r="F100" s="257">
        <v>1</v>
      </c>
      <c r="G100" s="255">
        <v>8.3800000000000008</v>
      </c>
      <c r="I100" s="160">
        <f t="shared" si="1"/>
        <v>41791.540000000008</v>
      </c>
    </row>
    <row r="101" spans="2:9" ht="19.5" x14ac:dyDescent="0.25">
      <c r="B101" s="148"/>
      <c r="C101" s="148" t="s">
        <v>17866</v>
      </c>
      <c r="D101" s="150">
        <v>43892</v>
      </c>
      <c r="E101" s="113" t="s">
        <v>17865</v>
      </c>
      <c r="F101" s="257">
        <v>1</v>
      </c>
      <c r="G101" s="255">
        <v>5.99</v>
      </c>
      <c r="I101" s="160">
        <f t="shared" si="1"/>
        <v>41797.530000000006</v>
      </c>
    </row>
    <row r="102" spans="2:9" ht="19.5" x14ac:dyDescent="0.25">
      <c r="B102" s="148"/>
      <c r="C102" s="148" t="s">
        <v>17864</v>
      </c>
      <c r="D102" s="150">
        <v>43892</v>
      </c>
      <c r="E102" s="113" t="s">
        <v>17863</v>
      </c>
      <c r="F102" s="257">
        <v>1</v>
      </c>
      <c r="G102" s="255">
        <v>15.64</v>
      </c>
      <c r="I102" s="160">
        <f t="shared" si="1"/>
        <v>41813.170000000006</v>
      </c>
    </row>
    <row r="103" spans="2:9" x14ac:dyDescent="0.25">
      <c r="B103" s="148"/>
      <c r="C103" s="148" t="s">
        <v>17862</v>
      </c>
      <c r="D103" s="150">
        <v>43892</v>
      </c>
      <c r="E103" s="113" t="s">
        <v>17861</v>
      </c>
      <c r="F103" s="257">
        <v>1</v>
      </c>
      <c r="G103" s="255">
        <v>3.21</v>
      </c>
      <c r="I103" s="160">
        <f t="shared" si="1"/>
        <v>41816.380000000005</v>
      </c>
    </row>
    <row r="104" spans="2:9" ht="19.5" x14ac:dyDescent="0.25">
      <c r="B104" s="148"/>
      <c r="C104" s="148" t="s">
        <v>17860</v>
      </c>
      <c r="D104" s="150">
        <v>43892</v>
      </c>
      <c r="E104" s="113" t="s">
        <v>17859</v>
      </c>
      <c r="F104" s="257">
        <v>1</v>
      </c>
      <c r="G104" s="255">
        <v>3.77</v>
      </c>
      <c r="I104" s="160">
        <f t="shared" si="1"/>
        <v>41820.15</v>
      </c>
    </row>
    <row r="105" spans="2:9" ht="19.5" x14ac:dyDescent="0.25">
      <c r="B105" s="148"/>
      <c r="C105" s="148" t="s">
        <v>17858</v>
      </c>
      <c r="D105" s="150">
        <v>43892</v>
      </c>
      <c r="E105" s="113" t="s">
        <v>17857</v>
      </c>
      <c r="F105" s="257">
        <v>1</v>
      </c>
      <c r="G105" s="255">
        <v>17.62</v>
      </c>
      <c r="I105" s="160">
        <f t="shared" si="1"/>
        <v>41837.770000000004</v>
      </c>
    </row>
    <row r="106" spans="2:9" ht="19.5" x14ac:dyDescent="0.25">
      <c r="B106" s="148"/>
      <c r="C106" s="148" t="s">
        <v>17856</v>
      </c>
      <c r="D106" s="150">
        <v>43892</v>
      </c>
      <c r="E106" s="113" t="s">
        <v>17855</v>
      </c>
      <c r="F106" s="257">
        <v>1</v>
      </c>
      <c r="G106" s="255">
        <v>25.14</v>
      </c>
      <c r="I106" s="160">
        <f t="shared" si="1"/>
        <v>41862.910000000003</v>
      </c>
    </row>
    <row r="107" spans="2:9" ht="19.5" x14ac:dyDescent="0.25">
      <c r="B107" s="148"/>
      <c r="C107" s="148" t="s">
        <v>17854</v>
      </c>
      <c r="D107" s="150">
        <v>43892</v>
      </c>
      <c r="E107" s="113" t="s">
        <v>17853</v>
      </c>
      <c r="F107" s="257">
        <v>1</v>
      </c>
      <c r="G107" s="255">
        <v>16.760000000000002</v>
      </c>
      <c r="I107" s="160">
        <f t="shared" si="1"/>
        <v>41879.670000000006</v>
      </c>
    </row>
    <row r="108" spans="2:9" ht="19.5" x14ac:dyDescent="0.25">
      <c r="B108" s="148"/>
      <c r="C108" s="148" t="s">
        <v>17852</v>
      </c>
      <c r="D108" s="150">
        <v>43892</v>
      </c>
      <c r="E108" s="113" t="s">
        <v>17851</v>
      </c>
      <c r="F108" s="257">
        <v>1</v>
      </c>
      <c r="G108" s="255">
        <v>17.86</v>
      </c>
      <c r="I108" s="160">
        <f t="shared" si="1"/>
        <v>41897.530000000006</v>
      </c>
    </row>
    <row r="109" spans="2:9" ht="19.5" x14ac:dyDescent="0.25">
      <c r="B109" s="148"/>
      <c r="C109" s="148" t="s">
        <v>17850</v>
      </c>
      <c r="D109" s="150">
        <v>43892</v>
      </c>
      <c r="E109" s="113" t="s">
        <v>17849</v>
      </c>
      <c r="F109" s="257">
        <v>1</v>
      </c>
      <c r="G109" s="255">
        <v>3.1</v>
      </c>
      <c r="I109" s="160">
        <f t="shared" si="1"/>
        <v>41900.630000000005</v>
      </c>
    </row>
    <row r="110" spans="2:9" ht="19.5" x14ac:dyDescent="0.25">
      <c r="B110" s="148"/>
      <c r="C110" s="148" t="s">
        <v>17848</v>
      </c>
      <c r="D110" s="150">
        <v>43892</v>
      </c>
      <c r="E110" s="113" t="s">
        <v>17847</v>
      </c>
      <c r="F110" s="257">
        <v>1</v>
      </c>
      <c r="G110" s="255">
        <v>3.75</v>
      </c>
      <c r="I110" s="160">
        <f t="shared" si="1"/>
        <v>41904.380000000005</v>
      </c>
    </row>
    <row r="111" spans="2:9" x14ac:dyDescent="0.25">
      <c r="B111" s="148"/>
      <c r="C111" s="148" t="s">
        <v>17846</v>
      </c>
      <c r="D111" s="150">
        <v>43892</v>
      </c>
      <c r="E111" s="113" t="s">
        <v>17845</v>
      </c>
      <c r="F111" s="257">
        <v>1</v>
      </c>
      <c r="G111" s="255">
        <v>6.08</v>
      </c>
      <c r="I111" s="160">
        <f t="shared" si="1"/>
        <v>41910.460000000006</v>
      </c>
    </row>
    <row r="112" spans="2:9" ht="19.5" x14ac:dyDescent="0.25">
      <c r="B112" s="148"/>
      <c r="C112" s="148" t="s">
        <v>17844</v>
      </c>
      <c r="D112" s="150">
        <v>43892</v>
      </c>
      <c r="E112" s="113" t="s">
        <v>17843</v>
      </c>
      <c r="F112" s="257">
        <v>1</v>
      </c>
      <c r="G112" s="255">
        <v>3.92</v>
      </c>
      <c r="I112" s="160">
        <f t="shared" si="1"/>
        <v>41914.380000000005</v>
      </c>
    </row>
    <row r="113" spans="2:9" ht="19.5" x14ac:dyDescent="0.25">
      <c r="B113" s="148"/>
      <c r="C113" s="148" t="s">
        <v>17842</v>
      </c>
      <c r="D113" s="150">
        <v>43892</v>
      </c>
      <c r="E113" s="113" t="s">
        <v>17841</v>
      </c>
      <c r="F113" s="257" t="s">
        <v>14437</v>
      </c>
      <c r="G113" s="160">
        <v>436.5</v>
      </c>
      <c r="I113" s="160">
        <f t="shared" si="1"/>
        <v>42350.880000000005</v>
      </c>
    </row>
    <row r="114" spans="2:9" x14ac:dyDescent="0.25">
      <c r="B114" s="148"/>
      <c r="C114" s="148" t="s">
        <v>17840</v>
      </c>
      <c r="D114" s="150">
        <v>43892</v>
      </c>
      <c r="E114" s="113" t="s">
        <v>17839</v>
      </c>
      <c r="F114" s="257" t="s">
        <v>14437</v>
      </c>
      <c r="G114" s="160">
        <v>6.94</v>
      </c>
      <c r="I114" s="160">
        <f t="shared" si="1"/>
        <v>42357.820000000007</v>
      </c>
    </row>
    <row r="115" spans="2:9" ht="19.5" x14ac:dyDescent="0.25">
      <c r="B115" s="148"/>
      <c r="C115" s="148" t="s">
        <v>17838</v>
      </c>
      <c r="D115" s="150">
        <v>43893</v>
      </c>
      <c r="E115" s="113" t="s">
        <v>17837</v>
      </c>
      <c r="F115" s="257">
        <v>2</v>
      </c>
      <c r="G115" s="255">
        <v>3.77</v>
      </c>
      <c r="I115" s="160">
        <f t="shared" si="1"/>
        <v>42361.590000000004</v>
      </c>
    </row>
    <row r="116" spans="2:9" x14ac:dyDescent="0.25">
      <c r="B116" s="148"/>
      <c r="C116" s="148" t="s">
        <v>17836</v>
      </c>
      <c r="D116" s="150">
        <v>43893</v>
      </c>
      <c r="E116" s="113" t="s">
        <v>17835</v>
      </c>
      <c r="F116" s="257" t="s">
        <v>14440</v>
      </c>
      <c r="G116" s="160">
        <v>1.33</v>
      </c>
      <c r="I116" s="160">
        <f t="shared" si="1"/>
        <v>42362.920000000006</v>
      </c>
    </row>
    <row r="117" spans="2:9" x14ac:dyDescent="0.25">
      <c r="B117" s="148"/>
      <c r="C117" s="148" t="s">
        <v>17834</v>
      </c>
      <c r="D117" s="150">
        <v>43893</v>
      </c>
      <c r="E117" s="113" t="s">
        <v>17833</v>
      </c>
      <c r="F117" s="257" t="s">
        <v>14440</v>
      </c>
      <c r="G117" s="160">
        <v>8.3800000000000008</v>
      </c>
      <c r="I117" s="160">
        <f t="shared" si="1"/>
        <v>42371.3</v>
      </c>
    </row>
    <row r="118" spans="2:9" x14ac:dyDescent="0.25">
      <c r="B118" s="148"/>
      <c r="C118" s="148" t="s">
        <v>17832</v>
      </c>
      <c r="D118" s="150">
        <v>43893</v>
      </c>
      <c r="E118" s="113" t="s">
        <v>17831</v>
      </c>
      <c r="F118" s="257" t="s">
        <v>14440</v>
      </c>
      <c r="G118" s="160">
        <v>23.03</v>
      </c>
      <c r="I118" s="160">
        <f t="shared" si="1"/>
        <v>42394.33</v>
      </c>
    </row>
    <row r="119" spans="2:9" ht="19.5" x14ac:dyDescent="0.25">
      <c r="B119" s="148"/>
      <c r="C119" s="148" t="s">
        <v>17830</v>
      </c>
      <c r="D119" s="150">
        <v>43893</v>
      </c>
      <c r="E119" s="113" t="s">
        <v>17829</v>
      </c>
      <c r="F119" s="257" t="s">
        <v>14440</v>
      </c>
      <c r="G119" s="160">
        <v>9.68</v>
      </c>
      <c r="I119" s="160">
        <f t="shared" si="1"/>
        <v>42404.01</v>
      </c>
    </row>
    <row r="120" spans="2:9" x14ac:dyDescent="0.25">
      <c r="B120" s="148"/>
      <c r="C120" s="148" t="s">
        <v>17828</v>
      </c>
      <c r="D120" s="150">
        <v>43893</v>
      </c>
      <c r="E120" s="113" t="s">
        <v>17827</v>
      </c>
      <c r="F120" s="257" t="s">
        <v>14440</v>
      </c>
      <c r="G120" s="160">
        <v>2.2000000000000002</v>
      </c>
      <c r="I120" s="160">
        <f t="shared" si="1"/>
        <v>42406.21</v>
      </c>
    </row>
    <row r="121" spans="2:9" ht="19.5" x14ac:dyDescent="0.25">
      <c r="B121" s="148"/>
      <c r="C121" s="148" t="s">
        <v>17826</v>
      </c>
      <c r="D121" s="150">
        <v>43893</v>
      </c>
      <c r="E121" s="113" t="s">
        <v>17825</v>
      </c>
      <c r="F121" s="257" t="s">
        <v>14437</v>
      </c>
      <c r="G121" s="160">
        <v>16.760000000000002</v>
      </c>
      <c r="I121" s="160">
        <f t="shared" si="1"/>
        <v>42422.97</v>
      </c>
    </row>
    <row r="122" spans="2:9" ht="19.5" x14ac:dyDescent="0.25">
      <c r="B122" s="148"/>
      <c r="C122" s="148" t="s">
        <v>17824</v>
      </c>
      <c r="D122" s="150">
        <v>43893</v>
      </c>
      <c r="E122" s="113" t="s">
        <v>17823</v>
      </c>
      <c r="F122" s="257" t="s">
        <v>14437</v>
      </c>
      <c r="G122" s="160">
        <v>3.72</v>
      </c>
      <c r="I122" s="160">
        <f t="shared" si="1"/>
        <v>42426.69</v>
      </c>
    </row>
    <row r="123" spans="2:9" x14ac:dyDescent="0.25">
      <c r="B123" s="148"/>
      <c r="C123" s="148" t="s">
        <v>17822</v>
      </c>
      <c r="D123" s="150">
        <v>43893</v>
      </c>
      <c r="E123" s="113" t="s">
        <v>17821</v>
      </c>
      <c r="F123" s="257" t="s">
        <v>14437</v>
      </c>
      <c r="G123" s="160">
        <v>69.42</v>
      </c>
      <c r="I123" s="160">
        <f t="shared" si="1"/>
        <v>42496.11</v>
      </c>
    </row>
    <row r="124" spans="2:9" ht="19.5" x14ac:dyDescent="0.25">
      <c r="B124" s="148"/>
      <c r="C124" s="148" t="s">
        <v>17820</v>
      </c>
      <c r="D124" s="150">
        <v>43893</v>
      </c>
      <c r="E124" s="113" t="s">
        <v>17819</v>
      </c>
      <c r="F124" s="257" t="s">
        <v>14440</v>
      </c>
      <c r="G124" s="160">
        <v>4.97</v>
      </c>
      <c r="I124" s="160">
        <f t="shared" si="1"/>
        <v>42501.08</v>
      </c>
    </row>
    <row r="125" spans="2:9" ht="19.5" x14ac:dyDescent="0.25">
      <c r="B125" s="148"/>
      <c r="C125" s="148" t="s">
        <v>17818</v>
      </c>
      <c r="D125" s="150">
        <v>43893</v>
      </c>
      <c r="E125" s="113" t="s">
        <v>17817</v>
      </c>
      <c r="F125" s="257" t="s">
        <v>14436</v>
      </c>
      <c r="G125" s="160">
        <v>75.319999999999993</v>
      </c>
      <c r="I125" s="160">
        <f t="shared" si="1"/>
        <v>42576.4</v>
      </c>
    </row>
    <row r="126" spans="2:9" x14ac:dyDescent="0.25">
      <c r="B126" s="148"/>
      <c r="C126" s="148" t="s">
        <v>17816</v>
      </c>
      <c r="D126" s="150">
        <v>43893</v>
      </c>
      <c r="E126" s="113" t="s">
        <v>17815</v>
      </c>
      <c r="F126" s="257" t="s">
        <v>14436</v>
      </c>
      <c r="G126" s="160">
        <v>4.4400000000000004</v>
      </c>
      <c r="I126" s="160">
        <f t="shared" si="1"/>
        <v>42580.840000000004</v>
      </c>
    </row>
    <row r="127" spans="2:9" ht="19.5" x14ac:dyDescent="0.25">
      <c r="B127" s="148"/>
      <c r="C127" s="148" t="s">
        <v>17814</v>
      </c>
      <c r="D127" s="150">
        <v>43893</v>
      </c>
      <c r="E127" s="113" t="s">
        <v>17813</v>
      </c>
      <c r="F127" s="257" t="s">
        <v>14408</v>
      </c>
      <c r="G127" s="258">
        <v>6.58</v>
      </c>
      <c r="I127" s="160">
        <f t="shared" si="1"/>
        <v>42587.420000000006</v>
      </c>
    </row>
    <row r="128" spans="2:9" x14ac:dyDescent="0.25">
      <c r="B128" s="148"/>
      <c r="C128" s="148" t="s">
        <v>17812</v>
      </c>
      <c r="D128" s="150">
        <v>43893</v>
      </c>
      <c r="E128" s="113" t="s">
        <v>17811</v>
      </c>
      <c r="F128" s="257" t="s">
        <v>14408</v>
      </c>
      <c r="G128" s="258">
        <v>1.89</v>
      </c>
      <c r="I128" s="160">
        <f t="shared" si="1"/>
        <v>42589.310000000005</v>
      </c>
    </row>
    <row r="129" spans="2:9" x14ac:dyDescent="0.25">
      <c r="B129" s="148"/>
      <c r="C129" s="148" t="s">
        <v>17810</v>
      </c>
      <c r="D129" s="150">
        <v>43893</v>
      </c>
      <c r="E129" s="113" t="s">
        <v>17809</v>
      </c>
      <c r="F129" s="257" t="s">
        <v>14408</v>
      </c>
      <c r="G129" s="258">
        <v>2.64</v>
      </c>
      <c r="I129" s="160">
        <f t="shared" si="1"/>
        <v>42591.950000000004</v>
      </c>
    </row>
    <row r="130" spans="2:9" ht="19.5" x14ac:dyDescent="0.25">
      <c r="B130" s="148"/>
      <c r="C130" s="148" t="s">
        <v>17808</v>
      </c>
      <c r="D130" s="150">
        <v>43893</v>
      </c>
      <c r="E130" s="113" t="s">
        <v>17807</v>
      </c>
      <c r="F130" s="257" t="s">
        <v>14408</v>
      </c>
      <c r="G130" s="258">
        <v>4.57</v>
      </c>
      <c r="I130" s="160">
        <f t="shared" si="1"/>
        <v>42596.520000000004</v>
      </c>
    </row>
    <row r="131" spans="2:9" ht="19.5" x14ac:dyDescent="0.25">
      <c r="B131" s="148"/>
      <c r="C131" s="148" t="s">
        <v>17806</v>
      </c>
      <c r="D131" s="150">
        <v>43893</v>
      </c>
      <c r="E131" s="113" t="s">
        <v>17805</v>
      </c>
      <c r="F131" s="257" t="s">
        <v>14408</v>
      </c>
      <c r="G131" s="258">
        <v>2</v>
      </c>
      <c r="I131" s="160">
        <f t="shared" si="1"/>
        <v>42598.520000000004</v>
      </c>
    </row>
    <row r="132" spans="2:9" x14ac:dyDescent="0.25">
      <c r="B132" s="148"/>
      <c r="C132" s="148" t="s">
        <v>17804</v>
      </c>
      <c r="D132" s="150">
        <v>43893</v>
      </c>
      <c r="E132" s="113" t="s">
        <v>17803</v>
      </c>
      <c r="F132" s="257" t="s">
        <v>14408</v>
      </c>
      <c r="G132" s="258">
        <v>1.7</v>
      </c>
      <c r="I132" s="160">
        <f t="shared" si="1"/>
        <v>42600.22</v>
      </c>
    </row>
    <row r="133" spans="2:9" x14ac:dyDescent="0.25">
      <c r="B133" s="148"/>
      <c r="C133" s="148" t="s">
        <v>17802</v>
      </c>
      <c r="D133" s="150">
        <v>43893</v>
      </c>
      <c r="E133" s="113" t="s">
        <v>17801</v>
      </c>
      <c r="F133" s="257" t="s">
        <v>14408</v>
      </c>
      <c r="G133" s="258">
        <v>7.82</v>
      </c>
      <c r="I133" s="160">
        <f t="shared" si="1"/>
        <v>42608.04</v>
      </c>
    </row>
    <row r="134" spans="2:9" ht="19.5" x14ac:dyDescent="0.25">
      <c r="B134" s="148"/>
      <c r="C134" s="148" t="s">
        <v>17800</v>
      </c>
      <c r="D134" s="150">
        <v>43893</v>
      </c>
      <c r="E134" s="113" t="s">
        <v>17799</v>
      </c>
      <c r="F134" s="257" t="s">
        <v>14408</v>
      </c>
      <c r="G134" s="258">
        <v>16.75</v>
      </c>
      <c r="I134" s="160">
        <f t="shared" si="1"/>
        <v>42624.79</v>
      </c>
    </row>
    <row r="135" spans="2:9" ht="19.5" x14ac:dyDescent="0.25">
      <c r="B135" s="148"/>
      <c r="C135" s="148" t="s">
        <v>17798</v>
      </c>
      <c r="D135" s="150">
        <v>43893</v>
      </c>
      <c r="E135" s="113" t="s">
        <v>17797</v>
      </c>
      <c r="F135" s="257" t="s">
        <v>14408</v>
      </c>
      <c r="G135" s="258">
        <v>7.36</v>
      </c>
      <c r="I135" s="160">
        <f t="shared" si="1"/>
        <v>42632.15</v>
      </c>
    </row>
    <row r="136" spans="2:9" x14ac:dyDescent="0.25">
      <c r="B136" s="148"/>
      <c r="C136" s="148" t="s">
        <v>17796</v>
      </c>
      <c r="D136" s="150">
        <v>43893</v>
      </c>
      <c r="E136" s="113" t="s">
        <v>17795</v>
      </c>
      <c r="F136" s="257" t="s">
        <v>14408</v>
      </c>
      <c r="G136" s="258">
        <v>3.68</v>
      </c>
      <c r="I136" s="160">
        <f t="shared" si="1"/>
        <v>42635.83</v>
      </c>
    </row>
    <row r="137" spans="2:9" x14ac:dyDescent="0.25">
      <c r="B137" s="148"/>
      <c r="C137" s="148" t="s">
        <v>17794</v>
      </c>
      <c r="D137" s="150">
        <v>43893</v>
      </c>
      <c r="E137" s="113" t="s">
        <v>17793</v>
      </c>
      <c r="F137" s="257" t="s">
        <v>14408</v>
      </c>
      <c r="G137" s="258">
        <v>4.8</v>
      </c>
      <c r="I137" s="160">
        <f t="shared" si="1"/>
        <v>42640.630000000005</v>
      </c>
    </row>
    <row r="138" spans="2:9" ht="19.5" x14ac:dyDescent="0.25">
      <c r="B138" s="148"/>
      <c r="C138" s="148" t="s">
        <v>17792</v>
      </c>
      <c r="D138" s="150">
        <v>43893</v>
      </c>
      <c r="E138" s="113" t="s">
        <v>17791</v>
      </c>
      <c r="F138" s="257" t="s">
        <v>14408</v>
      </c>
      <c r="G138" s="258">
        <v>7.81</v>
      </c>
      <c r="I138" s="160">
        <f t="shared" si="1"/>
        <v>42648.44</v>
      </c>
    </row>
    <row r="139" spans="2:9" x14ac:dyDescent="0.25">
      <c r="B139" s="148"/>
      <c r="C139" s="148" t="s">
        <v>17790</v>
      </c>
      <c r="D139" s="150">
        <v>43893</v>
      </c>
      <c r="E139" s="113" t="s">
        <v>17789</v>
      </c>
      <c r="F139" s="257" t="s">
        <v>14408</v>
      </c>
      <c r="G139" s="258">
        <v>3.36</v>
      </c>
      <c r="I139" s="160">
        <f t="shared" si="1"/>
        <v>42651.8</v>
      </c>
    </row>
    <row r="140" spans="2:9" ht="19.5" x14ac:dyDescent="0.25">
      <c r="B140" s="148"/>
      <c r="C140" s="148" t="s">
        <v>17788</v>
      </c>
      <c r="D140" s="150">
        <v>43893</v>
      </c>
      <c r="E140" s="113" t="s">
        <v>17787</v>
      </c>
      <c r="F140" s="257" t="s">
        <v>14408</v>
      </c>
      <c r="G140" s="258">
        <v>7.61</v>
      </c>
      <c r="I140" s="160">
        <f t="shared" si="1"/>
        <v>42659.41</v>
      </c>
    </row>
    <row r="141" spans="2:9" x14ac:dyDescent="0.25">
      <c r="B141" s="148"/>
      <c r="C141" s="148" t="s">
        <v>17786</v>
      </c>
      <c r="D141" s="150">
        <v>43893</v>
      </c>
      <c r="E141" s="113" t="s">
        <v>17785</v>
      </c>
      <c r="F141" s="257" t="s">
        <v>14408</v>
      </c>
      <c r="G141" s="258">
        <v>5.66</v>
      </c>
      <c r="I141" s="160">
        <f t="shared" si="1"/>
        <v>42665.070000000007</v>
      </c>
    </row>
    <row r="142" spans="2:9" ht="19.5" x14ac:dyDescent="0.25">
      <c r="B142" s="148"/>
      <c r="C142" s="148" t="s">
        <v>17784</v>
      </c>
      <c r="D142" s="150">
        <v>43893</v>
      </c>
      <c r="E142" s="113" t="s">
        <v>17783</v>
      </c>
      <c r="F142" s="257" t="s">
        <v>14408</v>
      </c>
      <c r="G142" s="258">
        <v>8.1999999999999993</v>
      </c>
      <c r="I142" s="160">
        <f t="shared" si="1"/>
        <v>42673.270000000004</v>
      </c>
    </row>
    <row r="143" spans="2:9" x14ac:dyDescent="0.25">
      <c r="B143" s="148"/>
      <c r="C143" s="148" t="s">
        <v>17782</v>
      </c>
      <c r="D143" s="150">
        <v>43893</v>
      </c>
      <c r="E143" s="113" t="s">
        <v>17781</v>
      </c>
      <c r="F143" s="257" t="s">
        <v>14408</v>
      </c>
      <c r="G143" s="258">
        <v>6.88</v>
      </c>
      <c r="I143" s="160">
        <f t="shared" si="1"/>
        <v>42680.15</v>
      </c>
    </row>
    <row r="144" spans="2:9" x14ac:dyDescent="0.25">
      <c r="B144" s="148"/>
      <c r="C144" s="148" t="s">
        <v>17780</v>
      </c>
      <c r="D144" s="150">
        <v>43893</v>
      </c>
      <c r="E144" s="113" t="s">
        <v>17779</v>
      </c>
      <c r="F144" s="257" t="s">
        <v>14408</v>
      </c>
      <c r="G144" s="258">
        <v>6.47</v>
      </c>
      <c r="I144" s="160">
        <f t="shared" si="1"/>
        <v>42686.62</v>
      </c>
    </row>
    <row r="145" spans="2:9" ht="19.5" x14ac:dyDescent="0.25">
      <c r="B145" s="148"/>
      <c r="C145" s="148" t="s">
        <v>17778</v>
      </c>
      <c r="D145" s="150">
        <v>43893</v>
      </c>
      <c r="E145" s="113" t="s">
        <v>17777</v>
      </c>
      <c r="F145" s="257" t="s">
        <v>14408</v>
      </c>
      <c r="G145" s="258">
        <v>2.5099999999999998</v>
      </c>
      <c r="I145" s="160">
        <f t="shared" si="1"/>
        <v>42689.130000000005</v>
      </c>
    </row>
    <row r="146" spans="2:9" ht="19.5" x14ac:dyDescent="0.25">
      <c r="B146" s="148"/>
      <c r="C146" s="148" t="s">
        <v>17776</v>
      </c>
      <c r="D146" s="150">
        <v>43893</v>
      </c>
      <c r="E146" s="113" t="s">
        <v>17775</v>
      </c>
      <c r="F146" s="257" t="s">
        <v>14408</v>
      </c>
      <c r="G146" s="258">
        <v>11.59</v>
      </c>
      <c r="I146" s="160">
        <f t="shared" si="1"/>
        <v>42700.72</v>
      </c>
    </row>
    <row r="147" spans="2:9" ht="19.5" x14ac:dyDescent="0.25">
      <c r="B147" s="148"/>
      <c r="C147" s="148" t="s">
        <v>17774</v>
      </c>
      <c r="D147" s="150">
        <v>43893</v>
      </c>
      <c r="E147" s="113" t="s">
        <v>17773</v>
      </c>
      <c r="F147" s="257" t="s">
        <v>14408</v>
      </c>
      <c r="G147" s="258">
        <v>7.68</v>
      </c>
      <c r="I147" s="160">
        <f t="shared" si="1"/>
        <v>42708.4</v>
      </c>
    </row>
    <row r="148" spans="2:9" x14ac:dyDescent="0.25">
      <c r="B148" s="148"/>
      <c r="C148" s="148" t="s">
        <v>17772</v>
      </c>
      <c r="D148" s="150">
        <v>43893</v>
      </c>
      <c r="E148" s="113" t="s">
        <v>17771</v>
      </c>
      <c r="F148" s="257" t="s">
        <v>14408</v>
      </c>
      <c r="G148" s="258">
        <v>11.84</v>
      </c>
      <c r="I148" s="160">
        <f t="shared" ref="I148:I211" si="2">+I147+G148-H148</f>
        <v>42720.24</v>
      </c>
    </row>
    <row r="149" spans="2:9" ht="19.5" x14ac:dyDescent="0.25">
      <c r="B149" s="148"/>
      <c r="C149" s="148" t="s">
        <v>17770</v>
      </c>
      <c r="D149" s="150">
        <v>43893</v>
      </c>
      <c r="E149" s="113" t="s">
        <v>17769</v>
      </c>
      <c r="F149" s="257" t="s">
        <v>14408</v>
      </c>
      <c r="G149" s="258">
        <v>4.58</v>
      </c>
      <c r="I149" s="160">
        <f t="shared" si="2"/>
        <v>42724.82</v>
      </c>
    </row>
    <row r="150" spans="2:9" ht="19.5" x14ac:dyDescent="0.25">
      <c r="B150" s="148"/>
      <c r="C150" s="148" t="s">
        <v>17768</v>
      </c>
      <c r="D150" s="150">
        <v>43893</v>
      </c>
      <c r="E150" s="113" t="s">
        <v>17767</v>
      </c>
      <c r="F150" s="257" t="s">
        <v>14408</v>
      </c>
      <c r="G150" s="258">
        <v>22.51</v>
      </c>
      <c r="I150" s="160">
        <f t="shared" si="2"/>
        <v>42747.33</v>
      </c>
    </row>
    <row r="151" spans="2:9" ht="19.5" x14ac:dyDescent="0.25">
      <c r="B151" s="148"/>
      <c r="C151" s="148" t="s">
        <v>17766</v>
      </c>
      <c r="D151" s="150">
        <v>43893</v>
      </c>
      <c r="E151" s="113" t="s">
        <v>17765</v>
      </c>
      <c r="F151" s="257" t="s">
        <v>14408</v>
      </c>
      <c r="G151" s="258">
        <v>5.84</v>
      </c>
      <c r="I151" s="160">
        <f t="shared" si="2"/>
        <v>42753.17</v>
      </c>
    </row>
    <row r="152" spans="2:9" ht="19.5" x14ac:dyDescent="0.25">
      <c r="B152" s="148"/>
      <c r="C152" s="148" t="s">
        <v>17764</v>
      </c>
      <c r="D152" s="150">
        <v>43893</v>
      </c>
      <c r="E152" s="113" t="s">
        <v>17763</v>
      </c>
      <c r="F152" s="257" t="s">
        <v>14408</v>
      </c>
      <c r="G152" s="258">
        <v>4.79</v>
      </c>
      <c r="I152" s="160">
        <f t="shared" si="2"/>
        <v>42757.96</v>
      </c>
    </row>
    <row r="153" spans="2:9" ht="19.5" x14ac:dyDescent="0.25">
      <c r="B153" s="148"/>
      <c r="C153" s="148" t="s">
        <v>17762</v>
      </c>
      <c r="D153" s="150">
        <v>43893</v>
      </c>
      <c r="E153" s="113" t="s">
        <v>17761</v>
      </c>
      <c r="F153" s="257" t="s">
        <v>14408</v>
      </c>
      <c r="G153" s="258">
        <v>14.78</v>
      </c>
      <c r="I153" s="160">
        <f t="shared" si="2"/>
        <v>42772.74</v>
      </c>
    </row>
    <row r="154" spans="2:9" x14ac:dyDescent="0.25">
      <c r="B154" s="148"/>
      <c r="C154" s="148" t="s">
        <v>17760</v>
      </c>
      <c r="D154" s="150">
        <v>43893</v>
      </c>
      <c r="E154" s="113" t="s">
        <v>17759</v>
      </c>
      <c r="F154" s="257" t="s">
        <v>14408</v>
      </c>
      <c r="G154" s="258">
        <v>7.18</v>
      </c>
      <c r="I154" s="160">
        <f t="shared" si="2"/>
        <v>42779.92</v>
      </c>
    </row>
    <row r="155" spans="2:9" x14ac:dyDescent="0.25">
      <c r="B155" s="148"/>
      <c r="C155" s="148" t="s">
        <v>17758</v>
      </c>
      <c r="D155" s="150">
        <v>43893</v>
      </c>
      <c r="E155" s="113" t="s">
        <v>17757</v>
      </c>
      <c r="F155" s="257" t="s">
        <v>14408</v>
      </c>
      <c r="G155" s="258">
        <v>14.27</v>
      </c>
      <c r="I155" s="160">
        <f t="shared" si="2"/>
        <v>42794.189999999995</v>
      </c>
    </row>
    <row r="156" spans="2:9" x14ac:dyDescent="0.25">
      <c r="B156" s="148"/>
      <c r="C156" s="148" t="s">
        <v>17756</v>
      </c>
      <c r="D156" s="150">
        <v>43893</v>
      </c>
      <c r="E156" s="113" t="s">
        <v>17755</v>
      </c>
      <c r="F156" s="257" t="s">
        <v>14408</v>
      </c>
      <c r="G156" s="258">
        <v>12.49</v>
      </c>
      <c r="I156" s="160">
        <f t="shared" si="2"/>
        <v>42806.679999999993</v>
      </c>
    </row>
    <row r="157" spans="2:9" ht="19.5" x14ac:dyDescent="0.25">
      <c r="B157" s="148"/>
      <c r="C157" s="148" t="s">
        <v>17754</v>
      </c>
      <c r="D157" s="150">
        <v>43893</v>
      </c>
      <c r="E157" s="113" t="s">
        <v>17753</v>
      </c>
      <c r="F157" s="257" t="s">
        <v>14408</v>
      </c>
      <c r="G157" s="258">
        <v>7.94</v>
      </c>
      <c r="I157" s="160">
        <f t="shared" si="2"/>
        <v>42814.619999999995</v>
      </c>
    </row>
    <row r="158" spans="2:9" ht="19.5" x14ac:dyDescent="0.25">
      <c r="B158" s="148"/>
      <c r="C158" s="148" t="s">
        <v>17752</v>
      </c>
      <c r="D158" s="150">
        <v>43893</v>
      </c>
      <c r="E158" s="113" t="s">
        <v>17751</v>
      </c>
      <c r="F158" s="257" t="s">
        <v>14408</v>
      </c>
      <c r="G158" s="258">
        <v>30.26</v>
      </c>
      <c r="I158" s="160">
        <f t="shared" si="2"/>
        <v>42844.88</v>
      </c>
    </row>
    <row r="159" spans="2:9" x14ac:dyDescent="0.25">
      <c r="B159" s="148"/>
      <c r="C159" s="148" t="s">
        <v>17750</v>
      </c>
      <c r="D159" s="150">
        <v>43893</v>
      </c>
      <c r="E159" s="113" t="s">
        <v>17749</v>
      </c>
      <c r="F159" s="257" t="s">
        <v>14408</v>
      </c>
      <c r="G159" s="258">
        <v>4.2</v>
      </c>
      <c r="I159" s="160">
        <f t="shared" si="2"/>
        <v>42849.079999999994</v>
      </c>
    </row>
    <row r="160" spans="2:9" x14ac:dyDescent="0.25">
      <c r="B160" s="148"/>
      <c r="C160" s="148" t="s">
        <v>48</v>
      </c>
      <c r="D160" s="150">
        <v>43893</v>
      </c>
      <c r="E160" s="113" t="s">
        <v>17748</v>
      </c>
      <c r="F160" s="257" t="s">
        <v>14408</v>
      </c>
      <c r="G160" s="258">
        <v>8.3800000000000008</v>
      </c>
      <c r="I160" s="160">
        <f t="shared" si="2"/>
        <v>42857.459999999992</v>
      </c>
    </row>
    <row r="161" spans="2:9" x14ac:dyDescent="0.25">
      <c r="B161" s="148"/>
      <c r="C161" s="148" t="s">
        <v>17747</v>
      </c>
      <c r="D161" s="150">
        <v>43893</v>
      </c>
      <c r="E161" s="113" t="s">
        <v>17746</v>
      </c>
      <c r="F161" s="257" t="s">
        <v>14408</v>
      </c>
      <c r="G161" s="258">
        <v>8.3800000000000008</v>
      </c>
      <c r="I161" s="160">
        <f t="shared" si="2"/>
        <v>42865.839999999989</v>
      </c>
    </row>
    <row r="162" spans="2:9" ht="19.5" x14ac:dyDescent="0.25">
      <c r="B162" s="148"/>
      <c r="C162" s="148" t="s">
        <v>17745</v>
      </c>
      <c r="D162" s="150">
        <v>43893</v>
      </c>
      <c r="E162" s="113" t="s">
        <v>17744</v>
      </c>
      <c r="F162" s="257" t="s">
        <v>14408</v>
      </c>
      <c r="G162" s="258">
        <v>6.35</v>
      </c>
      <c r="I162" s="160">
        <f t="shared" si="2"/>
        <v>42872.189999999988</v>
      </c>
    </row>
    <row r="163" spans="2:9" x14ac:dyDescent="0.25">
      <c r="B163" s="148"/>
      <c r="C163" s="148" t="s">
        <v>17743</v>
      </c>
      <c r="D163" s="150">
        <v>43893</v>
      </c>
      <c r="E163" s="113" t="s">
        <v>17742</v>
      </c>
      <c r="F163" s="257" t="s">
        <v>14408</v>
      </c>
      <c r="G163" s="258">
        <v>8.3800000000000008</v>
      </c>
      <c r="I163" s="160">
        <f t="shared" si="2"/>
        <v>42880.569999999985</v>
      </c>
    </row>
    <row r="164" spans="2:9" x14ac:dyDescent="0.25">
      <c r="B164" s="148"/>
      <c r="C164" s="148" t="s">
        <v>17741</v>
      </c>
      <c r="D164" s="150">
        <v>43893</v>
      </c>
      <c r="E164" s="113" t="s">
        <v>17740</v>
      </c>
      <c r="F164" s="257" t="s">
        <v>14408</v>
      </c>
      <c r="G164" s="258">
        <v>1.85</v>
      </c>
      <c r="I164" s="160">
        <f t="shared" si="2"/>
        <v>42882.419999999984</v>
      </c>
    </row>
    <row r="165" spans="2:9" ht="19.5" x14ac:dyDescent="0.25">
      <c r="B165" s="148"/>
      <c r="C165" s="148" t="s">
        <v>17739</v>
      </c>
      <c r="D165" s="150">
        <v>43893</v>
      </c>
      <c r="E165" s="113" t="s">
        <v>17738</v>
      </c>
      <c r="F165" s="257" t="s">
        <v>14408</v>
      </c>
      <c r="G165" s="258">
        <v>5.57</v>
      </c>
      <c r="I165" s="160">
        <f t="shared" si="2"/>
        <v>42887.989999999983</v>
      </c>
    </row>
    <row r="166" spans="2:9" ht="19.5" x14ac:dyDescent="0.25">
      <c r="B166" s="148"/>
      <c r="C166" s="148" t="s">
        <v>17737</v>
      </c>
      <c r="D166" s="150">
        <v>43893</v>
      </c>
      <c r="E166" s="113" t="s">
        <v>17736</v>
      </c>
      <c r="F166" s="257" t="s">
        <v>14408</v>
      </c>
      <c r="G166" s="258">
        <v>8.33</v>
      </c>
      <c r="I166" s="160">
        <f t="shared" si="2"/>
        <v>42896.319999999985</v>
      </c>
    </row>
    <row r="167" spans="2:9" x14ac:dyDescent="0.25">
      <c r="B167" s="148"/>
      <c r="C167" s="148" t="s">
        <v>17735</v>
      </c>
      <c r="D167" s="150">
        <v>43893</v>
      </c>
      <c r="E167" s="113" t="s">
        <v>17734</v>
      </c>
      <c r="F167" s="257" t="s">
        <v>14408</v>
      </c>
      <c r="G167" s="258">
        <v>3.81</v>
      </c>
      <c r="I167" s="160">
        <f t="shared" si="2"/>
        <v>42900.129999999983</v>
      </c>
    </row>
    <row r="168" spans="2:9" ht="19.5" x14ac:dyDescent="0.25">
      <c r="B168" s="148"/>
      <c r="C168" s="148" t="s">
        <v>17733</v>
      </c>
      <c r="D168" s="150">
        <v>43893</v>
      </c>
      <c r="E168" s="113" t="s">
        <v>17732</v>
      </c>
      <c r="F168" s="257" t="s">
        <v>14408</v>
      </c>
      <c r="G168" s="258">
        <v>13.36</v>
      </c>
      <c r="I168" s="160">
        <f t="shared" si="2"/>
        <v>42913.489999999983</v>
      </c>
    </row>
    <row r="169" spans="2:9" ht="19.5" x14ac:dyDescent="0.25">
      <c r="B169" s="148"/>
      <c r="C169" s="148" t="s">
        <v>17731</v>
      </c>
      <c r="D169" s="150">
        <v>43893</v>
      </c>
      <c r="E169" s="113" t="s">
        <v>17730</v>
      </c>
      <c r="F169" s="257" t="s">
        <v>14408</v>
      </c>
      <c r="G169" s="258">
        <v>0.62</v>
      </c>
      <c r="I169" s="160">
        <f t="shared" si="2"/>
        <v>42914.109999999986</v>
      </c>
    </row>
    <row r="170" spans="2:9" ht="19.5" x14ac:dyDescent="0.25">
      <c r="B170" s="148"/>
      <c r="C170" s="148" t="s">
        <v>17729</v>
      </c>
      <c r="D170" s="150">
        <v>43893</v>
      </c>
      <c r="E170" s="113" t="s">
        <v>17728</v>
      </c>
      <c r="F170" s="257" t="s">
        <v>14408</v>
      </c>
      <c r="G170" s="258">
        <v>25.14</v>
      </c>
      <c r="I170" s="160">
        <f t="shared" si="2"/>
        <v>42939.249999999985</v>
      </c>
    </row>
    <row r="171" spans="2:9" ht="19.5" x14ac:dyDescent="0.25">
      <c r="B171" s="148"/>
      <c r="C171" s="148" t="s">
        <v>17727</v>
      </c>
      <c r="D171" s="150">
        <v>43893</v>
      </c>
      <c r="E171" s="113" t="s">
        <v>17726</v>
      </c>
      <c r="F171" s="257" t="s">
        <v>14408</v>
      </c>
      <c r="G171" s="258">
        <v>4.6399999999999997</v>
      </c>
      <c r="I171" s="160">
        <f t="shared" si="2"/>
        <v>42943.889999999985</v>
      </c>
    </row>
    <row r="172" spans="2:9" ht="19.5" x14ac:dyDescent="0.25">
      <c r="B172" s="148"/>
      <c r="C172" s="148" t="s">
        <v>17725</v>
      </c>
      <c r="D172" s="150">
        <v>43893</v>
      </c>
      <c r="E172" s="113" t="s">
        <v>17724</v>
      </c>
      <c r="F172" s="257" t="s">
        <v>14408</v>
      </c>
      <c r="G172" s="258">
        <v>6.58</v>
      </c>
      <c r="I172" s="160">
        <f t="shared" si="2"/>
        <v>42950.469999999987</v>
      </c>
    </row>
    <row r="173" spans="2:9" ht="19.5" x14ac:dyDescent="0.25">
      <c r="B173" s="148"/>
      <c r="C173" s="148" t="s">
        <v>17723</v>
      </c>
      <c r="D173" s="150">
        <v>43893</v>
      </c>
      <c r="E173" s="113" t="s">
        <v>17722</v>
      </c>
      <c r="F173" s="257" t="s">
        <v>14408</v>
      </c>
      <c r="G173" s="258">
        <v>9.1999999999999993</v>
      </c>
      <c r="I173" s="160">
        <f t="shared" si="2"/>
        <v>42959.669999999984</v>
      </c>
    </row>
    <row r="174" spans="2:9" ht="19.5" x14ac:dyDescent="0.25">
      <c r="B174" s="148"/>
      <c r="C174" s="148" t="s">
        <v>17721</v>
      </c>
      <c r="D174" s="150">
        <v>43893</v>
      </c>
      <c r="E174" s="113" t="s">
        <v>17720</v>
      </c>
      <c r="F174" s="257" t="s">
        <v>14408</v>
      </c>
      <c r="G174" s="258">
        <v>5.34</v>
      </c>
      <c r="I174" s="160">
        <f t="shared" si="2"/>
        <v>42965.00999999998</v>
      </c>
    </row>
    <row r="175" spans="2:9" x14ac:dyDescent="0.25">
      <c r="B175" s="148"/>
      <c r="C175" s="148" t="s">
        <v>17719</v>
      </c>
      <c r="D175" s="150">
        <v>43893</v>
      </c>
      <c r="E175" s="113" t="s">
        <v>17718</v>
      </c>
      <c r="F175" s="257" t="s">
        <v>14408</v>
      </c>
      <c r="G175" s="258">
        <v>6.76</v>
      </c>
      <c r="I175" s="160">
        <f t="shared" si="2"/>
        <v>42971.769999999982</v>
      </c>
    </row>
    <row r="176" spans="2:9" x14ac:dyDescent="0.25">
      <c r="B176" s="148"/>
      <c r="C176" s="148" t="s">
        <v>17717</v>
      </c>
      <c r="D176" s="150">
        <v>43893</v>
      </c>
      <c r="E176" s="113" t="s">
        <v>17716</v>
      </c>
      <c r="F176" s="257" t="s">
        <v>14408</v>
      </c>
      <c r="G176" s="258">
        <v>4.33</v>
      </c>
      <c r="I176" s="160">
        <f t="shared" si="2"/>
        <v>42976.099999999984</v>
      </c>
    </row>
    <row r="177" spans="2:9" x14ac:dyDescent="0.25">
      <c r="B177" s="148"/>
      <c r="C177" s="148" t="s">
        <v>17715</v>
      </c>
      <c r="D177" s="150">
        <v>43893</v>
      </c>
      <c r="E177" s="113" t="s">
        <v>17714</v>
      </c>
      <c r="F177" s="257" t="s">
        <v>14408</v>
      </c>
      <c r="G177" s="258">
        <v>11.93</v>
      </c>
      <c r="I177" s="160">
        <f t="shared" si="2"/>
        <v>42988.029999999984</v>
      </c>
    </row>
    <row r="178" spans="2:9" ht="19.5" x14ac:dyDescent="0.25">
      <c r="B178" s="148"/>
      <c r="C178" s="148" t="s">
        <v>17713</v>
      </c>
      <c r="D178" s="150">
        <v>43893</v>
      </c>
      <c r="E178" s="113" t="s">
        <v>17712</v>
      </c>
      <c r="F178" s="257" t="s">
        <v>14408</v>
      </c>
      <c r="G178" s="258">
        <v>8.92</v>
      </c>
      <c r="I178" s="160">
        <f t="shared" si="2"/>
        <v>42996.949999999983</v>
      </c>
    </row>
    <row r="179" spans="2:9" x14ac:dyDescent="0.25">
      <c r="B179" s="148"/>
      <c r="C179" s="148" t="s">
        <v>17711</v>
      </c>
      <c r="D179" s="150">
        <v>43893</v>
      </c>
      <c r="E179" s="113" t="s">
        <v>17710</v>
      </c>
      <c r="F179" s="257" t="s">
        <v>14408</v>
      </c>
      <c r="G179" s="258">
        <v>4.5999999999999996</v>
      </c>
      <c r="I179" s="160">
        <f t="shared" si="2"/>
        <v>43001.549999999981</v>
      </c>
    </row>
    <row r="180" spans="2:9" x14ac:dyDescent="0.25">
      <c r="B180" s="148"/>
      <c r="C180" s="148" t="s">
        <v>17709</v>
      </c>
      <c r="D180" s="150">
        <v>43893</v>
      </c>
      <c r="E180" s="113" t="s">
        <v>17708</v>
      </c>
      <c r="F180" s="257" t="s">
        <v>14408</v>
      </c>
      <c r="G180" s="258">
        <v>6.24</v>
      </c>
      <c r="I180" s="160">
        <f t="shared" si="2"/>
        <v>43007.789999999979</v>
      </c>
    </row>
    <row r="181" spans="2:9" ht="19.5" x14ac:dyDescent="0.25">
      <c r="B181" s="148"/>
      <c r="C181" s="148" t="s">
        <v>17707</v>
      </c>
      <c r="D181" s="150">
        <v>43893</v>
      </c>
      <c r="E181" s="113" t="s">
        <v>17706</v>
      </c>
      <c r="F181" s="257" t="s">
        <v>14408</v>
      </c>
      <c r="G181" s="258">
        <v>10.8</v>
      </c>
      <c r="I181" s="160">
        <f t="shared" si="2"/>
        <v>43018.589999999982</v>
      </c>
    </row>
    <row r="182" spans="2:9" x14ac:dyDescent="0.25">
      <c r="B182" s="148"/>
      <c r="C182" s="148" t="s">
        <v>17705</v>
      </c>
      <c r="D182" s="150">
        <v>43893</v>
      </c>
      <c r="E182" s="113" t="s">
        <v>17704</v>
      </c>
      <c r="F182" s="257" t="s">
        <v>14408</v>
      </c>
      <c r="G182" s="258">
        <v>0.9</v>
      </c>
      <c r="I182" s="160">
        <f t="shared" si="2"/>
        <v>43019.489999999983</v>
      </c>
    </row>
    <row r="183" spans="2:9" ht="19.5" x14ac:dyDescent="0.25">
      <c r="B183" s="148"/>
      <c r="C183" s="148" t="s">
        <v>17703</v>
      </c>
      <c r="D183" s="150">
        <v>43893</v>
      </c>
      <c r="E183" s="113" t="s">
        <v>17702</v>
      </c>
      <c r="F183" s="257" t="s">
        <v>14408</v>
      </c>
      <c r="G183" s="258">
        <v>10.49</v>
      </c>
      <c r="I183" s="160">
        <f t="shared" si="2"/>
        <v>43029.979999999981</v>
      </c>
    </row>
    <row r="184" spans="2:9" ht="19.5" x14ac:dyDescent="0.25">
      <c r="B184" s="148"/>
      <c r="C184" s="148" t="s">
        <v>17701</v>
      </c>
      <c r="D184" s="150">
        <v>43893</v>
      </c>
      <c r="E184" s="113" t="s">
        <v>17700</v>
      </c>
      <c r="F184" s="257" t="s">
        <v>14408</v>
      </c>
      <c r="G184" s="258">
        <v>1.71</v>
      </c>
      <c r="I184" s="160">
        <f t="shared" si="2"/>
        <v>43031.689999999981</v>
      </c>
    </row>
    <row r="185" spans="2:9" ht="19.5" x14ac:dyDescent="0.25">
      <c r="B185" s="148"/>
      <c r="C185" s="148" t="s">
        <v>17699</v>
      </c>
      <c r="D185" s="150">
        <v>43893</v>
      </c>
      <c r="E185" s="113" t="s">
        <v>17698</v>
      </c>
      <c r="F185" s="257" t="s">
        <v>14408</v>
      </c>
      <c r="G185" s="258">
        <v>12.34</v>
      </c>
      <c r="I185" s="160">
        <f t="shared" si="2"/>
        <v>43044.029999999977</v>
      </c>
    </row>
    <row r="186" spans="2:9" x14ac:dyDescent="0.25">
      <c r="B186" s="148"/>
      <c r="C186" s="148" t="s">
        <v>17697</v>
      </c>
      <c r="D186" s="150">
        <v>43893</v>
      </c>
      <c r="E186" s="113" t="s">
        <v>17696</v>
      </c>
      <c r="F186" s="257">
        <v>2</v>
      </c>
      <c r="G186" s="255">
        <v>8.19</v>
      </c>
      <c r="I186" s="160">
        <f t="shared" si="2"/>
        <v>43052.219999999979</v>
      </c>
    </row>
    <row r="187" spans="2:9" x14ac:dyDescent="0.25">
      <c r="B187" s="148"/>
      <c r="C187" s="148" t="s">
        <v>17695</v>
      </c>
      <c r="D187" s="150">
        <v>43893</v>
      </c>
      <c r="E187" s="113" t="s">
        <v>17694</v>
      </c>
      <c r="F187" s="257">
        <v>2</v>
      </c>
      <c r="G187" s="255">
        <v>7.01</v>
      </c>
      <c r="I187" s="160">
        <f t="shared" si="2"/>
        <v>43059.229999999981</v>
      </c>
    </row>
    <row r="188" spans="2:9" x14ac:dyDescent="0.25">
      <c r="B188" s="148"/>
      <c r="C188" s="148" t="s">
        <v>17693</v>
      </c>
      <c r="D188" s="150">
        <v>43893</v>
      </c>
      <c r="E188" s="113" t="s">
        <v>17692</v>
      </c>
      <c r="F188" s="257">
        <v>2</v>
      </c>
      <c r="G188" s="255">
        <v>2.61</v>
      </c>
      <c r="I188" s="160">
        <f t="shared" si="2"/>
        <v>43061.839999999982</v>
      </c>
    </row>
    <row r="189" spans="2:9" x14ac:dyDescent="0.25">
      <c r="B189" s="148"/>
      <c r="C189" s="148" t="s">
        <v>17691</v>
      </c>
      <c r="D189" s="150">
        <v>43893</v>
      </c>
      <c r="E189" s="113" t="s">
        <v>17690</v>
      </c>
      <c r="F189" s="257">
        <v>2</v>
      </c>
      <c r="G189" s="255">
        <v>17.899999999999999</v>
      </c>
      <c r="I189" s="160">
        <f t="shared" si="2"/>
        <v>43079.739999999983</v>
      </c>
    </row>
    <row r="190" spans="2:9" x14ac:dyDescent="0.25">
      <c r="B190" s="148"/>
      <c r="C190" s="148" t="s">
        <v>17689</v>
      </c>
      <c r="D190" s="150">
        <v>43893</v>
      </c>
      <c r="E190" s="113" t="s">
        <v>17688</v>
      </c>
      <c r="F190" s="257">
        <v>2</v>
      </c>
      <c r="G190" s="255">
        <v>8.3800000000000008</v>
      </c>
      <c r="I190" s="160">
        <f t="shared" si="2"/>
        <v>43088.119999999981</v>
      </c>
    </row>
    <row r="191" spans="2:9" x14ac:dyDescent="0.25">
      <c r="B191" s="148"/>
      <c r="C191" s="148" t="s">
        <v>17687</v>
      </c>
      <c r="D191" s="150">
        <v>43893</v>
      </c>
      <c r="E191" s="113" t="s">
        <v>17686</v>
      </c>
      <c r="F191" s="257">
        <v>2</v>
      </c>
      <c r="G191" s="255">
        <v>4.1900000000000004</v>
      </c>
      <c r="I191" s="160">
        <f t="shared" si="2"/>
        <v>43092.309999999983</v>
      </c>
    </row>
    <row r="192" spans="2:9" ht="19.5" x14ac:dyDescent="0.25">
      <c r="B192" s="148"/>
      <c r="C192" s="148" t="s">
        <v>17685</v>
      </c>
      <c r="D192" s="150">
        <v>43893</v>
      </c>
      <c r="E192" s="113" t="s">
        <v>17684</v>
      </c>
      <c r="F192" s="257">
        <v>2</v>
      </c>
      <c r="G192" s="255">
        <v>24.62</v>
      </c>
      <c r="I192" s="160">
        <f t="shared" si="2"/>
        <v>43116.929999999986</v>
      </c>
    </row>
    <row r="193" spans="2:9" x14ac:dyDescent="0.25">
      <c r="B193" s="148"/>
      <c r="C193" s="148" t="s">
        <v>17683</v>
      </c>
      <c r="D193" s="150">
        <v>43893</v>
      </c>
      <c r="E193" s="113" t="s">
        <v>17682</v>
      </c>
      <c r="F193" s="257">
        <v>2</v>
      </c>
      <c r="G193" s="255">
        <v>1.84</v>
      </c>
      <c r="I193" s="160">
        <f t="shared" si="2"/>
        <v>43118.769999999982</v>
      </c>
    </row>
    <row r="194" spans="2:9" ht="19.5" x14ac:dyDescent="0.25">
      <c r="B194" s="148"/>
      <c r="C194" s="148" t="s">
        <v>17681</v>
      </c>
      <c r="D194" s="150">
        <v>43893</v>
      </c>
      <c r="E194" s="113" t="s">
        <v>17680</v>
      </c>
      <c r="F194" s="257">
        <v>2</v>
      </c>
      <c r="G194" s="255">
        <v>0.82</v>
      </c>
      <c r="I194" s="160">
        <f t="shared" si="2"/>
        <v>43119.589999999982</v>
      </c>
    </row>
    <row r="195" spans="2:9" x14ac:dyDescent="0.25">
      <c r="B195" s="148"/>
      <c r="C195" s="148" t="s">
        <v>17679</v>
      </c>
      <c r="D195" s="150">
        <v>43893</v>
      </c>
      <c r="E195" s="113" t="s">
        <v>17678</v>
      </c>
      <c r="F195" s="257">
        <v>2</v>
      </c>
      <c r="G195" s="255">
        <v>3.36</v>
      </c>
      <c r="I195" s="160">
        <f t="shared" si="2"/>
        <v>43122.949999999983</v>
      </c>
    </row>
    <row r="196" spans="2:9" x14ac:dyDescent="0.25">
      <c r="B196" s="148"/>
      <c r="C196" s="148" t="s">
        <v>17677</v>
      </c>
      <c r="D196" s="150">
        <v>43893</v>
      </c>
      <c r="E196" s="113" t="s">
        <v>17676</v>
      </c>
      <c r="F196" s="257">
        <v>2</v>
      </c>
      <c r="G196" s="255">
        <v>2.14</v>
      </c>
      <c r="I196" s="160">
        <f t="shared" si="2"/>
        <v>43125.089999999982</v>
      </c>
    </row>
    <row r="197" spans="2:9" ht="19.5" x14ac:dyDescent="0.25">
      <c r="B197" s="148"/>
      <c r="C197" s="148" t="s">
        <v>17675</v>
      </c>
      <c r="D197" s="150">
        <v>43893</v>
      </c>
      <c r="E197" s="113" t="s">
        <v>17674</v>
      </c>
      <c r="F197" s="257">
        <v>2</v>
      </c>
      <c r="G197" s="255">
        <v>10.42</v>
      </c>
      <c r="I197" s="160">
        <f t="shared" si="2"/>
        <v>43135.50999999998</v>
      </c>
    </row>
    <row r="198" spans="2:9" x14ac:dyDescent="0.25">
      <c r="B198" s="148"/>
      <c r="C198" s="148" t="s">
        <v>17673</v>
      </c>
      <c r="D198" s="150">
        <v>43893</v>
      </c>
      <c r="E198" s="113" t="s">
        <v>17672</v>
      </c>
      <c r="F198" s="257">
        <v>2</v>
      </c>
      <c r="G198" s="255">
        <v>50.19</v>
      </c>
      <c r="I198" s="160">
        <f t="shared" si="2"/>
        <v>43185.699999999983</v>
      </c>
    </row>
    <row r="199" spans="2:9" x14ac:dyDescent="0.25">
      <c r="B199" s="148"/>
      <c r="C199" s="148" t="s">
        <v>17671</v>
      </c>
      <c r="D199" s="150">
        <v>43893</v>
      </c>
      <c r="E199" s="113" t="s">
        <v>17670</v>
      </c>
      <c r="F199" s="257">
        <v>2</v>
      </c>
      <c r="G199" s="255">
        <v>3.47</v>
      </c>
      <c r="I199" s="160">
        <f t="shared" si="2"/>
        <v>43189.169999999984</v>
      </c>
    </row>
    <row r="200" spans="2:9" x14ac:dyDescent="0.25">
      <c r="B200" s="148"/>
      <c r="C200" s="148" t="s">
        <v>17669</v>
      </c>
      <c r="D200" s="150">
        <v>43893</v>
      </c>
      <c r="E200" s="113" t="s">
        <v>17668</v>
      </c>
      <c r="F200" s="257">
        <v>2</v>
      </c>
      <c r="G200" s="255">
        <v>4.1900000000000004</v>
      </c>
      <c r="I200" s="160">
        <f t="shared" si="2"/>
        <v>43193.359999999986</v>
      </c>
    </row>
    <row r="201" spans="2:9" x14ac:dyDescent="0.25">
      <c r="B201" s="148"/>
      <c r="C201" s="148" t="s">
        <v>17667</v>
      </c>
      <c r="D201" s="150">
        <v>43893</v>
      </c>
      <c r="E201" s="113" t="s">
        <v>17666</v>
      </c>
      <c r="F201" s="257">
        <v>2</v>
      </c>
      <c r="G201" s="255">
        <v>7.82</v>
      </c>
      <c r="I201" s="160">
        <f t="shared" si="2"/>
        <v>43201.179999999986</v>
      </c>
    </row>
    <row r="202" spans="2:9" ht="19.5" x14ac:dyDescent="0.25">
      <c r="B202" s="148"/>
      <c r="C202" s="148" t="s">
        <v>17665</v>
      </c>
      <c r="D202" s="150">
        <v>43893</v>
      </c>
      <c r="E202" s="113" t="s">
        <v>17664</v>
      </c>
      <c r="F202" s="257">
        <v>2</v>
      </c>
      <c r="G202" s="255">
        <v>3.36</v>
      </c>
      <c r="I202" s="160">
        <f t="shared" si="2"/>
        <v>43204.539999999986</v>
      </c>
    </row>
    <row r="203" spans="2:9" x14ac:dyDescent="0.25">
      <c r="B203" s="148"/>
      <c r="C203" s="148" t="s">
        <v>17663</v>
      </c>
      <c r="D203" s="150">
        <v>43893</v>
      </c>
      <c r="E203" s="113" t="s">
        <v>17662</v>
      </c>
      <c r="F203" s="257">
        <v>2</v>
      </c>
      <c r="G203" s="255">
        <v>4.1900000000000004</v>
      </c>
      <c r="I203" s="160">
        <f t="shared" si="2"/>
        <v>43208.729999999989</v>
      </c>
    </row>
    <row r="204" spans="2:9" x14ac:dyDescent="0.25">
      <c r="B204" s="148"/>
      <c r="C204" s="148" t="s">
        <v>17661</v>
      </c>
      <c r="D204" s="150">
        <v>43893</v>
      </c>
      <c r="E204" s="113" t="s">
        <v>17660</v>
      </c>
      <c r="F204" s="257">
        <v>2</v>
      </c>
      <c r="G204" s="255">
        <v>7.82</v>
      </c>
      <c r="I204" s="160">
        <f t="shared" si="2"/>
        <v>43216.549999999988</v>
      </c>
    </row>
    <row r="205" spans="2:9" x14ac:dyDescent="0.25">
      <c r="B205" s="148"/>
      <c r="C205" s="148" t="s">
        <v>17659</v>
      </c>
      <c r="D205" s="150">
        <v>43893</v>
      </c>
      <c r="E205" s="113" t="s">
        <v>17658</v>
      </c>
      <c r="F205" s="257">
        <v>2</v>
      </c>
      <c r="G205" s="255">
        <v>8.3800000000000008</v>
      </c>
      <c r="I205" s="160">
        <f t="shared" si="2"/>
        <v>43224.929999999986</v>
      </c>
    </row>
    <row r="206" spans="2:9" x14ac:dyDescent="0.25">
      <c r="B206" s="148"/>
      <c r="C206" s="148" t="s">
        <v>17657</v>
      </c>
      <c r="D206" s="150">
        <v>43893</v>
      </c>
      <c r="E206" s="113" t="s">
        <v>17656</v>
      </c>
      <c r="F206" s="257">
        <v>2</v>
      </c>
      <c r="G206" s="255">
        <v>8.77</v>
      </c>
      <c r="I206" s="160">
        <f t="shared" si="2"/>
        <v>43233.699999999983</v>
      </c>
    </row>
    <row r="207" spans="2:9" ht="19.5" x14ac:dyDescent="0.25">
      <c r="B207" s="148"/>
      <c r="C207" s="148" t="s">
        <v>17655</v>
      </c>
      <c r="D207" s="150">
        <v>43893</v>
      </c>
      <c r="E207" s="113" t="s">
        <v>17654</v>
      </c>
      <c r="F207" s="257">
        <v>2</v>
      </c>
      <c r="G207" s="255">
        <v>3.17</v>
      </c>
      <c r="I207" s="160">
        <f t="shared" si="2"/>
        <v>43236.869999999981</v>
      </c>
    </row>
    <row r="208" spans="2:9" ht="19.5" x14ac:dyDescent="0.25">
      <c r="B208" s="148"/>
      <c r="C208" s="148" t="s">
        <v>17653</v>
      </c>
      <c r="D208" s="150">
        <v>43893</v>
      </c>
      <c r="E208" s="113" t="s">
        <v>17652</v>
      </c>
      <c r="F208" s="257">
        <v>2</v>
      </c>
      <c r="G208" s="255">
        <v>7.82</v>
      </c>
      <c r="I208" s="160">
        <f t="shared" si="2"/>
        <v>43244.689999999981</v>
      </c>
    </row>
    <row r="209" spans="2:9" ht="19.5" x14ac:dyDescent="0.25">
      <c r="B209" s="148"/>
      <c r="C209" s="148" t="s">
        <v>17651</v>
      </c>
      <c r="D209" s="150">
        <v>43893</v>
      </c>
      <c r="E209" s="113" t="s">
        <v>17650</v>
      </c>
      <c r="F209" s="257">
        <v>2</v>
      </c>
      <c r="G209" s="255">
        <v>7.53</v>
      </c>
      <c r="I209" s="160">
        <f t="shared" si="2"/>
        <v>43252.219999999979</v>
      </c>
    </row>
    <row r="210" spans="2:9" x14ac:dyDescent="0.25">
      <c r="B210" s="148"/>
      <c r="C210" s="148" t="s">
        <v>17649</v>
      </c>
      <c r="D210" s="150">
        <v>43893</v>
      </c>
      <c r="E210" s="113" t="s">
        <v>17648</v>
      </c>
      <c r="F210" s="257">
        <v>2</v>
      </c>
      <c r="G210" s="255">
        <v>0.27</v>
      </c>
      <c r="I210" s="160">
        <f t="shared" si="2"/>
        <v>43252.489999999976</v>
      </c>
    </row>
    <row r="211" spans="2:9" x14ac:dyDescent="0.25">
      <c r="B211" s="148"/>
      <c r="C211" s="148" t="s">
        <v>17647</v>
      </c>
      <c r="D211" s="150">
        <v>43893</v>
      </c>
      <c r="E211" s="113" t="s">
        <v>17646</v>
      </c>
      <c r="F211" s="257">
        <v>2</v>
      </c>
      <c r="G211" s="255">
        <v>2.16</v>
      </c>
      <c r="I211" s="160">
        <f t="shared" si="2"/>
        <v>43254.64999999998</v>
      </c>
    </row>
    <row r="212" spans="2:9" x14ac:dyDescent="0.25">
      <c r="B212" s="148"/>
      <c r="C212" s="148" t="s">
        <v>17645</v>
      </c>
      <c r="D212" s="150">
        <v>43893</v>
      </c>
      <c r="E212" s="113" t="s">
        <v>17644</v>
      </c>
      <c r="F212" s="257">
        <v>2</v>
      </c>
      <c r="G212" s="255">
        <v>1.92</v>
      </c>
      <c r="I212" s="160">
        <f t="shared" ref="I212:I275" si="3">+I211+G212-H212</f>
        <v>43256.569999999978</v>
      </c>
    </row>
    <row r="213" spans="2:9" x14ac:dyDescent="0.25">
      <c r="B213" s="148"/>
      <c r="C213" s="148" t="s">
        <v>17643</v>
      </c>
      <c r="D213" s="150">
        <v>43893</v>
      </c>
      <c r="E213" s="113" t="s">
        <v>17642</v>
      </c>
      <c r="F213" s="257">
        <v>2</v>
      </c>
      <c r="G213" s="255">
        <v>8.3800000000000008</v>
      </c>
      <c r="I213" s="160">
        <f t="shared" si="3"/>
        <v>43264.949999999975</v>
      </c>
    </row>
    <row r="214" spans="2:9" x14ac:dyDescent="0.25">
      <c r="B214" s="148"/>
      <c r="C214" s="148" t="s">
        <v>17641</v>
      </c>
      <c r="D214" s="150">
        <v>43893</v>
      </c>
      <c r="E214" s="113" t="s">
        <v>17640</v>
      </c>
      <c r="F214" s="257">
        <v>2</v>
      </c>
      <c r="G214" s="255">
        <v>3.04</v>
      </c>
      <c r="I214" s="160">
        <f t="shared" si="3"/>
        <v>43267.989999999976</v>
      </c>
    </row>
    <row r="215" spans="2:9" x14ac:dyDescent="0.25">
      <c r="B215" s="148"/>
      <c r="C215" s="148" t="s">
        <v>17639</v>
      </c>
      <c r="D215" s="150">
        <v>43893</v>
      </c>
      <c r="E215" s="113" t="s">
        <v>17638</v>
      </c>
      <c r="F215" s="257">
        <v>2</v>
      </c>
      <c r="G215" s="255">
        <v>8.3800000000000008</v>
      </c>
      <c r="I215" s="160">
        <f t="shared" si="3"/>
        <v>43276.369999999974</v>
      </c>
    </row>
    <row r="216" spans="2:9" x14ac:dyDescent="0.25">
      <c r="B216" s="148"/>
      <c r="C216" s="148" t="s">
        <v>17637</v>
      </c>
      <c r="D216" s="150">
        <v>43893</v>
      </c>
      <c r="E216" s="113" t="s">
        <v>17636</v>
      </c>
      <c r="F216" s="257">
        <v>2</v>
      </c>
      <c r="G216" s="255">
        <v>36.01</v>
      </c>
      <c r="I216" s="160">
        <f t="shared" si="3"/>
        <v>43312.379999999976</v>
      </c>
    </row>
    <row r="217" spans="2:9" x14ac:dyDescent="0.25">
      <c r="B217" s="148"/>
      <c r="C217" s="148" t="s">
        <v>17635</v>
      </c>
      <c r="D217" s="150">
        <v>43893</v>
      </c>
      <c r="E217" s="113" t="s">
        <v>17634</v>
      </c>
      <c r="F217" s="257">
        <v>2</v>
      </c>
      <c r="G217" s="255">
        <v>8.44</v>
      </c>
      <c r="I217" s="160">
        <f t="shared" si="3"/>
        <v>43320.819999999978</v>
      </c>
    </row>
    <row r="218" spans="2:9" x14ac:dyDescent="0.25">
      <c r="B218" s="148"/>
      <c r="C218" s="148" t="s">
        <v>17633</v>
      </c>
      <c r="D218" s="150">
        <v>43893</v>
      </c>
      <c r="E218" s="113" t="s">
        <v>17632</v>
      </c>
      <c r="F218" s="257">
        <v>2</v>
      </c>
      <c r="G218" s="255">
        <v>8.3800000000000008</v>
      </c>
      <c r="I218" s="160">
        <f t="shared" si="3"/>
        <v>43329.199999999975</v>
      </c>
    </row>
    <row r="219" spans="2:9" x14ac:dyDescent="0.25">
      <c r="B219" s="148"/>
      <c r="C219" s="148" t="s">
        <v>17631</v>
      </c>
      <c r="D219" s="150">
        <v>43893</v>
      </c>
      <c r="E219" s="113" t="s">
        <v>17630</v>
      </c>
      <c r="F219" s="257">
        <v>2</v>
      </c>
      <c r="G219" s="255">
        <v>6.94</v>
      </c>
      <c r="I219" s="160">
        <f t="shared" si="3"/>
        <v>43336.139999999978</v>
      </c>
    </row>
    <row r="220" spans="2:9" x14ac:dyDescent="0.25">
      <c r="B220" s="148"/>
      <c r="C220" s="148" t="s">
        <v>17629</v>
      </c>
      <c r="D220" s="150">
        <v>43893</v>
      </c>
      <c r="E220" s="113" t="s">
        <v>17628</v>
      </c>
      <c r="F220" s="257">
        <v>2</v>
      </c>
      <c r="G220" s="255">
        <v>6.94</v>
      </c>
      <c r="I220" s="160">
        <f t="shared" si="3"/>
        <v>43343.07999999998</v>
      </c>
    </row>
    <row r="221" spans="2:9" x14ac:dyDescent="0.25">
      <c r="B221" s="148"/>
      <c r="C221" s="148" t="s">
        <v>17627</v>
      </c>
      <c r="D221" s="150">
        <v>43893</v>
      </c>
      <c r="E221" s="113" t="s">
        <v>17626</v>
      </c>
      <c r="F221" s="257">
        <v>2</v>
      </c>
      <c r="G221" s="255">
        <v>11.3</v>
      </c>
      <c r="I221" s="160">
        <f t="shared" si="3"/>
        <v>43354.379999999983</v>
      </c>
    </row>
    <row r="222" spans="2:9" ht="19.5" x14ac:dyDescent="0.25">
      <c r="B222" s="148"/>
      <c r="C222" s="148" t="s">
        <v>17625</v>
      </c>
      <c r="D222" s="150">
        <v>43893</v>
      </c>
      <c r="E222" s="113" t="s">
        <v>17624</v>
      </c>
      <c r="F222" s="257">
        <v>2</v>
      </c>
      <c r="G222" s="255">
        <v>6.4</v>
      </c>
      <c r="I222" s="160">
        <f t="shared" si="3"/>
        <v>43360.779999999984</v>
      </c>
    </row>
    <row r="223" spans="2:9" x14ac:dyDescent="0.25">
      <c r="B223" s="148"/>
      <c r="C223" s="148" t="s">
        <v>17623</v>
      </c>
      <c r="D223" s="150">
        <v>43893</v>
      </c>
      <c r="E223" s="113" t="s">
        <v>17622</v>
      </c>
      <c r="F223" s="257">
        <v>2</v>
      </c>
      <c r="G223" s="255">
        <v>4.3499999999999996</v>
      </c>
      <c r="I223" s="160">
        <f t="shared" si="3"/>
        <v>43365.129999999983</v>
      </c>
    </row>
    <row r="224" spans="2:9" x14ac:dyDescent="0.25">
      <c r="B224" s="148"/>
      <c r="C224" s="148" t="s">
        <v>17621</v>
      </c>
      <c r="D224" s="150">
        <v>43893</v>
      </c>
      <c r="E224" s="113" t="s">
        <v>17620</v>
      </c>
      <c r="F224" s="257">
        <v>2</v>
      </c>
      <c r="G224" s="255">
        <v>3.12</v>
      </c>
      <c r="I224" s="160">
        <f t="shared" si="3"/>
        <v>43368.249999999985</v>
      </c>
    </row>
    <row r="225" spans="2:9" x14ac:dyDescent="0.25">
      <c r="B225" s="148"/>
      <c r="C225" s="148" t="s">
        <v>17619</v>
      </c>
      <c r="D225" s="150">
        <v>43893</v>
      </c>
      <c r="E225" s="113" t="s">
        <v>17618</v>
      </c>
      <c r="F225" s="257">
        <v>2</v>
      </c>
      <c r="G225" s="255">
        <v>1.68</v>
      </c>
      <c r="I225" s="160">
        <f t="shared" si="3"/>
        <v>43369.929999999986</v>
      </c>
    </row>
    <row r="226" spans="2:9" x14ac:dyDescent="0.25">
      <c r="B226" s="148"/>
      <c r="C226" s="148" t="s">
        <v>17617</v>
      </c>
      <c r="D226" s="150">
        <v>43893</v>
      </c>
      <c r="E226" s="113" t="s">
        <v>17616</v>
      </c>
      <c r="F226" s="257">
        <v>2</v>
      </c>
      <c r="G226" s="255">
        <v>3.61</v>
      </c>
      <c r="I226" s="160">
        <f t="shared" si="3"/>
        <v>43373.539999999986</v>
      </c>
    </row>
    <row r="227" spans="2:9" x14ac:dyDescent="0.25">
      <c r="B227" s="148"/>
      <c r="C227" s="148" t="s">
        <v>17615</v>
      </c>
      <c r="D227" s="150">
        <v>43893</v>
      </c>
      <c r="E227" s="113" t="s">
        <v>17614</v>
      </c>
      <c r="F227" s="257">
        <v>2</v>
      </c>
      <c r="G227" s="255">
        <v>5.25</v>
      </c>
      <c r="I227" s="160">
        <f t="shared" si="3"/>
        <v>43378.789999999986</v>
      </c>
    </row>
    <row r="228" spans="2:9" ht="19.5" x14ac:dyDescent="0.25">
      <c r="B228" s="148"/>
      <c r="C228" s="148" t="s">
        <v>17613</v>
      </c>
      <c r="D228" s="150">
        <v>43893</v>
      </c>
      <c r="E228" s="113" t="s">
        <v>17612</v>
      </c>
      <c r="F228" s="257">
        <v>2</v>
      </c>
      <c r="G228" s="255">
        <v>1.68</v>
      </c>
      <c r="I228" s="160">
        <f t="shared" si="3"/>
        <v>43380.469999999987</v>
      </c>
    </row>
    <row r="229" spans="2:9" x14ac:dyDescent="0.25">
      <c r="B229" s="148"/>
      <c r="C229" s="148" t="s">
        <v>17611</v>
      </c>
      <c r="D229" s="150">
        <v>43893</v>
      </c>
      <c r="E229" s="113" t="s">
        <v>17610</v>
      </c>
      <c r="F229" s="257">
        <v>2</v>
      </c>
      <c r="G229" s="255">
        <v>15.3</v>
      </c>
      <c r="I229" s="160">
        <f t="shared" si="3"/>
        <v>43395.76999999999</v>
      </c>
    </row>
    <row r="230" spans="2:9" x14ac:dyDescent="0.25">
      <c r="B230" s="148"/>
      <c r="C230" s="148" t="s">
        <v>17609</v>
      </c>
      <c r="D230" s="150">
        <v>43893</v>
      </c>
      <c r="E230" s="113" t="s">
        <v>17608</v>
      </c>
      <c r="F230" s="257">
        <v>2</v>
      </c>
      <c r="G230" s="255">
        <v>15.3</v>
      </c>
      <c r="I230" s="160">
        <f t="shared" si="3"/>
        <v>43411.069999999992</v>
      </c>
    </row>
    <row r="231" spans="2:9" x14ac:dyDescent="0.25">
      <c r="B231" s="148"/>
      <c r="C231" s="148" t="s">
        <v>17607</v>
      </c>
      <c r="D231" s="150">
        <v>43893</v>
      </c>
      <c r="E231" s="113" t="s">
        <v>17606</v>
      </c>
      <c r="F231" s="257">
        <v>2</v>
      </c>
      <c r="G231" s="255">
        <v>15.3</v>
      </c>
      <c r="I231" s="160">
        <f t="shared" si="3"/>
        <v>43426.369999999995</v>
      </c>
    </row>
    <row r="232" spans="2:9" x14ac:dyDescent="0.25">
      <c r="B232" s="148"/>
      <c r="C232" s="148" t="s">
        <v>17605</v>
      </c>
      <c r="D232" s="150">
        <v>43893</v>
      </c>
      <c r="E232" s="113" t="s">
        <v>17604</v>
      </c>
      <c r="F232" s="257">
        <v>2</v>
      </c>
      <c r="G232" s="255">
        <v>5.42</v>
      </c>
      <c r="I232" s="160">
        <f t="shared" si="3"/>
        <v>43431.789999999994</v>
      </c>
    </row>
    <row r="233" spans="2:9" ht="19.5" x14ac:dyDescent="0.25">
      <c r="B233" s="148"/>
      <c r="C233" s="148" t="s">
        <v>17603</v>
      </c>
      <c r="D233" s="150">
        <v>43893</v>
      </c>
      <c r="E233" s="113" t="s">
        <v>17602</v>
      </c>
      <c r="F233" s="257">
        <v>2</v>
      </c>
      <c r="G233" s="255">
        <v>15.3</v>
      </c>
      <c r="I233" s="160">
        <f t="shared" si="3"/>
        <v>43447.09</v>
      </c>
    </row>
    <row r="234" spans="2:9" x14ac:dyDescent="0.25">
      <c r="B234" s="148"/>
      <c r="C234" s="148" t="s">
        <v>17601</v>
      </c>
      <c r="D234" s="150">
        <v>43893</v>
      </c>
      <c r="E234" s="113" t="s">
        <v>17600</v>
      </c>
      <c r="F234" s="257">
        <v>2</v>
      </c>
      <c r="G234" s="255">
        <v>66.63</v>
      </c>
      <c r="I234" s="160">
        <f t="shared" si="3"/>
        <v>43513.719999999994</v>
      </c>
    </row>
    <row r="235" spans="2:9" x14ac:dyDescent="0.25">
      <c r="B235" s="148"/>
      <c r="C235" s="148" t="s">
        <v>17599</v>
      </c>
      <c r="D235" s="150">
        <v>43893</v>
      </c>
      <c r="E235" s="113" t="s">
        <v>17598</v>
      </c>
      <c r="F235" s="257">
        <v>2</v>
      </c>
      <c r="G235" s="255">
        <v>1.68</v>
      </c>
      <c r="I235" s="160">
        <f t="shared" si="3"/>
        <v>43515.399999999994</v>
      </c>
    </row>
    <row r="236" spans="2:9" x14ac:dyDescent="0.25">
      <c r="B236" s="148"/>
      <c r="C236" s="148" t="s">
        <v>17597</v>
      </c>
      <c r="D236" s="150">
        <v>43893</v>
      </c>
      <c r="E236" s="113" t="s">
        <v>17596</v>
      </c>
      <c r="F236" s="257">
        <v>2</v>
      </c>
      <c r="G236" s="255">
        <v>5.94</v>
      </c>
      <c r="I236" s="160">
        <f t="shared" si="3"/>
        <v>43521.34</v>
      </c>
    </row>
    <row r="237" spans="2:9" x14ac:dyDescent="0.25">
      <c r="B237" s="148"/>
      <c r="C237" s="148" t="s">
        <v>17595</v>
      </c>
      <c r="D237" s="150">
        <v>43893</v>
      </c>
      <c r="E237" s="113" t="s">
        <v>17594</v>
      </c>
      <c r="F237" s="257">
        <v>2</v>
      </c>
      <c r="G237" s="255">
        <v>57.79</v>
      </c>
      <c r="I237" s="160">
        <f t="shared" si="3"/>
        <v>43579.13</v>
      </c>
    </row>
    <row r="238" spans="2:9" x14ac:dyDescent="0.25">
      <c r="B238" s="148"/>
      <c r="C238" s="148" t="s">
        <v>17593</v>
      </c>
      <c r="D238" s="150">
        <v>43893</v>
      </c>
      <c r="E238" s="113" t="s">
        <v>17592</v>
      </c>
      <c r="F238" s="257">
        <v>2</v>
      </c>
      <c r="G238" s="255">
        <v>2.15</v>
      </c>
      <c r="I238" s="160">
        <f t="shared" si="3"/>
        <v>43581.279999999999</v>
      </c>
    </row>
    <row r="239" spans="2:9" ht="19.5" x14ac:dyDescent="0.25">
      <c r="B239" s="148"/>
      <c r="C239" s="148" t="s">
        <v>17591</v>
      </c>
      <c r="D239" s="150">
        <v>43893</v>
      </c>
      <c r="E239" s="113" t="s">
        <v>17590</v>
      </c>
      <c r="F239" s="257">
        <v>2</v>
      </c>
      <c r="G239" s="255">
        <v>16.86</v>
      </c>
      <c r="I239" s="160">
        <f t="shared" si="3"/>
        <v>43598.14</v>
      </c>
    </row>
    <row r="240" spans="2:9" ht="19.5" x14ac:dyDescent="0.25">
      <c r="B240" s="148"/>
      <c r="C240" s="148" t="s">
        <v>17589</v>
      </c>
      <c r="D240" s="150">
        <v>43893</v>
      </c>
      <c r="E240" s="113" t="s">
        <v>17588</v>
      </c>
      <c r="F240" s="257">
        <v>2</v>
      </c>
      <c r="G240" s="255">
        <v>15.3</v>
      </c>
      <c r="I240" s="160">
        <f t="shared" si="3"/>
        <v>43613.440000000002</v>
      </c>
    </row>
    <row r="241" spans="2:9" ht="19.5" x14ac:dyDescent="0.25">
      <c r="B241" s="148"/>
      <c r="C241" s="148" t="s">
        <v>17587</v>
      </c>
      <c r="D241" s="150">
        <v>43893</v>
      </c>
      <c r="E241" s="113" t="s">
        <v>17586</v>
      </c>
      <c r="F241" s="257">
        <v>2</v>
      </c>
      <c r="G241" s="255">
        <v>1.68</v>
      </c>
      <c r="I241" s="160">
        <f t="shared" si="3"/>
        <v>43615.12</v>
      </c>
    </row>
    <row r="242" spans="2:9" x14ac:dyDescent="0.25">
      <c r="B242" s="148"/>
      <c r="C242" s="148" t="s">
        <v>17585</v>
      </c>
      <c r="D242" s="150">
        <v>43893</v>
      </c>
      <c r="E242" s="113" t="s">
        <v>17584</v>
      </c>
      <c r="F242" s="257">
        <v>2</v>
      </c>
      <c r="G242" s="255">
        <v>35.799999999999997</v>
      </c>
      <c r="I242" s="160">
        <f t="shared" si="3"/>
        <v>43650.920000000006</v>
      </c>
    </row>
    <row r="243" spans="2:9" ht="19.5" x14ac:dyDescent="0.25">
      <c r="B243" s="148"/>
      <c r="C243" s="148" t="s">
        <v>17583</v>
      </c>
      <c r="D243" s="150">
        <v>43893</v>
      </c>
      <c r="E243" s="113" t="s">
        <v>17582</v>
      </c>
      <c r="F243" s="257">
        <v>2</v>
      </c>
      <c r="G243" s="255">
        <v>5.1100000000000003</v>
      </c>
      <c r="I243" s="160">
        <f t="shared" si="3"/>
        <v>43656.030000000006</v>
      </c>
    </row>
    <row r="244" spans="2:9" x14ac:dyDescent="0.25">
      <c r="B244" s="148"/>
      <c r="C244" s="148" t="s">
        <v>17581</v>
      </c>
      <c r="D244" s="150">
        <v>43893</v>
      </c>
      <c r="E244" s="113" t="s">
        <v>17580</v>
      </c>
      <c r="F244" s="257">
        <v>2</v>
      </c>
      <c r="G244" s="255">
        <v>1.78</v>
      </c>
      <c r="I244" s="160">
        <f t="shared" si="3"/>
        <v>43657.810000000005</v>
      </c>
    </row>
    <row r="245" spans="2:9" x14ac:dyDescent="0.25">
      <c r="B245" s="148"/>
      <c r="C245" s="148" t="s">
        <v>17579</v>
      </c>
      <c r="D245" s="150">
        <v>43893</v>
      </c>
      <c r="E245" s="113" t="s">
        <v>17578</v>
      </c>
      <c r="F245" s="257">
        <v>2</v>
      </c>
      <c r="G245" s="255">
        <v>3.04</v>
      </c>
      <c r="I245" s="160">
        <f t="shared" si="3"/>
        <v>43660.850000000006</v>
      </c>
    </row>
    <row r="246" spans="2:9" x14ac:dyDescent="0.25">
      <c r="B246" s="148"/>
      <c r="C246" s="148" t="s">
        <v>17577</v>
      </c>
      <c r="D246" s="150">
        <v>43893</v>
      </c>
      <c r="E246" s="113" t="s">
        <v>17576</v>
      </c>
      <c r="F246" s="257">
        <v>2</v>
      </c>
      <c r="G246" s="255">
        <v>2.5299999999999998</v>
      </c>
      <c r="I246" s="160">
        <f t="shared" si="3"/>
        <v>43663.380000000005</v>
      </c>
    </row>
    <row r="247" spans="2:9" ht="19.5" x14ac:dyDescent="0.25">
      <c r="B247" s="148"/>
      <c r="C247" s="148" t="s">
        <v>17575</v>
      </c>
      <c r="D247" s="150">
        <v>43893</v>
      </c>
      <c r="E247" s="113" t="s">
        <v>17574</v>
      </c>
      <c r="F247" s="257">
        <v>2</v>
      </c>
      <c r="G247" s="255">
        <v>9.25</v>
      </c>
      <c r="I247" s="160">
        <f t="shared" si="3"/>
        <v>43672.630000000005</v>
      </c>
    </row>
    <row r="248" spans="2:9" ht="19.5" x14ac:dyDescent="0.25">
      <c r="B248" s="148"/>
      <c r="C248" s="148" t="s">
        <v>17573</v>
      </c>
      <c r="D248" s="150">
        <v>43893</v>
      </c>
      <c r="E248" s="113" t="s">
        <v>17572</v>
      </c>
      <c r="F248" s="257">
        <v>2</v>
      </c>
      <c r="G248" s="255">
        <v>3.55</v>
      </c>
      <c r="I248" s="160">
        <f t="shared" si="3"/>
        <v>43676.180000000008</v>
      </c>
    </row>
    <row r="249" spans="2:9" ht="19.5" x14ac:dyDescent="0.25">
      <c r="B249" s="148"/>
      <c r="C249" s="148" t="s">
        <v>17571</v>
      </c>
      <c r="D249" s="150">
        <v>43893</v>
      </c>
      <c r="E249" s="113" t="s">
        <v>17570</v>
      </c>
      <c r="F249" s="257">
        <v>2</v>
      </c>
      <c r="G249" s="255">
        <v>16.760000000000002</v>
      </c>
      <c r="I249" s="160">
        <f t="shared" si="3"/>
        <v>43692.94000000001</v>
      </c>
    </row>
    <row r="250" spans="2:9" ht="19.5" x14ac:dyDescent="0.25">
      <c r="B250" s="148"/>
      <c r="C250" s="148" t="s">
        <v>17569</v>
      </c>
      <c r="D250" s="150">
        <v>43893</v>
      </c>
      <c r="E250" s="113" t="s">
        <v>17568</v>
      </c>
      <c r="F250" s="257">
        <v>2</v>
      </c>
      <c r="G250" s="255">
        <v>15.3</v>
      </c>
      <c r="I250" s="160">
        <f t="shared" si="3"/>
        <v>43708.240000000013</v>
      </c>
    </row>
    <row r="251" spans="2:9" x14ac:dyDescent="0.25">
      <c r="B251" s="148"/>
      <c r="C251" s="148" t="s">
        <v>17567</v>
      </c>
      <c r="D251" s="150">
        <v>43893</v>
      </c>
      <c r="E251" s="113" t="s">
        <v>17566</v>
      </c>
      <c r="F251" s="257">
        <v>2</v>
      </c>
      <c r="G251" s="255">
        <v>7.25</v>
      </c>
      <c r="I251" s="160">
        <f t="shared" si="3"/>
        <v>43715.490000000013</v>
      </c>
    </row>
    <row r="252" spans="2:9" ht="29.25" x14ac:dyDescent="0.25">
      <c r="B252" s="148"/>
      <c r="C252" s="148" t="s">
        <v>15972</v>
      </c>
      <c r="D252" s="150">
        <v>43893</v>
      </c>
      <c r="E252" s="113" t="s">
        <v>17565</v>
      </c>
      <c r="F252" s="257" t="s">
        <v>14437</v>
      </c>
      <c r="G252" s="160">
        <v>2.78</v>
      </c>
      <c r="I252" s="160">
        <f t="shared" si="3"/>
        <v>43718.270000000011</v>
      </c>
    </row>
    <row r="253" spans="2:9" ht="39" x14ac:dyDescent="0.25">
      <c r="B253" s="148"/>
      <c r="C253" s="148" t="s">
        <v>1926</v>
      </c>
      <c r="D253" s="150">
        <v>43893</v>
      </c>
      <c r="E253" s="113" t="s">
        <v>17564</v>
      </c>
      <c r="F253" s="257" t="s">
        <v>14438</v>
      </c>
      <c r="G253" s="258">
        <v>240.38</v>
      </c>
      <c r="I253" s="160">
        <f t="shared" si="3"/>
        <v>43958.650000000009</v>
      </c>
    </row>
    <row r="254" spans="2:9" ht="19.5" x14ac:dyDescent="0.25">
      <c r="B254" s="148"/>
      <c r="C254" s="148" t="s">
        <v>1924</v>
      </c>
      <c r="D254" s="150">
        <v>43893</v>
      </c>
      <c r="E254" s="113" t="s">
        <v>17563</v>
      </c>
      <c r="F254" s="257" t="s">
        <v>14438</v>
      </c>
      <c r="G254" s="258">
        <v>5.89</v>
      </c>
      <c r="I254" s="160">
        <f t="shared" si="3"/>
        <v>43964.540000000008</v>
      </c>
    </row>
    <row r="255" spans="2:9" ht="48.75" x14ac:dyDescent="0.25">
      <c r="B255" s="148"/>
      <c r="C255" s="148" t="s">
        <v>17562</v>
      </c>
      <c r="D255" s="150">
        <v>43893</v>
      </c>
      <c r="E255" s="113" t="s">
        <v>17561</v>
      </c>
      <c r="F255" s="257" t="s">
        <v>14438</v>
      </c>
      <c r="G255" s="258">
        <v>73.599999999999994</v>
      </c>
      <c r="I255" s="160">
        <f t="shared" si="3"/>
        <v>44038.140000000007</v>
      </c>
    </row>
    <row r="256" spans="2:9" ht="29.25" x14ac:dyDescent="0.25">
      <c r="B256" s="148"/>
      <c r="C256" s="148" t="s">
        <v>1742</v>
      </c>
      <c r="D256" s="150">
        <v>43893</v>
      </c>
      <c r="E256" s="113" t="s">
        <v>17560</v>
      </c>
      <c r="F256" s="257" t="s">
        <v>14433</v>
      </c>
      <c r="H256" s="161">
        <v>326.13</v>
      </c>
      <c r="I256" s="160">
        <f t="shared" si="3"/>
        <v>43712.010000000009</v>
      </c>
    </row>
    <row r="257" spans="2:11" ht="19.5" x14ac:dyDescent="0.25">
      <c r="B257" s="148"/>
      <c r="C257" s="148" t="s">
        <v>17559</v>
      </c>
      <c r="D257" s="150">
        <v>43894</v>
      </c>
      <c r="E257" s="113" t="s">
        <v>17558</v>
      </c>
      <c r="F257" s="257" t="s">
        <v>14408</v>
      </c>
      <c r="G257" s="258">
        <v>9.23</v>
      </c>
      <c r="I257" s="160">
        <f t="shared" si="3"/>
        <v>43721.240000000013</v>
      </c>
    </row>
    <row r="258" spans="2:11" ht="19.5" x14ac:dyDescent="0.25">
      <c r="B258" s="148"/>
      <c r="C258" s="148" t="s">
        <v>17557</v>
      </c>
      <c r="D258" s="150">
        <v>43894</v>
      </c>
      <c r="E258" s="113" t="s">
        <v>17556</v>
      </c>
      <c r="F258" s="257" t="s">
        <v>14441</v>
      </c>
      <c r="G258" s="258">
        <v>6.05</v>
      </c>
      <c r="I258" s="160">
        <f t="shared" si="3"/>
        <v>43727.290000000015</v>
      </c>
      <c r="J258" s="160"/>
      <c r="K258" s="152"/>
    </row>
    <row r="259" spans="2:11" ht="19.5" x14ac:dyDescent="0.25">
      <c r="B259" s="148"/>
      <c r="C259" s="148" t="s">
        <v>17555</v>
      </c>
      <c r="D259" s="150">
        <v>43894</v>
      </c>
      <c r="E259" s="113" t="s">
        <v>17554</v>
      </c>
      <c r="F259" s="257" t="s">
        <v>14441</v>
      </c>
      <c r="G259" s="258">
        <v>24.6</v>
      </c>
      <c r="I259" s="160">
        <f t="shared" si="3"/>
        <v>43751.890000000014</v>
      </c>
      <c r="J259" s="160"/>
      <c r="K259" s="152"/>
    </row>
    <row r="260" spans="2:11" x14ac:dyDescent="0.25">
      <c r="B260" s="148"/>
      <c r="C260" s="148" t="s">
        <v>17553</v>
      </c>
      <c r="D260" s="150">
        <v>43894</v>
      </c>
      <c r="E260" s="113" t="s">
        <v>17552</v>
      </c>
      <c r="F260" s="257" t="s">
        <v>14441</v>
      </c>
      <c r="G260" s="258">
        <v>3.05</v>
      </c>
      <c r="I260" s="160">
        <f t="shared" si="3"/>
        <v>43754.940000000017</v>
      </c>
      <c r="J260" s="160"/>
      <c r="K260" s="152"/>
    </row>
    <row r="261" spans="2:11" x14ac:dyDescent="0.25">
      <c r="B261" s="148"/>
      <c r="C261" s="148" t="s">
        <v>17551</v>
      </c>
      <c r="D261" s="150">
        <v>43894</v>
      </c>
      <c r="E261" s="113" t="s">
        <v>17550</v>
      </c>
      <c r="F261" s="257" t="s">
        <v>14441</v>
      </c>
      <c r="G261" s="258">
        <v>8.3800000000000008</v>
      </c>
      <c r="I261" s="160">
        <f t="shared" si="3"/>
        <v>43763.320000000014</v>
      </c>
      <c r="J261" s="160"/>
      <c r="K261" s="152"/>
    </row>
    <row r="262" spans="2:11" x14ac:dyDescent="0.25">
      <c r="B262" s="148"/>
      <c r="C262" s="148" t="s">
        <v>17549</v>
      </c>
      <c r="D262" s="150">
        <v>43894</v>
      </c>
      <c r="E262" s="113" t="s">
        <v>17548</v>
      </c>
      <c r="F262" s="257" t="s">
        <v>14437</v>
      </c>
      <c r="G262" s="160">
        <v>68.790000000000006</v>
      </c>
      <c r="I262" s="160">
        <f t="shared" si="3"/>
        <v>43832.110000000015</v>
      </c>
      <c r="J262" s="160">
        <v>11.84</v>
      </c>
      <c r="K262" s="152"/>
    </row>
    <row r="263" spans="2:11" ht="19.5" x14ac:dyDescent="0.25">
      <c r="B263" s="148"/>
      <c r="C263" s="148" t="s">
        <v>17547</v>
      </c>
      <c r="D263" s="150">
        <v>43894</v>
      </c>
      <c r="E263" s="113" t="s">
        <v>17546</v>
      </c>
      <c r="F263" s="257" t="s">
        <v>14437</v>
      </c>
      <c r="G263" s="160">
        <v>3.29</v>
      </c>
      <c r="I263" s="160">
        <f t="shared" si="3"/>
        <v>43835.400000000016</v>
      </c>
      <c r="J263" s="160">
        <v>1.71</v>
      </c>
      <c r="K263" s="152"/>
    </row>
    <row r="264" spans="2:11" x14ac:dyDescent="0.25">
      <c r="B264" s="148"/>
      <c r="C264" s="148" t="s">
        <v>17545</v>
      </c>
      <c r="D264" s="150">
        <v>43894</v>
      </c>
      <c r="E264" s="113" t="s">
        <v>17544</v>
      </c>
      <c r="F264" s="257" t="s">
        <v>14441</v>
      </c>
      <c r="G264" s="258">
        <v>11.84</v>
      </c>
      <c r="I264" s="160">
        <f t="shared" si="3"/>
        <v>43847.240000000013</v>
      </c>
      <c r="J264" s="160"/>
      <c r="K264" s="152"/>
    </row>
    <row r="265" spans="2:11" x14ac:dyDescent="0.25">
      <c r="B265" s="148"/>
      <c r="C265" s="148" t="s">
        <v>17543</v>
      </c>
      <c r="D265" s="150">
        <v>43894</v>
      </c>
      <c r="E265" s="113" t="s">
        <v>17542</v>
      </c>
      <c r="F265" s="257" t="s">
        <v>14441</v>
      </c>
      <c r="G265" s="258">
        <v>1.71</v>
      </c>
      <c r="I265" s="160">
        <f t="shared" si="3"/>
        <v>43848.950000000012</v>
      </c>
      <c r="J265" s="160"/>
      <c r="K265" s="152"/>
    </row>
    <row r="266" spans="2:11" ht="19.5" x14ac:dyDescent="0.25">
      <c r="B266" s="148"/>
      <c r="C266" s="148" t="s">
        <v>17541</v>
      </c>
      <c r="D266" s="150">
        <v>43894</v>
      </c>
      <c r="E266" s="113" t="s">
        <v>17540</v>
      </c>
      <c r="F266" s="257" t="s">
        <v>14441</v>
      </c>
      <c r="G266" s="258">
        <v>16.32</v>
      </c>
      <c r="I266" s="160">
        <f t="shared" si="3"/>
        <v>43865.270000000011</v>
      </c>
      <c r="J266" s="160"/>
    </row>
    <row r="267" spans="2:11" ht="19.5" x14ac:dyDescent="0.25">
      <c r="B267" s="148"/>
      <c r="C267" s="148" t="s">
        <v>17539</v>
      </c>
      <c r="D267" s="150">
        <v>43894</v>
      </c>
      <c r="E267" s="113" t="s">
        <v>17538</v>
      </c>
      <c r="F267" s="257" t="s">
        <v>14436</v>
      </c>
      <c r="G267" s="160">
        <v>45.18</v>
      </c>
      <c r="I267" s="160">
        <f t="shared" si="3"/>
        <v>43910.450000000012</v>
      </c>
    </row>
    <row r="268" spans="2:11" ht="19.5" x14ac:dyDescent="0.25">
      <c r="B268" s="148"/>
      <c r="C268" s="148" t="s">
        <v>17537</v>
      </c>
      <c r="D268" s="150">
        <v>43894</v>
      </c>
      <c r="E268" s="113" t="s">
        <v>17536</v>
      </c>
      <c r="F268" s="257" t="s">
        <v>14441</v>
      </c>
      <c r="G268" s="258">
        <v>95.41</v>
      </c>
      <c r="I268" s="160">
        <f t="shared" si="3"/>
        <v>44005.860000000015</v>
      </c>
      <c r="J268" s="160"/>
      <c r="K268" s="317"/>
    </row>
    <row r="269" spans="2:11" ht="19.5" x14ac:dyDescent="0.25">
      <c r="B269" s="148"/>
      <c r="C269" s="148" t="s">
        <v>17535</v>
      </c>
      <c r="D269" s="150">
        <v>43894</v>
      </c>
      <c r="E269" s="113" t="s">
        <v>17534</v>
      </c>
      <c r="F269" s="257" t="s">
        <v>14408</v>
      </c>
      <c r="G269" s="258">
        <v>21.81</v>
      </c>
      <c r="I269" s="160">
        <f t="shared" si="3"/>
        <v>44027.670000000013</v>
      </c>
    </row>
    <row r="270" spans="2:11" ht="19.5" x14ac:dyDescent="0.25">
      <c r="B270" s="148"/>
      <c r="C270" s="148" t="s">
        <v>17533</v>
      </c>
      <c r="D270" s="150">
        <v>43894</v>
      </c>
      <c r="E270" s="113" t="s">
        <v>17532</v>
      </c>
      <c r="F270" s="257" t="s">
        <v>14408</v>
      </c>
      <c r="G270" s="258">
        <v>6.58</v>
      </c>
      <c r="I270" s="160">
        <f t="shared" si="3"/>
        <v>44034.250000000015</v>
      </c>
    </row>
    <row r="271" spans="2:11" ht="19.5" x14ac:dyDescent="0.25">
      <c r="B271" s="148"/>
      <c r="C271" s="148" t="s">
        <v>17531</v>
      </c>
      <c r="D271" s="150">
        <v>43894</v>
      </c>
      <c r="E271" s="113" t="s">
        <v>17530</v>
      </c>
      <c r="F271" s="257" t="s">
        <v>14408</v>
      </c>
      <c r="G271" s="258">
        <v>5.04</v>
      </c>
      <c r="I271" s="160">
        <f t="shared" si="3"/>
        <v>44039.290000000015</v>
      </c>
    </row>
    <row r="272" spans="2:11" ht="19.5" x14ac:dyDescent="0.25">
      <c r="B272" s="148"/>
      <c r="C272" s="148" t="s">
        <v>17529</v>
      </c>
      <c r="D272" s="150">
        <v>43894</v>
      </c>
      <c r="E272" s="113" t="s">
        <v>17528</v>
      </c>
      <c r="F272" s="257" t="s">
        <v>14408</v>
      </c>
      <c r="G272" s="258">
        <v>18.760000000000002</v>
      </c>
      <c r="I272" s="160">
        <f t="shared" si="3"/>
        <v>44058.050000000017</v>
      </c>
    </row>
    <row r="273" spans="2:9" x14ac:dyDescent="0.25">
      <c r="B273" s="148"/>
      <c r="C273" s="148" t="s">
        <v>17527</v>
      </c>
      <c r="D273" s="150">
        <v>43894</v>
      </c>
      <c r="E273" s="113" t="s">
        <v>17526</v>
      </c>
      <c r="F273" s="257" t="s">
        <v>14408</v>
      </c>
      <c r="G273" s="258">
        <v>2.7</v>
      </c>
      <c r="I273" s="160">
        <f t="shared" si="3"/>
        <v>44060.750000000015</v>
      </c>
    </row>
    <row r="274" spans="2:9" x14ac:dyDescent="0.25">
      <c r="B274" s="148"/>
      <c r="C274" s="148" t="s">
        <v>17525</v>
      </c>
      <c r="D274" s="150">
        <v>43894</v>
      </c>
      <c r="E274" s="113" t="s">
        <v>17524</v>
      </c>
      <c r="F274" s="257" t="s">
        <v>14408</v>
      </c>
      <c r="G274" s="258">
        <v>8.3800000000000008</v>
      </c>
      <c r="I274" s="160">
        <f t="shared" si="3"/>
        <v>44069.130000000012</v>
      </c>
    </row>
    <row r="275" spans="2:9" ht="19.5" x14ac:dyDescent="0.25">
      <c r="B275" s="148"/>
      <c r="C275" s="148" t="s">
        <v>17523</v>
      </c>
      <c r="D275" s="150">
        <v>43894</v>
      </c>
      <c r="E275" s="113" t="s">
        <v>17522</v>
      </c>
      <c r="F275" s="257" t="s">
        <v>14408</v>
      </c>
      <c r="G275" s="258">
        <v>2.94</v>
      </c>
      <c r="I275" s="160">
        <f t="shared" si="3"/>
        <v>44072.070000000014</v>
      </c>
    </row>
    <row r="276" spans="2:9" x14ac:dyDescent="0.25">
      <c r="B276" s="148"/>
      <c r="C276" s="148" t="s">
        <v>17521</v>
      </c>
      <c r="D276" s="150">
        <v>43894</v>
      </c>
      <c r="E276" s="113" t="s">
        <v>17520</v>
      </c>
      <c r="F276" s="257" t="s">
        <v>14408</v>
      </c>
      <c r="G276" s="258">
        <v>8.3800000000000008</v>
      </c>
      <c r="I276" s="160">
        <f t="shared" ref="I276:I339" si="4">+I275+G276-H276</f>
        <v>44080.450000000012</v>
      </c>
    </row>
    <row r="277" spans="2:9" ht="19.5" x14ac:dyDescent="0.25">
      <c r="B277" s="148"/>
      <c r="C277" s="148" t="s">
        <v>17519</v>
      </c>
      <c r="D277" s="150">
        <v>43894</v>
      </c>
      <c r="E277" s="113" t="s">
        <v>17518</v>
      </c>
      <c r="F277" s="257" t="s">
        <v>14408</v>
      </c>
      <c r="G277" s="258">
        <v>1.82</v>
      </c>
      <c r="I277" s="160">
        <f t="shared" si="4"/>
        <v>44082.270000000011</v>
      </c>
    </row>
    <row r="278" spans="2:9" ht="19.5" x14ac:dyDescent="0.25">
      <c r="B278" s="148"/>
      <c r="C278" s="148" t="s">
        <v>17517</v>
      </c>
      <c r="D278" s="150">
        <v>43894</v>
      </c>
      <c r="E278" s="113" t="s">
        <v>17516</v>
      </c>
      <c r="F278" s="257" t="s">
        <v>14408</v>
      </c>
      <c r="G278" s="258">
        <v>4.1100000000000003</v>
      </c>
      <c r="I278" s="160">
        <f t="shared" si="4"/>
        <v>44086.380000000012</v>
      </c>
    </row>
    <row r="279" spans="2:9" ht="19.5" x14ac:dyDescent="0.25">
      <c r="B279" s="148"/>
      <c r="C279" s="148" t="s">
        <v>17515</v>
      </c>
      <c r="D279" s="150">
        <v>43894</v>
      </c>
      <c r="E279" s="113" t="s">
        <v>17514</v>
      </c>
      <c r="F279" s="257" t="s">
        <v>14408</v>
      </c>
      <c r="G279" s="258">
        <v>1.83</v>
      </c>
      <c r="I279" s="160">
        <f t="shared" si="4"/>
        <v>44088.210000000014</v>
      </c>
    </row>
    <row r="280" spans="2:9" ht="19.5" x14ac:dyDescent="0.25">
      <c r="B280" s="148"/>
      <c r="C280" s="148" t="s">
        <v>17513</v>
      </c>
      <c r="D280" s="150">
        <v>43894</v>
      </c>
      <c r="E280" s="113" t="s">
        <v>17512</v>
      </c>
      <c r="F280" s="257" t="s">
        <v>14408</v>
      </c>
      <c r="G280" s="258">
        <v>39.409999999999997</v>
      </c>
      <c r="I280" s="160">
        <f t="shared" si="4"/>
        <v>44127.620000000017</v>
      </c>
    </row>
    <row r="281" spans="2:9" x14ac:dyDescent="0.25">
      <c r="B281" s="148"/>
      <c r="C281" s="148" t="s">
        <v>17511</v>
      </c>
      <c r="D281" s="150">
        <v>43894</v>
      </c>
      <c r="E281" s="113" t="s">
        <v>17510</v>
      </c>
      <c r="F281" s="257" t="s">
        <v>14408</v>
      </c>
      <c r="G281" s="258">
        <v>3.36</v>
      </c>
      <c r="I281" s="160">
        <f t="shared" si="4"/>
        <v>44130.980000000018</v>
      </c>
    </row>
    <row r="282" spans="2:9" x14ac:dyDescent="0.25">
      <c r="B282" s="148"/>
      <c r="C282" s="148" t="s">
        <v>17509</v>
      </c>
      <c r="D282" s="150">
        <v>43894</v>
      </c>
      <c r="E282" s="113" t="s">
        <v>17508</v>
      </c>
      <c r="F282" s="257" t="s">
        <v>14408</v>
      </c>
      <c r="G282" s="258">
        <v>1.86</v>
      </c>
      <c r="I282" s="160">
        <f t="shared" si="4"/>
        <v>44132.840000000018</v>
      </c>
    </row>
    <row r="283" spans="2:9" x14ac:dyDescent="0.25">
      <c r="B283" s="148"/>
      <c r="C283" s="148" t="s">
        <v>17507</v>
      </c>
      <c r="D283" s="150">
        <v>43894</v>
      </c>
      <c r="E283" s="113" t="s">
        <v>17506</v>
      </c>
      <c r="F283" s="257" t="s">
        <v>14408</v>
      </c>
      <c r="G283" s="258">
        <v>10.53</v>
      </c>
      <c r="I283" s="160">
        <f t="shared" si="4"/>
        <v>44143.370000000017</v>
      </c>
    </row>
    <row r="284" spans="2:9" x14ac:dyDescent="0.25">
      <c r="B284" s="148"/>
      <c r="C284" s="148" t="s">
        <v>17505</v>
      </c>
      <c r="D284" s="150">
        <v>43894</v>
      </c>
      <c r="E284" s="113" t="s">
        <v>17504</v>
      </c>
      <c r="F284" s="257" t="s">
        <v>14408</v>
      </c>
      <c r="G284" s="258">
        <v>26.95</v>
      </c>
      <c r="I284" s="160">
        <f t="shared" si="4"/>
        <v>44170.320000000014</v>
      </c>
    </row>
    <row r="285" spans="2:9" x14ac:dyDescent="0.25">
      <c r="B285" s="148"/>
      <c r="C285" s="148" t="s">
        <v>17503</v>
      </c>
      <c r="D285" s="150">
        <v>43894</v>
      </c>
      <c r="E285" s="113" t="s">
        <v>17502</v>
      </c>
      <c r="F285" s="257" t="s">
        <v>14408</v>
      </c>
      <c r="G285" s="258">
        <v>13.54</v>
      </c>
      <c r="I285" s="160">
        <f t="shared" si="4"/>
        <v>44183.860000000015</v>
      </c>
    </row>
    <row r="286" spans="2:9" x14ac:dyDescent="0.25">
      <c r="B286" s="148"/>
      <c r="C286" s="148" t="s">
        <v>17501</v>
      </c>
      <c r="D286" s="150">
        <v>43894</v>
      </c>
      <c r="E286" s="113" t="s">
        <v>17500</v>
      </c>
      <c r="F286" s="257" t="s">
        <v>14408</v>
      </c>
      <c r="G286" s="258">
        <v>20.059999999999999</v>
      </c>
      <c r="I286" s="160">
        <f t="shared" si="4"/>
        <v>44203.920000000013</v>
      </c>
    </row>
    <row r="287" spans="2:9" x14ac:dyDescent="0.25">
      <c r="B287" s="148"/>
      <c r="C287" s="148" t="s">
        <v>17499</v>
      </c>
      <c r="D287" s="150">
        <v>43894</v>
      </c>
      <c r="E287" s="113" t="s">
        <v>17498</v>
      </c>
      <c r="F287" s="257" t="s">
        <v>14408</v>
      </c>
      <c r="G287" s="258">
        <v>9.82</v>
      </c>
      <c r="I287" s="160">
        <f t="shared" si="4"/>
        <v>44213.740000000013</v>
      </c>
    </row>
    <row r="288" spans="2:9" ht="19.5" x14ac:dyDescent="0.25">
      <c r="B288" s="148"/>
      <c r="C288" s="148" t="s">
        <v>17497</v>
      </c>
      <c r="D288" s="150">
        <v>43894</v>
      </c>
      <c r="E288" s="113" t="s">
        <v>17496</v>
      </c>
      <c r="F288" s="257" t="s">
        <v>14408</v>
      </c>
      <c r="G288" s="258">
        <v>1.08</v>
      </c>
      <c r="I288" s="160">
        <f t="shared" si="4"/>
        <v>44214.820000000014</v>
      </c>
    </row>
    <row r="289" spans="2:9" ht="19.5" x14ac:dyDescent="0.25">
      <c r="B289" s="148"/>
      <c r="C289" s="148" t="s">
        <v>17495</v>
      </c>
      <c r="D289" s="150">
        <v>43894</v>
      </c>
      <c r="E289" s="113" t="s">
        <v>17494</v>
      </c>
      <c r="F289" s="257" t="s">
        <v>14408</v>
      </c>
      <c r="G289" s="258">
        <v>3.72</v>
      </c>
      <c r="I289" s="160">
        <f t="shared" si="4"/>
        <v>44218.540000000015</v>
      </c>
    </row>
    <row r="290" spans="2:9" x14ac:dyDescent="0.25">
      <c r="B290" s="148"/>
      <c r="C290" s="148" t="s">
        <v>17493</v>
      </c>
      <c r="D290" s="150">
        <v>43894</v>
      </c>
      <c r="E290" s="113" t="s">
        <v>17492</v>
      </c>
      <c r="F290" s="257" t="s">
        <v>14408</v>
      </c>
      <c r="G290" s="258">
        <v>4.3499999999999996</v>
      </c>
      <c r="I290" s="160">
        <f t="shared" si="4"/>
        <v>44222.890000000014</v>
      </c>
    </row>
    <row r="291" spans="2:9" x14ac:dyDescent="0.25">
      <c r="B291" s="148"/>
      <c r="C291" s="148" t="s">
        <v>17491</v>
      </c>
      <c r="D291" s="150">
        <v>43894</v>
      </c>
      <c r="E291" s="113" t="s">
        <v>17490</v>
      </c>
      <c r="F291" s="257" t="s">
        <v>14408</v>
      </c>
      <c r="G291" s="258">
        <v>6.61</v>
      </c>
      <c r="I291" s="160">
        <f t="shared" si="4"/>
        <v>44229.500000000015</v>
      </c>
    </row>
    <row r="292" spans="2:9" ht="19.5" x14ac:dyDescent="0.25">
      <c r="B292" s="148"/>
      <c r="C292" s="148" t="s">
        <v>17489</v>
      </c>
      <c r="D292" s="150">
        <v>43894</v>
      </c>
      <c r="E292" s="113" t="s">
        <v>17488</v>
      </c>
      <c r="F292" s="257" t="s">
        <v>14408</v>
      </c>
      <c r="G292" s="258">
        <v>3.36</v>
      </c>
      <c r="I292" s="160">
        <f t="shared" si="4"/>
        <v>44232.860000000015</v>
      </c>
    </row>
    <row r="293" spans="2:9" ht="19.5" x14ac:dyDescent="0.25">
      <c r="B293" s="148"/>
      <c r="C293" s="148" t="s">
        <v>17487</v>
      </c>
      <c r="D293" s="150">
        <v>43894</v>
      </c>
      <c r="E293" s="113" t="s">
        <v>17486</v>
      </c>
      <c r="F293" s="257" t="s">
        <v>14408</v>
      </c>
      <c r="G293" s="258">
        <v>4.08</v>
      </c>
      <c r="I293" s="160">
        <f t="shared" si="4"/>
        <v>44236.940000000017</v>
      </c>
    </row>
    <row r="294" spans="2:9" ht="19.5" x14ac:dyDescent="0.25">
      <c r="B294" s="148"/>
      <c r="C294" s="148" t="s">
        <v>17485</v>
      </c>
      <c r="D294" s="150">
        <v>43894</v>
      </c>
      <c r="E294" s="113" t="s">
        <v>17484</v>
      </c>
      <c r="F294" s="257" t="s">
        <v>14408</v>
      </c>
      <c r="G294" s="258">
        <v>2.5</v>
      </c>
      <c r="I294" s="160">
        <f t="shared" si="4"/>
        <v>44239.440000000017</v>
      </c>
    </row>
    <row r="295" spans="2:9" ht="19.5" x14ac:dyDescent="0.25">
      <c r="B295" s="148"/>
      <c r="C295" s="148" t="s">
        <v>17483</v>
      </c>
      <c r="D295" s="150">
        <v>43894</v>
      </c>
      <c r="E295" s="113" t="s">
        <v>17482</v>
      </c>
      <c r="F295" s="257" t="s">
        <v>14408</v>
      </c>
      <c r="G295" s="258">
        <v>20.45</v>
      </c>
      <c r="I295" s="160">
        <f t="shared" si="4"/>
        <v>44259.890000000014</v>
      </c>
    </row>
    <row r="296" spans="2:9" ht="19.5" x14ac:dyDescent="0.25">
      <c r="B296" s="148"/>
      <c r="C296" s="148" t="s">
        <v>17481</v>
      </c>
      <c r="D296" s="150">
        <v>43894</v>
      </c>
      <c r="E296" s="113" t="s">
        <v>17480</v>
      </c>
      <c r="F296" s="257" t="s">
        <v>14408</v>
      </c>
      <c r="G296" s="258">
        <v>7.21</v>
      </c>
      <c r="I296" s="160">
        <f t="shared" si="4"/>
        <v>44267.100000000013</v>
      </c>
    </row>
    <row r="297" spans="2:9" x14ac:dyDescent="0.25">
      <c r="B297" s="148"/>
      <c r="C297" s="148" t="s">
        <v>17479</v>
      </c>
      <c r="D297" s="150">
        <v>43894</v>
      </c>
      <c r="E297" s="113" t="s">
        <v>17478</v>
      </c>
      <c r="F297" s="257" t="s">
        <v>14408</v>
      </c>
      <c r="G297" s="258">
        <v>0.06</v>
      </c>
      <c r="I297" s="160">
        <f t="shared" si="4"/>
        <v>44267.160000000011</v>
      </c>
    </row>
    <row r="298" spans="2:9" ht="19.5" x14ac:dyDescent="0.25">
      <c r="B298" s="148"/>
      <c r="C298" s="148" t="s">
        <v>17477</v>
      </c>
      <c r="D298" s="150">
        <v>43894</v>
      </c>
      <c r="E298" s="113" t="s">
        <v>17476</v>
      </c>
      <c r="F298" s="257" t="s">
        <v>14408</v>
      </c>
      <c r="G298" s="258">
        <v>8.42</v>
      </c>
      <c r="I298" s="160">
        <f t="shared" si="4"/>
        <v>44275.580000000009</v>
      </c>
    </row>
    <row r="299" spans="2:9" ht="19.5" x14ac:dyDescent="0.25">
      <c r="B299" s="148"/>
      <c r="C299" s="148" t="s">
        <v>17475</v>
      </c>
      <c r="D299" s="150">
        <v>43894</v>
      </c>
      <c r="E299" s="113" t="s">
        <v>17474</v>
      </c>
      <c r="F299" s="257" t="s">
        <v>14408</v>
      </c>
      <c r="G299" s="258">
        <v>1.62</v>
      </c>
      <c r="I299" s="160">
        <f t="shared" si="4"/>
        <v>44277.200000000012</v>
      </c>
    </row>
    <row r="300" spans="2:9" ht="19.5" x14ac:dyDescent="0.25">
      <c r="B300" s="148"/>
      <c r="C300" s="148" t="s">
        <v>17473</v>
      </c>
      <c r="D300" s="150">
        <v>43894</v>
      </c>
      <c r="E300" s="113" t="s">
        <v>17472</v>
      </c>
      <c r="F300" s="257" t="s">
        <v>14408</v>
      </c>
      <c r="G300" s="258">
        <v>5.44</v>
      </c>
      <c r="I300" s="160">
        <f t="shared" si="4"/>
        <v>44282.640000000014</v>
      </c>
    </row>
    <row r="301" spans="2:9" ht="19.5" x14ac:dyDescent="0.25">
      <c r="B301" s="148"/>
      <c r="C301" s="148" t="s">
        <v>17471</v>
      </c>
      <c r="D301" s="150">
        <v>43894</v>
      </c>
      <c r="E301" s="113" t="s">
        <v>17470</v>
      </c>
      <c r="F301" s="257" t="s">
        <v>14408</v>
      </c>
      <c r="G301" s="258">
        <v>6.55</v>
      </c>
      <c r="I301" s="160">
        <f t="shared" si="4"/>
        <v>44289.190000000017</v>
      </c>
    </row>
    <row r="302" spans="2:9" x14ac:dyDescent="0.25">
      <c r="B302" s="148"/>
      <c r="C302" s="148" t="s">
        <v>17469</v>
      </c>
      <c r="D302" s="150">
        <v>43894</v>
      </c>
      <c r="E302" s="113" t="s">
        <v>17468</v>
      </c>
      <c r="F302" s="257" t="s">
        <v>14408</v>
      </c>
      <c r="G302" s="258">
        <v>12.14</v>
      </c>
      <c r="I302" s="160">
        <f t="shared" si="4"/>
        <v>44301.330000000016</v>
      </c>
    </row>
    <row r="303" spans="2:9" x14ac:dyDescent="0.25">
      <c r="B303" s="148"/>
      <c r="C303" s="148" t="s">
        <v>17467</v>
      </c>
      <c r="D303" s="150">
        <v>43894</v>
      </c>
      <c r="E303" s="113" t="s">
        <v>17466</v>
      </c>
      <c r="F303" s="257" t="s">
        <v>14408</v>
      </c>
      <c r="G303" s="258">
        <v>1.84</v>
      </c>
      <c r="I303" s="160">
        <f t="shared" si="4"/>
        <v>44303.170000000013</v>
      </c>
    </row>
    <row r="304" spans="2:9" ht="19.5" x14ac:dyDescent="0.25">
      <c r="B304" s="148"/>
      <c r="C304" s="148" t="s">
        <v>17465</v>
      </c>
      <c r="D304" s="150">
        <v>43894</v>
      </c>
      <c r="E304" s="113" t="s">
        <v>17464</v>
      </c>
      <c r="F304" s="257" t="s">
        <v>14408</v>
      </c>
      <c r="G304" s="258">
        <v>5.85</v>
      </c>
      <c r="I304" s="160">
        <f t="shared" si="4"/>
        <v>44309.020000000011</v>
      </c>
    </row>
    <row r="305" spans="2:9" ht="19.5" x14ac:dyDescent="0.25">
      <c r="B305" s="148"/>
      <c r="C305" s="148" t="s">
        <v>17463</v>
      </c>
      <c r="D305" s="150">
        <v>43894</v>
      </c>
      <c r="E305" s="113" t="s">
        <v>17462</v>
      </c>
      <c r="F305" s="257" t="s">
        <v>14408</v>
      </c>
      <c r="G305" s="258">
        <v>26.12</v>
      </c>
      <c r="I305" s="160">
        <f t="shared" si="4"/>
        <v>44335.140000000014</v>
      </c>
    </row>
    <row r="306" spans="2:9" ht="19.5" x14ac:dyDescent="0.25">
      <c r="B306" s="148"/>
      <c r="C306" s="148" t="s">
        <v>17461</v>
      </c>
      <c r="D306" s="150">
        <v>43894</v>
      </c>
      <c r="E306" s="113" t="s">
        <v>17460</v>
      </c>
      <c r="F306" s="257" t="s">
        <v>14408</v>
      </c>
      <c r="G306" s="258">
        <v>3.68</v>
      </c>
      <c r="I306" s="160">
        <f t="shared" si="4"/>
        <v>44338.820000000014</v>
      </c>
    </row>
    <row r="307" spans="2:9" x14ac:dyDescent="0.25">
      <c r="B307" s="148"/>
      <c r="C307" s="148" t="s">
        <v>17459</v>
      </c>
      <c r="D307" s="150">
        <v>43894</v>
      </c>
      <c r="E307" s="113" t="s">
        <v>17458</v>
      </c>
      <c r="F307" s="257">
        <v>3</v>
      </c>
      <c r="G307" s="255">
        <v>12.3</v>
      </c>
      <c r="I307" s="160">
        <f t="shared" si="4"/>
        <v>44351.120000000017</v>
      </c>
    </row>
    <row r="308" spans="2:9" x14ac:dyDescent="0.25">
      <c r="B308" s="148"/>
      <c r="C308" s="148" t="s">
        <v>17457</v>
      </c>
      <c r="D308" s="150">
        <v>43894</v>
      </c>
      <c r="E308" s="113" t="s">
        <v>17456</v>
      </c>
      <c r="F308" s="257">
        <v>3</v>
      </c>
      <c r="G308" s="255">
        <v>8.2899999999999991</v>
      </c>
      <c r="I308" s="160">
        <f t="shared" si="4"/>
        <v>44359.410000000018</v>
      </c>
    </row>
    <row r="309" spans="2:9" x14ac:dyDescent="0.25">
      <c r="B309" s="148"/>
      <c r="C309" s="148" t="s">
        <v>17455</v>
      </c>
      <c r="D309" s="150">
        <v>43894</v>
      </c>
      <c r="E309" s="113" t="s">
        <v>17454</v>
      </c>
      <c r="F309" s="257">
        <v>3</v>
      </c>
      <c r="G309" s="255">
        <v>2.15</v>
      </c>
      <c r="I309" s="160">
        <f t="shared" si="4"/>
        <v>44361.560000000019</v>
      </c>
    </row>
    <row r="310" spans="2:9" ht="19.5" x14ac:dyDescent="0.25">
      <c r="B310" s="148"/>
      <c r="C310" s="148" t="s">
        <v>17453</v>
      </c>
      <c r="D310" s="150">
        <v>43894</v>
      </c>
      <c r="E310" s="113" t="s">
        <v>17452</v>
      </c>
      <c r="F310" s="257">
        <v>3</v>
      </c>
      <c r="G310" s="255">
        <v>27.47</v>
      </c>
      <c r="I310" s="160">
        <f t="shared" si="4"/>
        <v>44389.030000000021</v>
      </c>
    </row>
    <row r="311" spans="2:9" ht="19.5" x14ac:dyDescent="0.25">
      <c r="B311" s="148"/>
      <c r="C311" s="148" t="s">
        <v>17451</v>
      </c>
      <c r="D311" s="150">
        <v>43894</v>
      </c>
      <c r="E311" s="113" t="s">
        <v>17450</v>
      </c>
      <c r="F311" s="257">
        <v>3</v>
      </c>
      <c r="G311" s="255">
        <v>12.3</v>
      </c>
      <c r="I311" s="160">
        <f t="shared" si="4"/>
        <v>44401.330000000024</v>
      </c>
    </row>
    <row r="312" spans="2:9" x14ac:dyDescent="0.25">
      <c r="B312" s="148"/>
      <c r="C312" s="148" t="s">
        <v>17449</v>
      </c>
      <c r="D312" s="150">
        <v>43894</v>
      </c>
      <c r="E312" s="113" t="s">
        <v>17448</v>
      </c>
      <c r="F312" s="257">
        <v>3</v>
      </c>
      <c r="G312" s="255">
        <v>10.32</v>
      </c>
      <c r="I312" s="160">
        <f t="shared" si="4"/>
        <v>44411.650000000023</v>
      </c>
    </row>
    <row r="313" spans="2:9" ht="19.5" x14ac:dyDescent="0.25">
      <c r="B313" s="148"/>
      <c r="C313" s="148" t="s">
        <v>17447</v>
      </c>
      <c r="D313" s="150">
        <v>43894</v>
      </c>
      <c r="E313" s="113" t="s">
        <v>17446</v>
      </c>
      <c r="F313" s="257">
        <v>3</v>
      </c>
      <c r="G313" s="255">
        <v>19.34</v>
      </c>
      <c r="I313" s="160">
        <f t="shared" si="4"/>
        <v>44430.99000000002</v>
      </c>
    </row>
    <row r="314" spans="2:9" ht="19.5" x14ac:dyDescent="0.25">
      <c r="B314" s="148"/>
      <c r="C314" s="148" t="s">
        <v>17445</v>
      </c>
      <c r="D314" s="150">
        <v>43894</v>
      </c>
      <c r="E314" s="113" t="s">
        <v>17444</v>
      </c>
      <c r="F314" s="257">
        <v>3</v>
      </c>
      <c r="G314" s="255">
        <v>1.94</v>
      </c>
      <c r="I314" s="160">
        <f t="shared" si="4"/>
        <v>44432.930000000022</v>
      </c>
    </row>
    <row r="315" spans="2:9" x14ac:dyDescent="0.25">
      <c r="B315" s="148"/>
      <c r="C315" s="148" t="s">
        <v>17443</v>
      </c>
      <c r="D315" s="150">
        <v>43894</v>
      </c>
      <c r="E315" s="113" t="s">
        <v>17442</v>
      </c>
      <c r="F315" s="257">
        <v>3</v>
      </c>
      <c r="G315" s="255">
        <v>8.3800000000000008</v>
      </c>
      <c r="I315" s="160">
        <f t="shared" si="4"/>
        <v>44441.310000000019</v>
      </c>
    </row>
    <row r="316" spans="2:9" ht="19.5" x14ac:dyDescent="0.25">
      <c r="B316" s="148"/>
      <c r="C316" s="148" t="s">
        <v>17441</v>
      </c>
      <c r="D316" s="150">
        <v>43894</v>
      </c>
      <c r="E316" s="113" t="s">
        <v>17440</v>
      </c>
      <c r="F316" s="257">
        <v>3</v>
      </c>
      <c r="G316" s="255">
        <v>4.9000000000000004</v>
      </c>
      <c r="I316" s="160">
        <f t="shared" si="4"/>
        <v>44446.210000000021</v>
      </c>
    </row>
    <row r="317" spans="2:9" ht="19.5" x14ac:dyDescent="0.25">
      <c r="B317" s="148"/>
      <c r="C317" s="148" t="s">
        <v>17439</v>
      </c>
      <c r="D317" s="150">
        <v>43894</v>
      </c>
      <c r="E317" s="113" t="s">
        <v>17438</v>
      </c>
      <c r="F317" s="257">
        <v>3</v>
      </c>
      <c r="G317" s="255">
        <v>22.05</v>
      </c>
      <c r="I317" s="160">
        <f t="shared" si="4"/>
        <v>44468.260000000024</v>
      </c>
    </row>
    <row r="318" spans="2:9" x14ac:dyDescent="0.25">
      <c r="B318" s="148"/>
      <c r="C318" s="148" t="s">
        <v>17437</v>
      </c>
      <c r="D318" s="150">
        <v>43894</v>
      </c>
      <c r="E318" s="113" t="s">
        <v>17436</v>
      </c>
      <c r="F318" s="257" t="s">
        <v>14437</v>
      </c>
      <c r="G318" s="160">
        <v>190.9</v>
      </c>
      <c r="I318" s="160">
        <f t="shared" si="4"/>
        <v>44659.160000000025</v>
      </c>
    </row>
    <row r="319" spans="2:9" x14ac:dyDescent="0.25">
      <c r="B319" s="148"/>
      <c r="C319" s="148" t="s">
        <v>17435</v>
      </c>
      <c r="D319" s="150">
        <v>43894</v>
      </c>
      <c r="E319" s="113" t="s">
        <v>17434</v>
      </c>
      <c r="F319" s="257" t="s">
        <v>14436</v>
      </c>
      <c r="G319" s="160">
        <v>80.430000000000007</v>
      </c>
      <c r="I319" s="160">
        <f t="shared" si="4"/>
        <v>44739.590000000026</v>
      </c>
    </row>
    <row r="320" spans="2:9" ht="19.5" x14ac:dyDescent="0.25">
      <c r="B320" s="148"/>
      <c r="C320" s="148" t="s">
        <v>17433</v>
      </c>
      <c r="D320" s="150">
        <v>43895</v>
      </c>
      <c r="E320" s="113" t="s">
        <v>17432</v>
      </c>
      <c r="F320" s="257" t="s">
        <v>14408</v>
      </c>
      <c r="G320" s="258">
        <v>8.4600000000000009</v>
      </c>
      <c r="I320" s="160">
        <f t="shared" si="4"/>
        <v>44748.050000000025</v>
      </c>
    </row>
    <row r="321" spans="2:11" ht="19.5" x14ac:dyDescent="0.25">
      <c r="B321" s="148"/>
      <c r="C321" s="148" t="s">
        <v>17431</v>
      </c>
      <c r="D321" s="150">
        <v>43895</v>
      </c>
      <c r="E321" s="113" t="s">
        <v>17430</v>
      </c>
      <c r="F321" s="257" t="s">
        <v>14408</v>
      </c>
      <c r="G321" s="258">
        <v>8.4600000000000009</v>
      </c>
      <c r="I321" s="160">
        <f t="shared" si="4"/>
        <v>44756.510000000024</v>
      </c>
    </row>
    <row r="322" spans="2:11" ht="19.5" x14ac:dyDescent="0.25">
      <c r="B322" s="148"/>
      <c r="C322" s="148" t="s">
        <v>17429</v>
      </c>
      <c r="D322" s="150">
        <v>43895</v>
      </c>
      <c r="E322" s="113" t="s">
        <v>17428</v>
      </c>
      <c r="F322" s="257" t="s">
        <v>14442</v>
      </c>
      <c r="G322" s="258">
        <v>34.6</v>
      </c>
      <c r="I322" s="160">
        <f t="shared" si="4"/>
        <v>44791.110000000022</v>
      </c>
      <c r="K322" s="317"/>
    </row>
    <row r="323" spans="2:11" x14ac:dyDescent="0.25">
      <c r="B323" s="148"/>
      <c r="C323" s="148" t="s">
        <v>17427</v>
      </c>
      <c r="D323" s="150">
        <v>43895</v>
      </c>
      <c r="E323" s="113" t="s">
        <v>17426</v>
      </c>
      <c r="F323" s="257" t="s">
        <v>14442</v>
      </c>
      <c r="G323" s="258">
        <v>12.3</v>
      </c>
      <c r="I323" s="160">
        <f t="shared" si="4"/>
        <v>44803.410000000025</v>
      </c>
      <c r="K323" s="317"/>
    </row>
    <row r="324" spans="2:11" ht="19.5" x14ac:dyDescent="0.25">
      <c r="B324" s="148"/>
      <c r="C324" s="148" t="s">
        <v>17425</v>
      </c>
      <c r="D324" s="150">
        <v>43895</v>
      </c>
      <c r="E324" s="113" t="s">
        <v>17424</v>
      </c>
      <c r="F324" s="257" t="s">
        <v>14442</v>
      </c>
      <c r="G324" s="258">
        <v>17.3</v>
      </c>
      <c r="I324" s="160">
        <f t="shared" si="4"/>
        <v>44820.710000000028</v>
      </c>
    </row>
    <row r="325" spans="2:11" x14ac:dyDescent="0.25">
      <c r="B325" s="148"/>
      <c r="C325" s="148" t="s">
        <v>17423</v>
      </c>
      <c r="D325" s="150">
        <v>43895</v>
      </c>
      <c r="E325" s="113" t="s">
        <v>17422</v>
      </c>
      <c r="F325" s="257" t="s">
        <v>14442</v>
      </c>
      <c r="G325" s="258">
        <v>6.34</v>
      </c>
      <c r="I325" s="160">
        <f t="shared" si="4"/>
        <v>44827.050000000025</v>
      </c>
    </row>
    <row r="326" spans="2:11" x14ac:dyDescent="0.25">
      <c r="B326" s="148"/>
      <c r="C326" s="148" t="s">
        <v>17421</v>
      </c>
      <c r="D326" s="150">
        <v>43895</v>
      </c>
      <c r="E326" s="113" t="s">
        <v>17420</v>
      </c>
      <c r="F326" s="257" t="s">
        <v>14437</v>
      </c>
      <c r="G326" s="160">
        <v>5</v>
      </c>
      <c r="I326" s="160">
        <f t="shared" si="4"/>
        <v>44832.050000000025</v>
      </c>
    </row>
    <row r="327" spans="2:11" ht="19.5" x14ac:dyDescent="0.25">
      <c r="B327" s="148"/>
      <c r="C327" s="148" t="s">
        <v>17419</v>
      </c>
      <c r="D327" s="150">
        <v>43895</v>
      </c>
      <c r="E327" s="113" t="s">
        <v>17418</v>
      </c>
      <c r="F327" s="257" t="s">
        <v>14436</v>
      </c>
      <c r="G327" s="160">
        <v>27.82</v>
      </c>
      <c r="I327" s="160">
        <f t="shared" si="4"/>
        <v>44859.870000000024</v>
      </c>
    </row>
    <row r="328" spans="2:11" x14ac:dyDescent="0.25">
      <c r="B328" s="148"/>
      <c r="C328" s="148" t="s">
        <v>17417</v>
      </c>
      <c r="D328" s="150">
        <v>43895</v>
      </c>
      <c r="E328" s="113" t="s">
        <v>17416</v>
      </c>
      <c r="F328" s="257" t="s">
        <v>14442</v>
      </c>
      <c r="G328" s="258">
        <v>0.01</v>
      </c>
      <c r="I328" s="160">
        <f t="shared" si="4"/>
        <v>44859.880000000026</v>
      </c>
    </row>
    <row r="329" spans="2:11" x14ac:dyDescent="0.25">
      <c r="B329" s="148"/>
      <c r="C329" s="148" t="s">
        <v>17415</v>
      </c>
      <c r="D329" s="150">
        <v>43895</v>
      </c>
      <c r="E329" s="113" t="s">
        <v>17414</v>
      </c>
      <c r="F329" s="257" t="s">
        <v>14436</v>
      </c>
      <c r="G329" s="160">
        <v>30.11</v>
      </c>
      <c r="I329" s="160">
        <f t="shared" si="4"/>
        <v>44889.990000000027</v>
      </c>
    </row>
    <row r="330" spans="2:11" ht="19.5" x14ac:dyDescent="0.25">
      <c r="B330" s="148"/>
      <c r="C330" s="148" t="s">
        <v>17413</v>
      </c>
      <c r="D330" s="150">
        <v>43895</v>
      </c>
      <c r="E330" s="113" t="s">
        <v>17412</v>
      </c>
      <c r="F330" s="257">
        <v>4</v>
      </c>
      <c r="G330" s="255">
        <v>3.11</v>
      </c>
      <c r="I330" s="160">
        <f t="shared" si="4"/>
        <v>44893.100000000028</v>
      </c>
    </row>
    <row r="331" spans="2:11" x14ac:dyDescent="0.25">
      <c r="B331" s="148"/>
      <c r="C331" s="148" t="s">
        <v>17411</v>
      </c>
      <c r="D331" s="150">
        <v>43895</v>
      </c>
      <c r="E331" s="113" t="s">
        <v>17410</v>
      </c>
      <c r="F331" s="257">
        <v>4</v>
      </c>
      <c r="G331" s="255">
        <v>8.9499999999999993</v>
      </c>
      <c r="I331" s="160">
        <f t="shared" si="4"/>
        <v>44902.050000000025</v>
      </c>
    </row>
    <row r="332" spans="2:11" ht="19.5" x14ac:dyDescent="0.25">
      <c r="B332" s="148"/>
      <c r="C332" s="148" t="s">
        <v>17409</v>
      </c>
      <c r="D332" s="150">
        <v>43895</v>
      </c>
      <c r="E332" s="113" t="s">
        <v>17408</v>
      </c>
      <c r="F332" s="257">
        <v>4</v>
      </c>
      <c r="G332" s="255">
        <v>5.9</v>
      </c>
      <c r="I332" s="160">
        <f t="shared" si="4"/>
        <v>44907.950000000026</v>
      </c>
    </row>
    <row r="333" spans="2:11" x14ac:dyDescent="0.25">
      <c r="B333" s="148"/>
      <c r="C333" s="148" t="s">
        <v>17407</v>
      </c>
      <c r="D333" s="150">
        <v>43895</v>
      </c>
      <c r="E333" s="113" t="s">
        <v>17406</v>
      </c>
      <c r="F333" s="257">
        <v>4</v>
      </c>
      <c r="G333" s="255">
        <v>40.68</v>
      </c>
      <c r="I333" s="160">
        <f t="shared" si="4"/>
        <v>44948.630000000026</v>
      </c>
    </row>
    <row r="334" spans="2:11" ht="19.5" x14ac:dyDescent="0.25">
      <c r="B334" s="148"/>
      <c r="C334" s="148" t="s">
        <v>17405</v>
      </c>
      <c r="D334" s="150">
        <v>43895</v>
      </c>
      <c r="E334" s="113" t="s">
        <v>17404</v>
      </c>
      <c r="F334" s="257">
        <v>4</v>
      </c>
      <c r="G334" s="255">
        <v>10.81</v>
      </c>
      <c r="I334" s="160">
        <f t="shared" si="4"/>
        <v>44959.440000000024</v>
      </c>
    </row>
    <row r="335" spans="2:11" x14ac:dyDescent="0.25">
      <c r="B335" s="148"/>
      <c r="C335" s="148" t="s">
        <v>17403</v>
      </c>
      <c r="D335" s="150">
        <v>43895</v>
      </c>
      <c r="E335" s="113" t="s">
        <v>17402</v>
      </c>
      <c r="F335" s="257">
        <v>4</v>
      </c>
      <c r="G335" s="255">
        <v>5.82</v>
      </c>
      <c r="I335" s="160">
        <f t="shared" si="4"/>
        <v>44965.260000000024</v>
      </c>
    </row>
    <row r="336" spans="2:11" ht="19.5" x14ac:dyDescent="0.25">
      <c r="B336" s="148"/>
      <c r="C336" s="148" t="s">
        <v>17401</v>
      </c>
      <c r="D336" s="150">
        <v>43895</v>
      </c>
      <c r="E336" s="113" t="s">
        <v>17400</v>
      </c>
      <c r="F336" s="257" t="s">
        <v>14408</v>
      </c>
      <c r="G336" s="258">
        <v>26.47</v>
      </c>
      <c r="I336" s="160">
        <f t="shared" si="4"/>
        <v>44991.730000000025</v>
      </c>
    </row>
    <row r="337" spans="2:9" ht="19.5" x14ac:dyDescent="0.25">
      <c r="B337" s="148"/>
      <c r="C337" s="148" t="s">
        <v>17399</v>
      </c>
      <c r="D337" s="150">
        <v>43895</v>
      </c>
      <c r="E337" s="113" t="s">
        <v>17398</v>
      </c>
      <c r="F337" s="257" t="s">
        <v>14408</v>
      </c>
      <c r="G337" s="258">
        <v>8.34</v>
      </c>
      <c r="I337" s="160">
        <f t="shared" si="4"/>
        <v>45000.070000000022</v>
      </c>
    </row>
    <row r="338" spans="2:9" x14ac:dyDescent="0.25">
      <c r="B338" s="148"/>
      <c r="C338" s="148" t="s">
        <v>17397</v>
      </c>
      <c r="D338" s="150">
        <v>43895</v>
      </c>
      <c r="E338" s="113" t="s">
        <v>17396</v>
      </c>
      <c r="F338" s="257" t="s">
        <v>14408</v>
      </c>
      <c r="G338" s="258">
        <v>1.9</v>
      </c>
      <c r="I338" s="160">
        <f t="shared" si="4"/>
        <v>45001.970000000023</v>
      </c>
    </row>
    <row r="339" spans="2:9" ht="19.5" x14ac:dyDescent="0.25">
      <c r="B339" s="148"/>
      <c r="C339" s="148" t="s">
        <v>17395</v>
      </c>
      <c r="D339" s="150">
        <v>43895</v>
      </c>
      <c r="E339" s="113" t="s">
        <v>17394</v>
      </c>
      <c r="F339" s="257" t="s">
        <v>14408</v>
      </c>
      <c r="G339" s="258">
        <v>28.14</v>
      </c>
      <c r="I339" s="160">
        <f t="shared" si="4"/>
        <v>45030.110000000022</v>
      </c>
    </row>
    <row r="340" spans="2:9" ht="19.5" x14ac:dyDescent="0.25">
      <c r="B340" s="148"/>
      <c r="C340" s="148" t="s">
        <v>17393</v>
      </c>
      <c r="D340" s="150">
        <v>43895</v>
      </c>
      <c r="E340" s="113" t="s">
        <v>17392</v>
      </c>
      <c r="F340" s="257" t="s">
        <v>14408</v>
      </c>
      <c r="G340" s="258">
        <v>6.62</v>
      </c>
      <c r="I340" s="160">
        <f t="shared" ref="I340:I403" si="5">+I339+G340-H340</f>
        <v>45036.730000000025</v>
      </c>
    </row>
    <row r="341" spans="2:9" x14ac:dyDescent="0.25">
      <c r="B341" s="148"/>
      <c r="C341" s="148" t="s">
        <v>17391</v>
      </c>
      <c r="D341" s="150">
        <v>43895</v>
      </c>
      <c r="E341" s="113" t="s">
        <v>17390</v>
      </c>
      <c r="F341" s="257" t="s">
        <v>14408</v>
      </c>
      <c r="G341" s="258">
        <v>3.09</v>
      </c>
      <c r="I341" s="160">
        <f t="shared" si="5"/>
        <v>45039.820000000022</v>
      </c>
    </row>
    <row r="342" spans="2:9" x14ac:dyDescent="0.25">
      <c r="B342" s="148"/>
      <c r="C342" s="148" t="s">
        <v>17389</v>
      </c>
      <c r="D342" s="150">
        <v>43895</v>
      </c>
      <c r="E342" s="113" t="s">
        <v>17388</v>
      </c>
      <c r="F342" s="257" t="s">
        <v>14408</v>
      </c>
      <c r="G342" s="258">
        <v>5.54</v>
      </c>
      <c r="I342" s="160">
        <f t="shared" si="5"/>
        <v>45045.360000000022</v>
      </c>
    </row>
    <row r="343" spans="2:9" ht="19.5" x14ac:dyDescent="0.25">
      <c r="B343" s="148"/>
      <c r="C343" s="148" t="s">
        <v>17387</v>
      </c>
      <c r="D343" s="150">
        <v>43895</v>
      </c>
      <c r="E343" s="113" t="s">
        <v>17386</v>
      </c>
      <c r="F343" s="257" t="s">
        <v>14408</v>
      </c>
      <c r="G343" s="258">
        <v>24.92</v>
      </c>
      <c r="I343" s="160">
        <f t="shared" si="5"/>
        <v>45070.280000000021</v>
      </c>
    </row>
    <row r="344" spans="2:9" ht="19.5" x14ac:dyDescent="0.25">
      <c r="B344" s="148"/>
      <c r="C344" s="148" t="s">
        <v>17385</v>
      </c>
      <c r="D344" s="150">
        <v>43895</v>
      </c>
      <c r="E344" s="113" t="s">
        <v>17384</v>
      </c>
      <c r="F344" s="257" t="s">
        <v>14408</v>
      </c>
      <c r="G344" s="258">
        <v>3.6</v>
      </c>
      <c r="I344" s="160">
        <f t="shared" si="5"/>
        <v>45073.880000000019</v>
      </c>
    </row>
    <row r="345" spans="2:9" ht="19.5" x14ac:dyDescent="0.25">
      <c r="B345" s="148"/>
      <c r="C345" s="148" t="s">
        <v>17383</v>
      </c>
      <c r="D345" s="150">
        <v>43895</v>
      </c>
      <c r="E345" s="113" t="s">
        <v>17382</v>
      </c>
      <c r="F345" s="257" t="s">
        <v>14408</v>
      </c>
      <c r="G345" s="258">
        <v>3.92</v>
      </c>
      <c r="I345" s="160">
        <f t="shared" si="5"/>
        <v>45077.800000000017</v>
      </c>
    </row>
    <row r="346" spans="2:9" ht="19.5" x14ac:dyDescent="0.25">
      <c r="B346" s="148"/>
      <c r="C346" s="148" t="s">
        <v>17381</v>
      </c>
      <c r="D346" s="150">
        <v>43895</v>
      </c>
      <c r="E346" s="113" t="s">
        <v>17380</v>
      </c>
      <c r="F346" s="257" t="s">
        <v>14408</v>
      </c>
      <c r="G346" s="258">
        <v>11.54</v>
      </c>
      <c r="I346" s="160">
        <f t="shared" si="5"/>
        <v>45089.340000000018</v>
      </c>
    </row>
    <row r="347" spans="2:9" x14ac:dyDescent="0.25">
      <c r="B347" s="148"/>
      <c r="C347" s="148" t="s">
        <v>17379</v>
      </c>
      <c r="D347" s="150">
        <v>43895</v>
      </c>
      <c r="E347" s="113" t="s">
        <v>17378</v>
      </c>
      <c r="F347" s="257" t="s">
        <v>14408</v>
      </c>
      <c r="G347" s="258">
        <v>1.27</v>
      </c>
      <c r="I347" s="160">
        <f t="shared" si="5"/>
        <v>45090.610000000015</v>
      </c>
    </row>
    <row r="348" spans="2:9" ht="19.5" x14ac:dyDescent="0.25">
      <c r="B348" s="148"/>
      <c r="C348" s="148" t="s">
        <v>17377</v>
      </c>
      <c r="D348" s="150">
        <v>43895</v>
      </c>
      <c r="E348" s="113" t="s">
        <v>17376</v>
      </c>
      <c r="F348" s="257" t="s">
        <v>14408</v>
      </c>
      <c r="G348" s="258">
        <v>16.760000000000002</v>
      </c>
      <c r="I348" s="160">
        <f t="shared" si="5"/>
        <v>45107.370000000017</v>
      </c>
    </row>
    <row r="349" spans="2:9" x14ac:dyDescent="0.25">
      <c r="B349" s="148"/>
      <c r="C349" s="148" t="s">
        <v>17375</v>
      </c>
      <c r="D349" s="150">
        <v>43895</v>
      </c>
      <c r="E349" s="113" t="s">
        <v>17374</v>
      </c>
      <c r="F349" s="257" t="s">
        <v>14408</v>
      </c>
      <c r="G349" s="258">
        <v>2.41</v>
      </c>
      <c r="I349" s="160">
        <f t="shared" si="5"/>
        <v>45109.780000000021</v>
      </c>
    </row>
    <row r="350" spans="2:9" ht="19.5" x14ac:dyDescent="0.25">
      <c r="B350" s="148"/>
      <c r="C350" s="148" t="s">
        <v>17373</v>
      </c>
      <c r="D350" s="150">
        <v>43895</v>
      </c>
      <c r="E350" s="113" t="s">
        <v>17372</v>
      </c>
      <c r="F350" s="257" t="s">
        <v>14408</v>
      </c>
      <c r="G350" s="258">
        <v>8.5</v>
      </c>
      <c r="I350" s="160">
        <f t="shared" si="5"/>
        <v>45118.280000000021</v>
      </c>
    </row>
    <row r="351" spans="2:9" ht="19.5" x14ac:dyDescent="0.25">
      <c r="B351" s="148"/>
      <c r="C351" s="148" t="s">
        <v>17371</v>
      </c>
      <c r="D351" s="150">
        <v>43895</v>
      </c>
      <c r="E351" s="113" t="s">
        <v>17370</v>
      </c>
      <c r="F351" s="257" t="s">
        <v>14408</v>
      </c>
      <c r="G351" s="258">
        <v>5.37</v>
      </c>
      <c r="I351" s="160">
        <f t="shared" si="5"/>
        <v>45123.650000000023</v>
      </c>
    </row>
    <row r="352" spans="2:9" ht="19.5" x14ac:dyDescent="0.25">
      <c r="B352" s="148"/>
      <c r="C352" s="148" t="s">
        <v>17369</v>
      </c>
      <c r="D352" s="150">
        <v>43895</v>
      </c>
      <c r="E352" s="113" t="s">
        <v>17368</v>
      </c>
      <c r="F352" s="257" t="s">
        <v>14408</v>
      </c>
      <c r="G352" s="258">
        <v>17.850000000000001</v>
      </c>
      <c r="I352" s="160">
        <f t="shared" si="5"/>
        <v>45141.500000000022</v>
      </c>
    </row>
    <row r="353" spans="2:9" ht="19.5" x14ac:dyDescent="0.25">
      <c r="B353" s="148"/>
      <c r="C353" s="148" t="s">
        <v>17367</v>
      </c>
      <c r="D353" s="150">
        <v>43895</v>
      </c>
      <c r="E353" s="113" t="s">
        <v>17366</v>
      </c>
      <c r="F353" s="257" t="s">
        <v>14408</v>
      </c>
      <c r="G353" s="258">
        <v>2.44</v>
      </c>
      <c r="I353" s="160">
        <f t="shared" si="5"/>
        <v>45143.940000000024</v>
      </c>
    </row>
    <row r="354" spans="2:9" ht="19.5" x14ac:dyDescent="0.25">
      <c r="B354" s="148"/>
      <c r="C354" s="148" t="s">
        <v>17365</v>
      </c>
      <c r="D354" s="150">
        <v>43895</v>
      </c>
      <c r="E354" s="113" t="s">
        <v>17364</v>
      </c>
      <c r="F354" s="257" t="s">
        <v>14408</v>
      </c>
      <c r="G354" s="258">
        <v>4.12</v>
      </c>
      <c r="I354" s="160">
        <f t="shared" si="5"/>
        <v>45148.060000000027</v>
      </c>
    </row>
    <row r="355" spans="2:9" ht="19.5" x14ac:dyDescent="0.25">
      <c r="B355" s="148"/>
      <c r="C355" s="148" t="s">
        <v>17363</v>
      </c>
      <c r="D355" s="150">
        <v>43895</v>
      </c>
      <c r="E355" s="113" t="s">
        <v>17362</v>
      </c>
      <c r="F355" s="257" t="s">
        <v>14408</v>
      </c>
      <c r="G355" s="258">
        <v>14.9</v>
      </c>
      <c r="I355" s="160">
        <f t="shared" si="5"/>
        <v>45162.960000000028</v>
      </c>
    </row>
    <row r="356" spans="2:9" ht="19.5" x14ac:dyDescent="0.25">
      <c r="B356" s="148"/>
      <c r="C356" s="148" t="s">
        <v>17361</v>
      </c>
      <c r="D356" s="150">
        <v>43895</v>
      </c>
      <c r="E356" s="113" t="s">
        <v>17360</v>
      </c>
      <c r="F356" s="257" t="s">
        <v>14408</v>
      </c>
      <c r="G356" s="258">
        <v>22.13</v>
      </c>
      <c r="I356" s="160">
        <f t="shared" si="5"/>
        <v>45185.090000000026</v>
      </c>
    </row>
    <row r="357" spans="2:9" ht="19.5" x14ac:dyDescent="0.25">
      <c r="B357" s="148"/>
      <c r="C357" s="148" t="s">
        <v>17359</v>
      </c>
      <c r="D357" s="150">
        <v>43895</v>
      </c>
      <c r="E357" s="113" t="s">
        <v>17358</v>
      </c>
      <c r="F357" s="257" t="s">
        <v>14408</v>
      </c>
      <c r="G357" s="258">
        <v>4.49</v>
      </c>
      <c r="I357" s="160">
        <f t="shared" si="5"/>
        <v>45189.580000000024</v>
      </c>
    </row>
    <row r="358" spans="2:9" x14ac:dyDescent="0.25">
      <c r="B358" s="148"/>
      <c r="C358" s="148" t="s">
        <v>17357</v>
      </c>
      <c r="D358" s="150">
        <v>43895</v>
      </c>
      <c r="E358" s="113" t="s">
        <v>17356</v>
      </c>
      <c r="F358" s="257" t="s">
        <v>14408</v>
      </c>
      <c r="G358" s="258">
        <v>3.95</v>
      </c>
      <c r="I358" s="160">
        <f t="shared" si="5"/>
        <v>45193.530000000021</v>
      </c>
    </row>
    <row r="359" spans="2:9" ht="19.5" x14ac:dyDescent="0.25">
      <c r="B359" s="148"/>
      <c r="C359" s="148" t="s">
        <v>17355</v>
      </c>
      <c r="D359" s="150">
        <v>43895</v>
      </c>
      <c r="E359" s="113" t="s">
        <v>17354</v>
      </c>
      <c r="F359" s="257" t="s">
        <v>14408</v>
      </c>
      <c r="G359" s="258">
        <v>13.88</v>
      </c>
      <c r="I359" s="160">
        <f t="shared" si="5"/>
        <v>45207.410000000018</v>
      </c>
    </row>
    <row r="360" spans="2:9" ht="19.5" x14ac:dyDescent="0.25">
      <c r="B360" s="148"/>
      <c r="C360" s="148" t="s">
        <v>17353</v>
      </c>
      <c r="D360" s="150">
        <v>43895</v>
      </c>
      <c r="E360" s="113" t="s">
        <v>17352</v>
      </c>
      <c r="F360" s="257" t="s">
        <v>14408</v>
      </c>
      <c r="G360" s="258">
        <v>17.25</v>
      </c>
      <c r="I360" s="160">
        <f t="shared" si="5"/>
        <v>45224.660000000018</v>
      </c>
    </row>
    <row r="361" spans="2:9" ht="19.5" x14ac:dyDescent="0.25">
      <c r="B361" s="148"/>
      <c r="C361" s="148" t="s">
        <v>17351</v>
      </c>
      <c r="D361" s="150">
        <v>43895</v>
      </c>
      <c r="E361" s="113" t="s">
        <v>17350</v>
      </c>
      <c r="F361" s="257" t="s">
        <v>14408</v>
      </c>
      <c r="G361" s="258">
        <v>7.66</v>
      </c>
      <c r="I361" s="160">
        <f t="shared" si="5"/>
        <v>45232.320000000022</v>
      </c>
    </row>
    <row r="362" spans="2:9" ht="19.5" x14ac:dyDescent="0.25">
      <c r="B362" s="148"/>
      <c r="C362" s="148" t="s">
        <v>17349</v>
      </c>
      <c r="D362" s="150">
        <v>43895</v>
      </c>
      <c r="E362" s="113" t="s">
        <v>17348</v>
      </c>
      <c r="F362" s="257" t="s">
        <v>14408</v>
      </c>
      <c r="G362" s="258">
        <v>4.04</v>
      </c>
      <c r="I362" s="160">
        <f t="shared" si="5"/>
        <v>45236.360000000022</v>
      </c>
    </row>
    <row r="363" spans="2:9" ht="19.5" x14ac:dyDescent="0.25">
      <c r="B363" s="148"/>
      <c r="C363" s="148" t="s">
        <v>17347</v>
      </c>
      <c r="D363" s="150">
        <v>43895</v>
      </c>
      <c r="E363" s="113" t="s">
        <v>17346</v>
      </c>
      <c r="F363" s="257" t="s">
        <v>14408</v>
      </c>
      <c r="G363" s="258">
        <v>1.8</v>
      </c>
      <c r="I363" s="160">
        <f t="shared" si="5"/>
        <v>45238.160000000025</v>
      </c>
    </row>
    <row r="364" spans="2:9" ht="19.5" x14ac:dyDescent="0.25">
      <c r="B364" s="148"/>
      <c r="C364" s="148" t="s">
        <v>17345</v>
      </c>
      <c r="D364" s="150">
        <v>43895</v>
      </c>
      <c r="E364" s="113" t="s">
        <v>17344</v>
      </c>
      <c r="F364" s="257" t="s">
        <v>14408</v>
      </c>
      <c r="G364" s="258">
        <v>0.37</v>
      </c>
      <c r="I364" s="160">
        <f t="shared" si="5"/>
        <v>45238.530000000028</v>
      </c>
    </row>
    <row r="365" spans="2:9" ht="19.5" x14ac:dyDescent="0.25">
      <c r="B365" s="148"/>
      <c r="C365" s="148" t="s">
        <v>17343</v>
      </c>
      <c r="D365" s="150">
        <v>43895</v>
      </c>
      <c r="E365" s="113" t="s">
        <v>17342</v>
      </c>
      <c r="F365" s="257" t="s">
        <v>14437</v>
      </c>
      <c r="G365" s="160">
        <v>40.049999999999997</v>
      </c>
      <c r="I365" s="160">
        <f t="shared" si="5"/>
        <v>45278.580000000031</v>
      </c>
    </row>
    <row r="366" spans="2:9" ht="19.5" x14ac:dyDescent="0.25">
      <c r="B366" s="148"/>
      <c r="C366" s="148" t="s">
        <v>17341</v>
      </c>
      <c r="D366" s="150">
        <v>43896</v>
      </c>
      <c r="E366" s="113" t="s">
        <v>17340</v>
      </c>
      <c r="F366" s="257" t="s">
        <v>14409</v>
      </c>
      <c r="G366" s="258">
        <v>4.08</v>
      </c>
      <c r="I366" s="160">
        <f t="shared" si="5"/>
        <v>45282.660000000033</v>
      </c>
    </row>
    <row r="367" spans="2:9" ht="19.5" x14ac:dyDescent="0.25">
      <c r="B367" s="148"/>
      <c r="C367" s="148" t="s">
        <v>17339</v>
      </c>
      <c r="D367" s="150">
        <v>43896</v>
      </c>
      <c r="E367" s="113" t="s">
        <v>17338</v>
      </c>
      <c r="F367" s="257" t="s">
        <v>14443</v>
      </c>
      <c r="G367" s="258">
        <v>10.54</v>
      </c>
      <c r="I367" s="160">
        <f t="shared" si="5"/>
        <v>45293.200000000033</v>
      </c>
    </row>
    <row r="368" spans="2:9" ht="19.5" x14ac:dyDescent="0.25">
      <c r="B368" s="148"/>
      <c r="C368" s="148" t="s">
        <v>17337</v>
      </c>
      <c r="D368" s="150">
        <v>43896</v>
      </c>
      <c r="E368" s="113" t="s">
        <v>17336</v>
      </c>
      <c r="F368" s="257" t="s">
        <v>14443</v>
      </c>
      <c r="G368" s="258">
        <v>1.68</v>
      </c>
      <c r="I368" s="160">
        <f t="shared" si="5"/>
        <v>45294.880000000034</v>
      </c>
    </row>
    <row r="369" spans="2:9" ht="19.5" x14ac:dyDescent="0.25">
      <c r="B369" s="148"/>
      <c r="C369" s="148" t="s">
        <v>17335</v>
      </c>
      <c r="D369" s="150">
        <v>43896</v>
      </c>
      <c r="E369" s="113" t="s">
        <v>17334</v>
      </c>
      <c r="F369" s="257" t="s">
        <v>14443</v>
      </c>
      <c r="G369" s="258">
        <v>3.79</v>
      </c>
      <c r="I369" s="160">
        <f t="shared" si="5"/>
        <v>45298.670000000035</v>
      </c>
    </row>
    <row r="370" spans="2:9" x14ac:dyDescent="0.25">
      <c r="B370" s="148"/>
      <c r="C370" s="148" t="s">
        <v>17333</v>
      </c>
      <c r="D370" s="150">
        <v>43896</v>
      </c>
      <c r="E370" s="113" t="s">
        <v>17332</v>
      </c>
      <c r="F370" s="257" t="s">
        <v>14443</v>
      </c>
      <c r="G370" s="258">
        <v>16.010000000000002</v>
      </c>
      <c r="I370" s="160">
        <f t="shared" si="5"/>
        <v>45314.680000000037</v>
      </c>
    </row>
    <row r="371" spans="2:9" ht="19.5" x14ac:dyDescent="0.25">
      <c r="B371" s="148"/>
      <c r="C371" s="148" t="s">
        <v>17331</v>
      </c>
      <c r="D371" s="150">
        <v>43896</v>
      </c>
      <c r="E371" s="113" t="s">
        <v>17330</v>
      </c>
      <c r="F371" s="257" t="s">
        <v>14443</v>
      </c>
      <c r="G371" s="258">
        <v>23.27</v>
      </c>
      <c r="I371" s="160">
        <f t="shared" si="5"/>
        <v>45337.950000000033</v>
      </c>
    </row>
    <row r="372" spans="2:9" x14ac:dyDescent="0.25">
      <c r="B372" s="148"/>
      <c r="C372" s="148" t="s">
        <v>17329</v>
      </c>
      <c r="D372" s="150">
        <v>43896</v>
      </c>
      <c r="E372" s="113" t="s">
        <v>17328</v>
      </c>
      <c r="F372" s="257" t="s">
        <v>14443</v>
      </c>
      <c r="G372" s="258">
        <v>243.41</v>
      </c>
      <c r="I372" s="160">
        <f t="shared" si="5"/>
        <v>45581.360000000037</v>
      </c>
    </row>
    <row r="373" spans="2:9" ht="19.5" x14ac:dyDescent="0.25">
      <c r="B373" s="148"/>
      <c r="C373" s="148" t="s">
        <v>17327</v>
      </c>
      <c r="D373" s="150">
        <v>43896</v>
      </c>
      <c r="E373" s="113" t="s">
        <v>17326</v>
      </c>
      <c r="F373" s="257" t="s">
        <v>14443</v>
      </c>
      <c r="G373" s="258">
        <v>16.760000000000002</v>
      </c>
      <c r="I373" s="160">
        <f t="shared" si="5"/>
        <v>45598.120000000039</v>
      </c>
    </row>
    <row r="374" spans="2:9" ht="19.5" x14ac:dyDescent="0.25">
      <c r="B374" s="148"/>
      <c r="C374" s="148" t="s">
        <v>17325</v>
      </c>
      <c r="D374" s="150">
        <v>43896</v>
      </c>
      <c r="E374" s="113" t="s">
        <v>17324</v>
      </c>
      <c r="F374" s="257" t="s">
        <v>14436</v>
      </c>
      <c r="G374" s="160">
        <v>38.479999999999997</v>
      </c>
      <c r="I374" s="160">
        <f t="shared" si="5"/>
        <v>45636.600000000042</v>
      </c>
    </row>
    <row r="375" spans="2:9" x14ac:dyDescent="0.25">
      <c r="B375" s="148"/>
      <c r="C375" s="148" t="s">
        <v>17323</v>
      </c>
      <c r="D375" s="150">
        <v>43896</v>
      </c>
      <c r="E375" s="113" t="s">
        <v>17322</v>
      </c>
      <c r="F375" s="257" t="s">
        <v>14437</v>
      </c>
      <c r="G375" s="160">
        <v>12.05</v>
      </c>
      <c r="I375" s="160">
        <f t="shared" si="5"/>
        <v>45648.650000000045</v>
      </c>
    </row>
    <row r="376" spans="2:9" x14ac:dyDescent="0.25">
      <c r="B376" s="148"/>
      <c r="C376" s="148" t="s">
        <v>17321</v>
      </c>
      <c r="D376" s="150">
        <v>43896</v>
      </c>
      <c r="E376" s="113" t="s">
        <v>17320</v>
      </c>
      <c r="F376" s="257" t="s">
        <v>14436</v>
      </c>
      <c r="G376" s="160">
        <v>19.04</v>
      </c>
      <c r="I376" s="160">
        <f t="shared" si="5"/>
        <v>45667.690000000046</v>
      </c>
    </row>
    <row r="377" spans="2:9" x14ac:dyDescent="0.25">
      <c r="B377" s="148"/>
      <c r="C377" s="148" t="s">
        <v>17319</v>
      </c>
      <c r="D377" s="150">
        <v>43896</v>
      </c>
      <c r="E377" s="113" t="s">
        <v>17318</v>
      </c>
      <c r="F377" s="257" t="s">
        <v>14443</v>
      </c>
      <c r="G377" s="258">
        <v>15</v>
      </c>
      <c r="I377" s="160">
        <f t="shared" si="5"/>
        <v>45682.690000000046</v>
      </c>
    </row>
    <row r="378" spans="2:9" ht="19.5" x14ac:dyDescent="0.25">
      <c r="B378" s="148"/>
      <c r="C378" s="148" t="s">
        <v>17317</v>
      </c>
      <c r="D378" s="150">
        <v>43896</v>
      </c>
      <c r="E378" s="113" t="s">
        <v>17316</v>
      </c>
      <c r="F378" s="257" t="s">
        <v>14443</v>
      </c>
      <c r="G378" s="258">
        <v>8.49</v>
      </c>
      <c r="I378" s="160">
        <f t="shared" si="5"/>
        <v>45691.180000000044</v>
      </c>
    </row>
    <row r="379" spans="2:9" ht="19.5" x14ac:dyDescent="0.25">
      <c r="B379" s="148"/>
      <c r="C379" s="148" t="s">
        <v>17315</v>
      </c>
      <c r="D379" s="150">
        <v>43896</v>
      </c>
      <c r="E379" s="113" t="s">
        <v>17314</v>
      </c>
      <c r="F379" s="257" t="s">
        <v>14409</v>
      </c>
      <c r="G379" s="258">
        <v>4.05</v>
      </c>
      <c r="I379" s="160">
        <f t="shared" si="5"/>
        <v>45695.230000000047</v>
      </c>
    </row>
    <row r="380" spans="2:9" ht="19.5" x14ac:dyDescent="0.25">
      <c r="B380" s="148"/>
      <c r="C380" s="148" t="s">
        <v>17313</v>
      </c>
      <c r="D380" s="150">
        <v>43896</v>
      </c>
      <c r="E380" s="113" t="s">
        <v>17312</v>
      </c>
      <c r="F380" s="257" t="s">
        <v>14409</v>
      </c>
      <c r="G380" s="258">
        <v>13.91</v>
      </c>
      <c r="I380" s="160">
        <f t="shared" si="5"/>
        <v>45709.14000000005</v>
      </c>
    </row>
    <row r="381" spans="2:9" x14ac:dyDescent="0.25">
      <c r="B381" s="148"/>
      <c r="C381" s="148" t="s">
        <v>17311</v>
      </c>
      <c r="D381" s="150">
        <v>43896</v>
      </c>
      <c r="E381" s="113" t="s">
        <v>17310</v>
      </c>
      <c r="F381" s="257" t="s">
        <v>14409</v>
      </c>
      <c r="G381" s="258">
        <v>8.2200000000000006</v>
      </c>
      <c r="I381" s="160">
        <f t="shared" si="5"/>
        <v>45717.360000000052</v>
      </c>
    </row>
    <row r="382" spans="2:9" x14ac:dyDescent="0.25">
      <c r="B382" s="148"/>
      <c r="C382" s="148" t="s">
        <v>17309</v>
      </c>
      <c r="D382" s="150">
        <v>43896</v>
      </c>
      <c r="E382" s="113" t="s">
        <v>17308</v>
      </c>
      <c r="F382" s="257" t="s">
        <v>14409</v>
      </c>
      <c r="G382" s="258">
        <v>8.33</v>
      </c>
      <c r="I382" s="160">
        <f t="shared" si="5"/>
        <v>45725.690000000053</v>
      </c>
    </row>
    <row r="383" spans="2:9" x14ac:dyDescent="0.25">
      <c r="B383" s="148"/>
      <c r="C383" s="148" t="s">
        <v>17307</v>
      </c>
      <c r="D383" s="150">
        <v>43896</v>
      </c>
      <c r="E383" s="113" t="s">
        <v>17306</v>
      </c>
      <c r="F383" s="257" t="s">
        <v>14409</v>
      </c>
      <c r="G383" s="258">
        <v>3.25</v>
      </c>
      <c r="I383" s="160">
        <f t="shared" si="5"/>
        <v>45728.940000000053</v>
      </c>
    </row>
    <row r="384" spans="2:9" ht="19.5" x14ac:dyDescent="0.25">
      <c r="B384" s="148"/>
      <c r="C384" s="148" t="s">
        <v>17305</v>
      </c>
      <c r="D384" s="150">
        <v>43896</v>
      </c>
      <c r="E384" s="113" t="s">
        <v>17304</v>
      </c>
      <c r="F384" s="257" t="s">
        <v>14409</v>
      </c>
      <c r="G384" s="258">
        <v>4.2</v>
      </c>
      <c r="I384" s="160">
        <f t="shared" si="5"/>
        <v>45733.14000000005</v>
      </c>
    </row>
    <row r="385" spans="2:9" ht="19.5" x14ac:dyDescent="0.25">
      <c r="B385" s="148"/>
      <c r="C385" s="148" t="s">
        <v>17303</v>
      </c>
      <c r="D385" s="150">
        <v>43896</v>
      </c>
      <c r="E385" s="113" t="s">
        <v>17302</v>
      </c>
      <c r="F385" s="257" t="s">
        <v>14409</v>
      </c>
      <c r="G385" s="258">
        <v>3.33</v>
      </c>
      <c r="I385" s="160">
        <f t="shared" si="5"/>
        <v>45736.470000000052</v>
      </c>
    </row>
    <row r="386" spans="2:9" x14ac:dyDescent="0.25">
      <c r="B386" s="148"/>
      <c r="C386" s="148" t="s">
        <v>17301</v>
      </c>
      <c r="D386" s="150">
        <v>43896</v>
      </c>
      <c r="E386" s="113" t="s">
        <v>17300</v>
      </c>
      <c r="F386" s="257" t="s">
        <v>14409</v>
      </c>
      <c r="G386" s="258">
        <v>1.9</v>
      </c>
      <c r="I386" s="160">
        <f t="shared" si="5"/>
        <v>45738.370000000054</v>
      </c>
    </row>
    <row r="387" spans="2:9" ht="19.5" x14ac:dyDescent="0.25">
      <c r="B387" s="148"/>
      <c r="C387" s="148" t="s">
        <v>17299</v>
      </c>
      <c r="D387" s="150">
        <v>43896</v>
      </c>
      <c r="E387" s="113" t="s">
        <v>17298</v>
      </c>
      <c r="F387" s="257" t="s">
        <v>14409</v>
      </c>
      <c r="G387" s="258">
        <v>2.76</v>
      </c>
      <c r="I387" s="160">
        <f t="shared" si="5"/>
        <v>45741.130000000056</v>
      </c>
    </row>
    <row r="388" spans="2:9" ht="19.5" x14ac:dyDescent="0.25">
      <c r="B388" s="148"/>
      <c r="C388" s="148" t="s">
        <v>17297</v>
      </c>
      <c r="D388" s="150">
        <v>43896</v>
      </c>
      <c r="E388" s="113" t="s">
        <v>17296</v>
      </c>
      <c r="F388" s="257" t="s">
        <v>14409</v>
      </c>
      <c r="G388" s="258">
        <v>1.68</v>
      </c>
      <c r="I388" s="160">
        <f t="shared" si="5"/>
        <v>45742.810000000056</v>
      </c>
    </row>
    <row r="389" spans="2:9" x14ac:dyDescent="0.25">
      <c r="B389" s="148"/>
      <c r="C389" s="148" t="s">
        <v>17295</v>
      </c>
      <c r="D389" s="150">
        <v>43896</v>
      </c>
      <c r="E389" s="113" t="s">
        <v>17294</v>
      </c>
      <c r="F389" s="257" t="s">
        <v>14409</v>
      </c>
      <c r="G389" s="258">
        <v>7.62</v>
      </c>
      <c r="I389" s="160">
        <f t="shared" si="5"/>
        <v>45750.430000000058</v>
      </c>
    </row>
    <row r="390" spans="2:9" ht="19.5" x14ac:dyDescent="0.25">
      <c r="B390" s="148"/>
      <c r="C390" s="148" t="s">
        <v>17293</v>
      </c>
      <c r="D390" s="150">
        <v>43896</v>
      </c>
      <c r="E390" s="113" t="s">
        <v>17292</v>
      </c>
      <c r="F390" s="257" t="s">
        <v>14409</v>
      </c>
      <c r="G390" s="258">
        <v>4.21</v>
      </c>
      <c r="I390" s="160">
        <f t="shared" si="5"/>
        <v>45754.640000000058</v>
      </c>
    </row>
    <row r="391" spans="2:9" x14ac:dyDescent="0.25">
      <c r="B391" s="148"/>
      <c r="C391" s="148" t="s">
        <v>17291</v>
      </c>
      <c r="D391" s="150">
        <v>43896</v>
      </c>
      <c r="E391" s="113" t="s">
        <v>17290</v>
      </c>
      <c r="F391" s="257" t="s">
        <v>14409</v>
      </c>
      <c r="G391" s="258">
        <v>2.23</v>
      </c>
      <c r="I391" s="160">
        <f t="shared" si="5"/>
        <v>45756.870000000061</v>
      </c>
    </row>
    <row r="392" spans="2:9" ht="19.5" x14ac:dyDescent="0.25">
      <c r="B392" s="148"/>
      <c r="C392" s="148" t="s">
        <v>17289</v>
      </c>
      <c r="D392" s="150">
        <v>43896</v>
      </c>
      <c r="E392" s="113" t="s">
        <v>17288</v>
      </c>
      <c r="F392" s="257" t="s">
        <v>14409</v>
      </c>
      <c r="G392" s="258">
        <v>0.71</v>
      </c>
      <c r="I392" s="160">
        <f t="shared" si="5"/>
        <v>45757.58000000006</v>
      </c>
    </row>
    <row r="393" spans="2:9" x14ac:dyDescent="0.25">
      <c r="B393" s="148"/>
      <c r="C393" s="148" t="s">
        <v>17287</v>
      </c>
      <c r="D393" s="150">
        <v>43896</v>
      </c>
      <c r="E393" s="113" t="s">
        <v>17286</v>
      </c>
      <c r="F393" s="257" t="s">
        <v>14409</v>
      </c>
      <c r="G393" s="258">
        <v>8.3800000000000008</v>
      </c>
      <c r="I393" s="160">
        <f t="shared" si="5"/>
        <v>45765.960000000057</v>
      </c>
    </row>
    <row r="394" spans="2:9" ht="19.5" x14ac:dyDescent="0.25">
      <c r="B394" s="148"/>
      <c r="C394" s="148" t="s">
        <v>17285</v>
      </c>
      <c r="D394" s="150">
        <v>43896</v>
      </c>
      <c r="E394" s="113" t="s">
        <v>17284</v>
      </c>
      <c r="F394" s="257" t="s">
        <v>14409</v>
      </c>
      <c r="G394" s="258">
        <v>0.09</v>
      </c>
      <c r="I394" s="160">
        <f t="shared" si="5"/>
        <v>45766.050000000054</v>
      </c>
    </row>
    <row r="395" spans="2:9" ht="19.5" x14ac:dyDescent="0.25">
      <c r="B395" s="148"/>
      <c r="C395" s="148" t="s">
        <v>17283</v>
      </c>
      <c r="D395" s="150">
        <v>43896</v>
      </c>
      <c r="E395" s="113" t="s">
        <v>17282</v>
      </c>
      <c r="F395" s="257" t="s">
        <v>14409</v>
      </c>
      <c r="G395" s="258">
        <v>11.66</v>
      </c>
      <c r="I395" s="160">
        <f t="shared" si="5"/>
        <v>45777.710000000057</v>
      </c>
    </row>
    <row r="396" spans="2:9" x14ac:dyDescent="0.25">
      <c r="B396" s="148"/>
      <c r="C396" s="148" t="s">
        <v>17281</v>
      </c>
      <c r="D396" s="150">
        <v>43896</v>
      </c>
      <c r="E396" s="113" t="s">
        <v>17280</v>
      </c>
      <c r="F396" s="257" t="s">
        <v>14409</v>
      </c>
      <c r="G396" s="258">
        <v>3.94</v>
      </c>
      <c r="I396" s="160">
        <f t="shared" si="5"/>
        <v>45781.65000000006</v>
      </c>
    </row>
    <row r="397" spans="2:9" ht="19.5" x14ac:dyDescent="0.25">
      <c r="B397" s="148"/>
      <c r="C397" s="148" t="s">
        <v>17279</v>
      </c>
      <c r="D397" s="150">
        <v>43896</v>
      </c>
      <c r="E397" s="113" t="s">
        <v>17278</v>
      </c>
      <c r="F397" s="257" t="s">
        <v>14409</v>
      </c>
      <c r="G397" s="258">
        <v>14.31</v>
      </c>
      <c r="I397" s="160">
        <f t="shared" si="5"/>
        <v>45795.960000000057</v>
      </c>
    </row>
    <row r="398" spans="2:9" x14ac:dyDescent="0.25">
      <c r="B398" s="148"/>
      <c r="C398" s="148" t="s">
        <v>17277</v>
      </c>
      <c r="D398" s="150">
        <v>43896</v>
      </c>
      <c r="E398" s="113" t="s">
        <v>17276</v>
      </c>
      <c r="F398" s="257" t="s">
        <v>14409</v>
      </c>
      <c r="G398" s="258">
        <v>6.06</v>
      </c>
      <c r="I398" s="160">
        <f t="shared" si="5"/>
        <v>45802.020000000055</v>
      </c>
    </row>
    <row r="399" spans="2:9" x14ac:dyDescent="0.25">
      <c r="B399" s="148"/>
      <c r="C399" s="148" t="s">
        <v>17275</v>
      </c>
      <c r="D399" s="150">
        <v>43896</v>
      </c>
      <c r="E399" s="113" t="s">
        <v>17274</v>
      </c>
      <c r="F399" s="257" t="s">
        <v>14409</v>
      </c>
      <c r="G399" s="258">
        <v>1.76</v>
      </c>
      <c r="I399" s="160">
        <f t="shared" si="5"/>
        <v>45803.780000000057</v>
      </c>
    </row>
    <row r="400" spans="2:9" ht="19.5" x14ac:dyDescent="0.25">
      <c r="B400" s="148"/>
      <c r="C400" s="148" t="s">
        <v>17273</v>
      </c>
      <c r="D400" s="150">
        <v>43896</v>
      </c>
      <c r="E400" s="113" t="s">
        <v>17272</v>
      </c>
      <c r="F400" s="257" t="s">
        <v>14409</v>
      </c>
      <c r="G400" s="258">
        <v>5.14</v>
      </c>
      <c r="I400" s="160">
        <f t="shared" si="5"/>
        <v>45808.920000000056</v>
      </c>
    </row>
    <row r="401" spans="2:9" ht="19.5" x14ac:dyDescent="0.25">
      <c r="B401" s="148"/>
      <c r="C401" s="148" t="s">
        <v>17271</v>
      </c>
      <c r="D401" s="150">
        <v>43896</v>
      </c>
      <c r="E401" s="113" t="s">
        <v>17270</v>
      </c>
      <c r="F401" s="257" t="s">
        <v>14409</v>
      </c>
      <c r="G401" s="258">
        <v>8.9499999999999993</v>
      </c>
      <c r="I401" s="160">
        <f t="shared" si="5"/>
        <v>45817.870000000054</v>
      </c>
    </row>
    <row r="402" spans="2:9" ht="19.5" x14ac:dyDescent="0.25">
      <c r="B402" s="148"/>
      <c r="C402" s="148" t="s">
        <v>17269</v>
      </c>
      <c r="D402" s="150">
        <v>43896</v>
      </c>
      <c r="E402" s="113" t="s">
        <v>17268</v>
      </c>
      <c r="F402" s="257" t="s">
        <v>14409</v>
      </c>
      <c r="G402" s="258">
        <v>5.36</v>
      </c>
      <c r="I402" s="160">
        <f t="shared" si="5"/>
        <v>45823.230000000054</v>
      </c>
    </row>
    <row r="403" spans="2:9" ht="19.5" x14ac:dyDescent="0.25">
      <c r="B403" s="148"/>
      <c r="C403" s="148" t="s">
        <v>17267</v>
      </c>
      <c r="D403" s="150">
        <v>43896</v>
      </c>
      <c r="E403" s="113" t="s">
        <v>17266</v>
      </c>
      <c r="F403" s="257" t="s">
        <v>14409</v>
      </c>
      <c r="G403" s="258">
        <v>4.04</v>
      </c>
      <c r="I403" s="160">
        <f t="shared" si="5"/>
        <v>45827.270000000055</v>
      </c>
    </row>
    <row r="404" spans="2:9" x14ac:dyDescent="0.25">
      <c r="B404" s="148"/>
      <c r="C404" s="148" t="s">
        <v>17265</v>
      </c>
      <c r="D404" s="150">
        <v>43896</v>
      </c>
      <c r="E404" s="113" t="s">
        <v>17264</v>
      </c>
      <c r="F404" s="257" t="s">
        <v>14409</v>
      </c>
      <c r="G404" s="258">
        <v>13.48</v>
      </c>
      <c r="I404" s="160">
        <f t="shared" ref="I404:I467" si="6">+I403+G404-H404</f>
        <v>45840.750000000058</v>
      </c>
    </row>
    <row r="405" spans="2:9" x14ac:dyDescent="0.25">
      <c r="B405" s="148"/>
      <c r="C405" s="148" t="s">
        <v>17263</v>
      </c>
      <c r="D405" s="150">
        <v>43896</v>
      </c>
      <c r="E405" s="113" t="s">
        <v>17262</v>
      </c>
      <c r="F405" s="257" t="s">
        <v>14409</v>
      </c>
      <c r="G405" s="258">
        <v>30.6</v>
      </c>
      <c r="I405" s="160">
        <f t="shared" si="6"/>
        <v>45871.350000000057</v>
      </c>
    </row>
    <row r="406" spans="2:9" x14ac:dyDescent="0.25">
      <c r="B406" s="148"/>
      <c r="C406" s="148" t="s">
        <v>17261</v>
      </c>
      <c r="D406" s="150">
        <v>43896</v>
      </c>
      <c r="E406" s="113" t="s">
        <v>17260</v>
      </c>
      <c r="F406" s="257" t="s">
        <v>14409</v>
      </c>
      <c r="G406" s="258">
        <v>3.44</v>
      </c>
      <c r="I406" s="160">
        <f t="shared" si="6"/>
        <v>45874.790000000059</v>
      </c>
    </row>
    <row r="407" spans="2:9" ht="19.5" x14ac:dyDescent="0.25">
      <c r="B407" s="148"/>
      <c r="C407" s="148" t="s">
        <v>17259</v>
      </c>
      <c r="D407" s="150">
        <v>43896</v>
      </c>
      <c r="E407" s="113" t="s">
        <v>17258</v>
      </c>
      <c r="F407" s="257" t="s">
        <v>14409</v>
      </c>
      <c r="G407" s="258">
        <v>4.54</v>
      </c>
      <c r="I407" s="160">
        <f t="shared" si="6"/>
        <v>45879.33000000006</v>
      </c>
    </row>
    <row r="408" spans="2:9" ht="19.5" x14ac:dyDescent="0.25">
      <c r="B408" s="148"/>
      <c r="C408" s="148" t="s">
        <v>17257</v>
      </c>
      <c r="D408" s="150">
        <v>43896</v>
      </c>
      <c r="E408" s="113" t="s">
        <v>17256</v>
      </c>
      <c r="F408" s="257" t="s">
        <v>14409</v>
      </c>
      <c r="G408" s="258">
        <v>3.36</v>
      </c>
      <c r="I408" s="160">
        <f t="shared" si="6"/>
        <v>45882.690000000061</v>
      </c>
    </row>
    <row r="409" spans="2:9" x14ac:dyDescent="0.25">
      <c r="B409" s="148"/>
      <c r="C409" s="148" t="s">
        <v>17255</v>
      </c>
      <c r="D409" s="150">
        <v>43896</v>
      </c>
      <c r="E409" s="113" t="s">
        <v>17254</v>
      </c>
      <c r="F409" s="257">
        <v>5</v>
      </c>
      <c r="G409" s="255">
        <v>3.06</v>
      </c>
      <c r="I409" s="160">
        <f t="shared" si="6"/>
        <v>45885.750000000058</v>
      </c>
    </row>
    <row r="410" spans="2:9" x14ac:dyDescent="0.25">
      <c r="B410" s="148"/>
      <c r="C410" s="148" t="s">
        <v>17253</v>
      </c>
      <c r="D410" s="150">
        <v>43896</v>
      </c>
      <c r="E410" s="113" t="s">
        <v>17252</v>
      </c>
      <c r="F410" s="257">
        <v>5</v>
      </c>
      <c r="G410" s="255">
        <v>1.68</v>
      </c>
      <c r="I410" s="160">
        <f t="shared" si="6"/>
        <v>45887.430000000058</v>
      </c>
    </row>
    <row r="411" spans="2:9" ht="19.5" x14ac:dyDescent="0.25">
      <c r="B411" s="148"/>
      <c r="C411" s="148" t="s">
        <v>17251</v>
      </c>
      <c r="D411" s="150">
        <v>43896</v>
      </c>
      <c r="E411" s="113" t="s">
        <v>17250</v>
      </c>
      <c r="F411" s="257">
        <v>5</v>
      </c>
      <c r="G411" s="255">
        <v>19.23</v>
      </c>
      <c r="I411" s="160">
        <f t="shared" si="6"/>
        <v>45906.660000000062</v>
      </c>
    </row>
    <row r="412" spans="2:9" ht="19.5" x14ac:dyDescent="0.25">
      <c r="B412" s="148"/>
      <c r="C412" s="148" t="s">
        <v>17249</v>
      </c>
      <c r="D412" s="150">
        <v>43896</v>
      </c>
      <c r="E412" s="113" t="s">
        <v>17248</v>
      </c>
      <c r="F412" s="257">
        <v>5</v>
      </c>
      <c r="G412" s="255">
        <v>17.89</v>
      </c>
      <c r="I412" s="160">
        <f t="shared" si="6"/>
        <v>45924.550000000061</v>
      </c>
    </row>
    <row r="413" spans="2:9" ht="19.5" x14ac:dyDescent="0.25">
      <c r="B413" s="148"/>
      <c r="C413" s="148" t="s">
        <v>17247</v>
      </c>
      <c r="D413" s="150">
        <v>43896</v>
      </c>
      <c r="E413" s="113" t="s">
        <v>17246</v>
      </c>
      <c r="F413" s="257">
        <v>5</v>
      </c>
      <c r="G413" s="255">
        <v>13.03</v>
      </c>
      <c r="I413" s="160">
        <f t="shared" si="6"/>
        <v>45937.58000000006</v>
      </c>
    </row>
    <row r="414" spans="2:9" ht="19.5" x14ac:dyDescent="0.25">
      <c r="B414" s="148"/>
      <c r="C414" s="148" t="s">
        <v>17245</v>
      </c>
      <c r="D414" s="150">
        <v>43896</v>
      </c>
      <c r="E414" s="113" t="s">
        <v>17244</v>
      </c>
      <c r="F414" s="257">
        <v>5</v>
      </c>
      <c r="G414" s="255">
        <v>3.94</v>
      </c>
      <c r="I414" s="160">
        <f t="shared" si="6"/>
        <v>45941.520000000062</v>
      </c>
    </row>
    <row r="415" spans="2:9" x14ac:dyDescent="0.25">
      <c r="B415" s="148"/>
      <c r="C415" s="148" t="s">
        <v>1432</v>
      </c>
      <c r="D415" s="150">
        <v>43896</v>
      </c>
      <c r="E415" s="113" t="s">
        <v>17243</v>
      </c>
      <c r="F415" s="257" t="s">
        <v>14433</v>
      </c>
      <c r="H415" s="161">
        <v>1811.16</v>
      </c>
      <c r="I415" s="160">
        <f t="shared" si="6"/>
        <v>44130.360000000059</v>
      </c>
    </row>
    <row r="416" spans="2:9" x14ac:dyDescent="0.25">
      <c r="B416" s="148"/>
      <c r="C416" s="148" t="s">
        <v>17242</v>
      </c>
      <c r="D416" s="150">
        <v>43897</v>
      </c>
      <c r="E416" s="113" t="s">
        <v>17241</v>
      </c>
      <c r="F416" s="257" t="s">
        <v>14409</v>
      </c>
      <c r="G416" s="258">
        <v>1.56</v>
      </c>
      <c r="I416" s="160">
        <f t="shared" si="6"/>
        <v>44131.920000000056</v>
      </c>
    </row>
    <row r="417" spans="2:9" x14ac:dyDescent="0.25">
      <c r="B417" s="148"/>
      <c r="C417" s="148" t="s">
        <v>17240</v>
      </c>
      <c r="D417" s="150">
        <v>43897</v>
      </c>
      <c r="E417" s="113" t="s">
        <v>17239</v>
      </c>
      <c r="F417" s="257" t="s">
        <v>14409</v>
      </c>
      <c r="G417" s="258">
        <v>3.34</v>
      </c>
      <c r="I417" s="160">
        <f t="shared" si="6"/>
        <v>44135.260000000053</v>
      </c>
    </row>
    <row r="418" spans="2:9" x14ac:dyDescent="0.25">
      <c r="B418" s="148"/>
      <c r="C418" s="148" t="s">
        <v>17238</v>
      </c>
      <c r="D418" s="150">
        <v>43897</v>
      </c>
      <c r="E418" s="113" t="s">
        <v>17237</v>
      </c>
      <c r="F418" s="257" t="s">
        <v>14409</v>
      </c>
      <c r="G418" s="258">
        <v>9.27</v>
      </c>
      <c r="I418" s="160">
        <f t="shared" si="6"/>
        <v>44144.53000000005</v>
      </c>
    </row>
    <row r="419" spans="2:9" x14ac:dyDescent="0.25">
      <c r="B419" s="148"/>
      <c r="C419" s="148" t="s">
        <v>17236</v>
      </c>
      <c r="D419" s="150">
        <v>43897</v>
      </c>
      <c r="E419" s="113" t="s">
        <v>17235</v>
      </c>
      <c r="F419" s="257" t="s">
        <v>14409</v>
      </c>
      <c r="G419" s="258">
        <v>7.16</v>
      </c>
      <c r="I419" s="160">
        <f t="shared" si="6"/>
        <v>44151.690000000053</v>
      </c>
    </row>
    <row r="420" spans="2:9" ht="19.5" x14ac:dyDescent="0.25">
      <c r="B420" s="148"/>
      <c r="C420" s="148" t="s">
        <v>17234</v>
      </c>
      <c r="D420" s="150">
        <v>43897</v>
      </c>
      <c r="E420" s="113" t="s">
        <v>17233</v>
      </c>
      <c r="F420" s="257" t="s">
        <v>14409</v>
      </c>
      <c r="G420" s="258">
        <v>7.61</v>
      </c>
      <c r="I420" s="160">
        <f t="shared" si="6"/>
        <v>44159.300000000054</v>
      </c>
    </row>
    <row r="421" spans="2:9" x14ac:dyDescent="0.25">
      <c r="B421" s="148"/>
      <c r="C421" s="148" t="s">
        <v>17232</v>
      </c>
      <c r="D421" s="150">
        <v>43897</v>
      </c>
      <c r="E421" s="113" t="s">
        <v>17231</v>
      </c>
      <c r="F421" s="257" t="s">
        <v>14409</v>
      </c>
      <c r="G421" s="258">
        <v>1.68</v>
      </c>
      <c r="I421" s="160">
        <f t="shared" si="6"/>
        <v>44160.980000000054</v>
      </c>
    </row>
    <row r="422" spans="2:9" ht="19.5" x14ac:dyDescent="0.25">
      <c r="B422" s="148"/>
      <c r="C422" s="148" t="s">
        <v>17230</v>
      </c>
      <c r="D422" s="150">
        <v>43897</v>
      </c>
      <c r="E422" s="113" t="s">
        <v>17229</v>
      </c>
      <c r="F422" s="257" t="s">
        <v>14409</v>
      </c>
      <c r="G422" s="258">
        <v>2.6</v>
      </c>
      <c r="I422" s="160">
        <f t="shared" si="6"/>
        <v>44163.580000000053</v>
      </c>
    </row>
    <row r="423" spans="2:9" x14ac:dyDescent="0.25">
      <c r="B423" s="148"/>
      <c r="C423" s="148" t="s">
        <v>17228</v>
      </c>
      <c r="D423" s="150">
        <v>43897</v>
      </c>
      <c r="E423" s="113" t="s">
        <v>17227</v>
      </c>
      <c r="F423" s="257" t="s">
        <v>14409</v>
      </c>
      <c r="G423" s="258">
        <v>1.71</v>
      </c>
      <c r="I423" s="160">
        <f t="shared" si="6"/>
        <v>44165.290000000052</v>
      </c>
    </row>
    <row r="424" spans="2:9" ht="19.5" x14ac:dyDescent="0.25">
      <c r="B424" s="148"/>
      <c r="C424" s="148" t="s">
        <v>17226</v>
      </c>
      <c r="D424" s="150">
        <v>43897</v>
      </c>
      <c r="E424" s="113" t="s">
        <v>17225</v>
      </c>
      <c r="F424" s="257" t="s">
        <v>14409</v>
      </c>
      <c r="G424" s="258">
        <v>5.52</v>
      </c>
      <c r="I424" s="160">
        <f t="shared" si="6"/>
        <v>44170.810000000049</v>
      </c>
    </row>
    <row r="425" spans="2:9" ht="19.5" x14ac:dyDescent="0.25">
      <c r="B425" s="148"/>
      <c r="C425" s="148" t="s">
        <v>17224</v>
      </c>
      <c r="D425" s="150">
        <v>43897</v>
      </c>
      <c r="E425" s="113" t="s">
        <v>17223</v>
      </c>
      <c r="F425" s="257" t="s">
        <v>14409</v>
      </c>
      <c r="G425" s="258">
        <v>5.17</v>
      </c>
      <c r="I425" s="160">
        <f t="shared" si="6"/>
        <v>44175.980000000047</v>
      </c>
    </row>
    <row r="426" spans="2:9" ht="19.5" x14ac:dyDescent="0.25">
      <c r="B426" s="148"/>
      <c r="C426" s="148" t="s">
        <v>17222</v>
      </c>
      <c r="D426" s="150">
        <v>43897</v>
      </c>
      <c r="E426" s="113" t="s">
        <v>17221</v>
      </c>
      <c r="F426" s="257" t="s">
        <v>14409</v>
      </c>
      <c r="G426" s="258">
        <v>6.22</v>
      </c>
      <c r="I426" s="160">
        <f t="shared" si="6"/>
        <v>44182.200000000048</v>
      </c>
    </row>
    <row r="427" spans="2:9" ht="19.5" x14ac:dyDescent="0.25">
      <c r="B427" s="148"/>
      <c r="C427" s="148" t="s">
        <v>17220</v>
      </c>
      <c r="D427" s="150">
        <v>43897</v>
      </c>
      <c r="E427" s="113" t="s">
        <v>17219</v>
      </c>
      <c r="F427" s="257" t="s">
        <v>14409</v>
      </c>
      <c r="G427" s="258">
        <v>11.19</v>
      </c>
      <c r="I427" s="160">
        <f t="shared" si="6"/>
        <v>44193.39000000005</v>
      </c>
    </row>
    <row r="428" spans="2:9" ht="19.5" x14ac:dyDescent="0.25">
      <c r="B428" s="148"/>
      <c r="C428" s="148" t="s">
        <v>17218</v>
      </c>
      <c r="D428" s="150">
        <v>43897</v>
      </c>
      <c r="E428" s="113" t="s">
        <v>17217</v>
      </c>
      <c r="F428" s="257" t="s">
        <v>14409</v>
      </c>
      <c r="G428" s="258">
        <v>6.55</v>
      </c>
      <c r="I428" s="160">
        <f t="shared" si="6"/>
        <v>44199.940000000053</v>
      </c>
    </row>
    <row r="429" spans="2:9" ht="19.5" x14ac:dyDescent="0.25">
      <c r="B429" s="148"/>
      <c r="C429" s="148" t="s">
        <v>17216</v>
      </c>
      <c r="D429" s="150">
        <v>43897</v>
      </c>
      <c r="E429" s="113" t="s">
        <v>17215</v>
      </c>
      <c r="F429" s="257" t="s">
        <v>14409</v>
      </c>
      <c r="G429" s="258">
        <v>5.23</v>
      </c>
      <c r="I429" s="160">
        <f t="shared" si="6"/>
        <v>44205.170000000056</v>
      </c>
    </row>
    <row r="430" spans="2:9" ht="19.5" x14ac:dyDescent="0.25">
      <c r="B430" s="148"/>
      <c r="C430" s="148" t="s">
        <v>17214</v>
      </c>
      <c r="D430" s="150">
        <v>43897</v>
      </c>
      <c r="E430" s="113" t="s">
        <v>17213</v>
      </c>
      <c r="F430" s="257" t="s">
        <v>14409</v>
      </c>
      <c r="G430" s="258">
        <v>0.34</v>
      </c>
      <c r="I430" s="160">
        <f t="shared" si="6"/>
        <v>44205.510000000053</v>
      </c>
    </row>
    <row r="431" spans="2:9" ht="19.5" x14ac:dyDescent="0.25">
      <c r="B431" s="148"/>
      <c r="C431" s="148" t="s">
        <v>17212</v>
      </c>
      <c r="D431" s="150">
        <v>43897</v>
      </c>
      <c r="E431" s="113" t="s">
        <v>17211</v>
      </c>
      <c r="F431" s="257" t="s">
        <v>14409</v>
      </c>
      <c r="G431" s="258">
        <v>17.399999999999999</v>
      </c>
      <c r="I431" s="160">
        <f t="shared" si="6"/>
        <v>44222.910000000054</v>
      </c>
    </row>
    <row r="432" spans="2:9" ht="19.5" x14ac:dyDescent="0.25">
      <c r="B432" s="148"/>
      <c r="C432" s="148" t="s">
        <v>17210</v>
      </c>
      <c r="D432" s="150">
        <v>43897</v>
      </c>
      <c r="E432" s="113" t="s">
        <v>17209</v>
      </c>
      <c r="F432" s="257" t="s">
        <v>14409</v>
      </c>
      <c r="G432" s="258">
        <v>13.4</v>
      </c>
      <c r="I432" s="160">
        <f t="shared" si="6"/>
        <v>44236.310000000056</v>
      </c>
    </row>
    <row r="433" spans="2:9" ht="19.5" x14ac:dyDescent="0.25">
      <c r="B433" s="148"/>
      <c r="C433" s="148" t="s">
        <v>17208</v>
      </c>
      <c r="D433" s="150">
        <v>43897</v>
      </c>
      <c r="E433" s="113" t="s">
        <v>17207</v>
      </c>
      <c r="F433" s="257" t="s">
        <v>14409</v>
      </c>
      <c r="G433" s="258">
        <v>4.3</v>
      </c>
      <c r="I433" s="160">
        <f t="shared" si="6"/>
        <v>44240.610000000059</v>
      </c>
    </row>
    <row r="434" spans="2:9" x14ac:dyDescent="0.25">
      <c r="B434" s="148"/>
      <c r="C434" s="148" t="s">
        <v>17206</v>
      </c>
      <c r="D434" s="150">
        <v>43897</v>
      </c>
      <c r="E434" s="113" t="s">
        <v>17205</v>
      </c>
      <c r="F434" s="257" t="s">
        <v>14409</v>
      </c>
      <c r="G434" s="258">
        <v>4.45</v>
      </c>
      <c r="I434" s="160">
        <f t="shared" si="6"/>
        <v>44245.060000000056</v>
      </c>
    </row>
    <row r="435" spans="2:9" ht="19.5" x14ac:dyDescent="0.25">
      <c r="B435" s="148"/>
      <c r="C435" s="148" t="s">
        <v>17204</v>
      </c>
      <c r="D435" s="150">
        <v>43897</v>
      </c>
      <c r="E435" s="113" t="s">
        <v>17203</v>
      </c>
      <c r="F435" s="257" t="s">
        <v>14409</v>
      </c>
      <c r="G435" s="258">
        <v>18.809999999999999</v>
      </c>
      <c r="I435" s="160">
        <f t="shared" si="6"/>
        <v>44263.870000000054</v>
      </c>
    </row>
    <row r="436" spans="2:9" x14ac:dyDescent="0.25">
      <c r="B436" s="148"/>
      <c r="C436" s="148" t="s">
        <v>17202</v>
      </c>
      <c r="D436" s="150">
        <v>43897</v>
      </c>
      <c r="E436" s="113" t="s">
        <v>17201</v>
      </c>
      <c r="F436" s="257" t="s">
        <v>14409</v>
      </c>
      <c r="G436" s="258">
        <v>5.6</v>
      </c>
      <c r="I436" s="160">
        <f t="shared" si="6"/>
        <v>44269.470000000052</v>
      </c>
    </row>
    <row r="437" spans="2:9" ht="19.5" x14ac:dyDescent="0.25">
      <c r="B437" s="148"/>
      <c r="C437" s="148" t="s">
        <v>17200</v>
      </c>
      <c r="D437" s="150">
        <v>43897</v>
      </c>
      <c r="E437" s="113" t="s">
        <v>17199</v>
      </c>
      <c r="F437" s="257" t="s">
        <v>14409</v>
      </c>
      <c r="G437" s="258">
        <v>4.7699999999999996</v>
      </c>
      <c r="I437" s="160">
        <f t="shared" si="6"/>
        <v>44274.240000000049</v>
      </c>
    </row>
    <row r="438" spans="2:9" x14ac:dyDescent="0.25">
      <c r="B438" s="148"/>
      <c r="C438" s="148" t="s">
        <v>17198</v>
      </c>
      <c r="D438" s="150">
        <v>43898</v>
      </c>
      <c r="E438" s="113" t="s">
        <v>17197</v>
      </c>
      <c r="F438" s="257" t="s">
        <v>14409</v>
      </c>
      <c r="G438" s="258">
        <v>1.68</v>
      </c>
      <c r="I438" s="160">
        <f t="shared" si="6"/>
        <v>44275.920000000049</v>
      </c>
    </row>
    <row r="439" spans="2:9" ht="19.5" x14ac:dyDescent="0.25">
      <c r="B439" s="148"/>
      <c r="C439" s="148" t="s">
        <v>17196</v>
      </c>
      <c r="D439" s="150">
        <v>43898</v>
      </c>
      <c r="E439" s="113" t="s">
        <v>17195</v>
      </c>
      <c r="F439" s="257" t="s">
        <v>14409</v>
      </c>
      <c r="G439" s="258">
        <v>4.41</v>
      </c>
      <c r="I439" s="160">
        <f t="shared" si="6"/>
        <v>44280.330000000053</v>
      </c>
    </row>
    <row r="440" spans="2:9" ht="19.5" x14ac:dyDescent="0.25">
      <c r="B440" s="148"/>
      <c r="C440" s="148" t="s">
        <v>17194</v>
      </c>
      <c r="D440" s="150">
        <v>43898</v>
      </c>
      <c r="E440" s="113" t="s">
        <v>17193</v>
      </c>
      <c r="F440" s="257" t="s">
        <v>14409</v>
      </c>
      <c r="G440" s="258">
        <v>1.68</v>
      </c>
      <c r="I440" s="160">
        <f t="shared" si="6"/>
        <v>44282.010000000053</v>
      </c>
    </row>
    <row r="441" spans="2:9" x14ac:dyDescent="0.25">
      <c r="B441" s="148"/>
      <c r="C441" s="148" t="s">
        <v>17192</v>
      </c>
      <c r="D441" s="150">
        <v>43898</v>
      </c>
      <c r="E441" s="113" t="s">
        <v>17191</v>
      </c>
      <c r="F441" s="257" t="s">
        <v>14409</v>
      </c>
      <c r="G441" s="258">
        <v>5.91</v>
      </c>
      <c r="I441" s="160">
        <f t="shared" si="6"/>
        <v>44287.920000000056</v>
      </c>
    </row>
    <row r="442" spans="2:9" ht="19.5" x14ac:dyDescent="0.25">
      <c r="B442" s="148"/>
      <c r="C442" s="148" t="s">
        <v>17190</v>
      </c>
      <c r="D442" s="150">
        <v>43898</v>
      </c>
      <c r="E442" s="113" t="s">
        <v>17189</v>
      </c>
      <c r="F442" s="257" t="s">
        <v>14409</v>
      </c>
      <c r="G442" s="258">
        <v>3.38</v>
      </c>
      <c r="I442" s="160">
        <f t="shared" si="6"/>
        <v>44291.300000000054</v>
      </c>
    </row>
    <row r="443" spans="2:9" ht="19.5" x14ac:dyDescent="0.25">
      <c r="B443" s="148"/>
      <c r="C443" s="148" t="s">
        <v>17188</v>
      </c>
      <c r="D443" s="150">
        <v>43898</v>
      </c>
      <c r="E443" s="113" t="s">
        <v>17187</v>
      </c>
      <c r="F443" s="257" t="s">
        <v>14409</v>
      </c>
      <c r="G443" s="258">
        <v>15.83</v>
      </c>
      <c r="I443" s="160">
        <f t="shared" si="6"/>
        <v>44307.130000000056</v>
      </c>
    </row>
    <row r="444" spans="2:9" x14ac:dyDescent="0.25">
      <c r="B444" s="148"/>
      <c r="C444" s="148" t="s">
        <v>17186</v>
      </c>
      <c r="D444" s="150">
        <v>43898</v>
      </c>
      <c r="E444" s="113" t="s">
        <v>17185</v>
      </c>
      <c r="F444" s="257" t="s">
        <v>14409</v>
      </c>
      <c r="G444" s="258">
        <v>3.76</v>
      </c>
      <c r="I444" s="160">
        <f t="shared" si="6"/>
        <v>44310.890000000058</v>
      </c>
    </row>
    <row r="445" spans="2:9" ht="19.5" x14ac:dyDescent="0.25">
      <c r="B445" s="148"/>
      <c r="C445" s="148" t="s">
        <v>17184</v>
      </c>
      <c r="D445" s="150">
        <v>43898</v>
      </c>
      <c r="E445" s="113" t="s">
        <v>17183</v>
      </c>
      <c r="F445" s="257" t="s">
        <v>14409</v>
      </c>
      <c r="G445" s="258">
        <v>3.65</v>
      </c>
      <c r="I445" s="160">
        <f t="shared" si="6"/>
        <v>44314.540000000059</v>
      </c>
    </row>
    <row r="446" spans="2:9" ht="19.5" x14ac:dyDescent="0.25">
      <c r="B446" s="148"/>
      <c r="C446" s="148" t="s">
        <v>17182</v>
      </c>
      <c r="D446" s="150">
        <v>43898</v>
      </c>
      <c r="E446" s="113" t="s">
        <v>17181</v>
      </c>
      <c r="F446" s="257" t="s">
        <v>14409</v>
      </c>
      <c r="G446" s="258">
        <v>5.96</v>
      </c>
      <c r="I446" s="160">
        <f t="shared" si="6"/>
        <v>44320.500000000058</v>
      </c>
    </row>
    <row r="447" spans="2:9" ht="19.5" x14ac:dyDescent="0.25">
      <c r="B447" s="148"/>
      <c r="C447" s="148" t="s">
        <v>17180</v>
      </c>
      <c r="D447" s="150">
        <v>43898</v>
      </c>
      <c r="E447" s="113" t="s">
        <v>17179</v>
      </c>
      <c r="F447" s="257" t="s">
        <v>14409</v>
      </c>
      <c r="G447" s="258">
        <v>5.2</v>
      </c>
      <c r="I447" s="160">
        <f t="shared" si="6"/>
        <v>44325.700000000055</v>
      </c>
    </row>
    <row r="448" spans="2:9" ht="19.5" x14ac:dyDescent="0.25">
      <c r="B448" s="148"/>
      <c r="C448" s="148" t="s">
        <v>17178</v>
      </c>
      <c r="D448" s="150">
        <v>43898</v>
      </c>
      <c r="E448" s="113" t="s">
        <v>17177</v>
      </c>
      <c r="F448" s="257" t="s">
        <v>14409</v>
      </c>
      <c r="G448" s="258">
        <v>3.71</v>
      </c>
      <c r="I448" s="160">
        <f t="shared" si="6"/>
        <v>44329.410000000054</v>
      </c>
    </row>
    <row r="449" spans="2:9" x14ac:dyDescent="0.25">
      <c r="B449" s="148"/>
      <c r="C449" s="148" t="s">
        <v>17176</v>
      </c>
      <c r="D449" s="150">
        <v>43898</v>
      </c>
      <c r="E449" s="113" t="s">
        <v>17175</v>
      </c>
      <c r="F449" s="257" t="s">
        <v>14409</v>
      </c>
      <c r="G449" s="258">
        <v>2.36</v>
      </c>
      <c r="I449" s="160">
        <f t="shared" si="6"/>
        <v>44331.770000000055</v>
      </c>
    </row>
    <row r="450" spans="2:9" x14ac:dyDescent="0.25">
      <c r="B450" s="148"/>
      <c r="C450" s="148" t="s">
        <v>17174</v>
      </c>
      <c r="D450" s="150">
        <v>43898</v>
      </c>
      <c r="E450" s="113" t="s">
        <v>17173</v>
      </c>
      <c r="F450" s="257" t="s">
        <v>14409</v>
      </c>
      <c r="G450" s="258">
        <v>10.45</v>
      </c>
      <c r="I450" s="160">
        <f t="shared" si="6"/>
        <v>44342.220000000052</v>
      </c>
    </row>
    <row r="451" spans="2:9" ht="19.5" x14ac:dyDescent="0.25">
      <c r="B451" s="148"/>
      <c r="C451" s="148" t="s">
        <v>17172</v>
      </c>
      <c r="D451" s="150">
        <v>43898</v>
      </c>
      <c r="E451" s="113" t="s">
        <v>17171</v>
      </c>
      <c r="F451" s="257" t="s">
        <v>14409</v>
      </c>
      <c r="G451" s="258">
        <v>5.93</v>
      </c>
      <c r="I451" s="160">
        <f t="shared" si="6"/>
        <v>44348.150000000052</v>
      </c>
    </row>
    <row r="452" spans="2:9" ht="19.5" x14ac:dyDescent="0.25">
      <c r="B452" s="148"/>
      <c r="C452" s="148" t="s">
        <v>17170</v>
      </c>
      <c r="D452" s="150">
        <v>43899</v>
      </c>
      <c r="E452" s="113" t="s">
        <v>17169</v>
      </c>
      <c r="F452" s="257" t="s">
        <v>14444</v>
      </c>
      <c r="G452" s="258">
        <v>9.74</v>
      </c>
      <c r="I452" s="160">
        <f t="shared" si="6"/>
        <v>44357.89000000005</v>
      </c>
    </row>
    <row r="453" spans="2:9" ht="19.5" x14ac:dyDescent="0.25">
      <c r="B453" s="148"/>
      <c r="C453" s="148" t="s">
        <v>17168</v>
      </c>
      <c r="D453" s="150">
        <v>43899</v>
      </c>
      <c r="E453" s="113" t="s">
        <v>17167</v>
      </c>
      <c r="F453" s="257" t="s">
        <v>14444</v>
      </c>
      <c r="G453" s="258">
        <v>10.16</v>
      </c>
      <c r="I453" s="160">
        <f t="shared" si="6"/>
        <v>44368.050000000054</v>
      </c>
    </row>
    <row r="454" spans="2:9" ht="19.5" x14ac:dyDescent="0.25">
      <c r="B454" s="148"/>
      <c r="C454" s="148" t="s">
        <v>17166</v>
      </c>
      <c r="D454" s="150">
        <v>43899</v>
      </c>
      <c r="E454" s="113" t="s">
        <v>17165</v>
      </c>
      <c r="F454" s="257" t="s">
        <v>14444</v>
      </c>
      <c r="G454" s="258">
        <v>0.8</v>
      </c>
      <c r="I454" s="160">
        <f t="shared" si="6"/>
        <v>44368.850000000057</v>
      </c>
    </row>
    <row r="455" spans="2:9" ht="19.5" x14ac:dyDescent="0.25">
      <c r="B455" s="148"/>
      <c r="C455" s="148" t="s">
        <v>17164</v>
      </c>
      <c r="D455" s="150">
        <v>43899</v>
      </c>
      <c r="E455" s="113" t="s">
        <v>17163</v>
      </c>
      <c r="F455" s="257" t="s">
        <v>14444</v>
      </c>
      <c r="G455" s="258">
        <v>65.42</v>
      </c>
      <c r="I455" s="160">
        <f t="shared" si="6"/>
        <v>44434.270000000055</v>
      </c>
    </row>
    <row r="456" spans="2:9" ht="19.5" x14ac:dyDescent="0.25">
      <c r="B456" s="148"/>
      <c r="C456" s="148" t="s">
        <v>17162</v>
      </c>
      <c r="D456" s="150">
        <v>43899</v>
      </c>
      <c r="E456" s="113" t="s">
        <v>17161</v>
      </c>
      <c r="F456" s="257" t="s">
        <v>14436</v>
      </c>
      <c r="G456" s="160">
        <v>16.86</v>
      </c>
      <c r="I456" s="160">
        <f t="shared" si="6"/>
        <v>44451.130000000056</v>
      </c>
    </row>
    <row r="457" spans="2:9" ht="19.5" x14ac:dyDescent="0.25">
      <c r="B457" s="148"/>
      <c r="C457" s="148" t="s">
        <v>17160</v>
      </c>
      <c r="D457" s="150">
        <v>43899</v>
      </c>
      <c r="E457" s="113" t="s">
        <v>17159</v>
      </c>
      <c r="F457" s="257" t="s">
        <v>14444</v>
      </c>
      <c r="G457" s="258">
        <v>10.050000000000001</v>
      </c>
      <c r="I457" s="160">
        <f t="shared" si="6"/>
        <v>44461.180000000058</v>
      </c>
    </row>
    <row r="458" spans="2:9" x14ac:dyDescent="0.25">
      <c r="B458" s="148"/>
      <c r="C458" s="148" t="s">
        <v>17158</v>
      </c>
      <c r="D458" s="150">
        <v>43899</v>
      </c>
      <c r="E458" s="113" t="s">
        <v>17157</v>
      </c>
      <c r="F458" s="257" t="s">
        <v>14437</v>
      </c>
      <c r="G458" s="160">
        <v>16.399999999999999</v>
      </c>
      <c r="I458" s="160">
        <f t="shared" si="6"/>
        <v>44477.58000000006</v>
      </c>
    </row>
    <row r="459" spans="2:9" x14ac:dyDescent="0.25">
      <c r="B459" s="148"/>
      <c r="C459" s="148" t="s">
        <v>17156</v>
      </c>
      <c r="D459" s="150">
        <v>43899</v>
      </c>
      <c r="E459" s="113" t="s">
        <v>17155</v>
      </c>
      <c r="F459" s="257" t="s">
        <v>14444</v>
      </c>
      <c r="G459" s="258">
        <v>6.69</v>
      </c>
      <c r="I459" s="160">
        <f t="shared" si="6"/>
        <v>44484.270000000062</v>
      </c>
    </row>
    <row r="460" spans="2:9" ht="19.5" x14ac:dyDescent="0.25">
      <c r="B460" s="148"/>
      <c r="C460" s="148" t="s">
        <v>17154</v>
      </c>
      <c r="D460" s="150">
        <v>43899</v>
      </c>
      <c r="E460" s="113" t="s">
        <v>17153</v>
      </c>
      <c r="F460" s="257" t="s">
        <v>14444</v>
      </c>
      <c r="G460" s="258">
        <v>6.39</v>
      </c>
      <c r="I460" s="160">
        <f t="shared" si="6"/>
        <v>44490.660000000062</v>
      </c>
    </row>
    <row r="461" spans="2:9" ht="19.5" x14ac:dyDescent="0.25">
      <c r="B461" s="148"/>
      <c r="C461" s="148" t="s">
        <v>17152</v>
      </c>
      <c r="D461" s="150">
        <v>43899</v>
      </c>
      <c r="E461" s="113" t="s">
        <v>17151</v>
      </c>
      <c r="F461" s="257" t="s">
        <v>14436</v>
      </c>
      <c r="G461" s="160">
        <v>195.33</v>
      </c>
      <c r="I461" s="160">
        <f t="shared" si="6"/>
        <v>44685.990000000063</v>
      </c>
    </row>
    <row r="462" spans="2:9" x14ac:dyDescent="0.25">
      <c r="B462" s="148"/>
      <c r="C462" s="148" t="s">
        <v>17150</v>
      </c>
      <c r="D462" s="150">
        <v>43899</v>
      </c>
      <c r="E462" s="113" t="s">
        <v>17149</v>
      </c>
      <c r="F462" s="257" t="s">
        <v>14444</v>
      </c>
      <c r="G462" s="258">
        <v>8.3800000000000008</v>
      </c>
      <c r="I462" s="160">
        <f t="shared" si="6"/>
        <v>44694.370000000061</v>
      </c>
    </row>
    <row r="463" spans="2:9" ht="19.5" x14ac:dyDescent="0.25">
      <c r="B463" s="148"/>
      <c r="C463" s="148" t="s">
        <v>17148</v>
      </c>
      <c r="D463" s="150">
        <v>43899</v>
      </c>
      <c r="E463" s="113" t="s">
        <v>17147</v>
      </c>
      <c r="F463" s="257" t="s">
        <v>14436</v>
      </c>
      <c r="G463" s="160">
        <v>14.78</v>
      </c>
      <c r="I463" s="160">
        <f t="shared" si="6"/>
        <v>44709.15000000006</v>
      </c>
    </row>
    <row r="464" spans="2:9" ht="19.5" x14ac:dyDescent="0.25">
      <c r="B464" s="148"/>
      <c r="C464" s="148" t="s">
        <v>17146</v>
      </c>
      <c r="D464" s="150">
        <v>43899</v>
      </c>
      <c r="E464" s="113" t="s">
        <v>17145</v>
      </c>
      <c r="F464" s="257" t="s">
        <v>14437</v>
      </c>
      <c r="G464" s="160">
        <v>16</v>
      </c>
      <c r="I464" s="160">
        <f t="shared" si="6"/>
        <v>44725.15000000006</v>
      </c>
    </row>
    <row r="465" spans="2:9" ht="19.5" x14ac:dyDescent="0.25">
      <c r="B465" s="148"/>
      <c r="C465" s="148" t="s">
        <v>17144</v>
      </c>
      <c r="D465" s="150">
        <v>43899</v>
      </c>
      <c r="E465" s="113" t="s">
        <v>17143</v>
      </c>
      <c r="F465" s="257" t="s">
        <v>14409</v>
      </c>
      <c r="G465" s="258">
        <v>11.39</v>
      </c>
      <c r="I465" s="160">
        <f t="shared" si="6"/>
        <v>44736.540000000059</v>
      </c>
    </row>
    <row r="466" spans="2:9" ht="19.5" x14ac:dyDescent="0.25">
      <c r="B466" s="148"/>
      <c r="C466" s="148" t="s">
        <v>17142</v>
      </c>
      <c r="D466" s="150">
        <v>43899</v>
      </c>
      <c r="E466" s="113" t="s">
        <v>17141</v>
      </c>
      <c r="F466" s="257" t="s">
        <v>14409</v>
      </c>
      <c r="G466" s="258">
        <v>5.12</v>
      </c>
      <c r="I466" s="160">
        <f t="shared" si="6"/>
        <v>44741.660000000062</v>
      </c>
    </row>
    <row r="467" spans="2:9" ht="19.5" x14ac:dyDescent="0.25">
      <c r="B467" s="148"/>
      <c r="C467" s="148" t="s">
        <v>17140</v>
      </c>
      <c r="D467" s="150">
        <v>43899</v>
      </c>
      <c r="E467" s="113" t="s">
        <v>17139</v>
      </c>
      <c r="F467" s="257" t="s">
        <v>14409</v>
      </c>
      <c r="G467" s="258">
        <v>4.29</v>
      </c>
      <c r="I467" s="160">
        <f t="shared" si="6"/>
        <v>44745.950000000063</v>
      </c>
    </row>
    <row r="468" spans="2:9" ht="19.5" x14ac:dyDescent="0.25">
      <c r="B468" s="148"/>
      <c r="C468" s="148" t="s">
        <v>17138</v>
      </c>
      <c r="D468" s="150">
        <v>43899</v>
      </c>
      <c r="E468" s="113" t="s">
        <v>17137</v>
      </c>
      <c r="F468" s="257" t="s">
        <v>14409</v>
      </c>
      <c r="G468" s="258">
        <v>13.13</v>
      </c>
      <c r="I468" s="160">
        <f t="shared" ref="I468:I531" si="7">+I467+G468-H468</f>
        <v>44759.08000000006</v>
      </c>
    </row>
    <row r="469" spans="2:9" ht="19.5" x14ac:dyDescent="0.25">
      <c r="B469" s="148"/>
      <c r="C469" s="148" t="s">
        <v>17136</v>
      </c>
      <c r="D469" s="150">
        <v>43899</v>
      </c>
      <c r="E469" s="113" t="s">
        <v>17135</v>
      </c>
      <c r="F469" s="257" t="s">
        <v>14409</v>
      </c>
      <c r="G469" s="258">
        <v>25.14</v>
      </c>
      <c r="I469" s="160">
        <f t="shared" si="7"/>
        <v>44784.220000000059</v>
      </c>
    </row>
    <row r="470" spans="2:9" x14ac:dyDescent="0.25">
      <c r="B470" s="148"/>
      <c r="C470" s="148" t="s">
        <v>17134</v>
      </c>
      <c r="D470" s="150">
        <v>43899</v>
      </c>
      <c r="E470" s="113" t="s">
        <v>17133</v>
      </c>
      <c r="F470" s="257" t="s">
        <v>14409</v>
      </c>
      <c r="G470" s="258">
        <v>3.33</v>
      </c>
      <c r="I470" s="160">
        <f t="shared" si="7"/>
        <v>44787.550000000061</v>
      </c>
    </row>
    <row r="471" spans="2:9" ht="19.5" x14ac:dyDescent="0.25">
      <c r="B471" s="148"/>
      <c r="C471" s="148" t="s">
        <v>17132</v>
      </c>
      <c r="D471" s="150">
        <v>43899</v>
      </c>
      <c r="E471" s="113" t="s">
        <v>17131</v>
      </c>
      <c r="F471" s="257" t="s">
        <v>14409</v>
      </c>
      <c r="G471" s="258">
        <v>3.77</v>
      </c>
      <c r="I471" s="160">
        <f t="shared" si="7"/>
        <v>44791.320000000058</v>
      </c>
    </row>
    <row r="472" spans="2:9" ht="19.5" x14ac:dyDescent="0.25">
      <c r="B472" s="148"/>
      <c r="C472" s="148" t="s">
        <v>17130</v>
      </c>
      <c r="D472" s="150">
        <v>43899</v>
      </c>
      <c r="E472" s="113" t="s">
        <v>17129</v>
      </c>
      <c r="F472" s="257" t="s">
        <v>14409</v>
      </c>
      <c r="G472" s="258">
        <v>8.18</v>
      </c>
      <c r="I472" s="160">
        <f t="shared" si="7"/>
        <v>44799.500000000058</v>
      </c>
    </row>
    <row r="473" spans="2:9" ht="19.5" x14ac:dyDescent="0.25">
      <c r="B473" s="148"/>
      <c r="C473" s="148" t="s">
        <v>17128</v>
      </c>
      <c r="D473" s="150">
        <v>43899</v>
      </c>
      <c r="E473" s="113" t="s">
        <v>17127</v>
      </c>
      <c r="F473" s="257" t="s">
        <v>14409</v>
      </c>
      <c r="G473" s="258">
        <v>3.49</v>
      </c>
      <c r="I473" s="160">
        <f t="shared" si="7"/>
        <v>44802.990000000056</v>
      </c>
    </row>
    <row r="474" spans="2:9" ht="19.5" x14ac:dyDescent="0.25">
      <c r="B474" s="148"/>
      <c r="C474" s="148" t="s">
        <v>17126</v>
      </c>
      <c r="D474" s="150">
        <v>43899</v>
      </c>
      <c r="E474" s="113" t="s">
        <v>17125</v>
      </c>
      <c r="F474" s="257" t="s">
        <v>14409</v>
      </c>
      <c r="G474" s="258">
        <v>3.45</v>
      </c>
      <c r="I474" s="160">
        <f t="shared" si="7"/>
        <v>44806.440000000053</v>
      </c>
    </row>
    <row r="475" spans="2:9" ht="19.5" x14ac:dyDescent="0.25">
      <c r="B475" s="148"/>
      <c r="C475" s="148" t="s">
        <v>17124</v>
      </c>
      <c r="D475" s="150">
        <v>43899</v>
      </c>
      <c r="E475" s="113" t="s">
        <v>17123</v>
      </c>
      <c r="F475" s="257" t="s">
        <v>14409</v>
      </c>
      <c r="G475" s="258">
        <v>39.96</v>
      </c>
      <c r="I475" s="160">
        <f t="shared" si="7"/>
        <v>44846.400000000052</v>
      </c>
    </row>
    <row r="476" spans="2:9" ht="19.5" x14ac:dyDescent="0.25">
      <c r="B476" s="148"/>
      <c r="C476" s="148" t="s">
        <v>17122</v>
      </c>
      <c r="D476" s="150">
        <v>43899</v>
      </c>
      <c r="E476" s="113" t="s">
        <v>17121</v>
      </c>
      <c r="F476" s="257" t="s">
        <v>14409</v>
      </c>
      <c r="G476" s="258">
        <v>5.69</v>
      </c>
      <c r="I476" s="160">
        <f t="shared" si="7"/>
        <v>44852.090000000055</v>
      </c>
    </row>
    <row r="477" spans="2:9" ht="19.5" x14ac:dyDescent="0.25">
      <c r="B477" s="148"/>
      <c r="C477" s="148" t="s">
        <v>17120</v>
      </c>
      <c r="D477" s="150">
        <v>43899</v>
      </c>
      <c r="E477" s="113" t="s">
        <v>17119</v>
      </c>
      <c r="F477" s="257" t="s">
        <v>14409</v>
      </c>
      <c r="G477" s="258">
        <v>5.66</v>
      </c>
      <c r="I477" s="160">
        <f t="shared" si="7"/>
        <v>44857.750000000058</v>
      </c>
    </row>
    <row r="478" spans="2:9" ht="19.5" x14ac:dyDescent="0.25">
      <c r="B478" s="148"/>
      <c r="C478" s="148" t="s">
        <v>17118</v>
      </c>
      <c r="D478" s="150">
        <v>43899</v>
      </c>
      <c r="E478" s="113" t="s">
        <v>17117</v>
      </c>
      <c r="F478" s="257" t="s">
        <v>14409</v>
      </c>
      <c r="G478" s="258">
        <v>8.51</v>
      </c>
      <c r="I478" s="160">
        <f t="shared" si="7"/>
        <v>44866.26000000006</v>
      </c>
    </row>
    <row r="479" spans="2:9" x14ac:dyDescent="0.25">
      <c r="B479" s="148"/>
      <c r="C479" s="148" t="s">
        <v>17116</v>
      </c>
      <c r="D479" s="150">
        <v>43899</v>
      </c>
      <c r="E479" s="113" t="s">
        <v>17115</v>
      </c>
      <c r="F479" s="257" t="s">
        <v>14409</v>
      </c>
      <c r="G479" s="258">
        <v>1.96</v>
      </c>
      <c r="I479" s="160">
        <f t="shared" si="7"/>
        <v>44868.220000000059</v>
      </c>
    </row>
    <row r="480" spans="2:9" ht="19.5" x14ac:dyDescent="0.25">
      <c r="B480" s="148"/>
      <c r="C480" s="148" t="s">
        <v>17114</v>
      </c>
      <c r="D480" s="150">
        <v>43899</v>
      </c>
      <c r="E480" s="113" t="s">
        <v>17113</v>
      </c>
      <c r="F480" s="257" t="s">
        <v>14409</v>
      </c>
      <c r="G480" s="258">
        <v>7.06</v>
      </c>
      <c r="I480" s="160">
        <f t="shared" si="7"/>
        <v>44875.280000000057</v>
      </c>
    </row>
    <row r="481" spans="2:9" ht="19.5" x14ac:dyDescent="0.25">
      <c r="B481" s="148"/>
      <c r="C481" s="148" t="s">
        <v>17112</v>
      </c>
      <c r="D481" s="150">
        <v>43899</v>
      </c>
      <c r="E481" s="113" t="s">
        <v>17111</v>
      </c>
      <c r="F481" s="257" t="s">
        <v>14409</v>
      </c>
      <c r="G481" s="258">
        <v>14.97</v>
      </c>
      <c r="I481" s="160">
        <f t="shared" si="7"/>
        <v>44890.250000000058</v>
      </c>
    </row>
    <row r="482" spans="2:9" ht="19.5" x14ac:dyDescent="0.25">
      <c r="B482" s="148"/>
      <c r="C482" s="148" t="s">
        <v>17110</v>
      </c>
      <c r="D482" s="150">
        <v>43899</v>
      </c>
      <c r="E482" s="113" t="s">
        <v>17109</v>
      </c>
      <c r="F482" s="257" t="s">
        <v>14409</v>
      </c>
      <c r="G482" s="258">
        <v>3.36</v>
      </c>
      <c r="I482" s="160">
        <f t="shared" si="7"/>
        <v>44893.610000000059</v>
      </c>
    </row>
    <row r="483" spans="2:9" x14ac:dyDescent="0.25">
      <c r="B483" s="148"/>
      <c r="C483" s="148" t="s">
        <v>17108</v>
      </c>
      <c r="D483" s="150">
        <v>43899</v>
      </c>
      <c r="E483" s="113" t="s">
        <v>17107</v>
      </c>
      <c r="F483" s="257" t="s">
        <v>14409</v>
      </c>
      <c r="G483" s="258">
        <v>2.06</v>
      </c>
      <c r="I483" s="160">
        <f t="shared" si="7"/>
        <v>44895.670000000056</v>
      </c>
    </row>
    <row r="484" spans="2:9" x14ac:dyDescent="0.25">
      <c r="B484" s="148"/>
      <c r="C484" s="148" t="s">
        <v>17106</v>
      </c>
      <c r="D484" s="150">
        <v>43899</v>
      </c>
      <c r="E484" s="113" t="s">
        <v>17105</v>
      </c>
      <c r="F484" s="257" t="s">
        <v>14409</v>
      </c>
      <c r="G484" s="258">
        <v>8.9600000000000009</v>
      </c>
      <c r="I484" s="160">
        <f t="shared" si="7"/>
        <v>44904.630000000056</v>
      </c>
    </row>
    <row r="485" spans="2:9" x14ac:dyDescent="0.25">
      <c r="B485" s="148"/>
      <c r="C485" s="148" t="s">
        <v>17104</v>
      </c>
      <c r="D485" s="150">
        <v>43899</v>
      </c>
      <c r="E485" s="113" t="s">
        <v>17103</v>
      </c>
      <c r="F485" s="257" t="s">
        <v>14409</v>
      </c>
      <c r="G485" s="258">
        <v>23</v>
      </c>
      <c r="I485" s="160">
        <f t="shared" si="7"/>
        <v>44927.630000000056</v>
      </c>
    </row>
    <row r="486" spans="2:9" ht="19.5" x14ac:dyDescent="0.25">
      <c r="B486" s="148"/>
      <c r="C486" s="148" t="s">
        <v>17102</v>
      </c>
      <c r="D486" s="150">
        <v>43899</v>
      </c>
      <c r="E486" s="113" t="s">
        <v>17101</v>
      </c>
      <c r="F486" s="257" t="s">
        <v>14409</v>
      </c>
      <c r="G486" s="258">
        <v>8.3800000000000008</v>
      </c>
      <c r="I486" s="160">
        <f t="shared" si="7"/>
        <v>44936.010000000053</v>
      </c>
    </row>
    <row r="487" spans="2:9" ht="19.5" x14ac:dyDescent="0.25">
      <c r="B487" s="148"/>
      <c r="C487" s="148" t="s">
        <v>17100</v>
      </c>
      <c r="D487" s="150">
        <v>43899</v>
      </c>
      <c r="E487" s="113" t="s">
        <v>17099</v>
      </c>
      <c r="F487" s="257" t="s">
        <v>14409</v>
      </c>
      <c r="G487" s="258">
        <v>3.45</v>
      </c>
      <c r="I487" s="160">
        <f t="shared" si="7"/>
        <v>44939.46000000005</v>
      </c>
    </row>
    <row r="488" spans="2:9" ht="19.5" x14ac:dyDescent="0.25">
      <c r="B488" s="148"/>
      <c r="C488" s="148" t="s">
        <v>17098</v>
      </c>
      <c r="D488" s="150">
        <v>43899</v>
      </c>
      <c r="E488" s="113" t="s">
        <v>17097</v>
      </c>
      <c r="F488" s="257">
        <v>6</v>
      </c>
      <c r="G488" s="160">
        <v>1.31</v>
      </c>
      <c r="I488" s="160">
        <f t="shared" si="7"/>
        <v>44940.770000000048</v>
      </c>
    </row>
    <row r="489" spans="2:9" x14ac:dyDescent="0.25">
      <c r="B489" s="148"/>
      <c r="C489" s="148" t="s">
        <v>17096</v>
      </c>
      <c r="D489" s="150">
        <v>43899</v>
      </c>
      <c r="E489" s="113" t="s">
        <v>17095</v>
      </c>
      <c r="F489" s="257">
        <v>6</v>
      </c>
      <c r="G489" s="160">
        <v>9.77</v>
      </c>
      <c r="I489" s="160">
        <f t="shared" si="7"/>
        <v>44950.540000000045</v>
      </c>
    </row>
    <row r="490" spans="2:9" ht="19.5" x14ac:dyDescent="0.25">
      <c r="B490" s="148"/>
      <c r="C490" s="148" t="s">
        <v>17094</v>
      </c>
      <c r="D490" s="150">
        <v>43899</v>
      </c>
      <c r="E490" s="113" t="s">
        <v>17093</v>
      </c>
      <c r="F490" s="257">
        <v>6</v>
      </c>
      <c r="G490" s="160">
        <v>4.3899999999999997</v>
      </c>
      <c r="I490" s="160">
        <f t="shared" si="7"/>
        <v>44954.930000000044</v>
      </c>
    </row>
    <row r="491" spans="2:9" x14ac:dyDescent="0.25">
      <c r="B491" s="148"/>
      <c r="C491" s="148" t="s">
        <v>17092</v>
      </c>
      <c r="D491" s="150">
        <v>43899</v>
      </c>
      <c r="E491" s="113" t="s">
        <v>17091</v>
      </c>
      <c r="F491" s="257">
        <v>6</v>
      </c>
      <c r="G491" s="160">
        <v>2.68</v>
      </c>
      <c r="I491" s="160">
        <f t="shared" si="7"/>
        <v>44957.610000000044</v>
      </c>
    </row>
    <row r="492" spans="2:9" x14ac:dyDescent="0.25">
      <c r="B492" s="148"/>
      <c r="C492" s="148" t="s">
        <v>17090</v>
      </c>
      <c r="D492" s="150">
        <v>43899</v>
      </c>
      <c r="E492" s="113" t="s">
        <v>17089</v>
      </c>
      <c r="F492" s="257">
        <v>6</v>
      </c>
      <c r="G492" s="160">
        <v>13.31</v>
      </c>
      <c r="I492" s="160">
        <f t="shared" si="7"/>
        <v>44970.920000000042</v>
      </c>
    </row>
    <row r="493" spans="2:9" ht="19.5" x14ac:dyDescent="0.25">
      <c r="B493" s="148"/>
      <c r="C493" s="148" t="s">
        <v>17088</v>
      </c>
      <c r="D493" s="150">
        <v>43899</v>
      </c>
      <c r="E493" s="113" t="s">
        <v>17087</v>
      </c>
      <c r="F493" s="257">
        <v>6</v>
      </c>
      <c r="G493" s="160">
        <v>5.82</v>
      </c>
      <c r="I493" s="160">
        <f t="shared" si="7"/>
        <v>44976.740000000042</v>
      </c>
    </row>
    <row r="494" spans="2:9" x14ac:dyDescent="0.25">
      <c r="B494" s="148"/>
      <c r="C494" s="148" t="s">
        <v>17086</v>
      </c>
      <c r="D494" s="150">
        <v>43899</v>
      </c>
      <c r="E494" s="113" t="s">
        <v>17085</v>
      </c>
      <c r="F494" s="257">
        <v>6</v>
      </c>
      <c r="G494" s="160">
        <v>1.68</v>
      </c>
      <c r="I494" s="160">
        <f t="shared" si="7"/>
        <v>44978.420000000042</v>
      </c>
    </row>
    <row r="495" spans="2:9" x14ac:dyDescent="0.25">
      <c r="B495" s="148"/>
      <c r="C495" s="148" t="s">
        <v>17084</v>
      </c>
      <c r="D495" s="150">
        <v>43899</v>
      </c>
      <c r="E495" s="113" t="s">
        <v>17083</v>
      </c>
      <c r="F495" s="257" t="s">
        <v>14436</v>
      </c>
      <c r="G495" s="160">
        <v>46.88</v>
      </c>
      <c r="I495" s="160">
        <f t="shared" si="7"/>
        <v>45025.300000000039</v>
      </c>
    </row>
    <row r="496" spans="2:9" ht="19.5" x14ac:dyDescent="0.25">
      <c r="B496" s="148"/>
      <c r="C496" s="148" t="s">
        <v>17082</v>
      </c>
      <c r="D496" s="150">
        <v>43900</v>
      </c>
      <c r="E496" s="113" t="s">
        <v>17081</v>
      </c>
      <c r="F496" s="257" t="s">
        <v>14436</v>
      </c>
      <c r="G496" s="160">
        <v>30.34</v>
      </c>
      <c r="I496" s="160">
        <f t="shared" si="7"/>
        <v>45055.640000000036</v>
      </c>
    </row>
    <row r="497" spans="2:9" x14ac:dyDescent="0.25">
      <c r="B497" s="148"/>
      <c r="C497" s="148" t="s">
        <v>17080</v>
      </c>
      <c r="D497" s="150">
        <v>43900</v>
      </c>
      <c r="E497" s="113" t="s">
        <v>17079</v>
      </c>
      <c r="F497" s="257" t="s">
        <v>14445</v>
      </c>
      <c r="G497" s="258">
        <v>71.83</v>
      </c>
      <c r="I497" s="160">
        <f t="shared" si="7"/>
        <v>45127.470000000038</v>
      </c>
    </row>
    <row r="498" spans="2:9" ht="19.5" x14ac:dyDescent="0.25">
      <c r="B498" s="148"/>
      <c r="C498" s="148" t="s">
        <v>17078</v>
      </c>
      <c r="D498" s="150">
        <v>43900</v>
      </c>
      <c r="E498" s="113" t="s">
        <v>17077</v>
      </c>
      <c r="F498" s="257" t="s">
        <v>14445</v>
      </c>
      <c r="G498" s="258">
        <v>32.76</v>
      </c>
      <c r="I498" s="160">
        <f t="shared" si="7"/>
        <v>45160.23000000004</v>
      </c>
    </row>
    <row r="499" spans="2:9" ht="19.5" x14ac:dyDescent="0.25">
      <c r="B499" s="148"/>
      <c r="C499" s="148" t="s">
        <v>17076</v>
      </c>
      <c r="D499" s="150">
        <v>43900</v>
      </c>
      <c r="E499" s="113" t="s">
        <v>17075</v>
      </c>
      <c r="F499" s="257" t="s">
        <v>14445</v>
      </c>
      <c r="G499" s="258">
        <v>19.559999999999999</v>
      </c>
      <c r="I499" s="160">
        <f t="shared" si="7"/>
        <v>45179.790000000037</v>
      </c>
    </row>
    <row r="500" spans="2:9" ht="19.5" x14ac:dyDescent="0.25">
      <c r="B500" s="148"/>
      <c r="C500" s="148" t="s">
        <v>17074</v>
      </c>
      <c r="D500" s="150">
        <v>43900</v>
      </c>
      <c r="E500" s="113" t="s">
        <v>17073</v>
      </c>
      <c r="F500" s="257" t="s">
        <v>14445</v>
      </c>
      <c r="G500" s="258">
        <v>8.39</v>
      </c>
      <c r="I500" s="160">
        <f t="shared" si="7"/>
        <v>45188.180000000037</v>
      </c>
    </row>
    <row r="501" spans="2:9" ht="19.5" x14ac:dyDescent="0.25">
      <c r="B501" s="148"/>
      <c r="C501" s="148" t="s">
        <v>17072</v>
      </c>
      <c r="D501" s="150">
        <v>43900</v>
      </c>
      <c r="E501" s="113" t="s">
        <v>17071</v>
      </c>
      <c r="F501" s="257" t="s">
        <v>14445</v>
      </c>
      <c r="G501" s="258">
        <v>5.38</v>
      </c>
      <c r="I501" s="160">
        <f t="shared" si="7"/>
        <v>45193.560000000034</v>
      </c>
    </row>
    <row r="502" spans="2:9" ht="19.5" x14ac:dyDescent="0.25">
      <c r="B502" s="148"/>
      <c r="C502" s="148" t="s">
        <v>17070</v>
      </c>
      <c r="D502" s="150">
        <v>43900</v>
      </c>
      <c r="E502" s="113" t="s">
        <v>17069</v>
      </c>
      <c r="F502" s="257" t="s">
        <v>14436</v>
      </c>
      <c r="G502" s="160">
        <v>15.06</v>
      </c>
      <c r="I502" s="160">
        <f t="shared" si="7"/>
        <v>45208.620000000032</v>
      </c>
    </row>
    <row r="503" spans="2:9" x14ac:dyDescent="0.25">
      <c r="B503" s="148"/>
      <c r="C503" s="148" t="s">
        <v>17068</v>
      </c>
      <c r="D503" s="150">
        <v>43900</v>
      </c>
      <c r="E503" s="113" t="s">
        <v>17067</v>
      </c>
      <c r="F503" s="257" t="s">
        <v>14409</v>
      </c>
      <c r="G503" s="258">
        <v>3.26</v>
      </c>
      <c r="I503" s="160">
        <f t="shared" si="7"/>
        <v>45211.880000000034</v>
      </c>
    </row>
    <row r="504" spans="2:9" ht="19.5" x14ac:dyDescent="0.25">
      <c r="B504" s="148"/>
      <c r="C504" s="148" t="s">
        <v>17066</v>
      </c>
      <c r="D504" s="150">
        <v>43900</v>
      </c>
      <c r="E504" s="113" t="s">
        <v>17065</v>
      </c>
      <c r="F504" s="257" t="s">
        <v>14409</v>
      </c>
      <c r="G504" s="258">
        <v>66.63</v>
      </c>
      <c r="I504" s="160">
        <f t="shared" si="7"/>
        <v>45278.510000000031</v>
      </c>
    </row>
    <row r="505" spans="2:9" ht="19.5" x14ac:dyDescent="0.25">
      <c r="B505" s="148"/>
      <c r="C505" s="148" t="s">
        <v>17064</v>
      </c>
      <c r="D505" s="150">
        <v>43900</v>
      </c>
      <c r="E505" s="113" t="s">
        <v>17063</v>
      </c>
      <c r="F505" s="257" t="s">
        <v>14409</v>
      </c>
      <c r="G505" s="258">
        <v>5.04</v>
      </c>
      <c r="I505" s="160">
        <f t="shared" si="7"/>
        <v>45283.550000000032</v>
      </c>
    </row>
    <row r="506" spans="2:9" ht="19.5" x14ac:dyDescent="0.25">
      <c r="B506" s="148"/>
      <c r="C506" s="148" t="s">
        <v>17062</v>
      </c>
      <c r="D506" s="150">
        <v>43900</v>
      </c>
      <c r="E506" s="113" t="s">
        <v>17061</v>
      </c>
      <c r="F506" s="257" t="s">
        <v>14409</v>
      </c>
      <c r="G506" s="258">
        <v>7.6</v>
      </c>
      <c r="I506" s="160">
        <f t="shared" si="7"/>
        <v>45291.150000000031</v>
      </c>
    </row>
    <row r="507" spans="2:9" x14ac:dyDescent="0.25">
      <c r="B507" s="148"/>
      <c r="C507" s="148" t="s">
        <v>17060</v>
      </c>
      <c r="D507" s="150">
        <v>43900</v>
      </c>
      <c r="E507" s="113" t="s">
        <v>17059</v>
      </c>
      <c r="F507" s="257" t="s">
        <v>14409</v>
      </c>
      <c r="G507" s="258">
        <v>2.54</v>
      </c>
      <c r="I507" s="160">
        <f t="shared" si="7"/>
        <v>45293.690000000031</v>
      </c>
    </row>
    <row r="508" spans="2:9" x14ac:dyDescent="0.25">
      <c r="B508" s="148"/>
      <c r="C508" s="148" t="s">
        <v>17058</v>
      </c>
      <c r="D508" s="150">
        <v>43900</v>
      </c>
      <c r="E508" s="113" t="s">
        <v>17057</v>
      </c>
      <c r="F508" s="257" t="s">
        <v>14409</v>
      </c>
      <c r="G508" s="258">
        <v>4.59</v>
      </c>
      <c r="I508" s="160">
        <f t="shared" si="7"/>
        <v>45298.280000000028</v>
      </c>
    </row>
    <row r="509" spans="2:9" x14ac:dyDescent="0.25">
      <c r="B509" s="148"/>
      <c r="C509" s="148" t="s">
        <v>17056</v>
      </c>
      <c r="D509" s="150">
        <v>43900</v>
      </c>
      <c r="E509" s="113" t="s">
        <v>17055</v>
      </c>
      <c r="F509" s="257" t="s">
        <v>14409</v>
      </c>
      <c r="G509" s="258">
        <v>4.8600000000000003</v>
      </c>
      <c r="I509" s="160">
        <f t="shared" si="7"/>
        <v>45303.140000000029</v>
      </c>
    </row>
    <row r="510" spans="2:9" ht="19.5" x14ac:dyDescent="0.25">
      <c r="B510" s="148"/>
      <c r="C510" s="148" t="s">
        <v>17054</v>
      </c>
      <c r="D510" s="150">
        <v>43900</v>
      </c>
      <c r="E510" s="113" t="s">
        <v>17053</v>
      </c>
      <c r="F510" s="257" t="s">
        <v>14409</v>
      </c>
      <c r="G510" s="258">
        <v>16.399999999999999</v>
      </c>
      <c r="I510" s="160">
        <f t="shared" si="7"/>
        <v>45319.54000000003</v>
      </c>
    </row>
    <row r="511" spans="2:9" x14ac:dyDescent="0.25">
      <c r="B511" s="148"/>
      <c r="C511" s="148" t="s">
        <v>17052</v>
      </c>
      <c r="D511" s="150">
        <v>43900</v>
      </c>
      <c r="E511" s="113" t="s">
        <v>17051</v>
      </c>
      <c r="F511" s="257" t="s">
        <v>14409</v>
      </c>
      <c r="G511" s="258">
        <v>1.75</v>
      </c>
      <c r="I511" s="160">
        <f t="shared" si="7"/>
        <v>45321.29000000003</v>
      </c>
    </row>
    <row r="512" spans="2:9" ht="19.5" x14ac:dyDescent="0.25">
      <c r="B512" s="148"/>
      <c r="C512" s="148" t="s">
        <v>17050</v>
      </c>
      <c r="D512" s="150">
        <v>43900</v>
      </c>
      <c r="E512" s="113" t="s">
        <v>17049</v>
      </c>
      <c r="F512" s="257" t="s">
        <v>14409</v>
      </c>
      <c r="G512" s="258">
        <v>14.62</v>
      </c>
      <c r="I512" s="160">
        <f t="shared" si="7"/>
        <v>45335.910000000033</v>
      </c>
    </row>
    <row r="513" spans="2:9" x14ac:dyDescent="0.25">
      <c r="B513" s="148"/>
      <c r="C513" s="148" t="s">
        <v>17048</v>
      </c>
      <c r="D513" s="150">
        <v>43900</v>
      </c>
      <c r="E513" s="113" t="s">
        <v>17047</v>
      </c>
      <c r="F513" s="257" t="s">
        <v>14409</v>
      </c>
      <c r="G513" s="258">
        <v>6.96</v>
      </c>
      <c r="I513" s="160">
        <f t="shared" si="7"/>
        <v>45342.870000000032</v>
      </c>
    </row>
    <row r="514" spans="2:9" ht="19.5" x14ac:dyDescent="0.25">
      <c r="B514" s="148"/>
      <c r="C514" s="148" t="s">
        <v>17046</v>
      </c>
      <c r="D514" s="150">
        <v>43900</v>
      </c>
      <c r="E514" s="113" t="s">
        <v>17045</v>
      </c>
      <c r="F514" s="257" t="s">
        <v>14409</v>
      </c>
      <c r="G514" s="258">
        <v>8.5500000000000007</v>
      </c>
      <c r="I514" s="160">
        <f t="shared" si="7"/>
        <v>45351.420000000035</v>
      </c>
    </row>
    <row r="515" spans="2:9" x14ac:dyDescent="0.25">
      <c r="B515" s="148"/>
      <c r="C515" s="148" t="s">
        <v>17044</v>
      </c>
      <c r="D515" s="150">
        <v>43900</v>
      </c>
      <c r="E515" s="113" t="s">
        <v>17043</v>
      </c>
      <c r="F515" s="257" t="s">
        <v>14409</v>
      </c>
      <c r="G515" s="258">
        <v>2.4900000000000002</v>
      </c>
      <c r="I515" s="160">
        <f t="shared" si="7"/>
        <v>45353.910000000033</v>
      </c>
    </row>
    <row r="516" spans="2:9" x14ac:dyDescent="0.25">
      <c r="B516" s="148"/>
      <c r="C516" s="148" t="s">
        <v>17042</v>
      </c>
      <c r="D516" s="150">
        <v>43900</v>
      </c>
      <c r="E516" s="113" t="s">
        <v>17041</v>
      </c>
      <c r="F516" s="257" t="s">
        <v>14409</v>
      </c>
      <c r="G516" s="160">
        <v>9.42</v>
      </c>
      <c r="I516" s="160">
        <f t="shared" si="7"/>
        <v>45363.330000000031</v>
      </c>
    </row>
    <row r="517" spans="2:9" x14ac:dyDescent="0.25">
      <c r="B517" s="148"/>
      <c r="C517" s="148" t="s">
        <v>17040</v>
      </c>
      <c r="D517" s="150">
        <v>43900</v>
      </c>
      <c r="E517" s="113" t="s">
        <v>17039</v>
      </c>
      <c r="F517" s="257" t="s">
        <v>14409</v>
      </c>
      <c r="G517" s="258">
        <v>14.38</v>
      </c>
      <c r="I517" s="160">
        <f t="shared" si="7"/>
        <v>45377.710000000028</v>
      </c>
    </row>
    <row r="518" spans="2:9" x14ac:dyDescent="0.25">
      <c r="B518" s="148"/>
      <c r="C518" s="148" t="s">
        <v>17038</v>
      </c>
      <c r="D518" s="150">
        <v>43900</v>
      </c>
      <c r="E518" s="113" t="s">
        <v>17037</v>
      </c>
      <c r="F518" s="257" t="s">
        <v>14409</v>
      </c>
      <c r="G518" s="258">
        <v>16.88</v>
      </c>
      <c r="I518" s="160">
        <f t="shared" si="7"/>
        <v>45394.590000000026</v>
      </c>
    </row>
    <row r="519" spans="2:9" x14ac:dyDescent="0.25">
      <c r="B519" s="148"/>
      <c r="C519" s="148" t="s">
        <v>17036</v>
      </c>
      <c r="D519" s="150">
        <v>43900</v>
      </c>
      <c r="E519" s="113" t="s">
        <v>17035</v>
      </c>
      <c r="F519" s="257" t="s">
        <v>14409</v>
      </c>
      <c r="G519" s="258">
        <v>5.64</v>
      </c>
      <c r="I519" s="160">
        <f t="shared" si="7"/>
        <v>45400.230000000025</v>
      </c>
    </row>
    <row r="520" spans="2:9" x14ac:dyDescent="0.25">
      <c r="B520" s="148"/>
      <c r="C520" s="148" t="s">
        <v>17034</v>
      </c>
      <c r="D520" s="150">
        <v>43900</v>
      </c>
      <c r="E520" s="113" t="s">
        <v>17033</v>
      </c>
      <c r="F520" s="257" t="s">
        <v>14409</v>
      </c>
      <c r="G520" s="258">
        <v>7.45</v>
      </c>
      <c r="I520" s="160">
        <f t="shared" si="7"/>
        <v>45407.680000000022</v>
      </c>
    </row>
    <row r="521" spans="2:9" ht="19.5" x14ac:dyDescent="0.25">
      <c r="B521" s="148"/>
      <c r="C521" s="148" t="s">
        <v>17032</v>
      </c>
      <c r="D521" s="150">
        <v>43900</v>
      </c>
      <c r="E521" s="113" t="s">
        <v>17031</v>
      </c>
      <c r="F521" s="257" t="s">
        <v>14409</v>
      </c>
      <c r="G521" s="258">
        <v>7.85</v>
      </c>
      <c r="I521" s="160">
        <f t="shared" si="7"/>
        <v>45415.530000000021</v>
      </c>
    </row>
    <row r="522" spans="2:9" ht="19.5" x14ac:dyDescent="0.25">
      <c r="B522" s="148"/>
      <c r="C522" s="148" t="s">
        <v>17030</v>
      </c>
      <c r="D522" s="150">
        <v>43900</v>
      </c>
      <c r="E522" s="113" t="s">
        <v>17029</v>
      </c>
      <c r="F522" s="257" t="s">
        <v>14409</v>
      </c>
      <c r="G522" s="258">
        <v>5.96</v>
      </c>
      <c r="I522" s="160">
        <f t="shared" si="7"/>
        <v>45421.49000000002</v>
      </c>
    </row>
    <row r="523" spans="2:9" ht="19.5" x14ac:dyDescent="0.25">
      <c r="B523" s="148"/>
      <c r="C523" s="148" t="s">
        <v>17028</v>
      </c>
      <c r="D523" s="150">
        <v>43900</v>
      </c>
      <c r="E523" s="113" t="s">
        <v>17027</v>
      </c>
      <c r="F523" s="257" t="s">
        <v>14409</v>
      </c>
      <c r="G523" s="258">
        <v>7.24</v>
      </c>
      <c r="I523" s="160">
        <f t="shared" si="7"/>
        <v>45428.730000000018</v>
      </c>
    </row>
    <row r="524" spans="2:9" x14ac:dyDescent="0.25">
      <c r="B524" s="148"/>
      <c r="C524" s="148" t="s">
        <v>17026</v>
      </c>
      <c r="D524" s="150">
        <v>43900</v>
      </c>
      <c r="E524" s="113" t="s">
        <v>17025</v>
      </c>
      <c r="F524" s="257" t="s">
        <v>14409</v>
      </c>
      <c r="G524" s="258">
        <v>6.94</v>
      </c>
      <c r="I524" s="160">
        <f t="shared" si="7"/>
        <v>45435.67000000002</v>
      </c>
    </row>
    <row r="525" spans="2:9" x14ac:dyDescent="0.25">
      <c r="B525" s="148"/>
      <c r="C525" s="148" t="s">
        <v>17024</v>
      </c>
      <c r="D525" s="150">
        <v>43900</v>
      </c>
      <c r="E525" s="113" t="s">
        <v>17023</v>
      </c>
      <c r="F525" s="257" t="s">
        <v>14409</v>
      </c>
      <c r="G525" s="258">
        <v>1.56</v>
      </c>
      <c r="I525" s="160">
        <f t="shared" si="7"/>
        <v>45437.230000000018</v>
      </c>
    </row>
    <row r="526" spans="2:9" ht="19.5" x14ac:dyDescent="0.25">
      <c r="B526" s="148"/>
      <c r="C526" s="148" t="s">
        <v>17022</v>
      </c>
      <c r="D526" s="150">
        <v>43900</v>
      </c>
      <c r="E526" s="113" t="s">
        <v>17021</v>
      </c>
      <c r="F526" s="257" t="s">
        <v>14409</v>
      </c>
      <c r="G526" s="258">
        <v>20.83</v>
      </c>
      <c r="I526" s="160">
        <f t="shared" si="7"/>
        <v>45458.060000000019</v>
      </c>
    </row>
    <row r="527" spans="2:9" x14ac:dyDescent="0.25">
      <c r="B527" s="148"/>
      <c r="C527" s="148" t="s">
        <v>17020</v>
      </c>
      <c r="D527" s="150">
        <v>43900</v>
      </c>
      <c r="E527" s="113" t="s">
        <v>17019</v>
      </c>
      <c r="F527" s="257" t="s">
        <v>14409</v>
      </c>
      <c r="G527" s="258">
        <v>1.68</v>
      </c>
      <c r="I527" s="160">
        <f t="shared" si="7"/>
        <v>45459.74000000002</v>
      </c>
    </row>
    <row r="528" spans="2:9" x14ac:dyDescent="0.25">
      <c r="B528" s="148"/>
      <c r="C528" s="148" t="s">
        <v>17018</v>
      </c>
      <c r="D528" s="150">
        <v>43900</v>
      </c>
      <c r="E528" s="113" t="s">
        <v>17017</v>
      </c>
      <c r="F528" s="257" t="s">
        <v>14409</v>
      </c>
      <c r="G528" s="258">
        <v>4.76</v>
      </c>
      <c r="I528" s="160">
        <f t="shared" si="7"/>
        <v>45464.500000000022</v>
      </c>
    </row>
    <row r="529" spans="2:9" x14ac:dyDescent="0.25">
      <c r="B529" s="148"/>
      <c r="C529" s="148" t="s">
        <v>17016</v>
      </c>
      <c r="D529" s="150">
        <v>43900</v>
      </c>
      <c r="E529" s="113" t="s">
        <v>17015</v>
      </c>
      <c r="F529" s="257" t="s">
        <v>14409</v>
      </c>
      <c r="G529" s="258">
        <v>3.33</v>
      </c>
      <c r="I529" s="160">
        <f t="shared" si="7"/>
        <v>45467.830000000024</v>
      </c>
    </row>
    <row r="530" spans="2:9" x14ac:dyDescent="0.25">
      <c r="B530" s="148"/>
      <c r="C530" s="148" t="s">
        <v>17014</v>
      </c>
      <c r="D530" s="150">
        <v>43900</v>
      </c>
      <c r="E530" s="113" t="s">
        <v>17013</v>
      </c>
      <c r="F530" s="257" t="s">
        <v>14409</v>
      </c>
      <c r="G530" s="258">
        <v>6.45</v>
      </c>
      <c r="I530" s="160">
        <f t="shared" si="7"/>
        <v>45474.280000000021</v>
      </c>
    </row>
    <row r="531" spans="2:9" x14ac:dyDescent="0.25">
      <c r="B531" s="148"/>
      <c r="C531" s="148" t="s">
        <v>17012</v>
      </c>
      <c r="D531" s="150">
        <v>43900</v>
      </c>
      <c r="E531" s="113" t="s">
        <v>17011</v>
      </c>
      <c r="F531" s="257" t="s">
        <v>14409</v>
      </c>
      <c r="G531" s="258">
        <v>2.81</v>
      </c>
      <c r="I531" s="160">
        <f t="shared" si="7"/>
        <v>45477.090000000018</v>
      </c>
    </row>
    <row r="532" spans="2:9" x14ac:dyDescent="0.25">
      <c r="B532" s="148"/>
      <c r="C532" s="148" t="s">
        <v>17010</v>
      </c>
      <c r="D532" s="150">
        <v>43900</v>
      </c>
      <c r="E532" s="113" t="s">
        <v>17009</v>
      </c>
      <c r="F532" s="257" t="s">
        <v>14409</v>
      </c>
      <c r="G532" s="258">
        <v>25.69</v>
      </c>
      <c r="I532" s="160">
        <f t="shared" ref="I532:I595" si="8">+I531+G532-H532</f>
        <v>45502.780000000021</v>
      </c>
    </row>
    <row r="533" spans="2:9" x14ac:dyDescent="0.25">
      <c r="B533" s="148"/>
      <c r="C533" s="148" t="s">
        <v>17008</v>
      </c>
      <c r="D533" s="150">
        <v>43900</v>
      </c>
      <c r="E533" s="113" t="s">
        <v>17007</v>
      </c>
      <c r="F533" s="257">
        <v>7</v>
      </c>
      <c r="G533" s="255">
        <v>16.760000000000002</v>
      </c>
      <c r="I533" s="160">
        <f t="shared" si="8"/>
        <v>45519.540000000023</v>
      </c>
    </row>
    <row r="534" spans="2:9" ht="19.5" x14ac:dyDescent="0.25">
      <c r="B534" s="148"/>
      <c r="C534" s="148" t="s">
        <v>17006</v>
      </c>
      <c r="D534" s="150">
        <v>43900</v>
      </c>
      <c r="E534" s="113" t="s">
        <v>17005</v>
      </c>
      <c r="F534" s="257">
        <v>7</v>
      </c>
      <c r="G534" s="255">
        <v>9.24</v>
      </c>
      <c r="I534" s="160">
        <f t="shared" si="8"/>
        <v>45528.780000000021</v>
      </c>
    </row>
    <row r="535" spans="2:9" ht="19.5" x14ac:dyDescent="0.25">
      <c r="B535" s="148"/>
      <c r="C535" s="148" t="s">
        <v>17004</v>
      </c>
      <c r="D535" s="150">
        <v>43900</v>
      </c>
      <c r="E535" s="113" t="s">
        <v>17003</v>
      </c>
      <c r="F535" s="257">
        <v>7</v>
      </c>
      <c r="G535" s="255">
        <v>7.55</v>
      </c>
      <c r="I535" s="160">
        <f t="shared" si="8"/>
        <v>45536.330000000024</v>
      </c>
    </row>
    <row r="536" spans="2:9" ht="19.5" x14ac:dyDescent="0.25">
      <c r="B536" s="148"/>
      <c r="C536" s="148" t="s">
        <v>17002</v>
      </c>
      <c r="D536" s="150">
        <v>43900</v>
      </c>
      <c r="E536" s="113" t="s">
        <v>17001</v>
      </c>
      <c r="F536" s="257" t="s">
        <v>14437</v>
      </c>
      <c r="G536" s="160">
        <v>13.88</v>
      </c>
      <c r="I536" s="160">
        <f t="shared" si="8"/>
        <v>45550.210000000021</v>
      </c>
    </row>
    <row r="537" spans="2:9" x14ac:dyDescent="0.25">
      <c r="B537" s="148"/>
      <c r="C537" s="148" t="s">
        <v>17000</v>
      </c>
      <c r="D537" s="150">
        <v>43900</v>
      </c>
      <c r="E537" s="113" t="s">
        <v>16999</v>
      </c>
      <c r="F537" s="257" t="s">
        <v>14437</v>
      </c>
      <c r="G537" s="160">
        <v>9.42</v>
      </c>
      <c r="I537" s="160">
        <f t="shared" si="8"/>
        <v>45559.630000000019</v>
      </c>
    </row>
    <row r="538" spans="2:9" ht="19.5" x14ac:dyDescent="0.25">
      <c r="B538" s="148"/>
      <c r="C538" s="148" t="s">
        <v>16998</v>
      </c>
      <c r="D538" s="150">
        <v>43900</v>
      </c>
      <c r="E538" s="113" t="s">
        <v>16997</v>
      </c>
      <c r="F538" s="257" t="s">
        <v>14436</v>
      </c>
      <c r="G538" s="160">
        <v>30</v>
      </c>
      <c r="I538" s="160">
        <f t="shared" si="8"/>
        <v>45589.630000000019</v>
      </c>
    </row>
    <row r="539" spans="2:9" ht="19.5" x14ac:dyDescent="0.25">
      <c r="B539" s="148"/>
      <c r="C539" s="148" t="s">
        <v>16996</v>
      </c>
      <c r="D539" s="150">
        <v>43901</v>
      </c>
      <c r="E539" s="113" t="s">
        <v>16995</v>
      </c>
      <c r="F539" s="257">
        <v>8</v>
      </c>
      <c r="G539" s="255">
        <v>10.43</v>
      </c>
      <c r="I539" s="160">
        <f t="shared" si="8"/>
        <v>45600.060000000019</v>
      </c>
    </row>
    <row r="540" spans="2:9" ht="19.5" x14ac:dyDescent="0.25">
      <c r="B540" s="148"/>
      <c r="C540" s="148" t="s">
        <v>16994</v>
      </c>
      <c r="D540" s="150">
        <v>43901</v>
      </c>
      <c r="E540" s="113" t="s">
        <v>16993</v>
      </c>
      <c r="F540" s="257" t="s">
        <v>14436</v>
      </c>
      <c r="G540" s="160">
        <v>32.33</v>
      </c>
      <c r="I540" s="160">
        <f t="shared" si="8"/>
        <v>45632.390000000021</v>
      </c>
    </row>
    <row r="541" spans="2:9" ht="19.5" x14ac:dyDescent="0.25">
      <c r="B541" s="148"/>
      <c r="C541" s="148" t="s">
        <v>16992</v>
      </c>
      <c r="D541" s="150">
        <v>43901</v>
      </c>
      <c r="E541" s="113" t="s">
        <v>16991</v>
      </c>
      <c r="F541" s="257" t="s">
        <v>14446</v>
      </c>
      <c r="G541" s="258">
        <v>1.52</v>
      </c>
      <c r="I541" s="160">
        <f t="shared" si="8"/>
        <v>45633.910000000018</v>
      </c>
    </row>
    <row r="542" spans="2:9" x14ac:dyDescent="0.25">
      <c r="B542" s="148"/>
      <c r="C542" s="148" t="s">
        <v>16990</v>
      </c>
      <c r="D542" s="150">
        <v>43901</v>
      </c>
      <c r="E542" s="113" t="s">
        <v>16989</v>
      </c>
      <c r="F542" s="257" t="s">
        <v>14446</v>
      </c>
      <c r="G542" s="258">
        <v>5.44</v>
      </c>
      <c r="I542" s="160">
        <f t="shared" si="8"/>
        <v>45639.35000000002</v>
      </c>
    </row>
    <row r="543" spans="2:9" ht="19.5" x14ac:dyDescent="0.25">
      <c r="B543" s="148"/>
      <c r="C543" s="148" t="s">
        <v>16988</v>
      </c>
      <c r="D543" s="150">
        <v>43901</v>
      </c>
      <c r="E543" s="113" t="s">
        <v>16987</v>
      </c>
      <c r="F543" s="257" t="s">
        <v>14436</v>
      </c>
      <c r="G543" s="160">
        <v>18.690000000000001</v>
      </c>
      <c r="I543" s="160">
        <f t="shared" si="8"/>
        <v>45658.040000000023</v>
      </c>
    </row>
    <row r="544" spans="2:9" x14ac:dyDescent="0.25">
      <c r="B544" s="148"/>
      <c r="C544" s="148" t="s">
        <v>16986</v>
      </c>
      <c r="D544" s="150">
        <v>43901</v>
      </c>
      <c r="E544" s="113" t="s">
        <v>16985</v>
      </c>
      <c r="F544" s="257" t="s">
        <v>14446</v>
      </c>
      <c r="G544" s="258">
        <v>0.63</v>
      </c>
      <c r="I544" s="160">
        <f t="shared" si="8"/>
        <v>45658.67000000002</v>
      </c>
    </row>
    <row r="545" spans="2:9" x14ac:dyDescent="0.25">
      <c r="B545" s="148"/>
      <c r="C545" s="148" t="s">
        <v>16984</v>
      </c>
      <c r="D545" s="150">
        <v>43901</v>
      </c>
      <c r="E545" s="113" t="s">
        <v>16983</v>
      </c>
      <c r="F545" s="257" t="s">
        <v>14446</v>
      </c>
      <c r="G545" s="258">
        <v>5.53</v>
      </c>
      <c r="I545" s="160">
        <f t="shared" si="8"/>
        <v>45664.200000000019</v>
      </c>
    </row>
    <row r="546" spans="2:9" x14ac:dyDescent="0.25">
      <c r="B546" s="148"/>
      <c r="C546" s="148" t="s">
        <v>16982</v>
      </c>
      <c r="D546" s="150">
        <v>43901</v>
      </c>
      <c r="E546" s="113" t="s">
        <v>16981</v>
      </c>
      <c r="F546" s="257" t="s">
        <v>14409</v>
      </c>
      <c r="G546" s="258">
        <v>14.11</v>
      </c>
      <c r="I546" s="160">
        <f t="shared" si="8"/>
        <v>45678.310000000019</v>
      </c>
    </row>
    <row r="547" spans="2:9" ht="19.5" x14ac:dyDescent="0.25">
      <c r="B547" s="148"/>
      <c r="C547" s="148" t="s">
        <v>16980</v>
      </c>
      <c r="D547" s="150">
        <v>43901</v>
      </c>
      <c r="E547" s="113" t="s">
        <v>16979</v>
      </c>
      <c r="F547" s="257" t="s">
        <v>14409</v>
      </c>
      <c r="G547" s="258">
        <v>4.84</v>
      </c>
      <c r="I547" s="160">
        <f t="shared" si="8"/>
        <v>45683.150000000016</v>
      </c>
    </row>
    <row r="548" spans="2:9" ht="19.5" x14ac:dyDescent="0.25">
      <c r="B548" s="148"/>
      <c r="C548" s="148" t="s">
        <v>16978</v>
      </c>
      <c r="D548" s="150">
        <v>43901</v>
      </c>
      <c r="E548" s="113" t="s">
        <v>16977</v>
      </c>
      <c r="F548" s="257" t="s">
        <v>14409</v>
      </c>
      <c r="G548" s="258">
        <v>3.48</v>
      </c>
      <c r="I548" s="160">
        <f t="shared" si="8"/>
        <v>45686.630000000019</v>
      </c>
    </row>
    <row r="549" spans="2:9" x14ac:dyDescent="0.25">
      <c r="B549" s="148"/>
      <c r="C549" s="148" t="s">
        <v>16976</v>
      </c>
      <c r="D549" s="150">
        <v>43901</v>
      </c>
      <c r="E549" s="113" t="s">
        <v>16975</v>
      </c>
      <c r="F549" s="257" t="s">
        <v>14409</v>
      </c>
      <c r="G549" s="258">
        <v>3.88</v>
      </c>
      <c r="I549" s="160">
        <f t="shared" si="8"/>
        <v>45690.510000000017</v>
      </c>
    </row>
    <row r="550" spans="2:9" x14ac:dyDescent="0.25">
      <c r="B550" s="148"/>
      <c r="C550" s="148" t="s">
        <v>16974</v>
      </c>
      <c r="D550" s="150">
        <v>43901</v>
      </c>
      <c r="E550" s="113" t="s">
        <v>16973</v>
      </c>
      <c r="F550" s="257" t="s">
        <v>14409</v>
      </c>
      <c r="G550" s="258">
        <v>4.09</v>
      </c>
      <c r="I550" s="160">
        <f t="shared" si="8"/>
        <v>45694.600000000013</v>
      </c>
    </row>
    <row r="551" spans="2:9" ht="19.5" x14ac:dyDescent="0.25">
      <c r="B551" s="148"/>
      <c r="C551" s="148" t="s">
        <v>16972</v>
      </c>
      <c r="D551" s="150">
        <v>43901</v>
      </c>
      <c r="E551" s="113" t="s">
        <v>16971</v>
      </c>
      <c r="F551" s="257" t="s">
        <v>14409</v>
      </c>
      <c r="G551" s="258">
        <v>1.75</v>
      </c>
      <c r="I551" s="160">
        <f t="shared" si="8"/>
        <v>45696.350000000013</v>
      </c>
    </row>
    <row r="552" spans="2:9" ht="19.5" x14ac:dyDescent="0.25">
      <c r="B552" s="148"/>
      <c r="C552" s="148" t="s">
        <v>16970</v>
      </c>
      <c r="D552" s="150">
        <v>43901</v>
      </c>
      <c r="E552" s="113" t="s">
        <v>16969</v>
      </c>
      <c r="F552" s="257" t="s">
        <v>14409</v>
      </c>
      <c r="G552" s="258">
        <v>42.25</v>
      </c>
      <c r="I552" s="160">
        <f t="shared" si="8"/>
        <v>45738.600000000013</v>
      </c>
    </row>
    <row r="553" spans="2:9" ht="19.5" x14ac:dyDescent="0.25">
      <c r="B553" s="148"/>
      <c r="C553" s="148" t="s">
        <v>16968</v>
      </c>
      <c r="D553" s="150">
        <v>43901</v>
      </c>
      <c r="E553" s="113" t="s">
        <v>16967</v>
      </c>
      <c r="F553" s="257" t="s">
        <v>14409</v>
      </c>
      <c r="G553" s="258">
        <v>17.5</v>
      </c>
      <c r="I553" s="160">
        <f t="shared" si="8"/>
        <v>45756.100000000013</v>
      </c>
    </row>
    <row r="554" spans="2:9" x14ac:dyDescent="0.25">
      <c r="B554" s="148"/>
      <c r="C554" s="148" t="s">
        <v>16966</v>
      </c>
      <c r="D554" s="150">
        <v>43901</v>
      </c>
      <c r="E554" s="113" t="s">
        <v>16965</v>
      </c>
      <c r="F554" s="257" t="s">
        <v>14409</v>
      </c>
      <c r="G554" s="258">
        <v>2.68</v>
      </c>
      <c r="I554" s="160">
        <f t="shared" si="8"/>
        <v>45758.780000000013</v>
      </c>
    </row>
    <row r="555" spans="2:9" x14ac:dyDescent="0.25">
      <c r="B555" s="148"/>
      <c r="C555" s="148" t="s">
        <v>16964</v>
      </c>
      <c r="D555" s="150">
        <v>43901</v>
      </c>
      <c r="E555" s="113" t="s">
        <v>16963</v>
      </c>
      <c r="F555" s="257" t="s">
        <v>14409</v>
      </c>
      <c r="G555" s="258">
        <v>4.16</v>
      </c>
      <c r="I555" s="160">
        <f t="shared" si="8"/>
        <v>45762.940000000017</v>
      </c>
    </row>
    <row r="556" spans="2:9" ht="19.5" x14ac:dyDescent="0.25">
      <c r="B556" s="148"/>
      <c r="C556" s="148" t="s">
        <v>16962</v>
      </c>
      <c r="D556" s="150">
        <v>43901</v>
      </c>
      <c r="E556" s="113" t="s">
        <v>16961</v>
      </c>
      <c r="F556" s="257" t="s">
        <v>14409</v>
      </c>
      <c r="G556" s="258">
        <v>5.04</v>
      </c>
      <c r="I556" s="160">
        <f t="shared" si="8"/>
        <v>45767.980000000018</v>
      </c>
    </row>
    <row r="557" spans="2:9" ht="19.5" x14ac:dyDescent="0.25">
      <c r="B557" s="148"/>
      <c r="C557" s="148" t="s">
        <v>16960</v>
      </c>
      <c r="D557" s="150">
        <v>43901</v>
      </c>
      <c r="E557" s="113" t="s">
        <v>16959</v>
      </c>
      <c r="F557" s="257" t="s">
        <v>14409</v>
      </c>
      <c r="G557" s="258">
        <v>3.36</v>
      </c>
      <c r="I557" s="160">
        <f t="shared" si="8"/>
        <v>45771.340000000018</v>
      </c>
    </row>
    <row r="558" spans="2:9" ht="19.5" x14ac:dyDescent="0.25">
      <c r="B558" s="148"/>
      <c r="C558" s="148" t="s">
        <v>16958</v>
      </c>
      <c r="D558" s="150">
        <v>43901</v>
      </c>
      <c r="E558" s="113" t="s">
        <v>16957</v>
      </c>
      <c r="F558" s="257" t="s">
        <v>14409</v>
      </c>
      <c r="G558" s="258">
        <v>12.04</v>
      </c>
      <c r="I558" s="160">
        <f t="shared" si="8"/>
        <v>45783.380000000019</v>
      </c>
    </row>
    <row r="559" spans="2:9" ht="19.5" x14ac:dyDescent="0.25">
      <c r="B559" s="148"/>
      <c r="C559" s="148" t="s">
        <v>16956</v>
      </c>
      <c r="D559" s="150">
        <v>43901</v>
      </c>
      <c r="E559" s="113" t="s">
        <v>16955</v>
      </c>
      <c r="F559" s="257" t="s">
        <v>14409</v>
      </c>
      <c r="G559" s="258">
        <v>50.68</v>
      </c>
      <c r="I559" s="160">
        <f t="shared" si="8"/>
        <v>45834.060000000019</v>
      </c>
    </row>
    <row r="560" spans="2:9" ht="19.5" x14ac:dyDescent="0.25">
      <c r="B560" s="148"/>
      <c r="C560" s="148" t="s">
        <v>16954</v>
      </c>
      <c r="D560" s="150">
        <v>43901</v>
      </c>
      <c r="E560" s="113" t="s">
        <v>16953</v>
      </c>
      <c r="F560" s="257" t="s">
        <v>14409</v>
      </c>
      <c r="G560" s="258">
        <v>1.82</v>
      </c>
      <c r="I560" s="160">
        <f t="shared" si="8"/>
        <v>45835.880000000019</v>
      </c>
    </row>
    <row r="561" spans="2:9" x14ac:dyDescent="0.25">
      <c r="B561" s="148"/>
      <c r="C561" s="148" t="s">
        <v>16952</v>
      </c>
      <c r="D561" s="150">
        <v>43901</v>
      </c>
      <c r="E561" s="113" t="s">
        <v>16951</v>
      </c>
      <c r="F561" s="257" t="s">
        <v>14409</v>
      </c>
      <c r="G561" s="258">
        <v>9.18</v>
      </c>
      <c r="I561" s="160">
        <f t="shared" si="8"/>
        <v>45845.060000000019</v>
      </c>
    </row>
    <row r="562" spans="2:9" x14ac:dyDescent="0.25">
      <c r="B562" s="148"/>
      <c r="C562" s="148" t="s">
        <v>16950</v>
      </c>
      <c r="D562" s="150">
        <v>43901</v>
      </c>
      <c r="E562" s="113" t="s">
        <v>16949</v>
      </c>
      <c r="F562" s="257" t="s">
        <v>14409</v>
      </c>
      <c r="G562" s="258">
        <v>2.82</v>
      </c>
      <c r="I562" s="160">
        <f t="shared" si="8"/>
        <v>45847.880000000019</v>
      </c>
    </row>
    <row r="563" spans="2:9" x14ac:dyDescent="0.25">
      <c r="B563" s="148"/>
      <c r="C563" s="148" t="s">
        <v>16948</v>
      </c>
      <c r="D563" s="150">
        <v>43901</v>
      </c>
      <c r="E563" s="113" t="s">
        <v>16947</v>
      </c>
      <c r="F563" s="257" t="s">
        <v>14409</v>
      </c>
      <c r="G563" s="258">
        <v>4.1900000000000004</v>
      </c>
      <c r="I563" s="160">
        <f t="shared" si="8"/>
        <v>45852.070000000022</v>
      </c>
    </row>
    <row r="564" spans="2:9" x14ac:dyDescent="0.25">
      <c r="B564" s="148"/>
      <c r="C564" s="148" t="s">
        <v>16946</v>
      </c>
      <c r="D564" s="150">
        <v>43901</v>
      </c>
      <c r="E564" s="113" t="s">
        <v>16945</v>
      </c>
      <c r="F564" s="257" t="s">
        <v>14409</v>
      </c>
      <c r="G564" s="258">
        <v>4.1900000000000004</v>
      </c>
      <c r="I564" s="160">
        <f t="shared" si="8"/>
        <v>45856.260000000024</v>
      </c>
    </row>
    <row r="565" spans="2:9" x14ac:dyDescent="0.25">
      <c r="B565" s="148"/>
      <c r="C565" s="148" t="s">
        <v>16944</v>
      </c>
      <c r="D565" s="150">
        <v>43901</v>
      </c>
      <c r="E565" s="113" t="s">
        <v>16943</v>
      </c>
      <c r="F565" s="257" t="s">
        <v>14409</v>
      </c>
      <c r="G565" s="258">
        <v>6.45</v>
      </c>
      <c r="I565" s="160">
        <f t="shared" si="8"/>
        <v>45862.710000000021</v>
      </c>
    </row>
    <row r="566" spans="2:9" ht="19.5" x14ac:dyDescent="0.25">
      <c r="B566" s="148"/>
      <c r="C566" s="148" t="s">
        <v>16942</v>
      </c>
      <c r="D566" s="150">
        <v>43901</v>
      </c>
      <c r="E566" s="113" t="s">
        <v>16941</v>
      </c>
      <c r="F566" s="257" t="s">
        <v>14409</v>
      </c>
      <c r="G566" s="258">
        <v>1</v>
      </c>
      <c r="I566" s="160">
        <f t="shared" si="8"/>
        <v>45863.710000000021</v>
      </c>
    </row>
    <row r="567" spans="2:9" ht="19.5" x14ac:dyDescent="0.25">
      <c r="B567" s="148"/>
      <c r="C567" s="148" t="s">
        <v>16940</v>
      </c>
      <c r="D567" s="150">
        <v>43901</v>
      </c>
      <c r="E567" s="113" t="s">
        <v>16939</v>
      </c>
      <c r="F567" s="257" t="s">
        <v>14409</v>
      </c>
      <c r="G567" s="258">
        <v>2.95</v>
      </c>
      <c r="I567" s="160">
        <f t="shared" si="8"/>
        <v>45866.660000000018</v>
      </c>
    </row>
    <row r="568" spans="2:9" x14ac:dyDescent="0.25">
      <c r="B568" s="148"/>
      <c r="C568" s="148" t="s">
        <v>16938</v>
      </c>
      <c r="D568" s="150">
        <v>43901</v>
      </c>
      <c r="E568" s="113" t="s">
        <v>16937</v>
      </c>
      <c r="F568" s="257" t="s">
        <v>14409</v>
      </c>
      <c r="G568" s="258">
        <v>10.45</v>
      </c>
      <c r="I568" s="160">
        <f t="shared" si="8"/>
        <v>45877.110000000015</v>
      </c>
    </row>
    <row r="569" spans="2:9" x14ac:dyDescent="0.25">
      <c r="B569" s="148"/>
      <c r="C569" s="148" t="s">
        <v>16936</v>
      </c>
      <c r="D569" s="150">
        <v>43901</v>
      </c>
      <c r="E569" s="113" t="s">
        <v>16935</v>
      </c>
      <c r="F569" s="257">
        <v>8</v>
      </c>
      <c r="G569" s="255">
        <v>2.27</v>
      </c>
      <c r="I569" s="160">
        <f t="shared" si="8"/>
        <v>45879.380000000012</v>
      </c>
    </row>
    <row r="570" spans="2:9" x14ac:dyDescent="0.25">
      <c r="B570" s="148"/>
      <c r="C570" s="148" t="s">
        <v>16934</v>
      </c>
      <c r="D570" s="150">
        <v>43901</v>
      </c>
      <c r="E570" s="113" t="s">
        <v>16933</v>
      </c>
      <c r="F570" s="257">
        <v>8</v>
      </c>
      <c r="G570" s="255">
        <v>3.02</v>
      </c>
      <c r="I570" s="160">
        <f t="shared" si="8"/>
        <v>45882.400000000009</v>
      </c>
    </row>
    <row r="571" spans="2:9" x14ac:dyDescent="0.25">
      <c r="B571" s="148"/>
      <c r="C571" s="148" t="s">
        <v>16932</v>
      </c>
      <c r="D571" s="150">
        <v>43901</v>
      </c>
      <c r="E571" s="113" t="s">
        <v>16931</v>
      </c>
      <c r="F571" s="257">
        <v>8</v>
      </c>
      <c r="G571" s="255">
        <v>3.36</v>
      </c>
      <c r="I571" s="160">
        <f t="shared" si="8"/>
        <v>45885.760000000009</v>
      </c>
    </row>
    <row r="572" spans="2:9" ht="19.5" x14ac:dyDescent="0.25">
      <c r="B572" s="148"/>
      <c r="C572" s="148" t="s">
        <v>16930</v>
      </c>
      <c r="D572" s="150">
        <v>43901</v>
      </c>
      <c r="E572" s="113" t="s">
        <v>16929</v>
      </c>
      <c r="F572" s="257">
        <v>8</v>
      </c>
      <c r="G572" s="255">
        <v>14.45</v>
      </c>
      <c r="I572" s="160">
        <f t="shared" si="8"/>
        <v>45900.210000000006</v>
      </c>
    </row>
    <row r="573" spans="2:9" ht="19.5" x14ac:dyDescent="0.25">
      <c r="B573" s="148"/>
      <c r="C573" s="148" t="s">
        <v>16928</v>
      </c>
      <c r="D573" s="150">
        <v>43901</v>
      </c>
      <c r="E573" s="113" t="s">
        <v>16927</v>
      </c>
      <c r="F573" s="257">
        <v>8</v>
      </c>
      <c r="G573" s="255">
        <v>12.43</v>
      </c>
      <c r="I573" s="160">
        <f t="shared" si="8"/>
        <v>45912.640000000007</v>
      </c>
    </row>
    <row r="574" spans="2:9" ht="19.5" x14ac:dyDescent="0.25">
      <c r="B574" s="148"/>
      <c r="C574" s="148" t="s">
        <v>16926</v>
      </c>
      <c r="D574" s="150">
        <v>43901</v>
      </c>
      <c r="E574" s="113" t="s">
        <v>16925</v>
      </c>
      <c r="F574" s="257" t="s">
        <v>14436</v>
      </c>
      <c r="G574" s="160">
        <v>7.62</v>
      </c>
      <c r="I574" s="160">
        <f t="shared" si="8"/>
        <v>45920.260000000009</v>
      </c>
    </row>
    <row r="575" spans="2:9" x14ac:dyDescent="0.25">
      <c r="B575" s="148"/>
      <c r="C575" s="148" t="s">
        <v>16924</v>
      </c>
      <c r="D575" s="150">
        <v>43902</v>
      </c>
      <c r="E575" s="113" t="s">
        <v>16923</v>
      </c>
      <c r="G575" s="160">
        <v>8.3800000000000008</v>
      </c>
      <c r="I575" s="160">
        <f t="shared" si="8"/>
        <v>45928.640000000007</v>
      </c>
    </row>
    <row r="576" spans="2:9" ht="19.5" x14ac:dyDescent="0.25">
      <c r="B576" s="148"/>
      <c r="C576" s="148" t="s">
        <v>16922</v>
      </c>
      <c r="D576" s="150">
        <v>43902</v>
      </c>
      <c r="E576" s="113" t="s">
        <v>16921</v>
      </c>
      <c r="G576" s="160">
        <v>15.32</v>
      </c>
      <c r="I576" s="160">
        <f t="shared" si="8"/>
        <v>45943.960000000006</v>
      </c>
    </row>
    <row r="577" spans="2:9" x14ac:dyDescent="0.25">
      <c r="B577" s="148"/>
      <c r="C577" s="148" t="s">
        <v>16920</v>
      </c>
      <c r="D577" s="150">
        <v>43902</v>
      </c>
      <c r="E577" s="113" t="s">
        <v>16919</v>
      </c>
      <c r="G577" s="160">
        <v>15.3</v>
      </c>
      <c r="I577" s="160">
        <f t="shared" si="8"/>
        <v>45959.260000000009</v>
      </c>
    </row>
    <row r="578" spans="2:9" x14ac:dyDescent="0.25">
      <c r="B578" s="148"/>
      <c r="C578" s="148" t="s">
        <v>16918</v>
      </c>
      <c r="D578" s="150">
        <v>43902</v>
      </c>
      <c r="E578" s="113" t="s">
        <v>16917</v>
      </c>
      <c r="G578" s="160">
        <v>1</v>
      </c>
      <c r="I578" s="160">
        <f t="shared" si="8"/>
        <v>45960.260000000009</v>
      </c>
    </row>
    <row r="579" spans="2:9" x14ac:dyDescent="0.25">
      <c r="B579" s="148"/>
      <c r="C579" s="148" t="s">
        <v>16916</v>
      </c>
      <c r="D579" s="150">
        <v>43902</v>
      </c>
      <c r="E579" s="113" t="s">
        <v>16915</v>
      </c>
      <c r="G579" s="160">
        <v>30.16</v>
      </c>
      <c r="I579" s="160">
        <f t="shared" si="8"/>
        <v>45990.420000000013</v>
      </c>
    </row>
    <row r="580" spans="2:9" ht="19.5" x14ac:dyDescent="0.25">
      <c r="B580" s="148"/>
      <c r="C580" s="148" t="s">
        <v>16914</v>
      </c>
      <c r="D580" s="150">
        <v>43902</v>
      </c>
      <c r="E580" s="113" t="s">
        <v>16913</v>
      </c>
      <c r="G580" s="160">
        <v>9.82</v>
      </c>
      <c r="I580" s="160">
        <f t="shared" si="8"/>
        <v>46000.240000000013</v>
      </c>
    </row>
    <row r="581" spans="2:9" ht="19.5" x14ac:dyDescent="0.25">
      <c r="B581" s="148"/>
      <c r="C581" s="148" t="s">
        <v>16912</v>
      </c>
      <c r="D581" s="150">
        <v>43902</v>
      </c>
      <c r="E581" s="113" t="s">
        <v>16911</v>
      </c>
      <c r="F581" s="257" t="s">
        <v>14436</v>
      </c>
      <c r="G581" s="160">
        <v>66.84</v>
      </c>
      <c r="I581" s="160">
        <f t="shared" si="8"/>
        <v>46067.080000000009</v>
      </c>
    </row>
    <row r="582" spans="2:9" ht="19.5" x14ac:dyDescent="0.25">
      <c r="B582" s="148"/>
      <c r="C582" s="148" t="s">
        <v>16910</v>
      </c>
      <c r="D582" s="150">
        <v>43902</v>
      </c>
      <c r="E582" s="113" t="s">
        <v>16909</v>
      </c>
      <c r="F582" s="257" t="s">
        <v>14436</v>
      </c>
      <c r="G582" s="160">
        <v>55.64</v>
      </c>
      <c r="I582" s="160">
        <f t="shared" si="8"/>
        <v>46122.720000000008</v>
      </c>
    </row>
    <row r="583" spans="2:9" ht="19.5" x14ac:dyDescent="0.25">
      <c r="B583" s="148"/>
      <c r="C583" s="148" t="s">
        <v>16908</v>
      </c>
      <c r="D583" s="150">
        <v>43902</v>
      </c>
      <c r="E583" s="113" t="s">
        <v>16907</v>
      </c>
      <c r="F583" s="257" t="s">
        <v>14409</v>
      </c>
      <c r="G583" s="258">
        <v>1.71</v>
      </c>
      <c r="I583" s="160">
        <f t="shared" si="8"/>
        <v>46124.430000000008</v>
      </c>
    </row>
    <row r="584" spans="2:9" ht="19.5" x14ac:dyDescent="0.25">
      <c r="B584" s="148"/>
      <c r="C584" s="148" t="s">
        <v>16906</v>
      </c>
      <c r="D584" s="150">
        <v>43902</v>
      </c>
      <c r="E584" s="113" t="s">
        <v>16905</v>
      </c>
      <c r="F584" s="257" t="s">
        <v>14409</v>
      </c>
      <c r="G584" s="258">
        <v>20.47</v>
      </c>
      <c r="I584" s="160">
        <f t="shared" si="8"/>
        <v>46144.900000000009</v>
      </c>
    </row>
    <row r="585" spans="2:9" ht="19.5" x14ac:dyDescent="0.25">
      <c r="B585" s="148"/>
      <c r="C585" s="148" t="s">
        <v>16904</v>
      </c>
      <c r="D585" s="150">
        <v>43902</v>
      </c>
      <c r="E585" s="113" t="s">
        <v>16903</v>
      </c>
      <c r="F585" s="257" t="s">
        <v>14409</v>
      </c>
      <c r="G585" s="258">
        <v>17.21</v>
      </c>
      <c r="I585" s="160">
        <f t="shared" si="8"/>
        <v>46162.110000000008</v>
      </c>
    </row>
    <row r="586" spans="2:9" ht="19.5" x14ac:dyDescent="0.25">
      <c r="B586" s="148"/>
      <c r="C586" s="148" t="s">
        <v>16902</v>
      </c>
      <c r="D586" s="150">
        <v>43902</v>
      </c>
      <c r="E586" s="113" t="s">
        <v>16901</v>
      </c>
      <c r="F586" s="257" t="s">
        <v>14409</v>
      </c>
      <c r="G586" s="258">
        <v>9.6300000000000008</v>
      </c>
      <c r="I586" s="160">
        <f t="shared" si="8"/>
        <v>46171.740000000005</v>
      </c>
    </row>
    <row r="587" spans="2:9" ht="19.5" x14ac:dyDescent="0.25">
      <c r="B587" s="148"/>
      <c r="C587" s="148" t="s">
        <v>16900</v>
      </c>
      <c r="D587" s="150">
        <v>43902</v>
      </c>
      <c r="E587" s="113" t="s">
        <v>16899</v>
      </c>
      <c r="F587" s="257" t="s">
        <v>14409</v>
      </c>
      <c r="G587" s="258">
        <v>0.21</v>
      </c>
      <c r="I587" s="160">
        <f t="shared" si="8"/>
        <v>46171.950000000004</v>
      </c>
    </row>
    <row r="588" spans="2:9" x14ac:dyDescent="0.25">
      <c r="B588" s="148"/>
      <c r="C588" s="148" t="s">
        <v>16898</v>
      </c>
      <c r="D588" s="150">
        <v>43902</v>
      </c>
      <c r="E588" s="113" t="s">
        <v>16897</v>
      </c>
      <c r="F588" s="257" t="s">
        <v>14409</v>
      </c>
      <c r="G588" s="258">
        <v>2.64</v>
      </c>
      <c r="I588" s="160">
        <f t="shared" si="8"/>
        <v>46174.590000000004</v>
      </c>
    </row>
    <row r="589" spans="2:9" ht="19.5" x14ac:dyDescent="0.25">
      <c r="B589" s="148"/>
      <c r="C589" s="148" t="s">
        <v>16896</v>
      </c>
      <c r="D589" s="150">
        <v>43902</v>
      </c>
      <c r="E589" s="113" t="s">
        <v>16895</v>
      </c>
      <c r="F589" s="257" t="s">
        <v>14409</v>
      </c>
      <c r="G589" s="258">
        <v>5.04</v>
      </c>
      <c r="I589" s="160">
        <f t="shared" si="8"/>
        <v>46179.630000000005</v>
      </c>
    </row>
    <row r="590" spans="2:9" x14ac:dyDescent="0.25">
      <c r="B590" s="148"/>
      <c r="C590" s="148" t="s">
        <v>16894</v>
      </c>
      <c r="D590" s="150">
        <v>43902</v>
      </c>
      <c r="E590" s="113" t="s">
        <v>16893</v>
      </c>
      <c r="F590" s="257" t="s">
        <v>14409</v>
      </c>
      <c r="G590" s="258">
        <v>4.93</v>
      </c>
      <c r="I590" s="160">
        <f t="shared" si="8"/>
        <v>46184.560000000005</v>
      </c>
    </row>
    <row r="591" spans="2:9" x14ac:dyDescent="0.25">
      <c r="B591" s="148"/>
      <c r="C591" s="148" t="s">
        <v>16892</v>
      </c>
      <c r="D591" s="150">
        <v>43902</v>
      </c>
      <c r="E591" s="113" t="s">
        <v>16891</v>
      </c>
      <c r="F591" s="257" t="s">
        <v>14409</v>
      </c>
      <c r="G591" s="258">
        <v>4.1900000000000004</v>
      </c>
      <c r="I591" s="160">
        <f t="shared" si="8"/>
        <v>46188.750000000007</v>
      </c>
    </row>
    <row r="592" spans="2:9" ht="19.5" x14ac:dyDescent="0.25">
      <c r="B592" s="148"/>
      <c r="C592" s="148" t="s">
        <v>16890</v>
      </c>
      <c r="D592" s="150">
        <v>43902</v>
      </c>
      <c r="E592" s="113" t="s">
        <v>16889</v>
      </c>
      <c r="F592" s="257" t="s">
        <v>14409</v>
      </c>
      <c r="G592" s="258">
        <v>3.39</v>
      </c>
      <c r="I592" s="160">
        <f t="shared" si="8"/>
        <v>46192.140000000007</v>
      </c>
    </row>
    <row r="593" spans="2:9" ht="19.5" x14ac:dyDescent="0.25">
      <c r="B593" s="148"/>
      <c r="C593" s="148" t="s">
        <v>16888</v>
      </c>
      <c r="D593" s="150">
        <v>43902</v>
      </c>
      <c r="E593" s="113" t="s">
        <v>16887</v>
      </c>
      <c r="F593" s="257" t="s">
        <v>14409</v>
      </c>
      <c r="G593" s="258">
        <v>7.21</v>
      </c>
      <c r="I593" s="160">
        <f t="shared" si="8"/>
        <v>46199.350000000006</v>
      </c>
    </row>
    <row r="594" spans="2:9" ht="19.5" x14ac:dyDescent="0.25">
      <c r="B594" s="148"/>
      <c r="C594" s="148" t="s">
        <v>16886</v>
      </c>
      <c r="D594" s="150">
        <v>43902</v>
      </c>
      <c r="E594" s="113" t="s">
        <v>16885</v>
      </c>
      <c r="F594" s="257" t="s">
        <v>14409</v>
      </c>
      <c r="G594" s="258">
        <v>5.05</v>
      </c>
      <c r="I594" s="160">
        <f t="shared" si="8"/>
        <v>46204.400000000009</v>
      </c>
    </row>
    <row r="595" spans="2:9" x14ac:dyDescent="0.25">
      <c r="B595" s="148"/>
      <c r="C595" s="148" t="s">
        <v>16884</v>
      </c>
      <c r="D595" s="150">
        <v>43902</v>
      </c>
      <c r="E595" s="113" t="s">
        <v>16883</v>
      </c>
      <c r="F595" s="257" t="s">
        <v>14409</v>
      </c>
      <c r="G595" s="258">
        <v>6.53</v>
      </c>
      <c r="I595" s="160">
        <f t="shared" si="8"/>
        <v>46210.930000000008</v>
      </c>
    </row>
    <row r="596" spans="2:9" x14ac:dyDescent="0.25">
      <c r="B596" s="148"/>
      <c r="C596" s="148" t="s">
        <v>16882</v>
      </c>
      <c r="D596" s="150">
        <v>43902</v>
      </c>
      <c r="E596" s="113" t="s">
        <v>16881</v>
      </c>
      <c r="F596" s="257" t="s">
        <v>14409</v>
      </c>
      <c r="G596" s="258">
        <v>6.41</v>
      </c>
      <c r="I596" s="160">
        <f t="shared" ref="I596:I660" si="9">+I595+G596-H596</f>
        <v>46217.340000000011</v>
      </c>
    </row>
    <row r="597" spans="2:9" ht="19.5" x14ac:dyDescent="0.25">
      <c r="B597" s="148"/>
      <c r="C597" s="148" t="s">
        <v>16880</v>
      </c>
      <c r="D597" s="150">
        <v>43902</v>
      </c>
      <c r="E597" s="113" t="s">
        <v>16879</v>
      </c>
      <c r="F597" s="257" t="s">
        <v>14409</v>
      </c>
      <c r="G597" s="258">
        <v>8.36</v>
      </c>
      <c r="I597" s="160">
        <f t="shared" si="9"/>
        <v>46225.700000000012</v>
      </c>
    </row>
    <row r="598" spans="2:9" ht="19.5" x14ac:dyDescent="0.25">
      <c r="B598" s="148"/>
      <c r="C598" s="148" t="s">
        <v>16878</v>
      </c>
      <c r="D598" s="150">
        <v>43902</v>
      </c>
      <c r="E598" s="113" t="s">
        <v>16877</v>
      </c>
      <c r="F598" s="257" t="s">
        <v>14409</v>
      </c>
      <c r="G598" s="258">
        <v>25.23</v>
      </c>
      <c r="I598" s="160">
        <f t="shared" si="9"/>
        <v>46250.930000000015</v>
      </c>
    </row>
    <row r="599" spans="2:9" ht="19.5" x14ac:dyDescent="0.25">
      <c r="B599" s="148"/>
      <c r="C599" s="148" t="s">
        <v>16876</v>
      </c>
      <c r="D599" s="150">
        <v>43902</v>
      </c>
      <c r="E599" s="113" t="s">
        <v>16875</v>
      </c>
      <c r="F599" s="257" t="s">
        <v>14409</v>
      </c>
      <c r="G599" s="258">
        <v>6.09</v>
      </c>
      <c r="I599" s="160">
        <f t="shared" si="9"/>
        <v>46257.020000000011</v>
      </c>
    </row>
    <row r="600" spans="2:9" ht="19.5" x14ac:dyDescent="0.25">
      <c r="B600" s="148"/>
      <c r="C600" s="148" t="s">
        <v>16874</v>
      </c>
      <c r="D600" s="150">
        <v>43902</v>
      </c>
      <c r="E600" s="113" t="s">
        <v>16873</v>
      </c>
      <c r="F600" s="257" t="s">
        <v>14409</v>
      </c>
      <c r="G600" s="258">
        <v>10.9</v>
      </c>
      <c r="I600" s="160">
        <f t="shared" si="9"/>
        <v>46267.920000000013</v>
      </c>
    </row>
    <row r="601" spans="2:9" x14ac:dyDescent="0.25">
      <c r="B601" s="148"/>
      <c r="C601" s="148" t="s">
        <v>16872</v>
      </c>
      <c r="D601" s="150">
        <v>43902</v>
      </c>
      <c r="E601" s="113" t="s">
        <v>16871</v>
      </c>
      <c r="F601" s="257" t="s">
        <v>14409</v>
      </c>
      <c r="G601" s="258">
        <v>3.08</v>
      </c>
      <c r="I601" s="160">
        <f t="shared" si="9"/>
        <v>46271.000000000015</v>
      </c>
    </row>
    <row r="602" spans="2:9" ht="19.5" x14ac:dyDescent="0.25">
      <c r="B602" s="148"/>
      <c r="C602" s="148" t="s">
        <v>16870</v>
      </c>
      <c r="D602" s="150">
        <v>43902</v>
      </c>
      <c r="E602" s="113" t="s">
        <v>16869</v>
      </c>
      <c r="F602" s="257" t="s">
        <v>14409</v>
      </c>
      <c r="G602" s="258">
        <v>13.45</v>
      </c>
      <c r="I602" s="160">
        <f t="shared" si="9"/>
        <v>46284.450000000012</v>
      </c>
    </row>
    <row r="603" spans="2:9" x14ac:dyDescent="0.25">
      <c r="B603" s="148"/>
      <c r="C603" s="148" t="s">
        <v>16868</v>
      </c>
      <c r="D603" s="150">
        <v>43902</v>
      </c>
      <c r="E603" s="113" t="s">
        <v>16867</v>
      </c>
      <c r="F603" s="257" t="s">
        <v>14409</v>
      </c>
      <c r="G603" s="258">
        <v>2.67</v>
      </c>
      <c r="I603" s="160">
        <f t="shared" si="9"/>
        <v>46287.12000000001</v>
      </c>
    </row>
    <row r="604" spans="2:9" x14ac:dyDescent="0.25">
      <c r="B604" s="148"/>
      <c r="C604" s="148" t="s">
        <v>16866</v>
      </c>
      <c r="D604" s="150">
        <v>43902</v>
      </c>
      <c r="E604" s="113" t="s">
        <v>16865</v>
      </c>
      <c r="F604" s="257" t="s">
        <v>14409</v>
      </c>
      <c r="G604" s="258">
        <v>0.6</v>
      </c>
      <c r="I604" s="160">
        <f t="shared" si="9"/>
        <v>46287.720000000008</v>
      </c>
    </row>
    <row r="605" spans="2:9" x14ac:dyDescent="0.25">
      <c r="B605" s="148"/>
      <c r="C605" s="148" t="s">
        <v>16864</v>
      </c>
      <c r="D605" s="150">
        <v>43902</v>
      </c>
      <c r="E605" s="113" t="s">
        <v>16863</v>
      </c>
      <c r="F605" s="257" t="s">
        <v>14409</v>
      </c>
      <c r="G605" s="258">
        <v>6.94</v>
      </c>
      <c r="I605" s="160">
        <f t="shared" si="9"/>
        <v>46294.660000000011</v>
      </c>
    </row>
    <row r="606" spans="2:9" x14ac:dyDescent="0.25">
      <c r="B606" s="148"/>
      <c r="C606" s="148" t="s">
        <v>16862</v>
      </c>
      <c r="D606" s="150">
        <v>43902</v>
      </c>
      <c r="E606" s="113" t="s">
        <v>16861</v>
      </c>
      <c r="F606" s="257" t="s">
        <v>14409</v>
      </c>
      <c r="G606" s="258">
        <v>8.3800000000000008</v>
      </c>
      <c r="I606" s="160">
        <f t="shared" si="9"/>
        <v>46303.040000000008</v>
      </c>
    </row>
    <row r="607" spans="2:9" ht="19.5" x14ac:dyDescent="0.25">
      <c r="B607" s="148"/>
      <c r="C607" s="148" t="s">
        <v>16860</v>
      </c>
      <c r="D607" s="150">
        <v>43902</v>
      </c>
      <c r="E607" s="113" t="s">
        <v>16859</v>
      </c>
      <c r="F607" s="257" t="s">
        <v>14409</v>
      </c>
      <c r="G607" s="258">
        <v>4.18</v>
      </c>
      <c r="I607" s="160">
        <f t="shared" si="9"/>
        <v>46307.220000000008</v>
      </c>
    </row>
    <row r="608" spans="2:9" ht="19.5" x14ac:dyDescent="0.25">
      <c r="B608" s="148"/>
      <c r="C608" s="148" t="s">
        <v>16858</v>
      </c>
      <c r="D608" s="150">
        <v>43902</v>
      </c>
      <c r="E608" s="113" t="s">
        <v>16857</v>
      </c>
      <c r="F608" s="257" t="s">
        <v>14409</v>
      </c>
      <c r="G608" s="258">
        <v>3.6</v>
      </c>
      <c r="I608" s="160">
        <f t="shared" si="9"/>
        <v>46310.820000000007</v>
      </c>
    </row>
    <row r="609" spans="2:9" x14ac:dyDescent="0.25">
      <c r="B609" s="148"/>
      <c r="C609" s="148" t="s">
        <v>16856</v>
      </c>
      <c r="D609" s="150">
        <v>43902</v>
      </c>
      <c r="E609" s="113" t="s">
        <v>16855</v>
      </c>
      <c r="F609" s="257" t="s">
        <v>14409</v>
      </c>
      <c r="G609" s="258">
        <v>1.9</v>
      </c>
      <c r="I609" s="160">
        <f t="shared" si="9"/>
        <v>46312.720000000008</v>
      </c>
    </row>
    <row r="610" spans="2:9" ht="19.5" x14ac:dyDescent="0.25">
      <c r="B610" s="148"/>
      <c r="C610" s="148" t="s">
        <v>16854</v>
      </c>
      <c r="D610" s="150">
        <v>43902</v>
      </c>
      <c r="E610" s="113" t="s">
        <v>16853</v>
      </c>
      <c r="F610" s="257" t="s">
        <v>14409</v>
      </c>
      <c r="G610" s="258">
        <v>10.130000000000001</v>
      </c>
      <c r="I610" s="160">
        <f t="shared" si="9"/>
        <v>46322.850000000006</v>
      </c>
    </row>
    <row r="611" spans="2:9" x14ac:dyDescent="0.25">
      <c r="B611" s="148"/>
      <c r="C611" s="148" t="s">
        <v>16852</v>
      </c>
      <c r="D611" s="150">
        <v>43902</v>
      </c>
      <c r="E611" s="113" t="s">
        <v>16851</v>
      </c>
      <c r="F611" s="257">
        <v>9</v>
      </c>
      <c r="G611" s="255">
        <v>7.37</v>
      </c>
      <c r="I611" s="160">
        <f t="shared" si="9"/>
        <v>46330.220000000008</v>
      </c>
    </row>
    <row r="612" spans="2:9" ht="19.5" x14ac:dyDescent="0.25">
      <c r="B612" s="148"/>
      <c r="C612" s="148" t="s">
        <v>16850</v>
      </c>
      <c r="D612" s="150">
        <v>43902</v>
      </c>
      <c r="E612" s="113" t="s">
        <v>16849</v>
      </c>
      <c r="F612" s="257">
        <v>9</v>
      </c>
      <c r="G612" s="255">
        <v>8.3800000000000008</v>
      </c>
      <c r="I612" s="160">
        <f t="shared" si="9"/>
        <v>46338.600000000006</v>
      </c>
    </row>
    <row r="613" spans="2:9" x14ac:dyDescent="0.25">
      <c r="B613" s="148"/>
      <c r="C613" s="148" t="s">
        <v>16848</v>
      </c>
      <c r="D613" s="150">
        <v>43902</v>
      </c>
      <c r="E613" s="113" t="s">
        <v>16847</v>
      </c>
      <c r="F613" s="257">
        <v>9</v>
      </c>
      <c r="G613" s="255">
        <v>1.72</v>
      </c>
      <c r="I613" s="160">
        <f t="shared" si="9"/>
        <v>46340.320000000007</v>
      </c>
    </row>
    <row r="614" spans="2:9" ht="19.5" x14ac:dyDescent="0.25">
      <c r="B614" s="148"/>
      <c r="C614" s="148" t="s">
        <v>16846</v>
      </c>
      <c r="D614" s="150">
        <v>43902</v>
      </c>
      <c r="E614" s="113" t="s">
        <v>16845</v>
      </c>
      <c r="F614" s="257">
        <v>9</v>
      </c>
      <c r="G614" s="255">
        <v>8.3800000000000008</v>
      </c>
      <c r="I614" s="160">
        <f t="shared" si="9"/>
        <v>46348.700000000004</v>
      </c>
    </row>
    <row r="615" spans="2:9" x14ac:dyDescent="0.25">
      <c r="B615" s="148"/>
      <c r="C615" s="148" t="s">
        <v>16844</v>
      </c>
      <c r="D615" s="150">
        <v>43902</v>
      </c>
      <c r="E615" s="113" t="s">
        <v>16843</v>
      </c>
      <c r="F615" s="257">
        <v>9</v>
      </c>
      <c r="G615" s="255">
        <v>2.31</v>
      </c>
      <c r="I615" s="160">
        <f t="shared" si="9"/>
        <v>46351.01</v>
      </c>
    </row>
    <row r="616" spans="2:9" x14ac:dyDescent="0.25">
      <c r="B616" s="148"/>
      <c r="C616" s="148" t="s">
        <v>16842</v>
      </c>
      <c r="D616" s="150">
        <v>43902</v>
      </c>
      <c r="E616" s="113" t="s">
        <v>16841</v>
      </c>
      <c r="F616" s="257">
        <v>9</v>
      </c>
      <c r="G616" s="255">
        <v>4.07</v>
      </c>
      <c r="I616" s="160">
        <f t="shared" si="9"/>
        <v>46355.08</v>
      </c>
    </row>
    <row r="617" spans="2:9" x14ac:dyDescent="0.25">
      <c r="B617" s="148"/>
      <c r="C617" s="148" t="s">
        <v>16840</v>
      </c>
      <c r="D617" s="150">
        <v>43902</v>
      </c>
      <c r="E617" s="113" t="s">
        <v>16839</v>
      </c>
      <c r="F617" s="257" t="s">
        <v>14437</v>
      </c>
      <c r="G617" s="160">
        <v>72.739999999999995</v>
      </c>
      <c r="I617" s="160">
        <f t="shared" si="9"/>
        <v>46427.82</v>
      </c>
    </row>
    <row r="618" spans="2:9" ht="19.5" x14ac:dyDescent="0.25">
      <c r="B618" s="148"/>
      <c r="C618" s="148" t="s">
        <v>16838</v>
      </c>
      <c r="D618" s="150">
        <v>43902</v>
      </c>
      <c r="E618" s="113" t="s">
        <v>16837</v>
      </c>
      <c r="F618" s="257" t="s">
        <v>14437</v>
      </c>
      <c r="G618" s="160">
        <v>1.94</v>
      </c>
      <c r="I618" s="160">
        <f t="shared" si="9"/>
        <v>46429.760000000002</v>
      </c>
    </row>
    <row r="619" spans="2:9" ht="19.5" x14ac:dyDescent="0.25">
      <c r="B619" s="148"/>
      <c r="C619" s="148" t="s">
        <v>16836</v>
      </c>
      <c r="D619" s="150">
        <v>43903</v>
      </c>
      <c r="E619" s="113" t="s">
        <v>16835</v>
      </c>
      <c r="F619" s="257" t="s">
        <v>14450</v>
      </c>
      <c r="G619" s="160">
        <v>15.71</v>
      </c>
      <c r="I619" s="160">
        <f t="shared" si="9"/>
        <v>46445.47</v>
      </c>
    </row>
    <row r="620" spans="2:9" ht="19.5" x14ac:dyDescent="0.25">
      <c r="B620" s="148"/>
      <c r="C620" s="148" t="s">
        <v>16834</v>
      </c>
      <c r="D620" s="150">
        <v>43903</v>
      </c>
      <c r="E620" s="113" t="s">
        <v>16833</v>
      </c>
      <c r="F620" s="257" t="s">
        <v>14450</v>
      </c>
      <c r="G620" s="160">
        <v>327.04000000000002</v>
      </c>
      <c r="I620" s="160">
        <f t="shared" si="9"/>
        <v>46772.51</v>
      </c>
    </row>
    <row r="621" spans="2:9" ht="19.5" x14ac:dyDescent="0.25">
      <c r="B621" s="148"/>
      <c r="C621" s="148" t="s">
        <v>16832</v>
      </c>
      <c r="D621" s="150">
        <v>43903</v>
      </c>
      <c r="E621" s="113" t="s">
        <v>16831</v>
      </c>
      <c r="F621" s="257" t="s">
        <v>14450</v>
      </c>
      <c r="G621" s="160">
        <v>538.72</v>
      </c>
      <c r="I621" s="160">
        <f t="shared" si="9"/>
        <v>47311.23</v>
      </c>
    </row>
    <row r="622" spans="2:9" ht="19.5" x14ac:dyDescent="0.25">
      <c r="B622" s="148"/>
      <c r="C622" s="148" t="s">
        <v>16830</v>
      </c>
      <c r="D622" s="150">
        <v>43903</v>
      </c>
      <c r="E622" s="113" t="s">
        <v>16829</v>
      </c>
      <c r="F622" s="257" t="s">
        <v>14450</v>
      </c>
      <c r="G622" s="160">
        <v>154.56</v>
      </c>
      <c r="I622" s="160">
        <f t="shared" si="9"/>
        <v>47465.79</v>
      </c>
    </row>
    <row r="623" spans="2:9" ht="19.5" x14ac:dyDescent="0.25">
      <c r="B623" s="148"/>
      <c r="C623" s="148" t="s">
        <v>16828</v>
      </c>
      <c r="D623" s="150">
        <v>43903</v>
      </c>
      <c r="E623" s="113" t="s">
        <v>16827</v>
      </c>
      <c r="F623" s="257" t="s">
        <v>14450</v>
      </c>
      <c r="G623" s="160">
        <v>154.56</v>
      </c>
      <c r="I623" s="160">
        <f t="shared" si="9"/>
        <v>47620.35</v>
      </c>
    </row>
    <row r="624" spans="2:9" ht="19.5" x14ac:dyDescent="0.25">
      <c r="B624" s="148"/>
      <c r="C624" s="148" t="s">
        <v>16826</v>
      </c>
      <c r="D624" s="150">
        <v>43903</v>
      </c>
      <c r="E624" s="113" t="s">
        <v>16825</v>
      </c>
      <c r="F624" s="257" t="s">
        <v>14450</v>
      </c>
      <c r="G624" s="160">
        <v>400</v>
      </c>
      <c r="I624" s="160">
        <f t="shared" si="9"/>
        <v>48020.35</v>
      </c>
    </row>
    <row r="625" spans="2:9" ht="19.5" x14ac:dyDescent="0.25">
      <c r="B625" s="148"/>
      <c r="C625" s="148" t="s">
        <v>16824</v>
      </c>
      <c r="D625" s="150">
        <v>43903</v>
      </c>
      <c r="E625" s="113" t="s">
        <v>16823</v>
      </c>
      <c r="F625" s="257" t="s">
        <v>14450</v>
      </c>
      <c r="G625" s="160">
        <v>160</v>
      </c>
      <c r="I625" s="160">
        <f t="shared" si="9"/>
        <v>48180.35</v>
      </c>
    </row>
    <row r="626" spans="2:9" ht="19.5" x14ac:dyDescent="0.25">
      <c r="B626" s="148"/>
      <c r="C626" s="148" t="s">
        <v>16822</v>
      </c>
      <c r="D626" s="150">
        <v>43903</v>
      </c>
      <c r="E626" s="113" t="s">
        <v>16821</v>
      </c>
      <c r="F626" s="257" t="s">
        <v>14450</v>
      </c>
      <c r="G626" s="160">
        <v>93.12</v>
      </c>
      <c r="I626" s="160">
        <f t="shared" si="9"/>
        <v>48273.47</v>
      </c>
    </row>
    <row r="627" spans="2:9" ht="19.5" x14ac:dyDescent="0.25">
      <c r="B627" s="148"/>
      <c r="C627" s="148" t="s">
        <v>16820</v>
      </c>
      <c r="D627" s="150">
        <v>43903</v>
      </c>
      <c r="E627" s="113" t="s">
        <v>16819</v>
      </c>
      <c r="F627" s="257" t="s">
        <v>14450</v>
      </c>
      <c r="G627" s="160">
        <v>13.52</v>
      </c>
      <c r="I627" s="160">
        <f t="shared" si="9"/>
        <v>48286.99</v>
      </c>
    </row>
    <row r="628" spans="2:9" ht="19.5" x14ac:dyDescent="0.25">
      <c r="B628" s="148"/>
      <c r="C628" s="148" t="s">
        <v>16818</v>
      </c>
      <c r="D628" s="150">
        <v>43903</v>
      </c>
      <c r="E628" s="113" t="s">
        <v>16817</v>
      </c>
      <c r="F628" s="257" t="s">
        <v>14450</v>
      </c>
      <c r="G628" s="160">
        <v>100.17</v>
      </c>
      <c r="I628" s="160">
        <f t="shared" si="9"/>
        <v>48387.159999999996</v>
      </c>
    </row>
    <row r="629" spans="2:9" ht="19.5" x14ac:dyDescent="0.25">
      <c r="B629" s="148"/>
      <c r="C629" s="148" t="s">
        <v>16816</v>
      </c>
      <c r="D629" s="150">
        <v>43903</v>
      </c>
      <c r="E629" s="113" t="s">
        <v>16815</v>
      </c>
      <c r="F629" s="257" t="s">
        <v>14450</v>
      </c>
      <c r="G629" s="160">
        <v>1375</v>
      </c>
      <c r="I629" s="160">
        <f t="shared" si="9"/>
        <v>49762.159999999996</v>
      </c>
    </row>
    <row r="630" spans="2:9" ht="19.5" x14ac:dyDescent="0.25">
      <c r="B630" s="148"/>
      <c r="C630" s="148" t="s">
        <v>16814</v>
      </c>
      <c r="D630" s="150">
        <v>43903</v>
      </c>
      <c r="E630" s="113" t="s">
        <v>16812</v>
      </c>
      <c r="F630" s="257" t="s">
        <v>14412</v>
      </c>
      <c r="G630" s="258">
        <v>0.09</v>
      </c>
      <c r="I630" s="160">
        <f t="shared" si="9"/>
        <v>49762.249999999993</v>
      </c>
    </row>
    <row r="631" spans="2:9" ht="19.5" x14ac:dyDescent="0.25">
      <c r="B631" s="148"/>
      <c r="C631" s="148" t="s">
        <v>16813</v>
      </c>
      <c r="D631" s="150">
        <v>43903</v>
      </c>
      <c r="E631" s="113" t="s">
        <v>16812</v>
      </c>
      <c r="F631" s="257" t="s">
        <v>14412</v>
      </c>
      <c r="G631" s="258">
        <v>0.09</v>
      </c>
      <c r="I631" s="160">
        <f t="shared" si="9"/>
        <v>49762.339999999989</v>
      </c>
    </row>
    <row r="632" spans="2:9" s="299" customFormat="1" ht="29.25" x14ac:dyDescent="0.25">
      <c r="B632" s="295"/>
      <c r="C632" s="295" t="s">
        <v>16811</v>
      </c>
      <c r="D632" s="296">
        <v>43903</v>
      </c>
      <c r="E632" s="297" t="s">
        <v>16810</v>
      </c>
      <c r="F632" s="294" t="s">
        <v>14450</v>
      </c>
      <c r="G632" s="298"/>
      <c r="H632" s="319">
        <v>1375</v>
      </c>
      <c r="I632" s="160">
        <f t="shared" si="9"/>
        <v>48387.339999999989</v>
      </c>
    </row>
    <row r="633" spans="2:9" s="345" customFormat="1" x14ac:dyDescent="0.25">
      <c r="B633" s="346"/>
      <c r="C633" s="346" t="s">
        <v>16809</v>
      </c>
      <c r="D633" s="347">
        <v>43903</v>
      </c>
      <c r="E633" s="348" t="s">
        <v>27466</v>
      </c>
      <c r="F633" s="349"/>
      <c r="G633" s="350"/>
      <c r="H633" s="351">
        <v>136.19999999999999</v>
      </c>
      <c r="I633" s="270">
        <f t="shared" si="9"/>
        <v>48251.139999999992</v>
      </c>
    </row>
    <row r="634" spans="2:9" s="299" customFormat="1" ht="19.5" x14ac:dyDescent="0.25">
      <c r="B634" s="295"/>
      <c r="C634" s="295" t="s">
        <v>16808</v>
      </c>
      <c r="D634" s="296">
        <v>43903</v>
      </c>
      <c r="E634" s="297" t="s">
        <v>16807</v>
      </c>
      <c r="F634" s="294" t="s">
        <v>14450</v>
      </c>
      <c r="G634" s="298"/>
      <c r="H634" s="319">
        <v>93.12</v>
      </c>
      <c r="I634" s="160">
        <f t="shared" si="9"/>
        <v>48158.01999999999</v>
      </c>
    </row>
    <row r="635" spans="2:9" s="299" customFormat="1" ht="29.25" x14ac:dyDescent="0.25">
      <c r="B635" s="295"/>
      <c r="C635" s="295" t="s">
        <v>16806</v>
      </c>
      <c r="D635" s="296">
        <v>43903</v>
      </c>
      <c r="E635" s="297" t="s">
        <v>16805</v>
      </c>
      <c r="F635" s="294" t="s">
        <v>14450</v>
      </c>
      <c r="G635" s="298"/>
      <c r="H635" s="319">
        <v>154.56</v>
      </c>
      <c r="I635" s="160">
        <f t="shared" si="9"/>
        <v>48003.459999999992</v>
      </c>
    </row>
    <row r="636" spans="2:9" s="299" customFormat="1" ht="29.25" x14ac:dyDescent="0.25">
      <c r="B636" s="295"/>
      <c r="C636" s="295" t="s">
        <v>16804</v>
      </c>
      <c r="D636" s="296">
        <v>43903</v>
      </c>
      <c r="E636" s="297" t="s">
        <v>16803</v>
      </c>
      <c r="F636" s="294" t="s">
        <v>14450</v>
      </c>
      <c r="G636" s="298"/>
      <c r="H636" s="319">
        <v>154.56</v>
      </c>
      <c r="I636" s="160">
        <f t="shared" si="9"/>
        <v>47848.899999999994</v>
      </c>
    </row>
    <row r="637" spans="2:9" s="299" customFormat="1" ht="29.25" x14ac:dyDescent="0.25">
      <c r="B637" s="295"/>
      <c r="C637" s="295" t="s">
        <v>16802</v>
      </c>
      <c r="D637" s="296">
        <v>43903</v>
      </c>
      <c r="E637" s="297" t="s">
        <v>16801</v>
      </c>
      <c r="F637" s="294" t="s">
        <v>14450</v>
      </c>
      <c r="G637" s="298"/>
      <c r="H637" s="319">
        <v>538.72</v>
      </c>
      <c r="I637" s="160">
        <f t="shared" si="9"/>
        <v>47310.179999999993</v>
      </c>
    </row>
    <row r="638" spans="2:9" s="299" customFormat="1" ht="29.25" x14ac:dyDescent="0.25">
      <c r="B638" s="295"/>
      <c r="C638" s="295" t="s">
        <v>16800</v>
      </c>
      <c r="D638" s="296">
        <v>43903</v>
      </c>
      <c r="E638" s="297" t="s">
        <v>16799</v>
      </c>
      <c r="F638" s="294" t="s">
        <v>14450</v>
      </c>
      <c r="G638" s="298"/>
      <c r="H638" s="319">
        <v>327.04000000000002</v>
      </c>
      <c r="I638" s="160">
        <f t="shared" si="9"/>
        <v>46983.139999999992</v>
      </c>
    </row>
    <row r="639" spans="2:9" s="299" customFormat="1" ht="29.25" x14ac:dyDescent="0.25">
      <c r="B639" s="295"/>
      <c r="C639" s="295" t="s">
        <v>16798</v>
      </c>
      <c r="D639" s="296">
        <v>43903</v>
      </c>
      <c r="E639" s="297" t="s">
        <v>16797</v>
      </c>
      <c r="F639" s="294" t="s">
        <v>14450</v>
      </c>
      <c r="G639" s="298"/>
      <c r="H639" s="319">
        <v>15.71</v>
      </c>
      <c r="I639" s="160">
        <f t="shared" si="9"/>
        <v>46967.429999999993</v>
      </c>
    </row>
    <row r="640" spans="2:9" s="299" customFormat="1" ht="29.25" x14ac:dyDescent="0.25">
      <c r="B640" s="295"/>
      <c r="C640" s="295" t="s">
        <v>16796</v>
      </c>
      <c r="D640" s="296">
        <v>43903</v>
      </c>
      <c r="E640" s="297" t="s">
        <v>16795</v>
      </c>
      <c r="F640" s="294" t="s">
        <v>14450</v>
      </c>
      <c r="G640" s="298"/>
      <c r="H640" s="319">
        <v>13.52</v>
      </c>
      <c r="I640" s="160">
        <f t="shared" si="9"/>
        <v>46953.909999999996</v>
      </c>
    </row>
    <row r="641" spans="2:9" s="299" customFormat="1" ht="29.25" x14ac:dyDescent="0.25">
      <c r="B641" s="295"/>
      <c r="C641" s="295" t="s">
        <v>16794</v>
      </c>
      <c r="D641" s="296">
        <v>43903</v>
      </c>
      <c r="E641" s="297" t="s">
        <v>16793</v>
      </c>
      <c r="F641" s="294" t="s">
        <v>14450</v>
      </c>
      <c r="G641" s="298"/>
      <c r="H641" s="319">
        <v>100.17</v>
      </c>
      <c r="I641" s="160">
        <f t="shared" si="9"/>
        <v>46853.74</v>
      </c>
    </row>
    <row r="642" spans="2:9" s="299" customFormat="1" ht="29.25" x14ac:dyDescent="0.25">
      <c r="B642" s="295"/>
      <c r="C642" s="295" t="s">
        <v>16792</v>
      </c>
      <c r="D642" s="296">
        <v>43903</v>
      </c>
      <c r="E642" s="297" t="s">
        <v>16791</v>
      </c>
      <c r="F642" s="294" t="s">
        <v>14450</v>
      </c>
      <c r="G642" s="298"/>
      <c r="H642" s="319">
        <v>8.7799999999999994</v>
      </c>
      <c r="I642" s="160">
        <f t="shared" si="9"/>
        <v>46844.959999999999</v>
      </c>
    </row>
    <row r="643" spans="2:9" s="299" customFormat="1" ht="19.5" x14ac:dyDescent="0.25">
      <c r="B643" s="295"/>
      <c r="C643" s="295" t="s">
        <v>16790</v>
      </c>
      <c r="D643" s="296">
        <v>43903</v>
      </c>
      <c r="E643" s="297" t="s">
        <v>16789</v>
      </c>
      <c r="F643" s="294" t="s">
        <v>14450</v>
      </c>
      <c r="G643" s="298"/>
      <c r="H643" s="319">
        <v>160</v>
      </c>
      <c r="I643" s="160">
        <f t="shared" si="9"/>
        <v>46684.959999999999</v>
      </c>
    </row>
    <row r="644" spans="2:9" s="299" customFormat="1" ht="19.5" x14ac:dyDescent="0.25">
      <c r="B644" s="295"/>
      <c r="C644" s="295" t="s">
        <v>16788</v>
      </c>
      <c r="D644" s="296">
        <v>43903</v>
      </c>
      <c r="E644" s="297" t="s">
        <v>16787</v>
      </c>
      <c r="F644" s="294" t="s">
        <v>14450</v>
      </c>
      <c r="G644" s="298"/>
      <c r="H644" s="319">
        <v>400</v>
      </c>
      <c r="I644" s="160">
        <f t="shared" si="9"/>
        <v>46284.959999999999</v>
      </c>
    </row>
    <row r="645" spans="2:9" ht="19.5" x14ac:dyDescent="0.25">
      <c r="B645" s="148"/>
      <c r="C645" s="148" t="s">
        <v>16786</v>
      </c>
      <c r="D645" s="150">
        <v>43903</v>
      </c>
      <c r="E645" s="113" t="s">
        <v>16785</v>
      </c>
      <c r="G645" s="160">
        <v>47.67</v>
      </c>
      <c r="I645" s="160">
        <f t="shared" si="9"/>
        <v>46332.63</v>
      </c>
    </row>
    <row r="646" spans="2:9" ht="19.5" x14ac:dyDescent="0.25">
      <c r="B646" s="148"/>
      <c r="C646" s="148" t="s">
        <v>16784</v>
      </c>
      <c r="D646" s="150">
        <v>43903</v>
      </c>
      <c r="E646" s="113" t="s">
        <v>16783</v>
      </c>
      <c r="G646" s="160">
        <v>44.13</v>
      </c>
      <c r="I646" s="160">
        <f t="shared" si="9"/>
        <v>46376.759999999995</v>
      </c>
    </row>
    <row r="647" spans="2:9" x14ac:dyDescent="0.25">
      <c r="B647" s="148"/>
      <c r="C647" s="148" t="s">
        <v>16782</v>
      </c>
      <c r="D647" s="150">
        <v>43903</v>
      </c>
      <c r="E647" s="113" t="s">
        <v>16781</v>
      </c>
      <c r="F647" s="257" t="s">
        <v>14437</v>
      </c>
      <c r="G647" s="160">
        <v>10.8</v>
      </c>
      <c r="I647" s="160">
        <f t="shared" si="9"/>
        <v>46387.56</v>
      </c>
    </row>
    <row r="648" spans="2:9" x14ac:dyDescent="0.25">
      <c r="B648" s="148"/>
      <c r="C648" s="148" t="s">
        <v>16780</v>
      </c>
      <c r="D648" s="150">
        <v>43903</v>
      </c>
      <c r="E648" s="113" t="s">
        <v>16779</v>
      </c>
      <c r="F648" s="257" t="s">
        <v>14437</v>
      </c>
      <c r="G648" s="160">
        <v>113.46</v>
      </c>
      <c r="I648" s="160">
        <f t="shared" si="9"/>
        <v>46501.02</v>
      </c>
    </row>
    <row r="649" spans="2:9" x14ac:dyDescent="0.25">
      <c r="B649" s="148"/>
      <c r="C649" s="148" t="s">
        <v>16778</v>
      </c>
      <c r="D649" s="150">
        <v>43903</v>
      </c>
      <c r="E649" s="113" t="s">
        <v>16777</v>
      </c>
      <c r="G649" s="160">
        <v>15.3</v>
      </c>
      <c r="I649" s="160">
        <f t="shared" si="9"/>
        <v>46516.32</v>
      </c>
    </row>
    <row r="650" spans="2:9" ht="19.5" x14ac:dyDescent="0.25">
      <c r="B650" s="148"/>
      <c r="C650" s="148" t="s">
        <v>16776</v>
      </c>
      <c r="D650" s="150">
        <v>43903</v>
      </c>
      <c r="E650" s="113" t="s">
        <v>16775</v>
      </c>
      <c r="G650" s="160">
        <v>75.319999999999993</v>
      </c>
      <c r="I650" s="160">
        <f t="shared" si="9"/>
        <v>46591.64</v>
      </c>
    </row>
    <row r="651" spans="2:9" x14ac:dyDescent="0.25">
      <c r="B651" s="148"/>
      <c r="C651" s="148" t="s">
        <v>16774</v>
      </c>
      <c r="D651" s="150">
        <v>43903</v>
      </c>
      <c r="E651" s="113" t="s">
        <v>16773</v>
      </c>
      <c r="F651" s="257" t="s">
        <v>14412</v>
      </c>
      <c r="G651" s="258">
        <v>15.68</v>
      </c>
      <c r="I651" s="160">
        <f t="shared" si="9"/>
        <v>46607.32</v>
      </c>
    </row>
    <row r="652" spans="2:9" x14ac:dyDescent="0.25">
      <c r="B652" s="148"/>
      <c r="C652" s="148" t="s">
        <v>16772</v>
      </c>
      <c r="D652" s="150">
        <v>43903</v>
      </c>
      <c r="E652" s="113" t="s">
        <v>16771</v>
      </c>
      <c r="F652" s="257" t="s">
        <v>14412</v>
      </c>
      <c r="G652" s="258">
        <v>5.51</v>
      </c>
      <c r="I652" s="160">
        <f t="shared" si="9"/>
        <v>46612.83</v>
      </c>
    </row>
    <row r="653" spans="2:9" ht="19.5" x14ac:dyDescent="0.25">
      <c r="B653" s="148"/>
      <c r="C653" s="148" t="s">
        <v>16770</v>
      </c>
      <c r="D653" s="150">
        <v>43903</v>
      </c>
      <c r="E653" s="113" t="s">
        <v>16769</v>
      </c>
      <c r="F653" s="257" t="s">
        <v>14412</v>
      </c>
      <c r="G653" s="258">
        <v>12.96</v>
      </c>
      <c r="I653" s="160">
        <f t="shared" si="9"/>
        <v>46625.79</v>
      </c>
    </row>
    <row r="654" spans="2:9" ht="19.5" x14ac:dyDescent="0.25">
      <c r="B654" s="148"/>
      <c r="C654" s="148" t="s">
        <v>16768</v>
      </c>
      <c r="D654" s="150">
        <v>43903</v>
      </c>
      <c r="E654" s="113" t="s">
        <v>16767</v>
      </c>
      <c r="F654" s="257" t="s">
        <v>14412</v>
      </c>
      <c r="G654" s="258">
        <v>9.2100000000000009</v>
      </c>
      <c r="I654" s="160">
        <f t="shared" si="9"/>
        <v>46635</v>
      </c>
    </row>
    <row r="655" spans="2:9" ht="19.5" x14ac:dyDescent="0.25">
      <c r="B655" s="148"/>
      <c r="C655" s="148" t="s">
        <v>16766</v>
      </c>
      <c r="D655" s="150">
        <v>43903</v>
      </c>
      <c r="E655" s="113" t="s">
        <v>16765</v>
      </c>
      <c r="F655" s="257" t="s">
        <v>14412</v>
      </c>
      <c r="G655" s="258">
        <v>3.55</v>
      </c>
      <c r="I655" s="160">
        <f t="shared" si="9"/>
        <v>46638.55</v>
      </c>
    </row>
    <row r="656" spans="2:9" x14ac:dyDescent="0.25">
      <c r="B656" s="148"/>
      <c r="C656" s="148" t="s">
        <v>16764</v>
      </c>
      <c r="D656" s="150">
        <v>43903</v>
      </c>
      <c r="E656" s="113" t="s">
        <v>16763</v>
      </c>
      <c r="F656" s="257" t="s">
        <v>14412</v>
      </c>
      <c r="G656" s="258">
        <v>3.36</v>
      </c>
      <c r="I656" s="160">
        <f t="shared" si="9"/>
        <v>46641.91</v>
      </c>
    </row>
    <row r="657" spans="2:9" x14ac:dyDescent="0.25">
      <c r="B657" s="148"/>
      <c r="C657" s="148" t="s">
        <v>16762</v>
      </c>
      <c r="D657" s="150">
        <v>43903</v>
      </c>
      <c r="E657" s="113" t="s">
        <v>16761</v>
      </c>
      <c r="F657" s="257" t="s">
        <v>14412</v>
      </c>
      <c r="G657" s="258">
        <v>8.5</v>
      </c>
      <c r="I657" s="160">
        <f t="shared" si="9"/>
        <v>46650.41</v>
      </c>
    </row>
    <row r="658" spans="2:9" x14ac:dyDescent="0.25">
      <c r="B658" s="148"/>
      <c r="C658" s="148" t="s">
        <v>16760</v>
      </c>
      <c r="D658" s="150">
        <v>43903</v>
      </c>
      <c r="E658" s="113" t="s">
        <v>16759</v>
      </c>
      <c r="F658" s="257" t="s">
        <v>14412</v>
      </c>
      <c r="G658" s="258">
        <v>2.81</v>
      </c>
      <c r="I658" s="160">
        <f t="shared" si="9"/>
        <v>46653.22</v>
      </c>
    </row>
    <row r="659" spans="2:9" x14ac:dyDescent="0.25">
      <c r="B659" s="148"/>
      <c r="C659" s="148" t="s">
        <v>16758</v>
      </c>
      <c r="D659" s="150">
        <v>43903</v>
      </c>
      <c r="E659" s="113" t="s">
        <v>16757</v>
      </c>
      <c r="F659" s="257" t="s">
        <v>14412</v>
      </c>
      <c r="G659" s="258">
        <v>6.96</v>
      </c>
      <c r="I659" s="160">
        <f t="shared" si="9"/>
        <v>46660.18</v>
      </c>
    </row>
    <row r="660" spans="2:9" ht="19.5" x14ac:dyDescent="0.25">
      <c r="B660" s="148"/>
      <c r="C660" s="148" t="s">
        <v>16756</v>
      </c>
      <c r="D660" s="150">
        <v>43903</v>
      </c>
      <c r="E660" s="113" t="s">
        <v>16755</v>
      </c>
      <c r="F660" s="257" t="s">
        <v>14412</v>
      </c>
      <c r="G660" s="258">
        <v>2.54</v>
      </c>
      <c r="I660" s="160">
        <f t="shared" si="9"/>
        <v>46662.720000000001</v>
      </c>
    </row>
    <row r="661" spans="2:9" ht="19.5" x14ac:dyDescent="0.25">
      <c r="B661" s="148"/>
      <c r="C661" s="148" t="s">
        <v>16754</v>
      </c>
      <c r="D661" s="150">
        <v>43903</v>
      </c>
      <c r="E661" s="113" t="s">
        <v>16753</v>
      </c>
      <c r="F661" s="257" t="s">
        <v>14412</v>
      </c>
      <c r="G661" s="258">
        <v>3.62</v>
      </c>
      <c r="I661" s="160">
        <f t="shared" ref="I661:I724" si="10">+I660+G661-H661</f>
        <v>46666.340000000004</v>
      </c>
    </row>
    <row r="662" spans="2:9" ht="19.5" x14ac:dyDescent="0.25">
      <c r="B662" s="148"/>
      <c r="C662" s="148" t="s">
        <v>16752</v>
      </c>
      <c r="D662" s="150">
        <v>43903</v>
      </c>
      <c r="E662" s="113" t="s">
        <v>16751</v>
      </c>
      <c r="F662" s="257" t="s">
        <v>14412</v>
      </c>
      <c r="G662" s="258">
        <v>6.09</v>
      </c>
      <c r="I662" s="160">
        <f t="shared" si="10"/>
        <v>46672.43</v>
      </c>
    </row>
    <row r="663" spans="2:9" x14ac:dyDescent="0.25">
      <c r="B663" s="148"/>
      <c r="C663" s="148" t="s">
        <v>16750</v>
      </c>
      <c r="D663" s="150">
        <v>43903</v>
      </c>
      <c r="E663" s="113" t="s">
        <v>16749</v>
      </c>
      <c r="F663" s="257" t="s">
        <v>14412</v>
      </c>
      <c r="G663" s="258">
        <v>1.68</v>
      </c>
      <c r="I663" s="160">
        <f t="shared" si="10"/>
        <v>46674.11</v>
      </c>
    </row>
    <row r="664" spans="2:9" ht="19.5" x14ac:dyDescent="0.25">
      <c r="B664" s="148"/>
      <c r="C664" s="148" t="s">
        <v>16748</v>
      </c>
      <c r="D664" s="150">
        <v>43903</v>
      </c>
      <c r="E664" s="113" t="s">
        <v>16747</v>
      </c>
      <c r="F664" s="257" t="s">
        <v>14412</v>
      </c>
      <c r="G664" s="258">
        <v>6.88</v>
      </c>
      <c r="I664" s="160">
        <f t="shared" si="10"/>
        <v>46680.99</v>
      </c>
    </row>
    <row r="665" spans="2:9" x14ac:dyDescent="0.25">
      <c r="B665" s="148"/>
      <c r="C665" s="148" t="s">
        <v>16746</v>
      </c>
      <c r="D665" s="150">
        <v>43903</v>
      </c>
      <c r="E665" s="113" t="s">
        <v>16745</v>
      </c>
      <c r="F665" s="257" t="s">
        <v>14412</v>
      </c>
      <c r="G665" s="258">
        <v>2.7</v>
      </c>
      <c r="I665" s="160">
        <f t="shared" si="10"/>
        <v>46683.689999999995</v>
      </c>
    </row>
    <row r="666" spans="2:9" x14ac:dyDescent="0.25">
      <c r="B666" s="148"/>
      <c r="C666" s="148" t="s">
        <v>16744</v>
      </c>
      <c r="D666" s="150">
        <v>43903</v>
      </c>
      <c r="E666" s="113" t="s">
        <v>16743</v>
      </c>
      <c r="F666" s="257" t="s">
        <v>14412</v>
      </c>
      <c r="G666" s="258">
        <v>9.1</v>
      </c>
      <c r="I666" s="160">
        <f t="shared" si="10"/>
        <v>46692.789999999994</v>
      </c>
    </row>
    <row r="667" spans="2:9" x14ac:dyDescent="0.25">
      <c r="B667" s="148"/>
      <c r="C667" s="148" t="s">
        <v>16742</v>
      </c>
      <c r="D667" s="150">
        <v>43903</v>
      </c>
      <c r="E667" s="113" t="s">
        <v>16741</v>
      </c>
      <c r="F667" s="257" t="s">
        <v>14412</v>
      </c>
      <c r="G667" s="258">
        <v>6.94</v>
      </c>
      <c r="I667" s="160">
        <f t="shared" si="10"/>
        <v>46699.729999999996</v>
      </c>
    </row>
    <row r="668" spans="2:9" x14ac:dyDescent="0.25">
      <c r="B668" s="148"/>
      <c r="C668" s="148" t="s">
        <v>16740</v>
      </c>
      <c r="D668" s="150">
        <v>43903</v>
      </c>
      <c r="E668" s="113" t="s">
        <v>16739</v>
      </c>
      <c r="F668" s="257" t="s">
        <v>14412</v>
      </c>
      <c r="G668" s="258">
        <v>1.68</v>
      </c>
      <c r="I668" s="160">
        <f t="shared" si="10"/>
        <v>46701.409999999996</v>
      </c>
    </row>
    <row r="669" spans="2:9" ht="19.5" x14ac:dyDescent="0.25">
      <c r="B669" s="148"/>
      <c r="C669" s="148" t="s">
        <v>16738</v>
      </c>
      <c r="D669" s="150">
        <v>43903</v>
      </c>
      <c r="E669" s="113" t="s">
        <v>16737</v>
      </c>
      <c r="F669" s="257" t="s">
        <v>14412</v>
      </c>
      <c r="G669" s="258">
        <v>6.11</v>
      </c>
      <c r="I669" s="160">
        <f t="shared" si="10"/>
        <v>46707.519999999997</v>
      </c>
    </row>
    <row r="670" spans="2:9" ht="19.5" x14ac:dyDescent="0.25">
      <c r="B670" s="148"/>
      <c r="C670" s="148" t="s">
        <v>16736</v>
      </c>
      <c r="D670" s="150">
        <v>43903</v>
      </c>
      <c r="E670" s="113" t="s">
        <v>16735</v>
      </c>
      <c r="F670" s="257" t="s">
        <v>14412</v>
      </c>
      <c r="G670" s="258">
        <v>6.44</v>
      </c>
      <c r="I670" s="160">
        <f t="shared" si="10"/>
        <v>46713.96</v>
      </c>
    </row>
    <row r="671" spans="2:9" x14ac:dyDescent="0.25">
      <c r="B671" s="148"/>
      <c r="C671" s="148" t="s">
        <v>16734</v>
      </c>
      <c r="D671" s="150">
        <v>43903</v>
      </c>
      <c r="E671" s="113" t="s">
        <v>16733</v>
      </c>
      <c r="F671" s="257" t="s">
        <v>14412</v>
      </c>
      <c r="G671" s="258">
        <v>8.94</v>
      </c>
      <c r="I671" s="160">
        <f t="shared" si="10"/>
        <v>46722.9</v>
      </c>
    </row>
    <row r="672" spans="2:9" ht="19.5" x14ac:dyDescent="0.25">
      <c r="B672" s="148"/>
      <c r="C672" s="148" t="s">
        <v>16732</v>
      </c>
      <c r="D672" s="150">
        <v>43903</v>
      </c>
      <c r="E672" s="113" t="s">
        <v>16731</v>
      </c>
      <c r="F672" s="257" t="s">
        <v>14412</v>
      </c>
      <c r="G672" s="258">
        <v>0.37</v>
      </c>
      <c r="I672" s="160">
        <f t="shared" si="10"/>
        <v>46723.270000000004</v>
      </c>
    </row>
    <row r="673" spans="2:9" x14ac:dyDescent="0.25">
      <c r="B673" s="148"/>
      <c r="C673" s="148" t="s">
        <v>16730</v>
      </c>
      <c r="D673" s="150">
        <v>43903</v>
      </c>
      <c r="E673" s="113" t="s">
        <v>16729</v>
      </c>
      <c r="F673" s="257" t="s">
        <v>14412</v>
      </c>
      <c r="G673" s="258">
        <v>3.9</v>
      </c>
      <c r="I673" s="160">
        <f t="shared" si="10"/>
        <v>46727.170000000006</v>
      </c>
    </row>
    <row r="674" spans="2:9" ht="19.5" x14ac:dyDescent="0.25">
      <c r="B674" s="148"/>
      <c r="C674" s="148" t="s">
        <v>16728</v>
      </c>
      <c r="D674" s="150">
        <v>43903</v>
      </c>
      <c r="E674" s="113" t="s">
        <v>16727</v>
      </c>
      <c r="F674" s="257" t="s">
        <v>14412</v>
      </c>
      <c r="G674" s="258">
        <v>5.29</v>
      </c>
      <c r="I674" s="160">
        <f t="shared" si="10"/>
        <v>46732.460000000006</v>
      </c>
    </row>
    <row r="675" spans="2:9" ht="19.5" x14ac:dyDescent="0.25">
      <c r="B675" s="148"/>
      <c r="C675" s="148" t="s">
        <v>16726</v>
      </c>
      <c r="D675" s="150">
        <v>43903</v>
      </c>
      <c r="E675" s="113" t="s">
        <v>16725</v>
      </c>
      <c r="F675" s="257" t="s">
        <v>14412</v>
      </c>
      <c r="G675" s="258">
        <v>4.1100000000000003</v>
      </c>
      <c r="I675" s="160">
        <f t="shared" si="10"/>
        <v>46736.570000000007</v>
      </c>
    </row>
    <row r="676" spans="2:9" ht="19.5" x14ac:dyDescent="0.25">
      <c r="B676" s="148"/>
      <c r="C676" s="148" t="s">
        <v>16724</v>
      </c>
      <c r="D676" s="150">
        <v>43903</v>
      </c>
      <c r="E676" s="113" t="s">
        <v>16723</v>
      </c>
      <c r="F676" s="257" t="s">
        <v>14412</v>
      </c>
      <c r="G676" s="258">
        <v>2.34</v>
      </c>
      <c r="I676" s="160">
        <f t="shared" si="10"/>
        <v>46738.91</v>
      </c>
    </row>
    <row r="677" spans="2:9" ht="19.5" x14ac:dyDescent="0.25">
      <c r="B677" s="148"/>
      <c r="C677" s="148" t="s">
        <v>16722</v>
      </c>
      <c r="D677" s="150">
        <v>43903</v>
      </c>
      <c r="E677" s="113" t="s">
        <v>16721</v>
      </c>
      <c r="F677" s="257" t="s">
        <v>14412</v>
      </c>
      <c r="G677" s="258">
        <v>3.41</v>
      </c>
      <c r="I677" s="160">
        <f t="shared" si="10"/>
        <v>46742.320000000007</v>
      </c>
    </row>
    <row r="678" spans="2:9" x14ac:dyDescent="0.25">
      <c r="B678" s="148"/>
      <c r="C678" s="148" t="s">
        <v>16720</v>
      </c>
      <c r="D678" s="150">
        <v>43903</v>
      </c>
      <c r="E678" s="113" t="s">
        <v>16719</v>
      </c>
      <c r="F678" s="257" t="s">
        <v>14412</v>
      </c>
      <c r="G678" s="258">
        <v>5.89</v>
      </c>
      <c r="I678" s="160">
        <f t="shared" si="10"/>
        <v>46748.210000000006</v>
      </c>
    </row>
    <row r="679" spans="2:9" x14ac:dyDescent="0.25">
      <c r="B679" s="148"/>
      <c r="C679" s="148" t="s">
        <v>16718</v>
      </c>
      <c r="D679" s="150">
        <v>43903</v>
      </c>
      <c r="E679" s="113" t="s">
        <v>16717</v>
      </c>
      <c r="F679" s="257" t="s">
        <v>14412</v>
      </c>
      <c r="G679" s="258">
        <v>4.1900000000000004</v>
      </c>
      <c r="I679" s="160">
        <f t="shared" si="10"/>
        <v>46752.400000000009</v>
      </c>
    </row>
    <row r="680" spans="2:9" ht="19.5" x14ac:dyDescent="0.25">
      <c r="B680" s="148"/>
      <c r="C680" s="148" t="s">
        <v>16716</v>
      </c>
      <c r="D680" s="150">
        <v>43903</v>
      </c>
      <c r="E680" s="113" t="s">
        <v>16715</v>
      </c>
      <c r="F680" s="257" t="s">
        <v>14412</v>
      </c>
      <c r="G680" s="258">
        <v>12.44</v>
      </c>
      <c r="I680" s="160">
        <f t="shared" si="10"/>
        <v>46764.840000000011</v>
      </c>
    </row>
    <row r="681" spans="2:9" x14ac:dyDescent="0.25">
      <c r="B681" s="148"/>
      <c r="C681" s="148" t="s">
        <v>16714</v>
      </c>
      <c r="D681" s="150">
        <v>43903</v>
      </c>
      <c r="E681" s="113" t="s">
        <v>16713</v>
      </c>
      <c r="F681" s="257" t="s">
        <v>14412</v>
      </c>
      <c r="G681" s="258">
        <v>2.02</v>
      </c>
      <c r="I681" s="160">
        <f t="shared" si="10"/>
        <v>46766.860000000008</v>
      </c>
    </row>
    <row r="682" spans="2:9" x14ac:dyDescent="0.25">
      <c r="B682" s="148"/>
      <c r="C682" s="148" t="s">
        <v>16712</v>
      </c>
      <c r="D682" s="150">
        <v>43903</v>
      </c>
      <c r="E682" s="113" t="s">
        <v>16711</v>
      </c>
      <c r="F682" s="257">
        <v>10</v>
      </c>
      <c r="G682" s="255">
        <v>0.47</v>
      </c>
      <c r="I682" s="160">
        <f t="shared" si="10"/>
        <v>46767.330000000009</v>
      </c>
    </row>
    <row r="683" spans="2:9" ht="19.5" x14ac:dyDescent="0.25">
      <c r="B683" s="148"/>
      <c r="C683" s="148" t="s">
        <v>16710</v>
      </c>
      <c r="D683" s="150">
        <v>43903</v>
      </c>
      <c r="E683" s="113" t="s">
        <v>16709</v>
      </c>
      <c r="F683" s="257">
        <v>10</v>
      </c>
      <c r="G683" s="255">
        <v>10.25</v>
      </c>
      <c r="I683" s="160">
        <f t="shared" si="10"/>
        <v>46777.580000000009</v>
      </c>
    </row>
    <row r="684" spans="2:9" ht="19.5" x14ac:dyDescent="0.25">
      <c r="B684" s="148"/>
      <c r="C684" s="148" t="s">
        <v>16708</v>
      </c>
      <c r="D684" s="150">
        <v>43903</v>
      </c>
      <c r="E684" s="113" t="s">
        <v>16707</v>
      </c>
      <c r="F684" s="257">
        <v>10</v>
      </c>
      <c r="G684" s="255">
        <v>4.42</v>
      </c>
      <c r="I684" s="160">
        <f t="shared" si="10"/>
        <v>46782.000000000007</v>
      </c>
    </row>
    <row r="685" spans="2:9" x14ac:dyDescent="0.25">
      <c r="B685" s="148"/>
      <c r="C685" s="148" t="s">
        <v>16706</v>
      </c>
      <c r="D685" s="150">
        <v>43903</v>
      </c>
      <c r="E685" s="113" t="s">
        <v>16705</v>
      </c>
      <c r="F685" s="257">
        <v>10</v>
      </c>
      <c r="G685" s="255">
        <v>19.059999999999999</v>
      </c>
      <c r="I685" s="160">
        <f t="shared" si="10"/>
        <v>46801.060000000005</v>
      </c>
    </row>
    <row r="686" spans="2:9" x14ac:dyDescent="0.25">
      <c r="B686" s="148"/>
      <c r="C686" s="148" t="s">
        <v>16704</v>
      </c>
      <c r="D686" s="150">
        <v>43903</v>
      </c>
      <c r="E686" s="113" t="s">
        <v>16703</v>
      </c>
      <c r="F686" s="257">
        <v>10</v>
      </c>
      <c r="G686" s="255">
        <v>9.27</v>
      </c>
      <c r="I686" s="160">
        <f t="shared" si="10"/>
        <v>46810.33</v>
      </c>
    </row>
    <row r="687" spans="2:9" ht="19.5" x14ac:dyDescent="0.25">
      <c r="B687" s="148"/>
      <c r="C687" s="148" t="s">
        <v>16702</v>
      </c>
      <c r="D687" s="150">
        <v>43903</v>
      </c>
      <c r="E687" s="113" t="s">
        <v>16701</v>
      </c>
      <c r="F687" s="257">
        <v>10</v>
      </c>
      <c r="G687" s="255">
        <v>2.56</v>
      </c>
      <c r="I687" s="160">
        <f t="shared" si="10"/>
        <v>46812.89</v>
      </c>
    </row>
    <row r="688" spans="2:9" x14ac:dyDescent="0.25">
      <c r="B688" s="148"/>
      <c r="C688" s="148" t="s">
        <v>405</v>
      </c>
      <c r="D688" s="150">
        <v>43903</v>
      </c>
      <c r="E688" s="113" t="s">
        <v>16700</v>
      </c>
      <c r="F688" s="257" t="s">
        <v>14433</v>
      </c>
      <c r="H688" s="161">
        <v>750.45</v>
      </c>
      <c r="I688" s="160">
        <f t="shared" si="10"/>
        <v>46062.44</v>
      </c>
    </row>
    <row r="689" spans="2:9" ht="29.25" x14ac:dyDescent="0.25">
      <c r="B689" s="148"/>
      <c r="C689" s="148" t="s">
        <v>16699</v>
      </c>
      <c r="D689" s="150">
        <v>43903</v>
      </c>
      <c r="E689" s="113" t="s">
        <v>16698</v>
      </c>
      <c r="F689" s="257" t="s">
        <v>14433</v>
      </c>
      <c r="H689" s="161">
        <v>1800</v>
      </c>
      <c r="I689" s="160">
        <f t="shared" si="10"/>
        <v>44262.44</v>
      </c>
    </row>
    <row r="690" spans="2:9" x14ac:dyDescent="0.25">
      <c r="B690" s="148"/>
      <c r="C690" s="148"/>
      <c r="D690" s="150">
        <v>43903</v>
      </c>
      <c r="E690" s="113" t="s">
        <v>18036</v>
      </c>
      <c r="F690" s="257" t="s">
        <v>14433</v>
      </c>
      <c r="H690" s="161">
        <v>3200</v>
      </c>
      <c r="I690" s="160">
        <f t="shared" si="10"/>
        <v>41062.44</v>
      </c>
    </row>
    <row r="691" spans="2:9" x14ac:dyDescent="0.25">
      <c r="B691" s="148"/>
      <c r="C691" s="148"/>
      <c r="D691" s="150">
        <v>43903</v>
      </c>
      <c r="E691" s="113" t="s">
        <v>18037</v>
      </c>
      <c r="F691" s="257" t="s">
        <v>14433</v>
      </c>
      <c r="H691" s="161">
        <v>521.77</v>
      </c>
      <c r="I691" s="160">
        <f t="shared" si="10"/>
        <v>40540.670000000006</v>
      </c>
    </row>
    <row r="692" spans="2:9" ht="19.5" x14ac:dyDescent="0.25">
      <c r="B692" s="148"/>
      <c r="C692" s="148" t="s">
        <v>16697</v>
      </c>
      <c r="D692" s="150">
        <v>43904</v>
      </c>
      <c r="E692" s="113" t="s">
        <v>16696</v>
      </c>
      <c r="F692" s="257" t="s">
        <v>14412</v>
      </c>
      <c r="G692" s="258">
        <v>8.2799999999999994</v>
      </c>
      <c r="I692" s="160">
        <f t="shared" si="10"/>
        <v>40548.950000000004</v>
      </c>
    </row>
    <row r="693" spans="2:9" x14ac:dyDescent="0.25">
      <c r="B693" s="148"/>
      <c r="C693" s="148" t="s">
        <v>16695</v>
      </c>
      <c r="D693" s="150">
        <v>43904</v>
      </c>
      <c r="E693" s="113" t="s">
        <v>16694</v>
      </c>
      <c r="F693" s="257" t="s">
        <v>14412</v>
      </c>
      <c r="G693" s="258">
        <v>1.47</v>
      </c>
      <c r="I693" s="160">
        <f t="shared" si="10"/>
        <v>40550.420000000006</v>
      </c>
    </row>
    <row r="694" spans="2:9" ht="19.5" x14ac:dyDescent="0.25">
      <c r="B694" s="148"/>
      <c r="C694" s="148" t="s">
        <v>16693</v>
      </c>
      <c r="D694" s="150">
        <v>43904</v>
      </c>
      <c r="E694" s="113" t="s">
        <v>16692</v>
      </c>
      <c r="F694" s="257" t="s">
        <v>14412</v>
      </c>
      <c r="G694" s="258">
        <v>4.33</v>
      </c>
      <c r="I694" s="160">
        <f t="shared" si="10"/>
        <v>40554.750000000007</v>
      </c>
    </row>
    <row r="695" spans="2:9" x14ac:dyDescent="0.25">
      <c r="B695" s="148"/>
      <c r="C695" s="148" t="s">
        <v>16691</v>
      </c>
      <c r="D695" s="150">
        <v>43904</v>
      </c>
      <c r="E695" s="113" t="s">
        <v>16690</v>
      </c>
      <c r="F695" s="257" t="s">
        <v>14412</v>
      </c>
      <c r="G695" s="258">
        <v>1.68</v>
      </c>
      <c r="I695" s="160">
        <f t="shared" si="10"/>
        <v>40556.430000000008</v>
      </c>
    </row>
    <row r="696" spans="2:9" ht="19.5" x14ac:dyDescent="0.25">
      <c r="B696" s="148"/>
      <c r="C696" s="148" t="s">
        <v>16689</v>
      </c>
      <c r="D696" s="150">
        <v>43904</v>
      </c>
      <c r="E696" s="113" t="s">
        <v>16688</v>
      </c>
      <c r="F696" s="257" t="s">
        <v>14412</v>
      </c>
      <c r="G696" s="258">
        <v>5.1100000000000003</v>
      </c>
      <c r="I696" s="160">
        <f t="shared" si="10"/>
        <v>40561.540000000008</v>
      </c>
    </row>
    <row r="697" spans="2:9" ht="19.5" x14ac:dyDescent="0.25">
      <c r="B697" s="148"/>
      <c r="C697" s="148" t="s">
        <v>16687</v>
      </c>
      <c r="D697" s="150">
        <v>43904</v>
      </c>
      <c r="E697" s="113" t="s">
        <v>16686</v>
      </c>
      <c r="F697" s="257" t="s">
        <v>14412</v>
      </c>
      <c r="G697" s="258">
        <v>4.6399999999999997</v>
      </c>
      <c r="I697" s="160">
        <f t="shared" si="10"/>
        <v>40566.180000000008</v>
      </c>
    </row>
    <row r="698" spans="2:9" x14ac:dyDescent="0.25">
      <c r="B698" s="148"/>
      <c r="C698" s="148" t="s">
        <v>16685</v>
      </c>
      <c r="D698" s="150">
        <v>43904</v>
      </c>
      <c r="E698" s="113" t="s">
        <v>16684</v>
      </c>
      <c r="F698" s="257" t="s">
        <v>14412</v>
      </c>
      <c r="G698" s="258">
        <v>2.7</v>
      </c>
      <c r="I698" s="160">
        <f t="shared" si="10"/>
        <v>40568.880000000005</v>
      </c>
    </row>
    <row r="699" spans="2:9" ht="19.5" x14ac:dyDescent="0.25">
      <c r="B699" s="148"/>
      <c r="C699" s="148" t="s">
        <v>16683</v>
      </c>
      <c r="D699" s="150">
        <v>43904</v>
      </c>
      <c r="E699" s="113" t="s">
        <v>16682</v>
      </c>
      <c r="F699" s="257" t="s">
        <v>14412</v>
      </c>
      <c r="G699" s="258">
        <v>3.37</v>
      </c>
      <c r="I699" s="160">
        <f t="shared" si="10"/>
        <v>40572.250000000007</v>
      </c>
    </row>
    <row r="700" spans="2:9" x14ac:dyDescent="0.25">
      <c r="B700" s="148"/>
      <c r="C700" s="148" t="s">
        <v>16681</v>
      </c>
      <c r="D700" s="150">
        <v>43904</v>
      </c>
      <c r="E700" s="113" t="s">
        <v>16680</v>
      </c>
      <c r="F700" s="257" t="s">
        <v>14412</v>
      </c>
      <c r="G700" s="258">
        <v>1.88</v>
      </c>
      <c r="I700" s="160">
        <f t="shared" si="10"/>
        <v>40574.130000000005</v>
      </c>
    </row>
    <row r="701" spans="2:9" x14ac:dyDescent="0.25">
      <c r="B701" s="148"/>
      <c r="C701" s="148" t="s">
        <v>16679</v>
      </c>
      <c r="D701" s="150">
        <v>43904</v>
      </c>
      <c r="E701" s="113" t="s">
        <v>16678</v>
      </c>
      <c r="F701" s="257" t="s">
        <v>14412</v>
      </c>
      <c r="G701" s="258">
        <v>4.18</v>
      </c>
      <c r="I701" s="160">
        <f t="shared" si="10"/>
        <v>40578.310000000005</v>
      </c>
    </row>
    <row r="702" spans="2:9" x14ac:dyDescent="0.25">
      <c r="B702" s="148"/>
      <c r="C702" s="148" t="s">
        <v>16677</v>
      </c>
      <c r="D702" s="150">
        <v>43905</v>
      </c>
      <c r="E702" s="113" t="s">
        <v>16676</v>
      </c>
      <c r="F702" s="257" t="s">
        <v>14437</v>
      </c>
      <c r="G702" s="160">
        <v>1.86</v>
      </c>
      <c r="I702" s="160">
        <f t="shared" si="10"/>
        <v>40580.170000000006</v>
      </c>
    </row>
    <row r="703" spans="2:9" x14ac:dyDescent="0.25">
      <c r="B703" s="148"/>
      <c r="C703" s="148" t="s">
        <v>16675</v>
      </c>
      <c r="D703" s="150">
        <v>43905</v>
      </c>
      <c r="E703" s="113" t="s">
        <v>16674</v>
      </c>
      <c r="F703" s="257" t="s">
        <v>14412</v>
      </c>
      <c r="G703" s="258">
        <v>0.05</v>
      </c>
      <c r="I703" s="160">
        <f t="shared" si="10"/>
        <v>40580.220000000008</v>
      </c>
    </row>
    <row r="704" spans="2:9" ht="19.5" x14ac:dyDescent="0.25">
      <c r="B704" s="148"/>
      <c r="C704" s="148" t="s">
        <v>16673</v>
      </c>
      <c r="D704" s="150">
        <v>43905</v>
      </c>
      <c r="E704" s="113" t="s">
        <v>16672</v>
      </c>
      <c r="F704" s="257" t="s">
        <v>14412</v>
      </c>
      <c r="G704" s="258">
        <v>5.35</v>
      </c>
      <c r="I704" s="160">
        <f t="shared" si="10"/>
        <v>40585.570000000007</v>
      </c>
    </row>
    <row r="705" spans="2:9" x14ac:dyDescent="0.25">
      <c r="B705" s="148"/>
      <c r="C705" s="148" t="s">
        <v>16671</v>
      </c>
      <c r="D705" s="150">
        <v>43905</v>
      </c>
      <c r="E705" s="113" t="s">
        <v>16670</v>
      </c>
      <c r="F705" s="257" t="s">
        <v>14412</v>
      </c>
      <c r="G705" s="258">
        <v>1.96</v>
      </c>
      <c r="I705" s="160">
        <f t="shared" si="10"/>
        <v>40587.530000000006</v>
      </c>
    </row>
    <row r="706" spans="2:9" ht="19.5" x14ac:dyDescent="0.25">
      <c r="B706" s="148"/>
      <c r="C706" s="148" t="s">
        <v>16669</v>
      </c>
      <c r="D706" s="150">
        <v>43905</v>
      </c>
      <c r="E706" s="113" t="s">
        <v>16668</v>
      </c>
      <c r="F706" s="257" t="s">
        <v>14412</v>
      </c>
      <c r="G706" s="258">
        <v>4.6500000000000004</v>
      </c>
      <c r="I706" s="160">
        <f t="shared" si="10"/>
        <v>40592.180000000008</v>
      </c>
    </row>
    <row r="707" spans="2:9" x14ac:dyDescent="0.25">
      <c r="B707" s="148"/>
      <c r="C707" s="148" t="s">
        <v>16667</v>
      </c>
      <c r="D707" s="150">
        <v>43905</v>
      </c>
      <c r="E707" s="113" t="s">
        <v>16666</v>
      </c>
      <c r="F707" s="257" t="s">
        <v>14412</v>
      </c>
      <c r="G707" s="258">
        <v>10.38</v>
      </c>
      <c r="I707" s="160">
        <f t="shared" si="10"/>
        <v>40602.560000000005</v>
      </c>
    </row>
    <row r="708" spans="2:9" ht="19.5" x14ac:dyDescent="0.25">
      <c r="B708" s="148"/>
      <c r="C708" s="148" t="s">
        <v>16665</v>
      </c>
      <c r="D708" s="150">
        <v>43905</v>
      </c>
      <c r="E708" s="113" t="s">
        <v>16664</v>
      </c>
      <c r="F708" s="257" t="s">
        <v>14412</v>
      </c>
      <c r="G708" s="258">
        <v>4.53</v>
      </c>
      <c r="I708" s="160">
        <f t="shared" si="10"/>
        <v>40607.090000000004</v>
      </c>
    </row>
    <row r="709" spans="2:9" ht="19.5" x14ac:dyDescent="0.25">
      <c r="B709" s="148"/>
      <c r="C709" s="148" t="s">
        <v>16663</v>
      </c>
      <c r="D709" s="150">
        <v>43905</v>
      </c>
      <c r="E709" s="113" t="s">
        <v>16662</v>
      </c>
      <c r="F709" s="257" t="s">
        <v>14412</v>
      </c>
      <c r="G709" s="258">
        <v>3.36</v>
      </c>
      <c r="I709" s="160">
        <f t="shared" si="10"/>
        <v>40610.450000000004</v>
      </c>
    </row>
    <row r="710" spans="2:9" x14ac:dyDescent="0.25">
      <c r="B710" s="148"/>
      <c r="C710" s="148" t="s">
        <v>16661</v>
      </c>
      <c r="D710" s="150">
        <v>43905</v>
      </c>
      <c r="E710" s="113" t="s">
        <v>16660</v>
      </c>
      <c r="F710" s="257" t="s">
        <v>14412</v>
      </c>
      <c r="G710" s="258">
        <v>4.6500000000000004</v>
      </c>
      <c r="I710" s="160">
        <f t="shared" si="10"/>
        <v>40615.100000000006</v>
      </c>
    </row>
    <row r="711" spans="2:9" x14ac:dyDescent="0.25">
      <c r="B711" s="148"/>
      <c r="C711" s="148" t="s">
        <v>16659</v>
      </c>
      <c r="D711" s="150">
        <v>43905</v>
      </c>
      <c r="E711" s="113" t="s">
        <v>16658</v>
      </c>
      <c r="F711" s="257" t="s">
        <v>14412</v>
      </c>
      <c r="G711" s="258">
        <v>1.69</v>
      </c>
      <c r="I711" s="160">
        <f t="shared" si="10"/>
        <v>40616.790000000008</v>
      </c>
    </row>
    <row r="712" spans="2:9" ht="19.5" x14ac:dyDescent="0.25">
      <c r="B712" s="148"/>
      <c r="C712" s="148" t="s">
        <v>16657</v>
      </c>
      <c r="D712" s="150">
        <v>43905</v>
      </c>
      <c r="E712" s="113" t="s">
        <v>16656</v>
      </c>
      <c r="F712" s="257" t="s">
        <v>14433</v>
      </c>
      <c r="H712" s="161">
        <v>2800</v>
      </c>
      <c r="I712" s="160">
        <f t="shared" si="10"/>
        <v>37816.790000000008</v>
      </c>
    </row>
    <row r="713" spans="2:9" ht="19.5" x14ac:dyDescent="0.25">
      <c r="B713" s="148"/>
      <c r="C713" s="148" t="s">
        <v>7888</v>
      </c>
      <c r="D713" s="150">
        <v>43906</v>
      </c>
      <c r="E713" s="113" t="s">
        <v>16655</v>
      </c>
      <c r="F713" s="257" t="s">
        <v>14412</v>
      </c>
      <c r="G713" s="258">
        <v>8.3800000000000008</v>
      </c>
      <c r="I713" s="160">
        <f t="shared" si="10"/>
        <v>37825.170000000006</v>
      </c>
    </row>
    <row r="714" spans="2:9" ht="19.5" x14ac:dyDescent="0.25">
      <c r="B714" s="148"/>
      <c r="C714" s="148" t="s">
        <v>16654</v>
      </c>
      <c r="D714" s="150">
        <v>43906</v>
      </c>
      <c r="E714" s="113" t="s">
        <v>16653</v>
      </c>
      <c r="F714" s="257" t="s">
        <v>14437</v>
      </c>
      <c r="G714" s="160">
        <v>50.13</v>
      </c>
      <c r="I714" s="160">
        <f t="shared" si="10"/>
        <v>37875.300000000003</v>
      </c>
    </row>
    <row r="715" spans="2:9" x14ac:dyDescent="0.25">
      <c r="B715" s="148"/>
      <c r="C715" s="148" t="s">
        <v>16652</v>
      </c>
      <c r="D715" s="150">
        <v>43906</v>
      </c>
      <c r="E715" s="113" t="s">
        <v>16651</v>
      </c>
      <c r="F715" s="257" t="s">
        <v>14437</v>
      </c>
      <c r="G715" s="160">
        <v>191.73</v>
      </c>
      <c r="I715" s="160">
        <f t="shared" si="10"/>
        <v>38067.030000000006</v>
      </c>
    </row>
    <row r="716" spans="2:9" ht="19.5" x14ac:dyDescent="0.25">
      <c r="B716" s="148"/>
      <c r="C716" s="148" t="s">
        <v>16650</v>
      </c>
      <c r="D716" s="150">
        <v>43906</v>
      </c>
      <c r="E716" s="113" t="s">
        <v>16649</v>
      </c>
      <c r="F716" s="257" t="s">
        <v>14436</v>
      </c>
      <c r="G716" s="160">
        <v>3.58</v>
      </c>
      <c r="I716" s="160">
        <f t="shared" si="10"/>
        <v>38070.610000000008</v>
      </c>
    </row>
    <row r="717" spans="2:9" x14ac:dyDescent="0.25">
      <c r="B717" s="148"/>
      <c r="C717" s="148" t="s">
        <v>16648</v>
      </c>
      <c r="D717" s="150">
        <v>43906</v>
      </c>
      <c r="E717" s="113" t="s">
        <v>16647</v>
      </c>
      <c r="F717" s="257" t="s">
        <v>14412</v>
      </c>
      <c r="G717" s="258">
        <v>3.11</v>
      </c>
      <c r="I717" s="160">
        <f t="shared" si="10"/>
        <v>38073.720000000008</v>
      </c>
    </row>
    <row r="718" spans="2:9" x14ac:dyDescent="0.25">
      <c r="B718" s="148"/>
      <c r="C718" s="148" t="s">
        <v>16646</v>
      </c>
      <c r="D718" s="150">
        <v>43906</v>
      </c>
      <c r="E718" s="113" t="s">
        <v>16645</v>
      </c>
      <c r="F718" s="257" t="s">
        <v>14412</v>
      </c>
      <c r="G718" s="258">
        <v>7</v>
      </c>
      <c r="I718" s="160">
        <f t="shared" si="10"/>
        <v>38080.720000000008</v>
      </c>
    </row>
    <row r="719" spans="2:9" ht="19.5" x14ac:dyDescent="0.25">
      <c r="B719" s="148"/>
      <c r="C719" s="148" t="s">
        <v>16644</v>
      </c>
      <c r="D719" s="150">
        <v>43906</v>
      </c>
      <c r="E719" s="113" t="s">
        <v>16643</v>
      </c>
      <c r="F719" s="257" t="s">
        <v>14412</v>
      </c>
      <c r="G719" s="258">
        <v>20.82</v>
      </c>
      <c r="I719" s="160">
        <f t="shared" si="10"/>
        <v>38101.540000000008</v>
      </c>
    </row>
    <row r="720" spans="2:9" x14ac:dyDescent="0.25">
      <c r="B720" s="148"/>
      <c r="C720" s="148" t="s">
        <v>16642</v>
      </c>
      <c r="D720" s="150">
        <v>43906</v>
      </c>
      <c r="E720" s="113" t="s">
        <v>16641</v>
      </c>
      <c r="F720" s="257" t="s">
        <v>14412</v>
      </c>
      <c r="G720" s="258">
        <v>17.98</v>
      </c>
      <c r="I720" s="160">
        <f t="shared" si="10"/>
        <v>38119.520000000011</v>
      </c>
    </row>
    <row r="721" spans="2:9" x14ac:dyDescent="0.25">
      <c r="B721" s="148"/>
      <c r="C721" s="148" t="s">
        <v>16640</v>
      </c>
      <c r="D721" s="150">
        <v>43906</v>
      </c>
      <c r="E721" s="113" t="s">
        <v>16639</v>
      </c>
      <c r="F721" s="257" t="s">
        <v>14412</v>
      </c>
      <c r="G721" s="258">
        <v>2.74</v>
      </c>
      <c r="I721" s="160">
        <f t="shared" si="10"/>
        <v>38122.260000000009</v>
      </c>
    </row>
    <row r="722" spans="2:9" ht="19.5" x14ac:dyDescent="0.25">
      <c r="B722" s="148"/>
      <c r="C722" s="148" t="s">
        <v>16638</v>
      </c>
      <c r="D722" s="150">
        <v>43906</v>
      </c>
      <c r="E722" s="113" t="s">
        <v>16637</v>
      </c>
      <c r="F722" s="257" t="s">
        <v>14412</v>
      </c>
      <c r="G722" s="258">
        <v>26.37</v>
      </c>
      <c r="I722" s="160">
        <f t="shared" si="10"/>
        <v>38148.630000000012</v>
      </c>
    </row>
    <row r="723" spans="2:9" x14ac:dyDescent="0.25">
      <c r="B723" s="148"/>
      <c r="C723" s="148" t="s">
        <v>16636</v>
      </c>
      <c r="D723" s="150">
        <v>43906</v>
      </c>
      <c r="E723" s="113" t="s">
        <v>16635</v>
      </c>
      <c r="F723" s="257" t="s">
        <v>14412</v>
      </c>
      <c r="G723" s="258">
        <v>9.2200000000000006</v>
      </c>
      <c r="I723" s="160">
        <f t="shared" si="10"/>
        <v>38157.850000000013</v>
      </c>
    </row>
    <row r="724" spans="2:9" x14ac:dyDescent="0.25">
      <c r="B724" s="148"/>
      <c r="C724" s="148" t="s">
        <v>16634</v>
      </c>
      <c r="D724" s="150">
        <v>43906</v>
      </c>
      <c r="E724" s="113" t="s">
        <v>16633</v>
      </c>
      <c r="F724" s="257" t="s">
        <v>14412</v>
      </c>
      <c r="G724" s="258">
        <v>2.27</v>
      </c>
      <c r="I724" s="160">
        <f t="shared" si="10"/>
        <v>38160.12000000001</v>
      </c>
    </row>
    <row r="725" spans="2:9" ht="19.5" x14ac:dyDescent="0.25">
      <c r="B725" s="148"/>
      <c r="C725" s="148" t="s">
        <v>16632</v>
      </c>
      <c r="D725" s="150">
        <v>43906</v>
      </c>
      <c r="E725" s="113" t="s">
        <v>16631</v>
      </c>
      <c r="F725" s="257" t="s">
        <v>14412</v>
      </c>
      <c r="G725" s="258">
        <v>10.74</v>
      </c>
      <c r="I725" s="160">
        <f t="shared" ref="I725:I788" si="11">+I724+G725-H725</f>
        <v>38170.860000000008</v>
      </c>
    </row>
    <row r="726" spans="2:9" ht="19.5" x14ac:dyDescent="0.25">
      <c r="B726" s="148"/>
      <c r="C726" s="148" t="s">
        <v>16630</v>
      </c>
      <c r="D726" s="150">
        <v>43906</v>
      </c>
      <c r="E726" s="113" t="s">
        <v>16629</v>
      </c>
      <c r="F726" s="257" t="s">
        <v>14412</v>
      </c>
      <c r="G726" s="258">
        <v>5.18</v>
      </c>
      <c r="I726" s="160">
        <f t="shared" si="11"/>
        <v>38176.040000000008</v>
      </c>
    </row>
    <row r="727" spans="2:9" x14ac:dyDescent="0.25">
      <c r="B727" s="148"/>
      <c r="C727" s="148" t="s">
        <v>16628</v>
      </c>
      <c r="D727" s="150">
        <v>43906</v>
      </c>
      <c r="E727" s="113" t="s">
        <v>16627</v>
      </c>
      <c r="F727" s="257" t="s">
        <v>14412</v>
      </c>
      <c r="G727" s="258">
        <v>3.88</v>
      </c>
      <c r="I727" s="160">
        <f t="shared" si="11"/>
        <v>38179.920000000006</v>
      </c>
    </row>
    <row r="728" spans="2:9" ht="19.5" x14ac:dyDescent="0.25">
      <c r="B728" s="148"/>
      <c r="C728" s="148" t="s">
        <v>16626</v>
      </c>
      <c r="D728" s="150">
        <v>43906</v>
      </c>
      <c r="E728" s="113" t="s">
        <v>16625</v>
      </c>
      <c r="F728" s="257" t="s">
        <v>14412</v>
      </c>
      <c r="G728" s="258">
        <v>16.760000000000002</v>
      </c>
      <c r="I728" s="160">
        <f t="shared" si="11"/>
        <v>38196.680000000008</v>
      </c>
    </row>
    <row r="729" spans="2:9" x14ac:dyDescent="0.25">
      <c r="B729" s="148"/>
      <c r="C729" s="148" t="s">
        <v>16624</v>
      </c>
      <c r="D729" s="150">
        <v>43906</v>
      </c>
      <c r="E729" s="113" t="s">
        <v>16623</v>
      </c>
      <c r="F729" s="257" t="s">
        <v>14412</v>
      </c>
      <c r="G729" s="258">
        <v>1.68</v>
      </c>
      <c r="I729" s="160">
        <f t="shared" si="11"/>
        <v>38198.360000000008</v>
      </c>
    </row>
    <row r="730" spans="2:9" x14ac:dyDescent="0.25">
      <c r="B730" s="148"/>
      <c r="C730" s="148" t="s">
        <v>16622</v>
      </c>
      <c r="D730" s="150">
        <v>43906</v>
      </c>
      <c r="E730" s="113" t="s">
        <v>16621</v>
      </c>
      <c r="F730" s="257" t="s">
        <v>14412</v>
      </c>
      <c r="G730" s="258">
        <v>8.3800000000000008</v>
      </c>
      <c r="I730" s="160">
        <f t="shared" si="11"/>
        <v>38206.740000000005</v>
      </c>
    </row>
    <row r="731" spans="2:9" x14ac:dyDescent="0.25">
      <c r="B731" s="148"/>
      <c r="C731" s="148" t="s">
        <v>16620</v>
      </c>
      <c r="D731" s="150">
        <v>43906</v>
      </c>
      <c r="E731" s="113" t="s">
        <v>16619</v>
      </c>
      <c r="F731" s="257" t="s">
        <v>14412</v>
      </c>
      <c r="G731" s="258">
        <v>1.68</v>
      </c>
      <c r="I731" s="160">
        <f t="shared" si="11"/>
        <v>38208.420000000006</v>
      </c>
    </row>
    <row r="732" spans="2:9" x14ac:dyDescent="0.25">
      <c r="B732" s="148"/>
      <c r="C732" s="148" t="s">
        <v>16618</v>
      </c>
      <c r="D732" s="150">
        <v>43906</v>
      </c>
      <c r="E732" s="113" t="s">
        <v>16617</v>
      </c>
      <c r="F732" s="257" t="s">
        <v>14412</v>
      </c>
      <c r="G732" s="258">
        <v>1.39</v>
      </c>
      <c r="I732" s="160">
        <f t="shared" si="11"/>
        <v>38209.810000000005</v>
      </c>
    </row>
    <row r="733" spans="2:9" ht="19.5" x14ac:dyDescent="0.25">
      <c r="B733" s="148"/>
      <c r="C733" s="148" t="s">
        <v>16616</v>
      </c>
      <c r="D733" s="150">
        <v>43906</v>
      </c>
      <c r="E733" s="113" t="s">
        <v>16615</v>
      </c>
      <c r="F733" s="257" t="s">
        <v>14412</v>
      </c>
      <c r="G733" s="258">
        <v>1.68</v>
      </c>
      <c r="I733" s="160">
        <f t="shared" si="11"/>
        <v>38211.490000000005</v>
      </c>
    </row>
    <row r="734" spans="2:9" ht="19.5" x14ac:dyDescent="0.25">
      <c r="B734" s="148"/>
      <c r="C734" s="148" t="s">
        <v>16614</v>
      </c>
      <c r="D734" s="150">
        <v>43906</v>
      </c>
      <c r="E734" s="113" t="s">
        <v>16613</v>
      </c>
      <c r="F734" s="257" t="s">
        <v>14412</v>
      </c>
      <c r="G734" s="258">
        <v>1.68</v>
      </c>
      <c r="I734" s="160">
        <f t="shared" si="11"/>
        <v>38213.170000000006</v>
      </c>
    </row>
    <row r="735" spans="2:9" ht="19.5" x14ac:dyDescent="0.25">
      <c r="B735" s="148"/>
      <c r="C735" s="148" t="s">
        <v>16612</v>
      </c>
      <c r="D735" s="150">
        <v>43906</v>
      </c>
      <c r="E735" s="113" t="s">
        <v>16611</v>
      </c>
      <c r="F735" s="257" t="s">
        <v>14412</v>
      </c>
      <c r="G735" s="258">
        <v>12.02</v>
      </c>
      <c r="I735" s="160">
        <f t="shared" si="11"/>
        <v>38225.19</v>
      </c>
    </row>
    <row r="736" spans="2:9" x14ac:dyDescent="0.25">
      <c r="B736" s="148"/>
      <c r="C736" s="148" t="s">
        <v>16610</v>
      </c>
      <c r="D736" s="150">
        <v>43906</v>
      </c>
      <c r="E736" s="113" t="s">
        <v>16609</v>
      </c>
      <c r="F736" s="257" t="s">
        <v>14412</v>
      </c>
      <c r="G736" s="258">
        <v>8.18</v>
      </c>
      <c r="I736" s="160">
        <f t="shared" si="11"/>
        <v>38233.370000000003</v>
      </c>
    </row>
    <row r="737" spans="2:9" ht="19.5" x14ac:dyDescent="0.25">
      <c r="B737" s="148"/>
      <c r="C737" s="148" t="s">
        <v>16608</v>
      </c>
      <c r="D737" s="150">
        <v>43906</v>
      </c>
      <c r="E737" s="113" t="s">
        <v>16607</v>
      </c>
      <c r="F737" s="257" t="s">
        <v>14412</v>
      </c>
      <c r="G737" s="258">
        <v>37.89</v>
      </c>
      <c r="I737" s="160">
        <f t="shared" si="11"/>
        <v>38271.26</v>
      </c>
    </row>
    <row r="738" spans="2:9" ht="19.5" x14ac:dyDescent="0.25">
      <c r="B738" s="148"/>
      <c r="C738" s="148" t="s">
        <v>16606</v>
      </c>
      <c r="D738" s="150">
        <v>43906</v>
      </c>
      <c r="E738" s="113" t="s">
        <v>16605</v>
      </c>
      <c r="F738" s="257" t="s">
        <v>14412</v>
      </c>
      <c r="G738" s="258">
        <v>1.81</v>
      </c>
      <c r="I738" s="160">
        <f t="shared" si="11"/>
        <v>38273.07</v>
      </c>
    </row>
    <row r="739" spans="2:9" ht="19.5" x14ac:dyDescent="0.25">
      <c r="B739" s="148"/>
      <c r="C739" s="148" t="s">
        <v>16604</v>
      </c>
      <c r="D739" s="150">
        <v>43906</v>
      </c>
      <c r="E739" s="113" t="s">
        <v>16603</v>
      </c>
      <c r="F739" s="257" t="s">
        <v>14412</v>
      </c>
      <c r="G739" s="258">
        <v>4.9400000000000004</v>
      </c>
      <c r="I739" s="160">
        <f t="shared" si="11"/>
        <v>38278.01</v>
      </c>
    </row>
    <row r="740" spans="2:9" ht="19.5" x14ac:dyDescent="0.25">
      <c r="B740" s="148"/>
      <c r="C740" s="148" t="s">
        <v>16602</v>
      </c>
      <c r="D740" s="150">
        <v>43906</v>
      </c>
      <c r="E740" s="113" t="s">
        <v>16601</v>
      </c>
      <c r="F740" s="257" t="s">
        <v>14412</v>
      </c>
      <c r="G740" s="258">
        <v>5.49</v>
      </c>
      <c r="I740" s="160">
        <f t="shared" si="11"/>
        <v>38283.5</v>
      </c>
    </row>
    <row r="741" spans="2:9" x14ac:dyDescent="0.25">
      <c r="B741" s="148"/>
      <c r="C741" s="148" t="s">
        <v>16600</v>
      </c>
      <c r="D741" s="150">
        <v>43906</v>
      </c>
      <c r="E741" s="113" t="s">
        <v>16599</v>
      </c>
      <c r="F741" s="257" t="s">
        <v>14412</v>
      </c>
      <c r="G741" s="258">
        <v>1.68</v>
      </c>
      <c r="I741" s="160">
        <f t="shared" si="11"/>
        <v>38285.18</v>
      </c>
    </row>
    <row r="742" spans="2:9" ht="19.5" x14ac:dyDescent="0.25">
      <c r="B742" s="148"/>
      <c r="C742" s="148" t="s">
        <v>16598</v>
      </c>
      <c r="D742" s="150">
        <v>43906</v>
      </c>
      <c r="E742" s="113" t="s">
        <v>16597</v>
      </c>
      <c r="F742" s="257">
        <v>11</v>
      </c>
      <c r="G742" s="255">
        <v>3.54</v>
      </c>
      <c r="I742" s="160">
        <f t="shared" si="11"/>
        <v>38288.720000000001</v>
      </c>
    </row>
    <row r="743" spans="2:9" ht="19.5" x14ac:dyDescent="0.25">
      <c r="B743" s="148"/>
      <c r="C743" s="148" t="s">
        <v>16596</v>
      </c>
      <c r="D743" s="150">
        <v>43906</v>
      </c>
      <c r="E743" s="113" t="s">
        <v>16595</v>
      </c>
      <c r="F743" s="257">
        <v>11</v>
      </c>
      <c r="G743" s="255">
        <v>7.48</v>
      </c>
      <c r="I743" s="160">
        <f t="shared" si="11"/>
        <v>38296.200000000004</v>
      </c>
    </row>
    <row r="744" spans="2:9" ht="19.5" x14ac:dyDescent="0.25">
      <c r="B744" s="148"/>
      <c r="C744" s="148" t="s">
        <v>16594</v>
      </c>
      <c r="D744" s="150">
        <v>43906</v>
      </c>
      <c r="E744" s="113" t="s">
        <v>16593</v>
      </c>
      <c r="F744" s="257">
        <v>11</v>
      </c>
      <c r="G744" s="255">
        <v>3.4</v>
      </c>
      <c r="I744" s="160">
        <f t="shared" si="11"/>
        <v>38299.600000000006</v>
      </c>
    </row>
    <row r="745" spans="2:9" x14ac:dyDescent="0.25">
      <c r="B745" s="148"/>
      <c r="C745" s="148" t="s">
        <v>16592</v>
      </c>
      <c r="D745" s="150">
        <v>43906</v>
      </c>
      <c r="E745" s="113" t="s">
        <v>16591</v>
      </c>
      <c r="F745" s="257">
        <v>11</v>
      </c>
      <c r="G745" s="255">
        <v>3.09</v>
      </c>
      <c r="I745" s="160">
        <f t="shared" si="11"/>
        <v>38302.69</v>
      </c>
    </row>
    <row r="746" spans="2:9" x14ac:dyDescent="0.25">
      <c r="B746" s="148"/>
      <c r="C746" s="148" t="s">
        <v>16590</v>
      </c>
      <c r="D746" s="150">
        <v>43906</v>
      </c>
      <c r="E746" s="113" t="s">
        <v>16589</v>
      </c>
      <c r="F746" s="257">
        <v>11</v>
      </c>
      <c r="G746" s="255">
        <v>12.3</v>
      </c>
      <c r="I746" s="160">
        <f t="shared" si="11"/>
        <v>38314.990000000005</v>
      </c>
    </row>
    <row r="747" spans="2:9" ht="19.5" x14ac:dyDescent="0.25">
      <c r="B747" s="148"/>
      <c r="C747" s="148" t="s">
        <v>16588</v>
      </c>
      <c r="D747" s="150">
        <v>43906</v>
      </c>
      <c r="E747" s="113" t="s">
        <v>16587</v>
      </c>
      <c r="F747" s="257">
        <v>11</v>
      </c>
      <c r="G747" s="255">
        <v>13.88</v>
      </c>
      <c r="I747" s="160">
        <f t="shared" si="11"/>
        <v>38328.870000000003</v>
      </c>
    </row>
    <row r="748" spans="2:9" ht="19.5" x14ac:dyDescent="0.25">
      <c r="B748" s="148"/>
      <c r="C748" s="148" t="s">
        <v>16586</v>
      </c>
      <c r="D748" s="150">
        <v>43906</v>
      </c>
      <c r="E748" s="113" t="s">
        <v>16585</v>
      </c>
      <c r="F748" s="257">
        <v>11</v>
      </c>
      <c r="G748" s="255">
        <v>2.4500000000000002</v>
      </c>
      <c r="I748" s="160">
        <f t="shared" si="11"/>
        <v>38331.32</v>
      </c>
    </row>
    <row r="749" spans="2:9" x14ac:dyDescent="0.25">
      <c r="B749" s="148"/>
      <c r="C749" s="148" t="s">
        <v>16584</v>
      </c>
      <c r="D749" s="150">
        <v>43906</v>
      </c>
      <c r="E749" s="113" t="s">
        <v>16583</v>
      </c>
      <c r="F749" s="257">
        <v>11</v>
      </c>
      <c r="G749" s="255">
        <v>2.5299999999999998</v>
      </c>
      <c r="I749" s="160">
        <f t="shared" si="11"/>
        <v>38333.85</v>
      </c>
    </row>
    <row r="750" spans="2:9" x14ac:dyDescent="0.25">
      <c r="B750" s="148"/>
      <c r="C750" s="148" t="s">
        <v>16582</v>
      </c>
      <c r="D750" s="150">
        <v>43906</v>
      </c>
      <c r="E750" s="113" t="s">
        <v>16581</v>
      </c>
      <c r="F750" s="257">
        <v>11</v>
      </c>
      <c r="G750" s="255">
        <v>2.92</v>
      </c>
      <c r="I750" s="160">
        <f t="shared" si="11"/>
        <v>38336.769999999997</v>
      </c>
    </row>
    <row r="751" spans="2:9" x14ac:dyDescent="0.25">
      <c r="B751" s="148"/>
      <c r="C751" s="148" t="s">
        <v>16580</v>
      </c>
      <c r="D751" s="150">
        <v>43906</v>
      </c>
      <c r="E751" s="113" t="s">
        <v>16579</v>
      </c>
      <c r="F751" s="257">
        <v>11</v>
      </c>
      <c r="G751" s="255">
        <v>12.88</v>
      </c>
      <c r="I751" s="160">
        <f t="shared" si="11"/>
        <v>38349.649999999994</v>
      </c>
    </row>
    <row r="752" spans="2:9" x14ac:dyDescent="0.25">
      <c r="B752" s="148"/>
      <c r="C752" s="148" t="s">
        <v>16578</v>
      </c>
      <c r="D752" s="150">
        <v>43906</v>
      </c>
      <c r="E752" s="113" t="s">
        <v>16577</v>
      </c>
      <c r="F752" s="257">
        <v>11</v>
      </c>
      <c r="G752" s="255">
        <v>17.899999999999999</v>
      </c>
      <c r="I752" s="160">
        <f t="shared" si="11"/>
        <v>38367.549999999996</v>
      </c>
    </row>
    <row r="753" spans="2:9" ht="19.5" x14ac:dyDescent="0.25">
      <c r="B753" s="148"/>
      <c r="C753" s="148" t="s">
        <v>16576</v>
      </c>
      <c r="D753" s="150">
        <v>43906</v>
      </c>
      <c r="E753" s="113" t="s">
        <v>16575</v>
      </c>
      <c r="F753" s="257">
        <v>11</v>
      </c>
      <c r="G753" s="255">
        <v>4.0199999999999996</v>
      </c>
      <c r="I753" s="160">
        <f t="shared" si="11"/>
        <v>38371.569999999992</v>
      </c>
    </row>
    <row r="754" spans="2:9" ht="19.5" x14ac:dyDescent="0.25">
      <c r="B754" s="148"/>
      <c r="C754" s="148" t="s">
        <v>16574</v>
      </c>
      <c r="D754" s="150">
        <v>43906</v>
      </c>
      <c r="E754" s="113" t="s">
        <v>16573</v>
      </c>
      <c r="F754" s="257">
        <v>11</v>
      </c>
      <c r="G754" s="255">
        <v>3.4</v>
      </c>
      <c r="I754" s="160">
        <f t="shared" si="11"/>
        <v>38374.969999999994</v>
      </c>
    </row>
    <row r="755" spans="2:9" ht="19.5" x14ac:dyDescent="0.25">
      <c r="B755" s="148"/>
      <c r="C755" s="148" t="s">
        <v>16572</v>
      </c>
      <c r="D755" s="150">
        <v>43906</v>
      </c>
      <c r="E755" s="113" t="s">
        <v>16571</v>
      </c>
      <c r="F755" s="257">
        <v>11</v>
      </c>
      <c r="G755" s="255">
        <v>4.13</v>
      </c>
      <c r="I755" s="160">
        <f t="shared" si="11"/>
        <v>38379.099999999991</v>
      </c>
    </row>
    <row r="756" spans="2:9" ht="19.5" x14ac:dyDescent="0.25">
      <c r="B756" s="148"/>
      <c r="C756" s="148" t="s">
        <v>16570</v>
      </c>
      <c r="D756" s="150">
        <v>43906</v>
      </c>
      <c r="E756" s="113" t="s">
        <v>16569</v>
      </c>
      <c r="F756" s="257">
        <v>11</v>
      </c>
      <c r="G756" s="255">
        <v>4.68</v>
      </c>
      <c r="I756" s="160">
        <f t="shared" si="11"/>
        <v>38383.779999999992</v>
      </c>
    </row>
    <row r="757" spans="2:9" x14ac:dyDescent="0.25">
      <c r="B757" s="148"/>
      <c r="C757" s="148" t="s">
        <v>16568</v>
      </c>
      <c r="D757" s="150">
        <v>43907</v>
      </c>
      <c r="E757" s="113" t="s">
        <v>16567</v>
      </c>
      <c r="F757" s="257" t="s">
        <v>14412</v>
      </c>
      <c r="G757" s="258">
        <v>8.3800000000000008</v>
      </c>
      <c r="I757" s="160">
        <f t="shared" si="11"/>
        <v>38392.159999999989</v>
      </c>
    </row>
    <row r="758" spans="2:9" x14ac:dyDescent="0.25">
      <c r="B758" s="148"/>
      <c r="C758" s="148" t="s">
        <v>16566</v>
      </c>
      <c r="D758" s="150">
        <v>43907</v>
      </c>
      <c r="E758" s="113" t="s">
        <v>16565</v>
      </c>
      <c r="F758" s="257" t="s">
        <v>14412</v>
      </c>
      <c r="G758" s="258">
        <v>4.1900000000000004</v>
      </c>
      <c r="I758" s="160">
        <f t="shared" si="11"/>
        <v>38396.349999999991</v>
      </c>
    </row>
    <row r="759" spans="2:9" x14ac:dyDescent="0.25">
      <c r="B759" s="148"/>
      <c r="C759" s="148" t="s">
        <v>16564</v>
      </c>
      <c r="D759" s="150">
        <v>43907</v>
      </c>
      <c r="E759" s="113" t="s">
        <v>16563</v>
      </c>
      <c r="F759" s="257" t="s">
        <v>14412</v>
      </c>
      <c r="G759" s="258">
        <v>6.89</v>
      </c>
      <c r="I759" s="160">
        <f t="shared" si="11"/>
        <v>38403.239999999991</v>
      </c>
    </row>
    <row r="760" spans="2:9" x14ac:dyDescent="0.25">
      <c r="B760" s="148"/>
      <c r="C760" s="148" t="s">
        <v>16562</v>
      </c>
      <c r="D760" s="150">
        <v>43907</v>
      </c>
      <c r="E760" s="113" t="s">
        <v>16561</v>
      </c>
      <c r="F760" s="257" t="s">
        <v>14412</v>
      </c>
      <c r="G760" s="258">
        <v>2.61</v>
      </c>
      <c r="I760" s="160">
        <f t="shared" si="11"/>
        <v>38405.849999999991</v>
      </c>
    </row>
    <row r="761" spans="2:9" x14ac:dyDescent="0.25">
      <c r="B761" s="148"/>
      <c r="C761" s="148" t="s">
        <v>16560</v>
      </c>
      <c r="D761" s="150">
        <v>43907</v>
      </c>
      <c r="E761" s="113" t="s">
        <v>16559</v>
      </c>
      <c r="F761" s="257" t="s">
        <v>14412</v>
      </c>
      <c r="G761" s="258">
        <v>30.6</v>
      </c>
      <c r="I761" s="160">
        <f t="shared" si="11"/>
        <v>38436.44999999999</v>
      </c>
    </row>
    <row r="762" spans="2:9" ht="19.5" x14ac:dyDescent="0.25">
      <c r="B762" s="148"/>
      <c r="C762" s="148" t="s">
        <v>16558</v>
      </c>
      <c r="D762" s="150">
        <v>43907</v>
      </c>
      <c r="E762" s="113" t="s">
        <v>16557</v>
      </c>
      <c r="F762" s="257" t="s">
        <v>14412</v>
      </c>
      <c r="G762" s="258">
        <v>3.64</v>
      </c>
      <c r="I762" s="160">
        <f t="shared" si="11"/>
        <v>38440.089999999989</v>
      </c>
    </row>
    <row r="763" spans="2:9" x14ac:dyDescent="0.25">
      <c r="B763" s="148"/>
      <c r="C763" s="148" t="s">
        <v>16556</v>
      </c>
      <c r="D763" s="150">
        <v>43907</v>
      </c>
      <c r="E763" s="113" t="s">
        <v>16555</v>
      </c>
      <c r="F763" s="257" t="s">
        <v>14412</v>
      </c>
      <c r="G763" s="258">
        <v>0.38</v>
      </c>
      <c r="I763" s="160">
        <f t="shared" si="11"/>
        <v>38440.469999999987</v>
      </c>
    </row>
    <row r="764" spans="2:9" x14ac:dyDescent="0.25">
      <c r="B764" s="148"/>
      <c r="C764" s="148" t="s">
        <v>16554</v>
      </c>
      <c r="D764" s="150">
        <v>43907</v>
      </c>
      <c r="E764" s="113" t="s">
        <v>16553</v>
      </c>
      <c r="F764" s="257" t="s">
        <v>14412</v>
      </c>
      <c r="G764" s="258">
        <v>4.9400000000000004</v>
      </c>
      <c r="I764" s="160">
        <f t="shared" si="11"/>
        <v>38445.409999999989</v>
      </c>
    </row>
    <row r="765" spans="2:9" x14ac:dyDescent="0.25">
      <c r="B765" s="148"/>
      <c r="C765" s="148" t="s">
        <v>16552</v>
      </c>
      <c r="D765" s="150">
        <v>43907</v>
      </c>
      <c r="E765" s="113" t="s">
        <v>16551</v>
      </c>
      <c r="F765" s="257" t="s">
        <v>14412</v>
      </c>
      <c r="G765" s="258">
        <v>4.29</v>
      </c>
      <c r="I765" s="160">
        <f t="shared" si="11"/>
        <v>38449.69999999999</v>
      </c>
    </row>
    <row r="766" spans="2:9" x14ac:dyDescent="0.25">
      <c r="B766" s="148"/>
      <c r="C766" s="148" t="s">
        <v>16550</v>
      </c>
      <c r="D766" s="150">
        <v>43907</v>
      </c>
      <c r="E766" s="113" t="s">
        <v>16549</v>
      </c>
      <c r="F766" s="257" t="s">
        <v>14412</v>
      </c>
      <c r="G766" s="258">
        <v>1.68</v>
      </c>
      <c r="I766" s="160">
        <f t="shared" si="11"/>
        <v>38451.37999999999</v>
      </c>
    </row>
    <row r="767" spans="2:9" ht="19.5" x14ac:dyDescent="0.25">
      <c r="B767" s="148"/>
      <c r="C767" s="148" t="s">
        <v>16548</v>
      </c>
      <c r="D767" s="150">
        <v>43907</v>
      </c>
      <c r="E767" s="113" t="s">
        <v>16547</v>
      </c>
      <c r="F767" s="257">
        <v>12</v>
      </c>
      <c r="G767" s="255">
        <v>5.75</v>
      </c>
      <c r="I767" s="160">
        <f t="shared" si="11"/>
        <v>38457.12999999999</v>
      </c>
    </row>
    <row r="768" spans="2:9" x14ac:dyDescent="0.25">
      <c r="B768" s="148"/>
      <c r="C768" s="148" t="s">
        <v>16546</v>
      </c>
      <c r="D768" s="150">
        <v>43907</v>
      </c>
      <c r="E768" s="113" t="s">
        <v>16545</v>
      </c>
      <c r="F768" s="257">
        <v>12</v>
      </c>
      <c r="G768" s="255">
        <v>10.57</v>
      </c>
      <c r="I768" s="160">
        <f t="shared" si="11"/>
        <v>38467.69999999999</v>
      </c>
    </row>
    <row r="769" spans="2:9" x14ac:dyDescent="0.25">
      <c r="B769" s="148"/>
      <c r="C769" s="148" t="s">
        <v>16544</v>
      </c>
      <c r="D769" s="150">
        <v>43908</v>
      </c>
      <c r="E769" s="113" t="s">
        <v>16543</v>
      </c>
      <c r="F769" s="257" t="s">
        <v>14437</v>
      </c>
      <c r="G769" s="160">
        <v>69.34</v>
      </c>
      <c r="I769" s="160">
        <f t="shared" si="11"/>
        <v>38537.039999999986</v>
      </c>
    </row>
    <row r="770" spans="2:9" ht="19.5" x14ac:dyDescent="0.25">
      <c r="B770" s="148"/>
      <c r="C770" s="148" t="s">
        <v>16542</v>
      </c>
      <c r="D770" s="150">
        <v>43908</v>
      </c>
      <c r="E770" s="113" t="s">
        <v>16541</v>
      </c>
      <c r="F770" s="257" t="s">
        <v>14412</v>
      </c>
      <c r="G770" s="258">
        <v>3.01</v>
      </c>
      <c r="I770" s="160">
        <f t="shared" si="11"/>
        <v>38540.049999999988</v>
      </c>
    </row>
    <row r="771" spans="2:9" ht="19.5" x14ac:dyDescent="0.25">
      <c r="B771" s="148"/>
      <c r="C771" s="148" t="s">
        <v>16540</v>
      </c>
      <c r="D771" s="150">
        <v>43908</v>
      </c>
      <c r="E771" s="113" t="s">
        <v>16539</v>
      </c>
      <c r="F771" s="257" t="s">
        <v>14412</v>
      </c>
      <c r="G771" s="258">
        <v>8.1</v>
      </c>
      <c r="I771" s="160">
        <f t="shared" si="11"/>
        <v>38548.149999999987</v>
      </c>
    </row>
    <row r="772" spans="2:9" x14ac:dyDescent="0.25">
      <c r="B772" s="148"/>
      <c r="C772" s="148" t="s">
        <v>16538</v>
      </c>
      <c r="D772" s="150">
        <v>43908</v>
      </c>
      <c r="E772" s="113" t="s">
        <v>16537</v>
      </c>
      <c r="F772" s="257" t="s">
        <v>14412</v>
      </c>
      <c r="G772" s="258">
        <v>1.95</v>
      </c>
      <c r="I772" s="160">
        <f t="shared" si="11"/>
        <v>38550.099999999984</v>
      </c>
    </row>
    <row r="773" spans="2:9" x14ac:dyDescent="0.25">
      <c r="B773" s="148"/>
      <c r="C773" s="148" t="s">
        <v>16536</v>
      </c>
      <c r="D773" s="150">
        <v>43908</v>
      </c>
      <c r="E773" s="113" t="s">
        <v>16535</v>
      </c>
      <c r="F773" s="257" t="s">
        <v>14412</v>
      </c>
      <c r="G773" s="258">
        <v>5.48</v>
      </c>
      <c r="I773" s="160">
        <f t="shared" si="11"/>
        <v>38555.579999999987</v>
      </c>
    </row>
    <row r="774" spans="2:9" x14ac:dyDescent="0.25">
      <c r="B774" s="148"/>
      <c r="C774" s="148" t="s">
        <v>16534</v>
      </c>
      <c r="D774" s="150">
        <v>43908</v>
      </c>
      <c r="E774" s="113" t="s">
        <v>16533</v>
      </c>
      <c r="F774" s="257" t="s">
        <v>14412</v>
      </c>
      <c r="G774" s="258">
        <v>7.94</v>
      </c>
      <c r="I774" s="160">
        <f t="shared" si="11"/>
        <v>38563.51999999999</v>
      </c>
    </row>
    <row r="775" spans="2:9" x14ac:dyDescent="0.25">
      <c r="B775" s="148"/>
      <c r="C775" s="148" t="s">
        <v>16532</v>
      </c>
      <c r="D775" s="150">
        <v>43908</v>
      </c>
      <c r="E775" s="113" t="s">
        <v>16531</v>
      </c>
      <c r="F775" s="257">
        <v>13</v>
      </c>
      <c r="G775" s="255">
        <v>2.79</v>
      </c>
      <c r="I775" s="160">
        <f t="shared" si="11"/>
        <v>38566.30999999999</v>
      </c>
    </row>
    <row r="776" spans="2:9" ht="19.5" x14ac:dyDescent="0.25">
      <c r="B776" s="148"/>
      <c r="C776" s="148" t="s">
        <v>16530</v>
      </c>
      <c r="D776" s="150">
        <v>43908</v>
      </c>
      <c r="E776" s="113" t="s">
        <v>16529</v>
      </c>
      <c r="F776" s="257">
        <v>13</v>
      </c>
      <c r="G776" s="255">
        <v>3.36</v>
      </c>
      <c r="I776" s="160">
        <f t="shared" si="11"/>
        <v>38569.669999999991</v>
      </c>
    </row>
    <row r="777" spans="2:9" ht="19.5" x14ac:dyDescent="0.25">
      <c r="B777" s="148"/>
      <c r="C777" s="148" t="s">
        <v>1430</v>
      </c>
      <c r="D777" s="150">
        <v>43908</v>
      </c>
      <c r="E777" s="113" t="s">
        <v>16528</v>
      </c>
      <c r="F777" s="257" t="s">
        <v>14433</v>
      </c>
      <c r="H777" s="161">
        <v>22.13</v>
      </c>
      <c r="I777" s="160">
        <f t="shared" si="11"/>
        <v>38547.539999999994</v>
      </c>
    </row>
    <row r="778" spans="2:9" ht="19.5" x14ac:dyDescent="0.25">
      <c r="B778" s="148"/>
      <c r="C778" s="148" t="s">
        <v>1428</v>
      </c>
      <c r="D778" s="150">
        <v>43908</v>
      </c>
      <c r="E778" s="113" t="s">
        <v>16527</v>
      </c>
      <c r="F778" s="257" t="s">
        <v>14433</v>
      </c>
      <c r="H778" s="161">
        <v>118.29</v>
      </c>
      <c r="I778" s="160">
        <f t="shared" si="11"/>
        <v>38429.249999999993</v>
      </c>
    </row>
    <row r="779" spans="2:9" ht="19.5" x14ac:dyDescent="0.25">
      <c r="B779" s="148"/>
      <c r="C779" s="148" t="s">
        <v>15202</v>
      </c>
      <c r="D779" s="150">
        <v>43908</v>
      </c>
      <c r="E779" s="113" t="s">
        <v>16526</v>
      </c>
      <c r="F779" s="257" t="s">
        <v>14433</v>
      </c>
      <c r="H779" s="161">
        <v>601.4</v>
      </c>
      <c r="I779" s="160">
        <f t="shared" si="11"/>
        <v>37827.849999999991</v>
      </c>
    </row>
    <row r="780" spans="2:9" ht="19.5" x14ac:dyDescent="0.25">
      <c r="B780" s="148"/>
      <c r="C780" s="148" t="s">
        <v>15200</v>
      </c>
      <c r="D780" s="150">
        <v>43908</v>
      </c>
      <c r="E780" s="113" t="s">
        <v>16525</v>
      </c>
      <c r="F780" s="257" t="s">
        <v>14433</v>
      </c>
      <c r="H780" s="161">
        <v>248.78</v>
      </c>
      <c r="I780" s="160">
        <f t="shared" si="11"/>
        <v>37579.069999999992</v>
      </c>
    </row>
    <row r="781" spans="2:9" ht="19.5" x14ac:dyDescent="0.25">
      <c r="B781" s="148"/>
      <c r="C781" s="148" t="s">
        <v>14518</v>
      </c>
      <c r="D781" s="150">
        <v>43908</v>
      </c>
      <c r="E781" s="113" t="s">
        <v>16524</v>
      </c>
      <c r="F781" s="257" t="s">
        <v>14433</v>
      </c>
      <c r="H781" s="161">
        <v>1651.69</v>
      </c>
      <c r="I781" s="160">
        <f t="shared" si="11"/>
        <v>35927.37999999999</v>
      </c>
    </row>
    <row r="782" spans="2:9" ht="19.5" x14ac:dyDescent="0.25">
      <c r="B782" s="148"/>
      <c r="C782" s="148" t="s">
        <v>16523</v>
      </c>
      <c r="D782" s="150">
        <v>43909</v>
      </c>
      <c r="E782" s="113" t="s">
        <v>16522</v>
      </c>
      <c r="F782" s="257" t="s">
        <v>14412</v>
      </c>
      <c r="G782" s="258">
        <v>7.27</v>
      </c>
      <c r="I782" s="160">
        <f t="shared" si="11"/>
        <v>35934.649999999987</v>
      </c>
    </row>
    <row r="783" spans="2:9" ht="19.5" x14ac:dyDescent="0.25">
      <c r="B783" s="148"/>
      <c r="C783" s="148" t="s">
        <v>16521</v>
      </c>
      <c r="D783" s="150">
        <v>43909</v>
      </c>
      <c r="E783" s="113" t="s">
        <v>16520</v>
      </c>
      <c r="F783" s="257" t="s">
        <v>14412</v>
      </c>
      <c r="G783" s="258">
        <v>14.78</v>
      </c>
      <c r="I783" s="160">
        <f t="shared" si="11"/>
        <v>35949.429999999986</v>
      </c>
    </row>
    <row r="784" spans="2:9" x14ac:dyDescent="0.25">
      <c r="B784" s="148"/>
      <c r="C784" s="148" t="s">
        <v>16519</v>
      </c>
      <c r="D784" s="150">
        <v>43909</v>
      </c>
      <c r="E784" s="113" t="s">
        <v>16518</v>
      </c>
      <c r="F784" s="257" t="s">
        <v>14412</v>
      </c>
      <c r="G784" s="258">
        <v>2.4900000000000002</v>
      </c>
      <c r="I784" s="160">
        <f t="shared" si="11"/>
        <v>35951.919999999984</v>
      </c>
    </row>
    <row r="785" spans="2:9" x14ac:dyDescent="0.25">
      <c r="B785" s="148"/>
      <c r="C785" s="148" t="s">
        <v>16517</v>
      </c>
      <c r="D785" s="150">
        <v>43909</v>
      </c>
      <c r="E785" s="113" t="s">
        <v>16516</v>
      </c>
      <c r="F785" s="257" t="s">
        <v>14412</v>
      </c>
      <c r="G785" s="258">
        <v>6.53</v>
      </c>
      <c r="I785" s="160">
        <f t="shared" si="11"/>
        <v>35958.449999999983</v>
      </c>
    </row>
    <row r="786" spans="2:9" ht="19.5" x14ac:dyDescent="0.25">
      <c r="B786" s="148"/>
      <c r="C786" s="148" t="s">
        <v>16515</v>
      </c>
      <c r="D786" s="150">
        <v>43909</v>
      </c>
      <c r="E786" s="113" t="s">
        <v>16514</v>
      </c>
      <c r="F786" s="257" t="s">
        <v>14412</v>
      </c>
      <c r="G786" s="258">
        <v>0.79</v>
      </c>
      <c r="I786" s="160">
        <f t="shared" si="11"/>
        <v>35959.239999999983</v>
      </c>
    </row>
    <row r="787" spans="2:9" ht="19.5" x14ac:dyDescent="0.25">
      <c r="B787" s="148"/>
      <c r="C787" s="148" t="s">
        <v>16513</v>
      </c>
      <c r="D787" s="150">
        <v>43909</v>
      </c>
      <c r="E787" s="113" t="s">
        <v>16512</v>
      </c>
      <c r="F787" s="257" t="s">
        <v>14412</v>
      </c>
      <c r="G787" s="258">
        <v>8.11</v>
      </c>
      <c r="I787" s="160">
        <f t="shared" si="11"/>
        <v>35967.349999999984</v>
      </c>
    </row>
    <row r="788" spans="2:9" x14ac:dyDescent="0.25">
      <c r="B788" s="148"/>
      <c r="C788" s="148" t="s">
        <v>16511</v>
      </c>
      <c r="D788" s="150">
        <v>43909</v>
      </c>
      <c r="E788" s="113" t="s">
        <v>16510</v>
      </c>
      <c r="F788" s="257">
        <v>14</v>
      </c>
      <c r="G788" s="255">
        <v>8.3800000000000008</v>
      </c>
      <c r="I788" s="160">
        <f t="shared" si="11"/>
        <v>35975.729999999981</v>
      </c>
    </row>
    <row r="789" spans="2:9" ht="19.5" x14ac:dyDescent="0.25">
      <c r="B789" s="148"/>
      <c r="C789" s="148" t="s">
        <v>16509</v>
      </c>
      <c r="D789" s="150">
        <v>43909</v>
      </c>
      <c r="E789" s="113" t="s">
        <v>16508</v>
      </c>
      <c r="F789" s="257">
        <v>14</v>
      </c>
      <c r="G789" s="255">
        <v>1.94</v>
      </c>
      <c r="I789" s="160">
        <f t="shared" ref="I789:I852" si="12">+I788+G789-H789</f>
        <v>35977.669999999984</v>
      </c>
    </row>
    <row r="790" spans="2:9" ht="19.5" x14ac:dyDescent="0.25">
      <c r="B790" s="148"/>
      <c r="C790" s="148" t="s">
        <v>16507</v>
      </c>
      <c r="D790" s="150">
        <v>43910</v>
      </c>
      <c r="E790" s="113" t="s">
        <v>16506</v>
      </c>
      <c r="F790" s="257" t="s">
        <v>14437</v>
      </c>
      <c r="G790" s="160">
        <v>5.46</v>
      </c>
      <c r="I790" s="160">
        <f t="shared" si="12"/>
        <v>35983.129999999983</v>
      </c>
    </row>
    <row r="791" spans="2:9" x14ac:dyDescent="0.25">
      <c r="B791" s="148"/>
      <c r="C791" s="148" t="s">
        <v>16505</v>
      </c>
      <c r="D791" s="150">
        <v>43910</v>
      </c>
      <c r="E791" s="113" t="s">
        <v>16504</v>
      </c>
      <c r="F791" s="257">
        <v>15</v>
      </c>
      <c r="G791" s="255">
        <v>8.3800000000000008</v>
      </c>
      <c r="I791" s="160">
        <f t="shared" si="12"/>
        <v>35991.50999999998</v>
      </c>
    </row>
    <row r="792" spans="2:9" ht="19.5" x14ac:dyDescent="0.25">
      <c r="B792" s="148"/>
      <c r="C792" s="148" t="s">
        <v>16503</v>
      </c>
      <c r="D792" s="150">
        <v>43910</v>
      </c>
      <c r="E792" s="113" t="s">
        <v>16502</v>
      </c>
      <c r="F792" s="257">
        <v>15</v>
      </c>
      <c r="G792" s="255">
        <v>5.79</v>
      </c>
      <c r="I792" s="160">
        <f t="shared" si="12"/>
        <v>35997.299999999981</v>
      </c>
    </row>
    <row r="793" spans="2:9" x14ac:dyDescent="0.25">
      <c r="B793" s="148"/>
      <c r="C793" s="148" t="s">
        <v>16501</v>
      </c>
      <c r="D793" s="150">
        <v>43910</v>
      </c>
      <c r="E793" s="113" t="s">
        <v>16500</v>
      </c>
      <c r="F793" s="257">
        <v>15</v>
      </c>
      <c r="G793" s="255">
        <v>4.49</v>
      </c>
      <c r="I793" s="160">
        <f t="shared" si="12"/>
        <v>36001.789999999979</v>
      </c>
    </row>
    <row r="794" spans="2:9" x14ac:dyDescent="0.25">
      <c r="B794" s="148"/>
      <c r="C794" s="148" t="s">
        <v>16499</v>
      </c>
      <c r="D794" s="150">
        <v>43910</v>
      </c>
      <c r="E794" s="113" t="s">
        <v>16498</v>
      </c>
      <c r="F794" s="257">
        <v>15</v>
      </c>
      <c r="G794" s="255">
        <v>2.63</v>
      </c>
      <c r="I794" s="160">
        <f t="shared" si="12"/>
        <v>36004.419999999976</v>
      </c>
    </row>
    <row r="795" spans="2:9" x14ac:dyDescent="0.25">
      <c r="B795" s="148"/>
      <c r="C795" s="148" t="s">
        <v>16497</v>
      </c>
      <c r="D795" s="150">
        <v>43910</v>
      </c>
      <c r="E795" s="113" t="s">
        <v>16496</v>
      </c>
      <c r="F795" s="257" t="s">
        <v>14413</v>
      </c>
      <c r="G795" s="258">
        <v>1.79</v>
      </c>
      <c r="I795" s="160">
        <f t="shared" si="12"/>
        <v>36006.209999999977</v>
      </c>
    </row>
    <row r="796" spans="2:9" x14ac:dyDescent="0.25">
      <c r="B796" s="148"/>
      <c r="C796" s="148" t="s">
        <v>16495</v>
      </c>
      <c r="D796" s="150">
        <v>43910</v>
      </c>
      <c r="E796" s="113" t="s">
        <v>16494</v>
      </c>
      <c r="F796" s="257" t="s">
        <v>14413</v>
      </c>
      <c r="G796" s="258">
        <v>20.36</v>
      </c>
      <c r="I796" s="160">
        <f t="shared" si="12"/>
        <v>36026.569999999978</v>
      </c>
    </row>
    <row r="797" spans="2:9" ht="19.5" x14ac:dyDescent="0.25">
      <c r="B797" s="148"/>
      <c r="C797" s="148" t="s">
        <v>16493</v>
      </c>
      <c r="D797" s="150">
        <v>43910</v>
      </c>
      <c r="E797" s="113" t="s">
        <v>16492</v>
      </c>
      <c r="F797" s="257" t="s">
        <v>14413</v>
      </c>
      <c r="G797" s="258">
        <v>4.6900000000000004</v>
      </c>
      <c r="I797" s="160">
        <f t="shared" si="12"/>
        <v>36031.25999999998</v>
      </c>
    </row>
    <row r="798" spans="2:9" ht="19.5" x14ac:dyDescent="0.25">
      <c r="B798" s="148"/>
      <c r="C798" s="148" t="s">
        <v>16491</v>
      </c>
      <c r="D798" s="150">
        <v>43913</v>
      </c>
      <c r="E798" s="113" t="s">
        <v>16490</v>
      </c>
      <c r="F798" s="257">
        <v>16</v>
      </c>
      <c r="G798" s="255">
        <v>16.760000000000002</v>
      </c>
      <c r="I798" s="160">
        <f t="shared" si="12"/>
        <v>36048.019999999982</v>
      </c>
    </row>
    <row r="799" spans="2:9" ht="19.5" x14ac:dyDescent="0.25">
      <c r="B799" s="148"/>
      <c r="C799" s="148" t="s">
        <v>16489</v>
      </c>
      <c r="D799" s="150">
        <v>43913</v>
      </c>
      <c r="E799" s="113" t="s">
        <v>16488</v>
      </c>
      <c r="F799" s="257">
        <v>16</v>
      </c>
      <c r="G799" s="255">
        <v>3.36</v>
      </c>
      <c r="I799" s="160">
        <f t="shared" si="12"/>
        <v>36051.379999999983</v>
      </c>
    </row>
    <row r="800" spans="2:9" x14ac:dyDescent="0.25">
      <c r="B800" s="148"/>
      <c r="C800" s="148" t="s">
        <v>16487</v>
      </c>
      <c r="D800" s="150">
        <v>43913</v>
      </c>
      <c r="E800" s="113" t="s">
        <v>16486</v>
      </c>
      <c r="F800" s="257">
        <v>16</v>
      </c>
      <c r="G800" s="255">
        <v>15.3</v>
      </c>
      <c r="I800" s="160">
        <f t="shared" si="12"/>
        <v>36066.679999999986</v>
      </c>
    </row>
    <row r="801" spans="2:9" ht="19.5" x14ac:dyDescent="0.25">
      <c r="B801" s="148"/>
      <c r="C801" s="148" t="s">
        <v>16485</v>
      </c>
      <c r="D801" s="150">
        <v>43914</v>
      </c>
      <c r="E801" s="113" t="s">
        <v>16484</v>
      </c>
      <c r="F801" s="257" t="s">
        <v>14437</v>
      </c>
      <c r="G801" s="160">
        <v>13.88</v>
      </c>
      <c r="I801" s="160">
        <f t="shared" si="12"/>
        <v>36080.559999999983</v>
      </c>
    </row>
    <row r="802" spans="2:9" x14ac:dyDescent="0.25">
      <c r="B802" s="148"/>
      <c r="C802" s="148" t="s">
        <v>16483</v>
      </c>
      <c r="D802" s="150">
        <v>43914</v>
      </c>
      <c r="E802" s="113" t="s">
        <v>16482</v>
      </c>
      <c r="F802" s="257" t="s">
        <v>14437</v>
      </c>
      <c r="G802" s="160">
        <v>5.29</v>
      </c>
      <c r="I802" s="160">
        <f t="shared" si="12"/>
        <v>36085.849999999984</v>
      </c>
    </row>
    <row r="803" spans="2:9" ht="19.5" x14ac:dyDescent="0.25">
      <c r="B803" s="148"/>
      <c r="C803" s="148" t="s">
        <v>16481</v>
      </c>
      <c r="D803" s="150">
        <v>43914</v>
      </c>
      <c r="E803" s="113" t="s">
        <v>16480</v>
      </c>
      <c r="F803" s="257" t="s">
        <v>14437</v>
      </c>
      <c r="G803" s="160">
        <v>8.3800000000000008</v>
      </c>
      <c r="I803" s="160">
        <f t="shared" si="12"/>
        <v>36094.229999999981</v>
      </c>
    </row>
    <row r="804" spans="2:9" ht="19.5" x14ac:dyDescent="0.25">
      <c r="B804" s="148"/>
      <c r="C804" s="148" t="s">
        <v>16479</v>
      </c>
      <c r="D804" s="150">
        <v>43914</v>
      </c>
      <c r="E804" s="113" t="s">
        <v>16478</v>
      </c>
      <c r="F804" s="257" t="s">
        <v>14437</v>
      </c>
      <c r="G804" s="160">
        <v>24.98</v>
      </c>
      <c r="I804" s="160">
        <f t="shared" si="12"/>
        <v>36119.209999999985</v>
      </c>
    </row>
    <row r="805" spans="2:9" ht="19.5" x14ac:dyDescent="0.25">
      <c r="B805" s="148"/>
      <c r="C805" s="148" t="s">
        <v>16477</v>
      </c>
      <c r="D805" s="150">
        <v>43914</v>
      </c>
      <c r="E805" s="113" t="s">
        <v>16476</v>
      </c>
      <c r="F805" s="257">
        <v>17</v>
      </c>
      <c r="G805" s="255">
        <v>14.03</v>
      </c>
      <c r="I805" s="160">
        <f t="shared" si="12"/>
        <v>36133.239999999983</v>
      </c>
    </row>
    <row r="806" spans="2:9" ht="19.5" x14ac:dyDescent="0.25">
      <c r="B806" s="148"/>
      <c r="C806" s="148" t="s">
        <v>16475</v>
      </c>
      <c r="D806" s="150">
        <v>43914</v>
      </c>
      <c r="E806" s="113" t="s">
        <v>16474</v>
      </c>
      <c r="F806" s="257">
        <v>17</v>
      </c>
      <c r="G806" s="255">
        <v>3.36</v>
      </c>
      <c r="I806" s="160">
        <f t="shared" si="12"/>
        <v>36136.599999999984</v>
      </c>
    </row>
    <row r="807" spans="2:9" ht="19.5" x14ac:dyDescent="0.25">
      <c r="B807" s="148"/>
      <c r="C807" s="148" t="s">
        <v>16473</v>
      </c>
      <c r="D807" s="150">
        <v>43914</v>
      </c>
      <c r="E807" s="113" t="s">
        <v>16472</v>
      </c>
      <c r="F807" s="257">
        <v>17</v>
      </c>
      <c r="G807" s="255">
        <v>26.38</v>
      </c>
      <c r="I807" s="160">
        <f t="shared" si="12"/>
        <v>36162.979999999981</v>
      </c>
    </row>
    <row r="808" spans="2:9" x14ac:dyDescent="0.25">
      <c r="B808" s="148"/>
      <c r="C808" s="148" t="s">
        <v>16471</v>
      </c>
      <c r="D808" s="150">
        <v>43914</v>
      </c>
      <c r="E808" s="113" t="s">
        <v>16470</v>
      </c>
      <c r="F808" s="257">
        <v>17</v>
      </c>
      <c r="G808" s="255">
        <v>3.48</v>
      </c>
      <c r="I808" s="160">
        <f t="shared" si="12"/>
        <v>36166.459999999985</v>
      </c>
    </row>
    <row r="809" spans="2:9" ht="19.5" x14ac:dyDescent="0.25">
      <c r="B809" s="148"/>
      <c r="C809" s="148" t="s">
        <v>16469</v>
      </c>
      <c r="D809" s="150">
        <v>43914</v>
      </c>
      <c r="E809" s="113" t="s">
        <v>16468</v>
      </c>
      <c r="F809" s="257">
        <v>17</v>
      </c>
      <c r="G809" s="255">
        <v>5.28</v>
      </c>
      <c r="I809" s="160">
        <f t="shared" si="12"/>
        <v>36171.739999999983</v>
      </c>
    </row>
    <row r="810" spans="2:9" x14ac:dyDescent="0.25">
      <c r="B810" s="148"/>
      <c r="C810" s="148" t="s">
        <v>16467</v>
      </c>
      <c r="D810" s="150">
        <v>43914</v>
      </c>
      <c r="E810" s="113" t="s">
        <v>16466</v>
      </c>
      <c r="F810" s="257">
        <v>17</v>
      </c>
      <c r="G810" s="255">
        <v>5.68</v>
      </c>
      <c r="I810" s="160">
        <f t="shared" si="12"/>
        <v>36177.419999999984</v>
      </c>
    </row>
    <row r="811" spans="2:9" ht="19.5" x14ac:dyDescent="0.25">
      <c r="B811" s="148"/>
      <c r="C811" s="148" t="s">
        <v>407</v>
      </c>
      <c r="D811" s="150">
        <v>43914</v>
      </c>
      <c r="E811" s="113" t="s">
        <v>16465</v>
      </c>
      <c r="F811" s="257" t="s">
        <v>14433</v>
      </c>
      <c r="H811" s="161">
        <v>88.98</v>
      </c>
      <c r="I811" s="160">
        <f t="shared" si="12"/>
        <v>36088.439999999981</v>
      </c>
    </row>
    <row r="812" spans="2:9" x14ac:dyDescent="0.25">
      <c r="B812" s="148"/>
      <c r="C812" s="148" t="s">
        <v>16464</v>
      </c>
      <c r="D812" s="150">
        <v>43915</v>
      </c>
      <c r="E812" s="113" t="s">
        <v>16463</v>
      </c>
      <c r="F812" s="257" t="s">
        <v>14437</v>
      </c>
      <c r="G812" s="160">
        <v>1.41</v>
      </c>
      <c r="I812" s="160">
        <f t="shared" si="12"/>
        <v>36089.849999999984</v>
      </c>
    </row>
    <row r="813" spans="2:9" ht="19.5" x14ac:dyDescent="0.25">
      <c r="B813" s="148"/>
      <c r="C813" s="148" t="s">
        <v>16462</v>
      </c>
      <c r="D813" s="150">
        <v>43915</v>
      </c>
      <c r="E813" s="113" t="s">
        <v>16461</v>
      </c>
      <c r="F813" s="257" t="s">
        <v>14437</v>
      </c>
      <c r="G813" s="160">
        <v>9.48</v>
      </c>
      <c r="I813" s="160">
        <f t="shared" si="12"/>
        <v>36099.329999999987</v>
      </c>
    </row>
    <row r="814" spans="2:9" ht="19.5" x14ac:dyDescent="0.25">
      <c r="B814" s="148"/>
      <c r="C814" s="148" t="s">
        <v>16460</v>
      </c>
      <c r="D814" s="150">
        <v>43915</v>
      </c>
      <c r="E814" s="113" t="s">
        <v>16459</v>
      </c>
      <c r="F814" s="257">
        <v>18</v>
      </c>
      <c r="G814" s="255">
        <v>24.6</v>
      </c>
      <c r="I814" s="160">
        <f t="shared" si="12"/>
        <v>36123.929999999986</v>
      </c>
    </row>
    <row r="815" spans="2:9" x14ac:dyDescent="0.25">
      <c r="B815" s="148"/>
      <c r="C815" s="148" t="s">
        <v>16458</v>
      </c>
      <c r="D815" s="150">
        <v>43915</v>
      </c>
      <c r="E815" s="113" t="s">
        <v>16457</v>
      </c>
      <c r="F815" s="257">
        <v>18</v>
      </c>
      <c r="G815" s="255">
        <v>4.1900000000000004</v>
      </c>
      <c r="I815" s="160">
        <f t="shared" si="12"/>
        <v>36128.119999999988</v>
      </c>
    </row>
    <row r="816" spans="2:9" ht="19.5" x14ac:dyDescent="0.25">
      <c r="B816" s="148"/>
      <c r="C816" s="148" t="s">
        <v>16456</v>
      </c>
      <c r="D816" s="150">
        <v>43915</v>
      </c>
      <c r="E816" s="113" t="s">
        <v>16455</v>
      </c>
      <c r="F816" s="257">
        <v>18</v>
      </c>
      <c r="G816" s="255">
        <v>10.74</v>
      </c>
      <c r="I816" s="160">
        <f t="shared" si="12"/>
        <v>36138.859999999986</v>
      </c>
    </row>
    <row r="817" spans="2:9" ht="19.5" x14ac:dyDescent="0.25">
      <c r="B817" s="148"/>
      <c r="C817" s="148" t="s">
        <v>16454</v>
      </c>
      <c r="D817" s="150">
        <v>43915</v>
      </c>
      <c r="E817" s="113" t="s">
        <v>16453</v>
      </c>
      <c r="F817" s="257">
        <v>18</v>
      </c>
      <c r="G817" s="255">
        <v>4.4800000000000004</v>
      </c>
      <c r="I817" s="160">
        <f t="shared" si="12"/>
        <v>36143.339999999989</v>
      </c>
    </row>
    <row r="818" spans="2:9" ht="19.5" x14ac:dyDescent="0.25">
      <c r="B818" s="148"/>
      <c r="C818" s="148" t="s">
        <v>16452</v>
      </c>
      <c r="D818" s="150">
        <v>43915</v>
      </c>
      <c r="E818" s="113" t="s">
        <v>16451</v>
      </c>
      <c r="F818" s="257">
        <v>18</v>
      </c>
      <c r="G818" s="255">
        <v>3.64</v>
      </c>
      <c r="I818" s="160">
        <f t="shared" si="12"/>
        <v>36146.979999999989</v>
      </c>
    </row>
    <row r="819" spans="2:9" x14ac:dyDescent="0.25">
      <c r="B819" s="148"/>
      <c r="C819" s="148" t="s">
        <v>16450</v>
      </c>
      <c r="D819" s="150">
        <v>43915</v>
      </c>
      <c r="E819" s="113" t="s">
        <v>16449</v>
      </c>
      <c r="F819" s="257">
        <v>18</v>
      </c>
      <c r="G819" s="255">
        <v>19.63</v>
      </c>
      <c r="I819" s="160">
        <f t="shared" si="12"/>
        <v>36166.609999999986</v>
      </c>
    </row>
    <row r="820" spans="2:9" ht="19.5" x14ac:dyDescent="0.25">
      <c r="B820" s="148"/>
      <c r="C820" s="148" t="s">
        <v>16448</v>
      </c>
      <c r="D820" s="150">
        <v>43916</v>
      </c>
      <c r="E820" s="113" t="s">
        <v>16447</v>
      </c>
      <c r="F820" s="257" t="s">
        <v>14437</v>
      </c>
      <c r="G820" s="160">
        <v>1.44</v>
      </c>
      <c r="I820" s="160">
        <f t="shared" si="12"/>
        <v>36168.049999999988</v>
      </c>
    </row>
    <row r="821" spans="2:9" ht="19.5" x14ac:dyDescent="0.25">
      <c r="B821" s="148"/>
      <c r="C821" s="148" t="s">
        <v>16446</v>
      </c>
      <c r="D821" s="150">
        <v>43916</v>
      </c>
      <c r="E821" s="113" t="s">
        <v>16445</v>
      </c>
      <c r="F821" s="257" t="s">
        <v>14413</v>
      </c>
      <c r="G821" s="258">
        <v>5.37</v>
      </c>
      <c r="I821" s="160">
        <f t="shared" si="12"/>
        <v>36173.419999999991</v>
      </c>
    </row>
    <row r="822" spans="2:9" ht="19.5" x14ac:dyDescent="0.25">
      <c r="B822" s="148"/>
      <c r="C822" s="148" t="s">
        <v>16444</v>
      </c>
      <c r="D822" s="150">
        <v>43916</v>
      </c>
      <c r="E822" s="113" t="s">
        <v>16443</v>
      </c>
      <c r="F822" s="257" t="s">
        <v>14413</v>
      </c>
      <c r="G822" s="258">
        <v>0.9</v>
      </c>
      <c r="I822" s="160">
        <f t="shared" si="12"/>
        <v>36174.319999999992</v>
      </c>
    </row>
    <row r="823" spans="2:9" ht="19.5" x14ac:dyDescent="0.25">
      <c r="B823" s="148"/>
      <c r="C823" s="148" t="s">
        <v>16442</v>
      </c>
      <c r="D823" s="150">
        <v>43916</v>
      </c>
      <c r="E823" s="113" t="s">
        <v>16441</v>
      </c>
      <c r="F823" s="257" t="s">
        <v>14413</v>
      </c>
      <c r="G823" s="258">
        <v>17.02</v>
      </c>
      <c r="I823" s="160">
        <f t="shared" si="12"/>
        <v>36191.339999999989</v>
      </c>
    </row>
    <row r="824" spans="2:9" ht="19.5" x14ac:dyDescent="0.25">
      <c r="B824" s="148"/>
      <c r="C824" s="148" t="s">
        <v>16440</v>
      </c>
      <c r="D824" s="150">
        <v>43916</v>
      </c>
      <c r="E824" s="113" t="s">
        <v>16439</v>
      </c>
      <c r="F824" s="257" t="s">
        <v>14413</v>
      </c>
      <c r="G824" s="258">
        <v>8.68</v>
      </c>
      <c r="I824" s="160">
        <f t="shared" si="12"/>
        <v>36200.01999999999</v>
      </c>
    </row>
    <row r="825" spans="2:9" x14ac:dyDescent="0.25">
      <c r="B825" s="148"/>
      <c r="C825" s="148" t="s">
        <v>16438</v>
      </c>
      <c r="D825" s="150">
        <v>43916</v>
      </c>
      <c r="E825" s="113" t="s">
        <v>16437</v>
      </c>
      <c r="F825" s="257" t="s">
        <v>14437</v>
      </c>
      <c r="G825" s="160">
        <v>2020.49</v>
      </c>
      <c r="I825" s="160">
        <f t="shared" si="12"/>
        <v>38220.509999999987</v>
      </c>
    </row>
    <row r="826" spans="2:9" ht="19.5" x14ac:dyDescent="0.25">
      <c r="B826" s="148"/>
      <c r="C826" s="148" t="s">
        <v>16436</v>
      </c>
      <c r="D826" s="150">
        <v>43917</v>
      </c>
      <c r="E826" s="113" t="s">
        <v>16435</v>
      </c>
      <c r="F826" s="257" t="s">
        <v>14437</v>
      </c>
      <c r="G826" s="160">
        <v>23.77</v>
      </c>
      <c r="I826" s="160">
        <f t="shared" si="12"/>
        <v>38244.279999999984</v>
      </c>
    </row>
    <row r="827" spans="2:9" s="299" customFormat="1" x14ac:dyDescent="0.25">
      <c r="B827" s="295" t="s">
        <v>14414</v>
      </c>
      <c r="C827" s="295" t="s">
        <v>16434</v>
      </c>
      <c r="D827" s="296">
        <v>43917</v>
      </c>
      <c r="E827" s="297" t="s">
        <v>16433</v>
      </c>
      <c r="F827" s="294"/>
      <c r="G827" s="258">
        <v>1.68</v>
      </c>
      <c r="H827" s="298"/>
      <c r="I827" s="160">
        <f t="shared" si="12"/>
        <v>38245.959999999985</v>
      </c>
    </row>
    <row r="828" spans="2:9" s="299" customFormat="1" ht="19.5" x14ac:dyDescent="0.25">
      <c r="B828" s="295" t="s">
        <v>14414</v>
      </c>
      <c r="C828" s="295" t="s">
        <v>16432</v>
      </c>
      <c r="D828" s="296">
        <v>43917</v>
      </c>
      <c r="E828" s="297" t="s">
        <v>16431</v>
      </c>
      <c r="F828" s="294"/>
      <c r="G828" s="258">
        <v>9.19</v>
      </c>
      <c r="H828" s="298"/>
      <c r="I828" s="160">
        <f t="shared" si="12"/>
        <v>38255.149999999987</v>
      </c>
    </row>
    <row r="829" spans="2:9" s="299" customFormat="1" x14ac:dyDescent="0.25">
      <c r="B829" s="295" t="s">
        <v>14414</v>
      </c>
      <c r="C829" s="295" t="s">
        <v>16430</v>
      </c>
      <c r="D829" s="296">
        <v>43917</v>
      </c>
      <c r="E829" s="297" t="s">
        <v>16429</v>
      </c>
      <c r="F829" s="294"/>
      <c r="G829" s="258">
        <v>0.9</v>
      </c>
      <c r="H829" s="298"/>
      <c r="I829" s="160">
        <f t="shared" si="12"/>
        <v>38256.049999999988</v>
      </c>
    </row>
    <row r="830" spans="2:9" s="299" customFormat="1" x14ac:dyDescent="0.25">
      <c r="B830" s="295" t="s">
        <v>14414</v>
      </c>
      <c r="C830" s="295" t="s">
        <v>16428</v>
      </c>
      <c r="D830" s="296">
        <v>43917</v>
      </c>
      <c r="E830" s="297" t="s">
        <v>16427</v>
      </c>
      <c r="F830" s="294"/>
      <c r="G830" s="258">
        <v>4.57</v>
      </c>
      <c r="H830" s="298"/>
      <c r="I830" s="160">
        <f t="shared" si="12"/>
        <v>38260.619999999988</v>
      </c>
    </row>
    <row r="831" spans="2:9" ht="19.5" x14ac:dyDescent="0.25">
      <c r="B831" s="148"/>
      <c r="C831" s="148" t="s">
        <v>16426</v>
      </c>
      <c r="D831" s="150">
        <v>43917</v>
      </c>
      <c r="E831" s="113" t="s">
        <v>16425</v>
      </c>
      <c r="F831" s="257">
        <v>19</v>
      </c>
      <c r="G831" s="255">
        <v>16.760000000000002</v>
      </c>
      <c r="I831" s="160">
        <f t="shared" si="12"/>
        <v>38277.37999999999</v>
      </c>
    </row>
    <row r="832" spans="2:9" ht="19.5" x14ac:dyDescent="0.25">
      <c r="B832" s="148"/>
      <c r="C832" s="148" t="s">
        <v>16424</v>
      </c>
      <c r="D832" s="150">
        <v>43917</v>
      </c>
      <c r="E832" s="113" t="s">
        <v>16423</v>
      </c>
      <c r="F832" s="257">
        <v>19</v>
      </c>
      <c r="G832" s="255">
        <v>6.96</v>
      </c>
      <c r="I832" s="160">
        <f t="shared" si="12"/>
        <v>38284.339999999989</v>
      </c>
    </row>
    <row r="833" spans="2:9" ht="19.5" x14ac:dyDescent="0.25">
      <c r="B833" s="148"/>
      <c r="C833" s="148" t="s">
        <v>16422</v>
      </c>
      <c r="D833" s="150">
        <v>43917</v>
      </c>
      <c r="E833" s="113" t="s">
        <v>16421</v>
      </c>
      <c r="F833" s="257">
        <v>19</v>
      </c>
      <c r="G833" s="255">
        <v>27.83</v>
      </c>
      <c r="I833" s="160">
        <f t="shared" si="12"/>
        <v>38312.169999999991</v>
      </c>
    </row>
    <row r="834" spans="2:9" ht="19.5" x14ac:dyDescent="0.25">
      <c r="B834" s="148"/>
      <c r="C834" s="148" t="s">
        <v>16420</v>
      </c>
      <c r="D834" s="150">
        <v>43917</v>
      </c>
      <c r="E834" s="113" t="s">
        <v>16419</v>
      </c>
      <c r="F834" s="257">
        <v>19</v>
      </c>
      <c r="G834" s="255">
        <v>10.41</v>
      </c>
      <c r="I834" s="160">
        <f t="shared" si="12"/>
        <v>38322.579999999994</v>
      </c>
    </row>
    <row r="835" spans="2:9" ht="19.5" x14ac:dyDescent="0.25">
      <c r="B835" s="148"/>
      <c r="C835" s="148" t="s">
        <v>16418</v>
      </c>
      <c r="D835" s="150">
        <v>43917</v>
      </c>
      <c r="E835" s="113" t="s">
        <v>16417</v>
      </c>
      <c r="F835" s="257">
        <v>19</v>
      </c>
      <c r="G835" s="255">
        <v>3.37</v>
      </c>
      <c r="I835" s="160">
        <f t="shared" si="12"/>
        <v>38325.949999999997</v>
      </c>
    </row>
    <row r="836" spans="2:9" s="299" customFormat="1" x14ac:dyDescent="0.25">
      <c r="B836" s="295" t="s">
        <v>14414</v>
      </c>
      <c r="C836" s="295" t="s">
        <v>16416</v>
      </c>
      <c r="D836" s="296">
        <v>43919</v>
      </c>
      <c r="E836" s="297" t="s">
        <v>16415</v>
      </c>
      <c r="F836" s="294"/>
      <c r="G836" s="258">
        <v>6.48</v>
      </c>
      <c r="H836" s="298"/>
      <c r="I836" s="160">
        <f t="shared" si="12"/>
        <v>38332.43</v>
      </c>
    </row>
    <row r="837" spans="2:9" s="299" customFormat="1" ht="19.5" x14ac:dyDescent="0.25">
      <c r="B837" s="295" t="s">
        <v>14414</v>
      </c>
      <c r="C837" s="295" t="s">
        <v>16414</v>
      </c>
      <c r="D837" s="296">
        <v>43919</v>
      </c>
      <c r="E837" s="297" t="s">
        <v>16413</v>
      </c>
      <c r="F837" s="294"/>
      <c r="G837" s="258">
        <v>4.1399999999999997</v>
      </c>
      <c r="H837" s="298"/>
      <c r="I837" s="160">
        <f t="shared" si="12"/>
        <v>38336.57</v>
      </c>
    </row>
    <row r="838" spans="2:9" x14ac:dyDescent="0.25">
      <c r="B838" s="148"/>
      <c r="C838" s="148" t="s">
        <v>16412</v>
      </c>
      <c r="D838" s="150">
        <v>43920</v>
      </c>
      <c r="E838" s="113" t="s">
        <v>16411</v>
      </c>
      <c r="F838" s="257" t="s">
        <v>14437</v>
      </c>
      <c r="G838" s="160">
        <v>150.75</v>
      </c>
      <c r="I838" s="160">
        <f t="shared" si="12"/>
        <v>38487.32</v>
      </c>
    </row>
    <row r="839" spans="2:9" x14ac:dyDescent="0.25">
      <c r="B839" s="148"/>
      <c r="C839" s="148" t="s">
        <v>16410</v>
      </c>
      <c r="D839" s="150">
        <v>43920</v>
      </c>
      <c r="E839" s="113" t="s">
        <v>16409</v>
      </c>
      <c r="F839" s="257" t="s">
        <v>14437</v>
      </c>
      <c r="G839" s="160">
        <v>34.229999999999997</v>
      </c>
      <c r="I839" s="160">
        <f t="shared" si="12"/>
        <v>38521.550000000003</v>
      </c>
    </row>
    <row r="840" spans="2:9" ht="19.5" x14ac:dyDescent="0.25">
      <c r="B840" s="148"/>
      <c r="C840" s="148" t="s">
        <v>16408</v>
      </c>
      <c r="D840" s="150">
        <v>43920</v>
      </c>
      <c r="E840" s="113" t="s">
        <v>16407</v>
      </c>
      <c r="F840" s="257" t="s">
        <v>14437</v>
      </c>
      <c r="G840" s="160">
        <v>3488.74</v>
      </c>
      <c r="I840" s="160">
        <f t="shared" si="12"/>
        <v>42010.29</v>
      </c>
    </row>
    <row r="841" spans="2:9" s="299" customFormat="1" x14ac:dyDescent="0.25">
      <c r="B841" s="295" t="s">
        <v>14414</v>
      </c>
      <c r="C841" s="295" t="s">
        <v>16406</v>
      </c>
      <c r="D841" s="296">
        <v>43920</v>
      </c>
      <c r="E841" s="297" t="s">
        <v>16405</v>
      </c>
      <c r="F841" s="294"/>
      <c r="G841" s="258">
        <v>5.54</v>
      </c>
      <c r="H841" s="298"/>
      <c r="I841" s="160">
        <f t="shared" si="12"/>
        <v>42015.83</v>
      </c>
    </row>
    <row r="842" spans="2:9" s="299" customFormat="1" x14ac:dyDescent="0.25">
      <c r="B842" s="295" t="s">
        <v>14414</v>
      </c>
      <c r="C842" s="295" t="s">
        <v>16404</v>
      </c>
      <c r="D842" s="296">
        <v>43920</v>
      </c>
      <c r="E842" s="297" t="s">
        <v>16403</v>
      </c>
      <c r="F842" s="294"/>
      <c r="G842" s="258">
        <v>4.12</v>
      </c>
      <c r="H842" s="298"/>
      <c r="I842" s="160">
        <f t="shared" si="12"/>
        <v>42019.950000000004</v>
      </c>
    </row>
    <row r="843" spans="2:9" s="299" customFormat="1" ht="19.5" x14ac:dyDescent="0.25">
      <c r="B843" s="295" t="s">
        <v>14414</v>
      </c>
      <c r="C843" s="295" t="s">
        <v>16402</v>
      </c>
      <c r="D843" s="296">
        <v>43920</v>
      </c>
      <c r="E843" s="297" t="s">
        <v>16401</v>
      </c>
      <c r="F843" s="294"/>
      <c r="G843" s="258">
        <v>3.36</v>
      </c>
      <c r="H843" s="298"/>
      <c r="I843" s="160">
        <f t="shared" si="12"/>
        <v>42023.310000000005</v>
      </c>
    </row>
    <row r="844" spans="2:9" s="299" customFormat="1" x14ac:dyDescent="0.25">
      <c r="B844" s="295" t="s">
        <v>14414</v>
      </c>
      <c r="C844" s="295" t="s">
        <v>16400</v>
      </c>
      <c r="D844" s="296">
        <v>43920</v>
      </c>
      <c r="E844" s="297" t="s">
        <v>16399</v>
      </c>
      <c r="F844" s="294"/>
      <c r="G844" s="258">
        <v>7.43</v>
      </c>
      <c r="H844" s="298"/>
      <c r="I844" s="160">
        <f t="shared" si="12"/>
        <v>42030.740000000005</v>
      </c>
    </row>
    <row r="845" spans="2:9" x14ac:dyDescent="0.25">
      <c r="B845" s="148"/>
      <c r="C845" s="148" t="s">
        <v>16398</v>
      </c>
      <c r="D845" s="150">
        <v>43920</v>
      </c>
      <c r="E845" s="113" t="s">
        <v>16397</v>
      </c>
      <c r="F845" s="257">
        <v>20</v>
      </c>
      <c r="G845" s="255">
        <v>4.58</v>
      </c>
      <c r="I845" s="160">
        <f t="shared" si="12"/>
        <v>42035.320000000007</v>
      </c>
    </row>
    <row r="846" spans="2:9" ht="19.5" x14ac:dyDescent="0.25">
      <c r="B846" s="148"/>
      <c r="C846" s="148" t="s">
        <v>16396</v>
      </c>
      <c r="D846" s="150">
        <v>43920</v>
      </c>
      <c r="E846" s="113" t="s">
        <v>16395</v>
      </c>
      <c r="F846" s="257">
        <v>20</v>
      </c>
      <c r="G846" s="255">
        <v>15.64</v>
      </c>
      <c r="I846" s="160">
        <f t="shared" si="12"/>
        <v>42050.960000000006</v>
      </c>
    </row>
    <row r="847" spans="2:9" x14ac:dyDescent="0.25">
      <c r="B847" s="148"/>
      <c r="C847" s="148" t="s">
        <v>16394</v>
      </c>
      <c r="D847" s="150">
        <v>43920</v>
      </c>
      <c r="E847" s="113" t="s">
        <v>16393</v>
      </c>
      <c r="F847" s="257">
        <v>20</v>
      </c>
      <c r="G847" s="255">
        <v>20.65</v>
      </c>
      <c r="I847" s="160">
        <f t="shared" si="12"/>
        <v>42071.610000000008</v>
      </c>
    </row>
    <row r="848" spans="2:9" ht="19.5" x14ac:dyDescent="0.25">
      <c r="B848" s="148"/>
      <c r="C848" s="148" t="s">
        <v>16392</v>
      </c>
      <c r="D848" s="150">
        <v>43920</v>
      </c>
      <c r="E848" s="113" t="s">
        <v>16391</v>
      </c>
      <c r="F848" s="257">
        <v>20</v>
      </c>
      <c r="G848" s="255">
        <v>8.76</v>
      </c>
      <c r="I848" s="160">
        <f t="shared" si="12"/>
        <v>42080.37000000001</v>
      </c>
    </row>
    <row r="849" spans="2:9" x14ac:dyDescent="0.25">
      <c r="B849" s="148"/>
      <c r="C849" s="148" t="s">
        <v>16390</v>
      </c>
      <c r="D849" s="150">
        <v>43920</v>
      </c>
      <c r="E849" s="113" t="s">
        <v>16389</v>
      </c>
      <c r="F849" s="257">
        <v>20</v>
      </c>
      <c r="G849" s="255">
        <v>3.45</v>
      </c>
      <c r="I849" s="160">
        <f t="shared" si="12"/>
        <v>42083.820000000007</v>
      </c>
    </row>
    <row r="850" spans="2:9" x14ac:dyDescent="0.25">
      <c r="B850" s="148"/>
      <c r="C850" s="148" t="s">
        <v>16388</v>
      </c>
      <c r="D850" s="150">
        <v>43920</v>
      </c>
      <c r="E850" s="113" t="s">
        <v>16387</v>
      </c>
      <c r="F850" s="257">
        <v>20</v>
      </c>
      <c r="G850" s="255">
        <v>1.68</v>
      </c>
      <c r="I850" s="160">
        <f t="shared" si="12"/>
        <v>42085.500000000007</v>
      </c>
    </row>
    <row r="851" spans="2:9" ht="19.5" x14ac:dyDescent="0.25">
      <c r="B851" s="148"/>
      <c r="C851" s="148" t="s">
        <v>16386</v>
      </c>
      <c r="D851" s="150">
        <v>43921</v>
      </c>
      <c r="E851" s="113" t="s">
        <v>16385</v>
      </c>
      <c r="F851" s="257" t="s">
        <v>14450</v>
      </c>
      <c r="G851" s="160">
        <v>8.7799999999999994</v>
      </c>
      <c r="I851" s="160">
        <f t="shared" si="12"/>
        <v>42094.280000000006</v>
      </c>
    </row>
    <row r="852" spans="2:9" s="299" customFormat="1" x14ac:dyDescent="0.25">
      <c r="B852" s="295" t="s">
        <v>14414</v>
      </c>
      <c r="C852" s="295" t="s">
        <v>16384</v>
      </c>
      <c r="D852" s="296">
        <v>43921</v>
      </c>
      <c r="E852" s="297" t="s">
        <v>16383</v>
      </c>
      <c r="F852" s="294"/>
      <c r="G852" s="258">
        <v>1.78</v>
      </c>
      <c r="H852" s="298"/>
      <c r="I852" s="160">
        <f t="shared" si="12"/>
        <v>42096.060000000005</v>
      </c>
    </row>
    <row r="853" spans="2:9" s="299" customFormat="1" x14ac:dyDescent="0.25">
      <c r="B853" s="295" t="s">
        <v>14414</v>
      </c>
      <c r="C853" s="295" t="s">
        <v>16382</v>
      </c>
      <c r="D853" s="296">
        <v>43921</v>
      </c>
      <c r="E853" s="297" t="s">
        <v>16381</v>
      </c>
      <c r="F853" s="294"/>
      <c r="G853" s="258">
        <v>2.89</v>
      </c>
      <c r="H853" s="298"/>
      <c r="I853" s="160">
        <f t="shared" ref="I853:I870" si="13">+I852+G853-H853</f>
        <v>42098.950000000004</v>
      </c>
    </row>
    <row r="854" spans="2:9" ht="19.5" x14ac:dyDescent="0.25">
      <c r="B854" s="148"/>
      <c r="C854" s="148" t="s">
        <v>16380</v>
      </c>
      <c r="D854" s="150">
        <v>43921</v>
      </c>
      <c r="E854" s="113" t="s">
        <v>16379</v>
      </c>
      <c r="F854" s="257">
        <v>21</v>
      </c>
      <c r="G854" s="255">
        <v>2.87</v>
      </c>
      <c r="I854" s="160">
        <f t="shared" si="13"/>
        <v>42101.820000000007</v>
      </c>
    </row>
    <row r="855" spans="2:9" x14ac:dyDescent="0.25">
      <c r="B855" s="148"/>
      <c r="C855" s="148" t="s">
        <v>16378</v>
      </c>
      <c r="D855" s="150">
        <v>43921</v>
      </c>
      <c r="E855" s="113" t="s">
        <v>16377</v>
      </c>
      <c r="F855" s="257">
        <v>21</v>
      </c>
      <c r="G855" s="255">
        <v>1.94</v>
      </c>
      <c r="I855" s="160">
        <f t="shared" si="13"/>
        <v>42103.760000000009</v>
      </c>
    </row>
    <row r="856" spans="2:9" x14ac:dyDescent="0.25">
      <c r="B856" s="148"/>
      <c r="C856" s="148" t="s">
        <v>16376</v>
      </c>
      <c r="D856" s="150">
        <v>43921</v>
      </c>
      <c r="E856" s="113" t="s">
        <v>16375</v>
      </c>
      <c r="F856" s="257">
        <v>21</v>
      </c>
      <c r="G856" s="255">
        <v>2.5299999999999998</v>
      </c>
      <c r="I856" s="160">
        <f t="shared" si="13"/>
        <v>42106.290000000008</v>
      </c>
    </row>
    <row r="857" spans="2:9" ht="19.5" x14ac:dyDescent="0.25">
      <c r="B857" s="148"/>
      <c r="C857" s="148" t="s">
        <v>16374</v>
      </c>
      <c r="D857" s="150">
        <v>43921</v>
      </c>
      <c r="E857" s="113" t="s">
        <v>16373</v>
      </c>
      <c r="F857" s="257">
        <v>21</v>
      </c>
      <c r="G857" s="255">
        <v>5.07</v>
      </c>
      <c r="I857" s="160">
        <f t="shared" si="13"/>
        <v>42111.360000000008</v>
      </c>
    </row>
    <row r="858" spans="2:9" ht="19.5" x14ac:dyDescent="0.25">
      <c r="B858" s="148"/>
      <c r="C858" s="148" t="s">
        <v>16372</v>
      </c>
      <c r="D858" s="150">
        <v>43921</v>
      </c>
      <c r="E858" s="113" t="s">
        <v>16371</v>
      </c>
      <c r="F858" s="257" t="s">
        <v>14433</v>
      </c>
      <c r="H858" s="161">
        <v>2740.95</v>
      </c>
      <c r="I858" s="160">
        <f t="shared" si="13"/>
        <v>39370.410000000011</v>
      </c>
    </row>
    <row r="859" spans="2:9" ht="19.5" x14ac:dyDescent="0.25">
      <c r="B859" s="148"/>
      <c r="C859" s="148" t="s">
        <v>16370</v>
      </c>
      <c r="D859" s="150">
        <v>43921</v>
      </c>
      <c r="E859" s="113" t="s">
        <v>16369</v>
      </c>
      <c r="F859" s="257" t="s">
        <v>14433</v>
      </c>
      <c r="H859" s="161">
        <v>245.18</v>
      </c>
      <c r="I859" s="160">
        <f t="shared" si="13"/>
        <v>39125.23000000001</v>
      </c>
    </row>
    <row r="860" spans="2:9" ht="29.25" x14ac:dyDescent="0.25">
      <c r="B860" s="148"/>
      <c r="C860" s="148" t="s">
        <v>16368</v>
      </c>
      <c r="D860" s="150">
        <v>43921</v>
      </c>
      <c r="E860" s="113" t="s">
        <v>16367</v>
      </c>
      <c r="F860" s="257" t="s">
        <v>14433</v>
      </c>
      <c r="H860" s="161">
        <v>1663.42</v>
      </c>
      <c r="I860" s="160">
        <f t="shared" si="13"/>
        <v>37461.810000000012</v>
      </c>
    </row>
    <row r="861" spans="2:9" x14ac:dyDescent="0.25">
      <c r="B861" s="148"/>
      <c r="C861" s="148" t="s">
        <v>16366</v>
      </c>
      <c r="D861" s="150">
        <v>43921</v>
      </c>
      <c r="E861" s="113" t="s">
        <v>16365</v>
      </c>
      <c r="F861" s="257" t="s">
        <v>14433</v>
      </c>
      <c r="H861" s="161">
        <v>13.52</v>
      </c>
      <c r="I861" s="160">
        <f t="shared" si="13"/>
        <v>37448.290000000015</v>
      </c>
    </row>
    <row r="862" spans="2:9" x14ac:dyDescent="0.25">
      <c r="B862" s="148"/>
      <c r="C862" s="148" t="s">
        <v>16364</v>
      </c>
      <c r="D862" s="150">
        <v>43921</v>
      </c>
      <c r="E862" s="113" t="s">
        <v>16363</v>
      </c>
      <c r="F862" s="257" t="s">
        <v>14433</v>
      </c>
      <c r="H862" s="161">
        <v>100.17</v>
      </c>
      <c r="I862" s="160">
        <f t="shared" si="13"/>
        <v>37348.120000000017</v>
      </c>
    </row>
    <row r="863" spans="2:9" ht="19.5" x14ac:dyDescent="0.25">
      <c r="B863" s="148"/>
      <c r="C863" s="148" t="s">
        <v>16362</v>
      </c>
      <c r="D863" s="150">
        <v>43921</v>
      </c>
      <c r="E863" s="113" t="s">
        <v>16361</v>
      </c>
      <c r="F863" s="257" t="s">
        <v>14433</v>
      </c>
      <c r="H863" s="161">
        <v>24.38</v>
      </c>
      <c r="I863" s="160">
        <f t="shared" si="13"/>
        <v>37323.74000000002</v>
      </c>
    </row>
    <row r="864" spans="2:9" ht="19.5" x14ac:dyDescent="0.25">
      <c r="B864" s="148"/>
      <c r="C864" s="148" t="s">
        <v>16360</v>
      </c>
      <c r="D864" s="150">
        <v>43921</v>
      </c>
      <c r="E864" s="113" t="s">
        <v>16359</v>
      </c>
      <c r="F864" s="257" t="s">
        <v>14433</v>
      </c>
      <c r="H864" s="161">
        <v>14.95</v>
      </c>
      <c r="I864" s="160">
        <f t="shared" si="13"/>
        <v>37308.790000000023</v>
      </c>
    </row>
    <row r="865" spans="2:9" ht="19.5" x14ac:dyDescent="0.25">
      <c r="B865" s="148"/>
      <c r="C865" s="148" t="s">
        <v>16358</v>
      </c>
      <c r="D865" s="150">
        <v>43921</v>
      </c>
      <c r="E865" s="113" t="s">
        <v>16357</v>
      </c>
      <c r="F865" s="257" t="s">
        <v>14433</v>
      </c>
      <c r="H865" s="161">
        <v>11.95</v>
      </c>
      <c r="I865" s="160">
        <f t="shared" si="13"/>
        <v>37296.840000000026</v>
      </c>
    </row>
    <row r="866" spans="2:9" ht="19.5" x14ac:dyDescent="0.25">
      <c r="B866" s="148"/>
      <c r="C866" s="148" t="s">
        <v>16356</v>
      </c>
      <c r="D866" s="150">
        <v>43921</v>
      </c>
      <c r="E866" s="113" t="s">
        <v>16355</v>
      </c>
      <c r="F866" s="257" t="s">
        <v>14433</v>
      </c>
      <c r="H866" s="161">
        <v>19.760000000000002</v>
      </c>
      <c r="I866" s="160">
        <f t="shared" si="13"/>
        <v>37277.080000000024</v>
      </c>
    </row>
    <row r="867" spans="2:9" x14ac:dyDescent="0.25">
      <c r="B867" s="148"/>
      <c r="C867" s="148" t="s">
        <v>16354</v>
      </c>
      <c r="D867" s="150">
        <v>43921</v>
      </c>
      <c r="E867" s="113" t="s">
        <v>16353</v>
      </c>
      <c r="F867" s="257" t="s">
        <v>14433</v>
      </c>
      <c r="H867" s="161">
        <v>8.7799999999999994</v>
      </c>
      <c r="I867" s="160">
        <f t="shared" si="13"/>
        <v>37268.300000000025</v>
      </c>
    </row>
    <row r="868" spans="2:9" x14ac:dyDescent="0.25">
      <c r="B868" s="148"/>
      <c r="C868" s="148" t="s">
        <v>16</v>
      </c>
      <c r="D868" s="150">
        <v>43921</v>
      </c>
      <c r="E868" s="113" t="s">
        <v>16352</v>
      </c>
      <c r="F868" s="257" t="s">
        <v>14433</v>
      </c>
      <c r="H868" s="161">
        <v>9.75</v>
      </c>
      <c r="I868" s="160">
        <f t="shared" si="13"/>
        <v>37258.550000000025</v>
      </c>
    </row>
    <row r="869" spans="2:9" ht="29.25" x14ac:dyDescent="0.25">
      <c r="B869" s="148"/>
      <c r="C869" s="148" t="s">
        <v>16351</v>
      </c>
      <c r="D869" s="150">
        <v>43921</v>
      </c>
      <c r="E869" s="113" t="s">
        <v>16350</v>
      </c>
      <c r="F869" s="257" t="s">
        <v>14433</v>
      </c>
      <c r="H869" s="161">
        <v>9.1300000000000008</v>
      </c>
      <c r="I869" s="160">
        <f t="shared" si="13"/>
        <v>37249.420000000027</v>
      </c>
    </row>
    <row r="870" spans="2:9" ht="19.5" x14ac:dyDescent="0.25">
      <c r="B870" s="148"/>
      <c r="C870" s="148" t="s">
        <v>16349</v>
      </c>
      <c r="D870" s="150">
        <v>43921</v>
      </c>
      <c r="E870" s="113" t="s">
        <v>16348</v>
      </c>
      <c r="F870" s="257" t="s">
        <v>14433</v>
      </c>
      <c r="H870" s="161">
        <v>15.71</v>
      </c>
      <c r="I870" s="160">
        <f t="shared" si="13"/>
        <v>37233.710000000028</v>
      </c>
    </row>
    <row r="871" spans="2:9" x14ac:dyDescent="0.25">
      <c r="B871" s="109"/>
      <c r="C871" s="109" t="s">
        <v>323</v>
      </c>
      <c r="D871" s="151">
        <v>41229</v>
      </c>
      <c r="E871" s="313" t="s">
        <v>322</v>
      </c>
      <c r="F871" s="318"/>
      <c r="H871" s="153" t="s">
        <v>320</v>
      </c>
      <c r="I871" s="162">
        <f>+I870</f>
        <v>37233.710000000028</v>
      </c>
    </row>
    <row r="874" spans="2:9" x14ac:dyDescent="0.25">
      <c r="E874" s="114" t="s">
        <v>319</v>
      </c>
      <c r="I874" s="158" t="s">
        <v>318</v>
      </c>
    </row>
  </sheetData>
  <autoFilter ref="A17:K871" xr:uid="{E1D3CEC0-A045-4991-A2CB-D19728ABB666}"/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74797-09A8-404A-BF2A-2FDF68DC3273}">
  <sheetPr>
    <pageSetUpPr fitToPage="1"/>
  </sheetPr>
  <dimension ref="A1:F295"/>
  <sheetViews>
    <sheetView workbookViewId="0">
      <selection activeCell="A20" sqref="A20:XFD21"/>
    </sheetView>
  </sheetViews>
  <sheetFormatPr baseColWidth="10" defaultRowHeight="15" x14ac:dyDescent="0.25"/>
  <cols>
    <col min="1" max="1" width="11.5703125" style="122"/>
    <col min="2" max="2" width="45.42578125" customWidth="1"/>
    <col min="3" max="3" width="9.28515625" style="169" customWidth="1"/>
    <col min="4" max="4" width="12" style="122" customWidth="1"/>
    <col min="5" max="5" width="15.7109375" bestFit="1" customWidth="1"/>
    <col min="6" max="6" width="10.28515625" bestFit="1" customWidth="1"/>
    <col min="7" max="7" width="10.7109375" customWidth="1"/>
  </cols>
  <sheetData>
    <row r="1" spans="1:6" x14ac:dyDescent="0.25">
      <c r="A1" s="379" t="s">
        <v>14417</v>
      </c>
      <c r="B1" s="379"/>
      <c r="C1" s="379"/>
      <c r="D1" s="379"/>
      <c r="E1" s="379"/>
      <c r="F1" s="379"/>
    </row>
    <row r="2" spans="1:6" x14ac:dyDescent="0.25">
      <c r="A2" s="115" t="s">
        <v>2772</v>
      </c>
      <c r="B2" s="115" t="s">
        <v>2773</v>
      </c>
      <c r="C2" s="165" t="s">
        <v>11</v>
      </c>
      <c r="D2" s="115" t="s">
        <v>2774</v>
      </c>
      <c r="E2" s="115" t="s">
        <v>7</v>
      </c>
      <c r="F2" s="115" t="s">
        <v>2775</v>
      </c>
    </row>
    <row r="3" spans="1:6" x14ac:dyDescent="0.25">
      <c r="A3" s="118" t="str">
        <f>"3960274"</f>
        <v>3960274</v>
      </c>
      <c r="B3" s="116" t="s">
        <v>2798</v>
      </c>
      <c r="C3" s="166">
        <v>8.68</v>
      </c>
      <c r="D3" s="118">
        <v>319880</v>
      </c>
      <c r="E3" s="117">
        <v>43892.3203587963</v>
      </c>
      <c r="F3" s="115">
        <v>3436</v>
      </c>
    </row>
    <row r="4" spans="1:6" x14ac:dyDescent="0.25">
      <c r="A4" s="118" t="str">
        <f>"3907377"</f>
        <v>3907377</v>
      </c>
      <c r="B4" s="116" t="s">
        <v>5801</v>
      </c>
      <c r="C4" s="166">
        <v>1.03</v>
      </c>
      <c r="D4" s="118">
        <v>321889</v>
      </c>
      <c r="E4" s="117">
        <v>43892.389814814815</v>
      </c>
      <c r="F4" s="115">
        <v>3437</v>
      </c>
    </row>
    <row r="5" spans="1:6" x14ac:dyDescent="0.25">
      <c r="A5" s="118" t="str">
        <f>"3903516"</f>
        <v>3903516</v>
      </c>
      <c r="B5" s="116" t="s">
        <v>2785</v>
      </c>
      <c r="C5" s="166">
        <v>12.63</v>
      </c>
      <c r="D5" s="118">
        <v>321048</v>
      </c>
      <c r="E5" s="117">
        <v>43892.463692129626</v>
      </c>
      <c r="F5" s="115">
        <v>3438</v>
      </c>
    </row>
    <row r="6" spans="1:6" x14ac:dyDescent="0.25">
      <c r="A6" s="118" t="str">
        <f>"3906750"</f>
        <v>3906750</v>
      </c>
      <c r="B6" s="116" t="s">
        <v>2911</v>
      </c>
      <c r="C6" s="166">
        <v>7.95</v>
      </c>
      <c r="D6" s="118">
        <v>320843</v>
      </c>
      <c r="E6" s="117">
        <v>43892.477141203701</v>
      </c>
      <c r="F6" s="115">
        <v>3439</v>
      </c>
    </row>
    <row r="7" spans="1:6" x14ac:dyDescent="0.25">
      <c r="A7" s="118" t="str">
        <f>"3945113"</f>
        <v>3945113</v>
      </c>
      <c r="B7" s="116" t="s">
        <v>2790</v>
      </c>
      <c r="C7" s="166">
        <v>8.3800000000000008</v>
      </c>
      <c r="D7" s="118">
        <v>319974</v>
      </c>
      <c r="E7" s="117">
        <v>43892.529340277775</v>
      </c>
      <c r="F7" s="115">
        <v>3440</v>
      </c>
    </row>
    <row r="8" spans="1:6" x14ac:dyDescent="0.25">
      <c r="A8" s="118" t="str">
        <f>"3908881"</f>
        <v>3908881</v>
      </c>
      <c r="B8" s="116" t="s">
        <v>5800</v>
      </c>
      <c r="C8" s="166">
        <v>5.99</v>
      </c>
      <c r="D8" s="118">
        <v>320540</v>
      </c>
      <c r="E8" s="117">
        <v>43892.544768518521</v>
      </c>
      <c r="F8" s="115">
        <v>3441</v>
      </c>
    </row>
    <row r="9" spans="1:6" x14ac:dyDescent="0.25">
      <c r="A9" s="118" t="str">
        <f>"3950084"</f>
        <v>3950084</v>
      </c>
      <c r="B9" s="116" t="s">
        <v>5799</v>
      </c>
      <c r="C9" s="166">
        <v>15.64</v>
      </c>
      <c r="D9" s="118">
        <v>319893</v>
      </c>
      <c r="E9" s="117">
        <v>43892.547210648147</v>
      </c>
      <c r="F9" s="115">
        <v>3442</v>
      </c>
    </row>
    <row r="10" spans="1:6" x14ac:dyDescent="0.25">
      <c r="A10" s="118" t="str">
        <f>"3909086"</f>
        <v>3909086</v>
      </c>
      <c r="B10" s="116" t="s">
        <v>2962</v>
      </c>
      <c r="C10" s="166">
        <v>3.21</v>
      </c>
      <c r="D10" s="118">
        <v>320904</v>
      </c>
      <c r="E10" s="117">
        <v>43892.458541666667</v>
      </c>
      <c r="F10" s="115">
        <v>3443</v>
      </c>
    </row>
    <row r="11" spans="1:6" x14ac:dyDescent="0.25">
      <c r="A11" s="118" t="str">
        <f>"3909177"</f>
        <v>3909177</v>
      </c>
      <c r="B11" s="116" t="s">
        <v>2793</v>
      </c>
      <c r="C11" s="166">
        <v>3.77</v>
      </c>
      <c r="D11" s="118">
        <v>321059</v>
      </c>
      <c r="E11" s="117">
        <v>43892.475300925929</v>
      </c>
      <c r="F11" s="115">
        <v>3444</v>
      </c>
    </row>
    <row r="12" spans="1:6" x14ac:dyDescent="0.25">
      <c r="A12" s="118" t="str">
        <f>"3960319"</f>
        <v>3960319</v>
      </c>
      <c r="B12" s="116" t="s">
        <v>5798</v>
      </c>
      <c r="C12" s="166">
        <v>25.14</v>
      </c>
      <c r="D12" s="118">
        <v>320039</v>
      </c>
      <c r="E12" s="117">
        <v>43892.49795138889</v>
      </c>
      <c r="F12" s="115">
        <v>3446</v>
      </c>
    </row>
    <row r="13" spans="1:6" x14ac:dyDescent="0.25">
      <c r="A13" s="118" t="str">
        <f>"3902710"</f>
        <v>3902710</v>
      </c>
      <c r="B13" s="116" t="s">
        <v>2965</v>
      </c>
      <c r="C13" s="166">
        <v>17.62</v>
      </c>
      <c r="D13" s="118">
        <v>321666</v>
      </c>
      <c r="E13" s="117">
        <v>43892.63422453704</v>
      </c>
      <c r="F13" s="115">
        <v>3445</v>
      </c>
    </row>
    <row r="14" spans="1:6" x14ac:dyDescent="0.25">
      <c r="A14" s="118" t="str">
        <f>"23923219"</f>
        <v>23923219</v>
      </c>
      <c r="B14" s="116" t="s">
        <v>5797</v>
      </c>
      <c r="C14" s="166">
        <v>3.1</v>
      </c>
      <c r="D14" s="118">
        <v>1147</v>
      </c>
      <c r="E14" s="117">
        <v>43892.645821759259</v>
      </c>
      <c r="F14" s="115">
        <v>3449</v>
      </c>
    </row>
    <row r="15" spans="1:6" x14ac:dyDescent="0.25">
      <c r="A15" s="118" t="str">
        <f>"3902041"</f>
        <v>3902041</v>
      </c>
      <c r="B15" s="116" t="s">
        <v>2898</v>
      </c>
      <c r="C15" s="166">
        <v>16.760000000000002</v>
      </c>
      <c r="D15" s="118">
        <v>320053</v>
      </c>
      <c r="E15" s="117">
        <v>43892.683020833334</v>
      </c>
      <c r="F15" s="115">
        <v>3447</v>
      </c>
    </row>
    <row r="16" spans="1:6" x14ac:dyDescent="0.25">
      <c r="A16" s="118" t="str">
        <f>"3907330"</f>
        <v>3907330</v>
      </c>
      <c r="B16" s="116" t="s">
        <v>2899</v>
      </c>
      <c r="C16" s="166">
        <v>17.86</v>
      </c>
      <c r="D16" s="118">
        <v>320149</v>
      </c>
      <c r="E16" s="117">
        <v>43892.683645833335</v>
      </c>
      <c r="F16" s="115">
        <v>3448</v>
      </c>
    </row>
    <row r="17" spans="1:6" x14ac:dyDescent="0.25">
      <c r="A17" s="118" t="str">
        <f>"3906747"</f>
        <v>3906747</v>
      </c>
      <c r="B17" s="116" t="s">
        <v>2942</v>
      </c>
      <c r="C17" s="166">
        <v>6.08</v>
      </c>
      <c r="D17" s="118">
        <v>319589</v>
      </c>
      <c r="E17" s="117">
        <v>43892.68712962963</v>
      </c>
      <c r="F17" s="115">
        <v>3451</v>
      </c>
    </row>
    <row r="18" spans="1:6" x14ac:dyDescent="0.25">
      <c r="A18" s="118" t="str">
        <f>"3900328"</f>
        <v>3900328</v>
      </c>
      <c r="B18" s="116" t="s">
        <v>2881</v>
      </c>
      <c r="C18" s="166">
        <v>3.92</v>
      </c>
      <c r="D18" s="118">
        <v>321363</v>
      </c>
      <c r="E18" s="117">
        <v>43892.701631944445</v>
      </c>
      <c r="F18" s="115">
        <v>3452</v>
      </c>
    </row>
    <row r="19" spans="1:6" x14ac:dyDescent="0.25">
      <c r="A19" s="118" t="str">
        <f>"3900325"</f>
        <v>3900325</v>
      </c>
      <c r="B19" s="116" t="s">
        <v>2881</v>
      </c>
      <c r="C19" s="166">
        <v>3.75</v>
      </c>
      <c r="D19" s="118">
        <v>321362</v>
      </c>
      <c r="E19" s="117">
        <v>43892.702708333331</v>
      </c>
      <c r="F19" s="115">
        <v>3450</v>
      </c>
    </row>
    <row r="20" spans="1:6" s="164" customFormat="1" x14ac:dyDescent="0.25">
      <c r="A20" s="115"/>
      <c r="B20" s="115" t="s">
        <v>5691</v>
      </c>
      <c r="C20" s="167">
        <f>SUM(C3:C19)</f>
        <v>161.51</v>
      </c>
      <c r="D20" s="115">
        <v>1</v>
      </c>
      <c r="E20" s="163"/>
      <c r="F20" s="115"/>
    </row>
    <row r="21" spans="1:6" x14ac:dyDescent="0.25">
      <c r="A21" s="118"/>
      <c r="B21" s="116"/>
      <c r="C21" s="166"/>
      <c r="D21" s="118"/>
      <c r="E21" s="117"/>
      <c r="F21" s="118"/>
    </row>
    <row r="22" spans="1:6" x14ac:dyDescent="0.25">
      <c r="A22" s="118" t="str">
        <f>"3900963"</f>
        <v>3900963</v>
      </c>
      <c r="B22" s="116" t="s">
        <v>5796</v>
      </c>
      <c r="C22" s="166">
        <v>24.62</v>
      </c>
      <c r="D22" s="118">
        <v>312342</v>
      </c>
      <c r="E22" s="117">
        <v>43893.737916666665</v>
      </c>
      <c r="F22" s="115">
        <v>3653</v>
      </c>
    </row>
    <row r="23" spans="1:6" x14ac:dyDescent="0.25">
      <c r="A23" s="118" t="str">
        <f>"3909981"</f>
        <v>3909981</v>
      </c>
      <c r="B23" s="116" t="s">
        <v>2845</v>
      </c>
      <c r="C23" s="166">
        <v>8.19</v>
      </c>
      <c r="D23" s="118">
        <v>320382</v>
      </c>
      <c r="E23" s="117">
        <v>43893.737916666665</v>
      </c>
      <c r="F23" s="115">
        <v>3647</v>
      </c>
    </row>
    <row r="24" spans="1:6" x14ac:dyDescent="0.25">
      <c r="A24" s="118" t="str">
        <f>"3903292"</f>
        <v>3903292</v>
      </c>
      <c r="B24" s="116" t="s">
        <v>2869</v>
      </c>
      <c r="C24" s="166">
        <v>7.01</v>
      </c>
      <c r="D24" s="118">
        <v>320484</v>
      </c>
      <c r="E24" s="117">
        <v>43893.737916666665</v>
      </c>
      <c r="F24" s="115">
        <v>3648</v>
      </c>
    </row>
    <row r="25" spans="1:6" x14ac:dyDescent="0.25">
      <c r="A25" s="118" t="str">
        <f>"3909223"</f>
        <v>3909223</v>
      </c>
      <c r="B25" s="116" t="s">
        <v>2846</v>
      </c>
      <c r="C25" s="166">
        <v>2.61</v>
      </c>
      <c r="D25" s="118">
        <v>321198</v>
      </c>
      <c r="E25" s="117">
        <v>43893.737916666665</v>
      </c>
      <c r="F25" s="115">
        <v>3649</v>
      </c>
    </row>
    <row r="26" spans="1:6" x14ac:dyDescent="0.25">
      <c r="A26" s="118" t="str">
        <f>"3960256"</f>
        <v>3960256</v>
      </c>
      <c r="B26" s="116" t="s">
        <v>2843</v>
      </c>
      <c r="C26" s="166">
        <v>17.899999999999999</v>
      </c>
      <c r="D26" s="118">
        <v>319884</v>
      </c>
      <c r="E26" s="117">
        <v>43893.737916666665</v>
      </c>
      <c r="F26" s="115">
        <v>3650</v>
      </c>
    </row>
    <row r="27" spans="1:6" x14ac:dyDescent="0.25">
      <c r="A27" s="118" t="str">
        <f>"3940013"</f>
        <v>3940013</v>
      </c>
      <c r="B27" s="116" t="s">
        <v>2854</v>
      </c>
      <c r="C27" s="166">
        <v>8.3800000000000008</v>
      </c>
      <c r="D27" s="118">
        <v>319866</v>
      </c>
      <c r="E27" s="117">
        <v>43893.737916666665</v>
      </c>
      <c r="F27" s="115">
        <v>3651</v>
      </c>
    </row>
    <row r="28" spans="1:6" x14ac:dyDescent="0.25">
      <c r="A28" s="118" t="str">
        <f>"3950041"</f>
        <v>3950041</v>
      </c>
      <c r="B28" s="116" t="s">
        <v>2850</v>
      </c>
      <c r="C28" s="166">
        <v>4.1900000000000004</v>
      </c>
      <c r="D28" s="118">
        <v>319888</v>
      </c>
      <c r="E28" s="117">
        <v>43893.737916666665</v>
      </c>
      <c r="F28" s="115">
        <v>3652</v>
      </c>
    </row>
    <row r="29" spans="1:6" x14ac:dyDescent="0.25">
      <c r="A29" s="118" t="str">
        <f>"3901113"</f>
        <v>3901113</v>
      </c>
      <c r="B29" s="116" t="s">
        <v>2856</v>
      </c>
      <c r="C29" s="166">
        <v>1.84</v>
      </c>
      <c r="D29" s="118">
        <v>320649</v>
      </c>
      <c r="E29" s="117">
        <v>43893.737916666665</v>
      </c>
      <c r="F29" s="115">
        <v>3654</v>
      </c>
    </row>
    <row r="30" spans="1:6" x14ac:dyDescent="0.25">
      <c r="A30" s="118" t="str">
        <f>"3900676"</f>
        <v>3900676</v>
      </c>
      <c r="B30" s="116" t="s">
        <v>5795</v>
      </c>
      <c r="C30" s="166">
        <v>0.82</v>
      </c>
      <c r="D30" s="118">
        <v>321939</v>
      </c>
      <c r="E30" s="117">
        <v>43893.737916666665</v>
      </c>
      <c r="F30" s="115">
        <v>3655</v>
      </c>
    </row>
    <row r="31" spans="1:6" x14ac:dyDescent="0.25">
      <c r="A31" s="118" t="str">
        <f>"3945262"</f>
        <v>3945262</v>
      </c>
      <c r="B31" s="116" t="s">
        <v>2857</v>
      </c>
      <c r="C31" s="166">
        <v>3.36</v>
      </c>
      <c r="D31" s="118">
        <v>320107</v>
      </c>
      <c r="E31" s="117">
        <v>43893.737916666665</v>
      </c>
      <c r="F31" s="115">
        <v>3656</v>
      </c>
    </row>
    <row r="32" spans="1:6" x14ac:dyDescent="0.25">
      <c r="A32" s="118" t="str">
        <f>"3903282"</f>
        <v>3903282</v>
      </c>
      <c r="B32" s="116" t="s">
        <v>2847</v>
      </c>
      <c r="C32" s="166">
        <v>2.14</v>
      </c>
      <c r="D32" s="118">
        <v>321727</v>
      </c>
      <c r="E32" s="117">
        <v>43893.737916666665</v>
      </c>
      <c r="F32" s="115">
        <v>3657</v>
      </c>
    </row>
    <row r="33" spans="1:6" x14ac:dyDescent="0.25">
      <c r="A33" s="118" t="str">
        <f>"3950328"</f>
        <v>3950328</v>
      </c>
      <c r="B33" s="116" t="s">
        <v>2848</v>
      </c>
      <c r="C33" s="166">
        <v>10.42</v>
      </c>
      <c r="D33" s="118">
        <v>320038</v>
      </c>
      <c r="E33" s="117">
        <v>43893.737916666665</v>
      </c>
      <c r="F33" s="115">
        <v>3658</v>
      </c>
    </row>
    <row r="34" spans="1:6" x14ac:dyDescent="0.25">
      <c r="A34" s="118" t="str">
        <f>"3960264"</f>
        <v>3960264</v>
      </c>
      <c r="B34" s="116" t="s">
        <v>2858</v>
      </c>
      <c r="C34" s="166">
        <v>50.19</v>
      </c>
      <c r="D34" s="118">
        <v>319872</v>
      </c>
      <c r="E34" s="117">
        <v>43893.737916666665</v>
      </c>
      <c r="F34" s="115">
        <v>3659</v>
      </c>
    </row>
    <row r="35" spans="1:6" x14ac:dyDescent="0.25">
      <c r="A35" s="118" t="str">
        <f>"3903098"</f>
        <v>3903098</v>
      </c>
      <c r="B35" s="116" t="s">
        <v>2849</v>
      </c>
      <c r="C35" s="166">
        <v>3.47</v>
      </c>
      <c r="D35" s="118">
        <v>320222</v>
      </c>
      <c r="E35" s="117">
        <v>43893.737916666665</v>
      </c>
      <c r="F35" s="115">
        <v>3660</v>
      </c>
    </row>
    <row r="36" spans="1:6" x14ac:dyDescent="0.25">
      <c r="A36" s="118" t="str">
        <f>"3906324"</f>
        <v>3906324</v>
      </c>
      <c r="B36" s="116" t="s">
        <v>2855</v>
      </c>
      <c r="C36" s="166">
        <v>4.1900000000000004</v>
      </c>
      <c r="D36" s="118">
        <v>320128</v>
      </c>
      <c r="E36" s="117">
        <v>43893.737916666665</v>
      </c>
      <c r="F36" s="115">
        <v>3661</v>
      </c>
    </row>
    <row r="37" spans="1:6" x14ac:dyDescent="0.25">
      <c r="A37" s="118" t="str">
        <f>"3920281"</f>
        <v>3920281</v>
      </c>
      <c r="B37" s="116" t="s">
        <v>2851</v>
      </c>
      <c r="C37" s="166">
        <v>7.82</v>
      </c>
      <c r="D37" s="118">
        <v>319863</v>
      </c>
      <c r="E37" s="117">
        <v>43893.737916666665</v>
      </c>
      <c r="F37" s="115">
        <v>3662</v>
      </c>
    </row>
    <row r="38" spans="1:6" x14ac:dyDescent="0.25">
      <c r="A38" s="118" t="str">
        <f>"3908927"</f>
        <v>3908927</v>
      </c>
      <c r="B38" s="116" t="s">
        <v>2852</v>
      </c>
      <c r="C38" s="166">
        <v>3.36</v>
      </c>
      <c r="D38" s="118">
        <v>320624</v>
      </c>
      <c r="E38" s="117">
        <v>43893.737916666665</v>
      </c>
      <c r="F38" s="115">
        <v>3663</v>
      </c>
    </row>
    <row r="39" spans="1:6" x14ac:dyDescent="0.25">
      <c r="A39" s="118" t="str">
        <f>"3945272"</f>
        <v>3945272</v>
      </c>
      <c r="B39" s="116" t="s">
        <v>2853</v>
      </c>
      <c r="C39" s="166">
        <v>4.1900000000000004</v>
      </c>
      <c r="D39" s="118">
        <v>320104</v>
      </c>
      <c r="E39" s="117">
        <v>43893.737916666665</v>
      </c>
      <c r="F39" s="115">
        <v>3664</v>
      </c>
    </row>
    <row r="40" spans="1:6" x14ac:dyDescent="0.25">
      <c r="A40" s="118" t="str">
        <f>"3960277"</f>
        <v>3960277</v>
      </c>
      <c r="B40" s="116" t="s">
        <v>2838</v>
      </c>
      <c r="C40" s="166">
        <v>7.82</v>
      </c>
      <c r="D40" s="118">
        <v>319902</v>
      </c>
      <c r="E40" s="117">
        <v>43893.737916666665</v>
      </c>
      <c r="F40" s="115">
        <v>3665</v>
      </c>
    </row>
    <row r="41" spans="1:6" x14ac:dyDescent="0.25">
      <c r="A41" s="118" t="str">
        <f>"3950033"</f>
        <v>3950033</v>
      </c>
      <c r="B41" s="116" t="s">
        <v>2828</v>
      </c>
      <c r="C41" s="166">
        <v>8.3800000000000008</v>
      </c>
      <c r="D41" s="118">
        <v>319889</v>
      </c>
      <c r="E41" s="117">
        <v>43893.737916666665</v>
      </c>
      <c r="F41" s="115">
        <v>3666</v>
      </c>
    </row>
    <row r="42" spans="1:6" x14ac:dyDescent="0.25">
      <c r="A42" s="118" t="str">
        <f>"3960212"</f>
        <v>3960212</v>
      </c>
      <c r="B42" s="116" t="s">
        <v>2837</v>
      </c>
      <c r="C42" s="166">
        <v>8.77</v>
      </c>
      <c r="D42" s="118">
        <v>319917</v>
      </c>
      <c r="E42" s="117">
        <v>43893.737916666665</v>
      </c>
      <c r="F42" s="115">
        <v>3667</v>
      </c>
    </row>
    <row r="43" spans="1:6" x14ac:dyDescent="0.25">
      <c r="A43" s="118" t="str">
        <f>"3901398"</f>
        <v>3901398</v>
      </c>
      <c r="B43" s="116" t="s">
        <v>2829</v>
      </c>
      <c r="C43" s="166">
        <v>3.17</v>
      </c>
      <c r="D43" s="118">
        <v>321535</v>
      </c>
      <c r="E43" s="117">
        <v>43893.737916666665</v>
      </c>
      <c r="F43" s="115">
        <v>3668</v>
      </c>
    </row>
    <row r="44" spans="1:6" x14ac:dyDescent="0.25">
      <c r="A44" s="118" t="str">
        <f>"3903781"</f>
        <v>3903781</v>
      </c>
      <c r="B44" s="116" t="s">
        <v>2830</v>
      </c>
      <c r="C44" s="166">
        <v>7.82</v>
      </c>
      <c r="D44" s="118">
        <v>320099</v>
      </c>
      <c r="E44" s="117">
        <v>43893.737916666665</v>
      </c>
      <c r="F44" s="115">
        <v>3669</v>
      </c>
    </row>
    <row r="45" spans="1:6" x14ac:dyDescent="0.25">
      <c r="A45" s="118" t="str">
        <f>"3902419"</f>
        <v>3902419</v>
      </c>
      <c r="B45" s="116" t="s">
        <v>2821</v>
      </c>
      <c r="C45" s="166">
        <v>7.53</v>
      </c>
      <c r="D45" s="118">
        <v>321133</v>
      </c>
      <c r="E45" s="117">
        <v>43893.737916666665</v>
      </c>
      <c r="F45" s="115">
        <v>3670</v>
      </c>
    </row>
    <row r="46" spans="1:6" x14ac:dyDescent="0.25">
      <c r="A46" s="118" t="str">
        <f>"3903883"</f>
        <v>3903883</v>
      </c>
      <c r="B46" s="116" t="s">
        <v>5794</v>
      </c>
      <c r="C46" s="166">
        <v>0.27</v>
      </c>
      <c r="D46" s="118">
        <v>322076</v>
      </c>
      <c r="E46" s="117">
        <v>43893.737916666665</v>
      </c>
      <c r="F46" s="115">
        <v>3671</v>
      </c>
    </row>
    <row r="47" spans="1:6" x14ac:dyDescent="0.25">
      <c r="A47" s="118" t="str">
        <f>"3909039"</f>
        <v>3909039</v>
      </c>
      <c r="B47" s="116" t="s">
        <v>2833</v>
      </c>
      <c r="C47" s="166">
        <v>2.16</v>
      </c>
      <c r="D47" s="118">
        <v>320894</v>
      </c>
      <c r="E47" s="117">
        <v>43893.737916666665</v>
      </c>
      <c r="F47" s="115">
        <v>3672</v>
      </c>
    </row>
    <row r="48" spans="1:6" x14ac:dyDescent="0.25">
      <c r="A48" s="118" t="str">
        <f>"3906802"</f>
        <v>3906802</v>
      </c>
      <c r="B48" s="116" t="s">
        <v>2822</v>
      </c>
      <c r="C48" s="166">
        <v>1.92</v>
      </c>
      <c r="D48" s="118">
        <v>321004</v>
      </c>
      <c r="E48" s="117">
        <v>43893.737916666665</v>
      </c>
      <c r="F48" s="115">
        <v>3673</v>
      </c>
    </row>
    <row r="49" spans="1:6" x14ac:dyDescent="0.25">
      <c r="A49" s="118" t="str">
        <f>"3945435"</f>
        <v>3945435</v>
      </c>
      <c r="B49" s="116" t="s">
        <v>2834</v>
      </c>
      <c r="C49" s="166">
        <v>8.3800000000000008</v>
      </c>
      <c r="D49" s="118">
        <v>320002</v>
      </c>
      <c r="E49" s="117">
        <v>43893.737916666665</v>
      </c>
      <c r="F49" s="115">
        <v>3674</v>
      </c>
    </row>
    <row r="50" spans="1:6" x14ac:dyDescent="0.25">
      <c r="A50" s="118" t="str">
        <f>"3903467"</f>
        <v>3903467</v>
      </c>
      <c r="B50" s="116" t="s">
        <v>2823</v>
      </c>
      <c r="C50" s="166">
        <v>3.04</v>
      </c>
      <c r="D50" s="118">
        <v>320536</v>
      </c>
      <c r="E50" s="117">
        <v>43893.737916666665</v>
      </c>
      <c r="F50" s="115">
        <v>3675</v>
      </c>
    </row>
    <row r="51" spans="1:6" x14ac:dyDescent="0.25">
      <c r="A51" s="118" t="str">
        <f>"3945105"</f>
        <v>3945105</v>
      </c>
      <c r="B51" s="116" t="s">
        <v>5750</v>
      </c>
      <c r="C51" s="166">
        <v>8.3800000000000008</v>
      </c>
      <c r="D51" s="118">
        <v>319964</v>
      </c>
      <c r="E51" s="117">
        <v>43893.737916666665</v>
      </c>
      <c r="F51" s="115">
        <v>3676</v>
      </c>
    </row>
    <row r="52" spans="1:6" x14ac:dyDescent="0.25">
      <c r="A52" s="118" t="str">
        <f>"3945284"</f>
        <v>3945284</v>
      </c>
      <c r="B52" s="116" t="s">
        <v>2842</v>
      </c>
      <c r="C52" s="166">
        <v>36.01</v>
      </c>
      <c r="D52" s="118">
        <v>320106</v>
      </c>
      <c r="E52" s="117">
        <v>43893.737916666665</v>
      </c>
      <c r="F52" s="115">
        <v>3677</v>
      </c>
    </row>
    <row r="53" spans="1:6" x14ac:dyDescent="0.25">
      <c r="A53" s="118" t="str">
        <f>"3960364"</f>
        <v>3960364</v>
      </c>
      <c r="B53" s="116" t="s">
        <v>2839</v>
      </c>
      <c r="C53" s="166">
        <v>8.44</v>
      </c>
      <c r="D53" s="118">
        <v>319971</v>
      </c>
      <c r="E53" s="117">
        <v>43893.737916666665</v>
      </c>
      <c r="F53" s="115">
        <v>3678</v>
      </c>
    </row>
    <row r="54" spans="1:6" x14ac:dyDescent="0.25">
      <c r="A54" s="118" t="str">
        <f>"3945102"</f>
        <v>3945102</v>
      </c>
      <c r="B54" s="116" t="s">
        <v>2835</v>
      </c>
      <c r="C54" s="166">
        <v>8.3800000000000008</v>
      </c>
      <c r="D54" s="118">
        <v>319957</v>
      </c>
      <c r="E54" s="117">
        <v>43893.737916666665</v>
      </c>
      <c r="F54" s="115">
        <v>3679</v>
      </c>
    </row>
    <row r="55" spans="1:6" x14ac:dyDescent="0.25">
      <c r="A55" s="118" t="str">
        <f>"3907239"</f>
        <v>3907239</v>
      </c>
      <c r="B55" s="116" t="s">
        <v>2836</v>
      </c>
      <c r="C55" s="166">
        <v>6.94</v>
      </c>
      <c r="D55" s="118">
        <v>320200</v>
      </c>
      <c r="E55" s="117">
        <v>43893.737916666665</v>
      </c>
      <c r="F55" s="115">
        <v>3680</v>
      </c>
    </row>
    <row r="56" spans="1:6" x14ac:dyDescent="0.25">
      <c r="A56" s="118" t="str">
        <f>"3903061"</f>
        <v>3903061</v>
      </c>
      <c r="B56" s="116" t="s">
        <v>2832</v>
      </c>
      <c r="C56" s="166">
        <v>6.94</v>
      </c>
      <c r="D56" s="118">
        <v>320213</v>
      </c>
      <c r="E56" s="117">
        <v>43893.737916666665</v>
      </c>
      <c r="F56" s="115">
        <v>3681</v>
      </c>
    </row>
    <row r="57" spans="1:6" x14ac:dyDescent="0.25">
      <c r="A57" s="118" t="str">
        <f>"3902750"</f>
        <v>3902750</v>
      </c>
      <c r="B57" s="116" t="s">
        <v>2824</v>
      </c>
      <c r="C57" s="166">
        <v>11.3</v>
      </c>
      <c r="D57" s="118">
        <v>320089</v>
      </c>
      <c r="E57" s="117">
        <v>43893.737916666665</v>
      </c>
      <c r="F57" s="115">
        <v>3682</v>
      </c>
    </row>
    <row r="58" spans="1:6" x14ac:dyDescent="0.25">
      <c r="A58" s="118" t="str">
        <f>"3903364"</f>
        <v>3903364</v>
      </c>
      <c r="B58" s="116" t="s">
        <v>2825</v>
      </c>
      <c r="C58" s="166">
        <v>6.4</v>
      </c>
      <c r="D58" s="118">
        <v>320588</v>
      </c>
      <c r="E58" s="117">
        <v>43893.737916666665</v>
      </c>
      <c r="F58" s="115">
        <v>3683</v>
      </c>
    </row>
    <row r="59" spans="1:6" x14ac:dyDescent="0.25">
      <c r="A59" s="118" t="str">
        <f>"3960315"</f>
        <v>3960315</v>
      </c>
      <c r="B59" s="116" t="s">
        <v>2826</v>
      </c>
      <c r="C59" s="166">
        <v>4.3499999999999996</v>
      </c>
      <c r="D59" s="118">
        <v>320033</v>
      </c>
      <c r="E59" s="117">
        <v>43893.737916666665</v>
      </c>
      <c r="F59" s="115">
        <v>3684</v>
      </c>
    </row>
    <row r="60" spans="1:6" x14ac:dyDescent="0.25">
      <c r="A60" s="118" t="str">
        <f>"3900349"</f>
        <v>3900349</v>
      </c>
      <c r="B60" s="116" t="s">
        <v>2827</v>
      </c>
      <c r="C60" s="166">
        <v>3.12</v>
      </c>
      <c r="D60" s="118">
        <v>321375</v>
      </c>
      <c r="E60" s="117">
        <v>43893.737916666665</v>
      </c>
      <c r="F60" s="115">
        <v>3685</v>
      </c>
    </row>
    <row r="61" spans="1:6" x14ac:dyDescent="0.25">
      <c r="A61" s="118" t="str">
        <f>"3903127"</f>
        <v>3903127</v>
      </c>
      <c r="B61" s="116" t="s">
        <v>2840</v>
      </c>
      <c r="C61" s="166">
        <v>1.68</v>
      </c>
      <c r="D61" s="118">
        <v>320296</v>
      </c>
      <c r="E61" s="117">
        <v>43893.737916666665</v>
      </c>
      <c r="F61" s="115">
        <v>3686</v>
      </c>
    </row>
    <row r="62" spans="1:6" x14ac:dyDescent="0.25">
      <c r="A62" s="118" t="str">
        <f>"3907541"</f>
        <v>3907541</v>
      </c>
      <c r="B62" s="116" t="s">
        <v>2841</v>
      </c>
      <c r="C62" s="166">
        <v>3.61</v>
      </c>
      <c r="D62" s="118">
        <v>320315</v>
      </c>
      <c r="E62" s="117">
        <v>43893.737916666665</v>
      </c>
      <c r="F62" s="115">
        <v>3687</v>
      </c>
    </row>
    <row r="63" spans="1:6" x14ac:dyDescent="0.25">
      <c r="A63" s="118" t="str">
        <f>"3909936"</f>
        <v>3909936</v>
      </c>
      <c r="B63" s="116" t="s">
        <v>2820</v>
      </c>
      <c r="C63" s="166">
        <v>5.25</v>
      </c>
      <c r="D63" s="118">
        <v>320452</v>
      </c>
      <c r="E63" s="117">
        <v>43893.737916666665</v>
      </c>
      <c r="F63" s="115">
        <v>3688</v>
      </c>
    </row>
    <row r="64" spans="1:6" x14ac:dyDescent="0.25">
      <c r="A64" s="118" t="str">
        <f>"3909054"</f>
        <v>3909054</v>
      </c>
      <c r="B64" s="116" t="s">
        <v>2864</v>
      </c>
      <c r="C64" s="166">
        <v>1.68</v>
      </c>
      <c r="D64" s="118">
        <v>322362</v>
      </c>
      <c r="E64" s="117">
        <v>43893.737916666665</v>
      </c>
      <c r="F64" s="115">
        <v>3689</v>
      </c>
    </row>
    <row r="65" spans="1:6" x14ac:dyDescent="0.25">
      <c r="A65" s="118" t="str">
        <f>"3900340"</f>
        <v>3900340</v>
      </c>
      <c r="B65" s="116" t="s">
        <v>2865</v>
      </c>
      <c r="C65" s="166">
        <v>15.3</v>
      </c>
      <c r="D65" s="118">
        <v>322114</v>
      </c>
      <c r="E65" s="117">
        <v>43893.737916666665</v>
      </c>
      <c r="F65" s="115">
        <v>3690</v>
      </c>
    </row>
    <row r="66" spans="1:6" x14ac:dyDescent="0.25">
      <c r="A66" s="118" t="str">
        <f>"3900344"</f>
        <v>3900344</v>
      </c>
      <c r="B66" s="116" t="s">
        <v>2865</v>
      </c>
      <c r="C66" s="166">
        <v>15.3</v>
      </c>
      <c r="D66" s="118">
        <v>322115</v>
      </c>
      <c r="E66" s="117">
        <v>43893.737916666665</v>
      </c>
      <c r="F66" s="115">
        <v>3691</v>
      </c>
    </row>
    <row r="67" spans="1:6" x14ac:dyDescent="0.25">
      <c r="A67" s="118" t="str">
        <f>"3900657"</f>
        <v>3900657</v>
      </c>
      <c r="B67" s="116" t="s">
        <v>2865</v>
      </c>
      <c r="C67" s="166">
        <v>15.3</v>
      </c>
      <c r="D67" s="118">
        <v>322113</v>
      </c>
      <c r="E67" s="117">
        <v>43893.737916666665</v>
      </c>
      <c r="F67" s="115">
        <v>3692</v>
      </c>
    </row>
    <row r="68" spans="1:6" x14ac:dyDescent="0.25">
      <c r="A68" s="118" t="str">
        <f>"3909007"</f>
        <v>3909007</v>
      </c>
      <c r="B68" s="116" t="s">
        <v>2866</v>
      </c>
      <c r="C68" s="166">
        <v>5.42</v>
      </c>
      <c r="D68" s="118">
        <v>322321</v>
      </c>
      <c r="E68" s="117">
        <v>43893.737916666665</v>
      </c>
      <c r="F68" s="115">
        <v>3693</v>
      </c>
    </row>
    <row r="69" spans="1:6" x14ac:dyDescent="0.25">
      <c r="A69" s="118" t="str">
        <f>"3945038"</f>
        <v>3945038</v>
      </c>
      <c r="B69" s="116" t="s">
        <v>2867</v>
      </c>
      <c r="C69" s="166">
        <v>15.3</v>
      </c>
      <c r="D69" s="118">
        <v>322118</v>
      </c>
      <c r="E69" s="117">
        <v>43893.737916666665</v>
      </c>
      <c r="F69" s="115">
        <v>3694</v>
      </c>
    </row>
    <row r="70" spans="1:6" x14ac:dyDescent="0.25">
      <c r="A70" s="118" t="str">
        <f>"3901033"</f>
        <v>3901033</v>
      </c>
      <c r="B70" s="116" t="s">
        <v>2868</v>
      </c>
      <c r="C70" s="166">
        <v>66.63</v>
      </c>
      <c r="D70" s="118">
        <v>322124</v>
      </c>
      <c r="E70" s="117">
        <v>43893.737916666665</v>
      </c>
      <c r="F70" s="115">
        <v>3695</v>
      </c>
    </row>
    <row r="71" spans="1:6" x14ac:dyDescent="0.25">
      <c r="A71" s="118" t="str">
        <f>"3907922"</f>
        <v>3907922</v>
      </c>
      <c r="B71" s="116" t="s">
        <v>2860</v>
      </c>
      <c r="C71" s="166">
        <v>1.68</v>
      </c>
      <c r="D71" s="118">
        <v>322358</v>
      </c>
      <c r="E71" s="117">
        <v>43893.737916666665</v>
      </c>
      <c r="F71" s="115">
        <v>3696</v>
      </c>
    </row>
    <row r="72" spans="1:6" x14ac:dyDescent="0.25">
      <c r="A72" s="118" t="str">
        <f>"3906796"</f>
        <v>3906796</v>
      </c>
      <c r="B72" s="116" t="s">
        <v>2861</v>
      </c>
      <c r="C72" s="166">
        <v>5.94</v>
      </c>
      <c r="D72" s="118">
        <v>322374</v>
      </c>
      <c r="E72" s="117">
        <v>43893.737916666665</v>
      </c>
      <c r="F72" s="115">
        <v>3697</v>
      </c>
    </row>
    <row r="73" spans="1:6" x14ac:dyDescent="0.25">
      <c r="A73" s="118" t="str">
        <f>"3908716"</f>
        <v>3908716</v>
      </c>
      <c r="B73" s="116" t="s">
        <v>2862</v>
      </c>
      <c r="C73" s="166">
        <v>57.79</v>
      </c>
      <c r="D73" s="118">
        <v>322242</v>
      </c>
      <c r="E73" s="117">
        <v>43893.737916666665</v>
      </c>
      <c r="F73" s="115">
        <v>3698</v>
      </c>
    </row>
    <row r="74" spans="1:6" x14ac:dyDescent="0.25">
      <c r="A74" s="118" t="str">
        <f>"3908672"</f>
        <v>3908672</v>
      </c>
      <c r="B74" s="116" t="s">
        <v>2863</v>
      </c>
      <c r="C74" s="166">
        <v>2.15</v>
      </c>
      <c r="D74" s="118">
        <v>322233</v>
      </c>
      <c r="E74" s="117">
        <v>43893.737916666665</v>
      </c>
      <c r="F74" s="115">
        <v>3699</v>
      </c>
    </row>
    <row r="75" spans="1:6" x14ac:dyDescent="0.25">
      <c r="A75" s="118" t="str">
        <f>"3960257"</f>
        <v>3960257</v>
      </c>
      <c r="B75" s="116" t="s">
        <v>2880</v>
      </c>
      <c r="C75" s="166">
        <v>16.86</v>
      </c>
      <c r="D75" s="118">
        <v>322110</v>
      </c>
      <c r="E75" s="117">
        <v>43893.419641203705</v>
      </c>
      <c r="F75" s="115">
        <v>3700</v>
      </c>
    </row>
    <row r="76" spans="1:6" x14ac:dyDescent="0.25">
      <c r="A76" s="118" t="str">
        <f>"3960275"</f>
        <v>3960275</v>
      </c>
      <c r="B76" s="116" t="s">
        <v>2880</v>
      </c>
      <c r="C76" s="166">
        <v>15.3</v>
      </c>
      <c r="D76" s="118">
        <v>322117</v>
      </c>
      <c r="E76" s="117">
        <v>43893.421018518522</v>
      </c>
      <c r="F76" s="115">
        <v>3701</v>
      </c>
    </row>
    <row r="77" spans="1:6" x14ac:dyDescent="0.25">
      <c r="A77" s="118" t="str">
        <f>"3908875"</f>
        <v>3908875</v>
      </c>
      <c r="B77" s="116" t="s">
        <v>5759</v>
      </c>
      <c r="C77" s="166">
        <v>1.68</v>
      </c>
      <c r="D77" s="118">
        <v>320573</v>
      </c>
      <c r="E77" s="117">
        <v>43893.426782407405</v>
      </c>
      <c r="F77" s="115">
        <v>3702</v>
      </c>
    </row>
    <row r="78" spans="1:6" x14ac:dyDescent="0.25">
      <c r="A78" s="118" t="str">
        <f>"3920094"</f>
        <v>3920094</v>
      </c>
      <c r="B78" s="116" t="s">
        <v>5793</v>
      </c>
      <c r="C78" s="166">
        <v>35.799999999999997</v>
      </c>
      <c r="D78" s="118">
        <v>319900</v>
      </c>
      <c r="E78" s="117">
        <v>43893.436249999999</v>
      </c>
      <c r="F78" s="115">
        <v>3703</v>
      </c>
    </row>
    <row r="79" spans="1:6" x14ac:dyDescent="0.25">
      <c r="A79" s="118" t="str">
        <f>"3903866"</f>
        <v>3903866</v>
      </c>
      <c r="B79" s="116" t="s">
        <v>5792</v>
      </c>
      <c r="C79" s="166">
        <v>5.1100000000000003</v>
      </c>
      <c r="D79" s="118">
        <v>321763</v>
      </c>
      <c r="E79" s="117">
        <v>43893.458807870367</v>
      </c>
      <c r="F79" s="115">
        <v>3704</v>
      </c>
    </row>
    <row r="80" spans="1:6" x14ac:dyDescent="0.25">
      <c r="A80" s="118" t="str">
        <f>"3903549"</f>
        <v>3903549</v>
      </c>
      <c r="B80" s="116" t="s">
        <v>2814</v>
      </c>
      <c r="C80" s="166">
        <v>1.78</v>
      </c>
      <c r="D80" s="118">
        <v>320823</v>
      </c>
      <c r="E80" s="117">
        <v>43893.493981481479</v>
      </c>
      <c r="F80" s="115">
        <v>3705</v>
      </c>
    </row>
    <row r="81" spans="1:6" x14ac:dyDescent="0.25">
      <c r="A81" s="118" t="str">
        <f>"3907867"</f>
        <v>3907867</v>
      </c>
      <c r="B81" s="116" t="s">
        <v>2791</v>
      </c>
      <c r="C81" s="166">
        <v>3.04</v>
      </c>
      <c r="D81" s="118">
        <v>320726</v>
      </c>
      <c r="E81" s="117">
        <v>43893.534108796295</v>
      </c>
      <c r="F81" s="115">
        <v>3706</v>
      </c>
    </row>
    <row r="82" spans="1:6" x14ac:dyDescent="0.25">
      <c r="A82" s="118" t="str">
        <f>"3907960"</f>
        <v>3907960</v>
      </c>
      <c r="B82" s="116" t="s">
        <v>2916</v>
      </c>
      <c r="C82" s="166">
        <v>2.5299999999999998</v>
      </c>
      <c r="D82" s="118">
        <v>321113</v>
      </c>
      <c r="E82" s="117">
        <v>43893.550439814811</v>
      </c>
      <c r="F82" s="115">
        <v>3707</v>
      </c>
    </row>
    <row r="83" spans="1:6" x14ac:dyDescent="0.25">
      <c r="A83" s="118" t="str">
        <f>"3901913"</f>
        <v>3901913</v>
      </c>
      <c r="B83" s="116" t="s">
        <v>2904</v>
      </c>
      <c r="C83" s="166">
        <v>9.25</v>
      </c>
      <c r="D83" s="118">
        <v>322460</v>
      </c>
      <c r="E83" s="117">
        <v>43893.61681712963</v>
      </c>
      <c r="F83" s="115">
        <v>3708</v>
      </c>
    </row>
    <row r="84" spans="1:6" x14ac:dyDescent="0.25">
      <c r="A84" s="118" t="str">
        <f>"3902951"</f>
        <v>3902951</v>
      </c>
      <c r="B84" s="116" t="s">
        <v>2904</v>
      </c>
      <c r="C84" s="166">
        <v>3.55</v>
      </c>
      <c r="D84" s="118">
        <v>322469</v>
      </c>
      <c r="E84" s="117">
        <v>43893.616990740738</v>
      </c>
      <c r="F84" s="115">
        <v>3709</v>
      </c>
    </row>
    <row r="85" spans="1:6" x14ac:dyDescent="0.25">
      <c r="A85" s="118" t="str">
        <f>"3960283"</f>
        <v>3960283</v>
      </c>
      <c r="B85" s="116" t="s">
        <v>5791</v>
      </c>
      <c r="C85" s="166">
        <v>16.760000000000002</v>
      </c>
      <c r="D85" s="118">
        <v>319937</v>
      </c>
      <c r="E85" s="117">
        <v>43893.64675925926</v>
      </c>
      <c r="F85" s="115">
        <v>3710</v>
      </c>
    </row>
    <row r="86" spans="1:6" x14ac:dyDescent="0.25">
      <c r="A86" s="118" t="str">
        <f>"3909177"</f>
        <v>3909177</v>
      </c>
      <c r="B86" s="116" t="s">
        <v>2793</v>
      </c>
      <c r="C86" s="166">
        <v>3.77</v>
      </c>
      <c r="D86" s="118">
        <v>321059</v>
      </c>
      <c r="E86" s="117">
        <v>43893.675879629627</v>
      </c>
      <c r="F86" s="115" t="s">
        <v>5790</v>
      </c>
    </row>
    <row r="87" spans="1:6" x14ac:dyDescent="0.25">
      <c r="A87" s="118" t="str">
        <f>"3920065"</f>
        <v>3920065</v>
      </c>
      <c r="B87" s="116" t="s">
        <v>2895</v>
      </c>
      <c r="C87" s="166">
        <v>15.3</v>
      </c>
      <c r="D87" s="118">
        <v>322109</v>
      </c>
      <c r="E87" s="117">
        <v>43893.684502314813</v>
      </c>
      <c r="F87" s="115">
        <v>3711</v>
      </c>
    </row>
    <row r="88" spans="1:6" x14ac:dyDescent="0.25">
      <c r="A88" s="118" t="str">
        <f>"3906764"</f>
        <v>3906764</v>
      </c>
      <c r="B88" s="116" t="s">
        <v>5789</v>
      </c>
      <c r="C88" s="166">
        <v>7.25</v>
      </c>
      <c r="D88" s="118">
        <v>322594</v>
      </c>
      <c r="E88" s="117">
        <v>43893.75886574074</v>
      </c>
      <c r="F88" s="115">
        <v>3712</v>
      </c>
    </row>
    <row r="89" spans="1:6" s="164" customFormat="1" x14ac:dyDescent="0.25">
      <c r="A89" s="115"/>
      <c r="B89" s="115" t="s">
        <v>5691</v>
      </c>
      <c r="C89" s="167">
        <f>SUM(C22:C88)</f>
        <v>675.22999999999968</v>
      </c>
      <c r="D89" s="115">
        <v>2</v>
      </c>
      <c r="E89" s="163"/>
      <c r="F89" s="115"/>
    </row>
    <row r="90" spans="1:6" x14ac:dyDescent="0.25">
      <c r="A90" s="118"/>
      <c r="B90" s="116"/>
      <c r="C90" s="166"/>
      <c r="D90" s="118"/>
      <c r="E90" s="117"/>
      <c r="F90" s="118"/>
    </row>
    <row r="91" spans="1:6" x14ac:dyDescent="0.25">
      <c r="A91" s="118" t="str">
        <f>"3960232"</f>
        <v>3960232</v>
      </c>
      <c r="B91" s="116" t="s">
        <v>2859</v>
      </c>
      <c r="C91" s="166">
        <v>12.3</v>
      </c>
      <c r="D91" s="118">
        <v>319958</v>
      </c>
      <c r="E91" s="117">
        <v>43894.736678240741</v>
      </c>
      <c r="F91" s="115">
        <v>3772</v>
      </c>
    </row>
    <row r="92" spans="1:6" x14ac:dyDescent="0.25">
      <c r="A92" s="118" t="str">
        <f>"3909984"</f>
        <v>3909984</v>
      </c>
      <c r="B92" s="116" t="s">
        <v>2831</v>
      </c>
      <c r="C92" s="166">
        <v>8.2899999999999991</v>
      </c>
      <c r="D92" s="118">
        <v>320461</v>
      </c>
      <c r="E92" s="117">
        <v>43894.736678240741</v>
      </c>
      <c r="F92" s="115">
        <v>3773</v>
      </c>
    </row>
    <row r="93" spans="1:6" x14ac:dyDescent="0.25">
      <c r="A93" s="118" t="str">
        <f>"3907837"</f>
        <v>3907837</v>
      </c>
      <c r="B93" s="116" t="s">
        <v>2961</v>
      </c>
      <c r="C93" s="166">
        <v>2.15</v>
      </c>
      <c r="D93" s="118">
        <v>320728</v>
      </c>
      <c r="E93" s="117">
        <v>43894.455833333333</v>
      </c>
      <c r="F93" s="115">
        <v>3774</v>
      </c>
    </row>
    <row r="94" spans="1:6" x14ac:dyDescent="0.25">
      <c r="A94" s="118" t="str">
        <f>"3907281"</f>
        <v>3907281</v>
      </c>
      <c r="B94" s="116" t="s">
        <v>2968</v>
      </c>
      <c r="C94" s="166">
        <v>27.47</v>
      </c>
      <c r="D94" s="118">
        <v>322568</v>
      </c>
      <c r="E94" s="117">
        <v>43894.502708333333</v>
      </c>
      <c r="F94" s="115">
        <v>3775</v>
      </c>
    </row>
    <row r="95" spans="1:6" x14ac:dyDescent="0.25">
      <c r="A95" s="118" t="str">
        <f>"3960016"</f>
        <v>3960016</v>
      </c>
      <c r="B95" s="116" t="s">
        <v>2800</v>
      </c>
      <c r="C95" s="166">
        <v>12.3</v>
      </c>
      <c r="D95" s="118">
        <v>319914</v>
      </c>
      <c r="E95" s="117">
        <v>43894.529699074075</v>
      </c>
      <c r="F95" s="115">
        <v>3776</v>
      </c>
    </row>
    <row r="96" spans="1:6" x14ac:dyDescent="0.25">
      <c r="A96" s="118" t="str">
        <f>"3906781"</f>
        <v>3906781</v>
      </c>
      <c r="B96" s="116" t="s">
        <v>5788</v>
      </c>
      <c r="C96" s="166">
        <v>22.05</v>
      </c>
      <c r="D96" s="118">
        <v>320850</v>
      </c>
      <c r="E96" s="117">
        <v>43894.576203703706</v>
      </c>
      <c r="F96" s="115">
        <v>3782</v>
      </c>
    </row>
    <row r="97" spans="1:6" x14ac:dyDescent="0.25">
      <c r="A97" s="118" t="str">
        <f>"3907531"</f>
        <v>3907531</v>
      </c>
      <c r="B97" s="116" t="s">
        <v>2959</v>
      </c>
      <c r="C97" s="166">
        <v>10.32</v>
      </c>
      <c r="D97" s="118">
        <v>320246</v>
      </c>
      <c r="E97" s="117">
        <v>43894.581550925926</v>
      </c>
      <c r="F97" s="115">
        <v>3777</v>
      </c>
    </row>
    <row r="98" spans="1:6" x14ac:dyDescent="0.25">
      <c r="A98" s="118" t="str">
        <f>"3960310"</f>
        <v>3960310</v>
      </c>
      <c r="B98" s="116" t="s">
        <v>2870</v>
      </c>
      <c r="C98" s="166">
        <v>19.34</v>
      </c>
      <c r="D98" s="118">
        <v>320029</v>
      </c>
      <c r="E98" s="117">
        <v>43894.59611111111</v>
      </c>
      <c r="F98" s="115">
        <v>3778</v>
      </c>
    </row>
    <row r="99" spans="1:6" x14ac:dyDescent="0.25">
      <c r="A99" s="118" t="str">
        <f>"3908639"</f>
        <v>3908639</v>
      </c>
      <c r="B99" s="116" t="s">
        <v>2906</v>
      </c>
      <c r="C99" s="166">
        <v>1.94</v>
      </c>
      <c r="D99" s="118">
        <v>322452</v>
      </c>
      <c r="E99" s="117">
        <v>43894.629340277781</v>
      </c>
      <c r="F99" s="115">
        <v>3779</v>
      </c>
    </row>
    <row r="100" spans="1:6" x14ac:dyDescent="0.25">
      <c r="A100" s="118" t="str">
        <f>"3960284"</f>
        <v>3960284</v>
      </c>
      <c r="B100" s="116" t="s">
        <v>2879</v>
      </c>
      <c r="C100" s="166">
        <v>8.3800000000000008</v>
      </c>
      <c r="D100" s="118">
        <v>319940</v>
      </c>
      <c r="E100" s="117">
        <v>43894.712361111109</v>
      </c>
      <c r="F100" s="115">
        <v>3780</v>
      </c>
    </row>
    <row r="101" spans="1:6" x14ac:dyDescent="0.25">
      <c r="A101" s="118" t="str">
        <f>"3903204"</f>
        <v>3903204</v>
      </c>
      <c r="B101" s="116" t="s">
        <v>5787</v>
      </c>
      <c r="C101" s="166">
        <v>4.9000000000000004</v>
      </c>
      <c r="D101" s="118">
        <v>320385</v>
      </c>
      <c r="E101" s="117">
        <v>43894.769942129627</v>
      </c>
      <c r="F101" s="115">
        <v>3781</v>
      </c>
    </row>
    <row r="102" spans="1:6" s="164" customFormat="1" x14ac:dyDescent="0.25">
      <c r="A102" s="115"/>
      <c r="B102" s="115" t="s">
        <v>5691</v>
      </c>
      <c r="C102" s="167">
        <f>SUM(C91:C101)</f>
        <v>129.44</v>
      </c>
      <c r="D102" s="115">
        <v>3</v>
      </c>
      <c r="E102" s="163"/>
      <c r="F102" s="115"/>
    </row>
    <row r="103" spans="1:6" x14ac:dyDescent="0.25">
      <c r="A103" s="118"/>
      <c r="B103" s="116"/>
      <c r="C103" s="166"/>
      <c r="D103" s="118"/>
      <c r="E103" s="117"/>
      <c r="F103" s="118"/>
    </row>
    <row r="104" spans="1:6" x14ac:dyDescent="0.25">
      <c r="A104" s="118" t="str">
        <f>"3901940"</f>
        <v>3901940</v>
      </c>
      <c r="B104" s="116" t="s">
        <v>2779</v>
      </c>
      <c r="C104" s="166">
        <v>3.11</v>
      </c>
      <c r="D104" s="118">
        <v>320307</v>
      </c>
      <c r="E104" s="117">
        <v>43895.3752662037</v>
      </c>
      <c r="F104" s="115">
        <v>3829</v>
      </c>
    </row>
    <row r="105" spans="1:6" x14ac:dyDescent="0.25">
      <c r="A105" s="118" t="str">
        <f>"3907544"</f>
        <v>3907544</v>
      </c>
      <c r="B105" s="116" t="s">
        <v>2905</v>
      </c>
      <c r="C105" s="166">
        <v>5.82</v>
      </c>
      <c r="D105" s="118">
        <v>322235</v>
      </c>
      <c r="E105" s="117">
        <v>43895.452870370369</v>
      </c>
      <c r="F105" s="115">
        <v>3834</v>
      </c>
    </row>
    <row r="106" spans="1:6" x14ac:dyDescent="0.25">
      <c r="A106" s="118" t="str">
        <f>"3950207"</f>
        <v>3950207</v>
      </c>
      <c r="B106" s="116" t="s">
        <v>5731</v>
      </c>
      <c r="C106" s="166">
        <v>8.9499999999999993</v>
      </c>
      <c r="D106" s="118">
        <v>319969</v>
      </c>
      <c r="E106" s="117">
        <v>43895.454942129632</v>
      </c>
      <c r="F106" s="115">
        <v>3830</v>
      </c>
    </row>
    <row r="107" spans="1:6" x14ac:dyDescent="0.25">
      <c r="A107" s="118" t="str">
        <f>"3901635"</f>
        <v>3901635</v>
      </c>
      <c r="B107" s="116" t="s">
        <v>5747</v>
      </c>
      <c r="C107" s="166">
        <v>5.9</v>
      </c>
      <c r="D107" s="118">
        <v>321580</v>
      </c>
      <c r="E107" s="117">
        <v>43895.51457175926</v>
      </c>
      <c r="F107" s="115">
        <v>3831</v>
      </c>
    </row>
    <row r="108" spans="1:6" x14ac:dyDescent="0.25">
      <c r="A108" s="118" t="str">
        <f>"3907622"</f>
        <v>3907622</v>
      </c>
      <c r="B108" s="116" t="s">
        <v>2883</v>
      </c>
      <c r="C108" s="166">
        <v>40.68</v>
      </c>
      <c r="D108" s="118">
        <v>322579</v>
      </c>
      <c r="E108" s="117">
        <v>43895.596261574072</v>
      </c>
      <c r="F108" s="115">
        <v>3832</v>
      </c>
    </row>
    <row r="109" spans="1:6" x14ac:dyDescent="0.25">
      <c r="A109" s="118" t="str">
        <f>"3960375"</f>
        <v>3960375</v>
      </c>
      <c r="B109" s="116" t="s">
        <v>2936</v>
      </c>
      <c r="C109" s="166">
        <v>10.81</v>
      </c>
      <c r="D109" s="118">
        <v>319994</v>
      </c>
      <c r="E109" s="117">
        <v>43895.631956018522</v>
      </c>
      <c r="F109" s="115">
        <v>3833</v>
      </c>
    </row>
    <row r="110" spans="1:6" s="164" customFormat="1" x14ac:dyDescent="0.25">
      <c r="A110" s="115"/>
      <c r="B110" s="115" t="s">
        <v>5691</v>
      </c>
      <c r="C110" s="167">
        <f>SUM(C104:C109)</f>
        <v>75.27000000000001</v>
      </c>
      <c r="D110" s="115">
        <v>4</v>
      </c>
      <c r="E110" s="163"/>
      <c r="F110" s="115"/>
    </row>
    <row r="111" spans="1:6" x14ac:dyDescent="0.25">
      <c r="A111" s="118"/>
      <c r="B111" s="116"/>
      <c r="C111" s="166"/>
      <c r="D111" s="118"/>
      <c r="E111" s="117"/>
      <c r="F111" s="118"/>
    </row>
    <row r="112" spans="1:6" x14ac:dyDescent="0.25">
      <c r="A112" s="118" t="str">
        <f>"3900329"</f>
        <v>3900329</v>
      </c>
      <c r="B112" s="116" t="s">
        <v>5762</v>
      </c>
      <c r="C112" s="166">
        <v>3.06</v>
      </c>
      <c r="D112" s="118">
        <v>321364</v>
      </c>
      <c r="E112" s="117">
        <v>43896.399583333332</v>
      </c>
      <c r="F112" s="115">
        <v>3974</v>
      </c>
    </row>
    <row r="113" spans="1:6" x14ac:dyDescent="0.25">
      <c r="A113" s="118" t="str">
        <f>"3903544"</f>
        <v>3903544</v>
      </c>
      <c r="B113" s="116" t="s">
        <v>2802</v>
      </c>
      <c r="C113" s="166">
        <v>1.68</v>
      </c>
      <c r="D113" s="118">
        <v>320803</v>
      </c>
      <c r="E113" s="117">
        <v>43896.450891203705</v>
      </c>
      <c r="F113" s="115">
        <v>3975</v>
      </c>
    </row>
    <row r="114" spans="1:6" x14ac:dyDescent="0.25">
      <c r="A114" s="118" t="str">
        <f>"3902047"</f>
        <v>3902047</v>
      </c>
      <c r="B114" s="116" t="s">
        <v>2920</v>
      </c>
      <c r="C114" s="166">
        <v>19.23</v>
      </c>
      <c r="D114" s="118">
        <v>320054</v>
      </c>
      <c r="E114" s="117">
        <v>43896.462268518517</v>
      </c>
      <c r="F114" s="115">
        <v>3976</v>
      </c>
    </row>
    <row r="115" spans="1:6" x14ac:dyDescent="0.25">
      <c r="A115" s="118" t="str">
        <f>"3920594"</f>
        <v>3920594</v>
      </c>
      <c r="B115" s="116" t="s">
        <v>5786</v>
      </c>
      <c r="C115" s="166">
        <v>17.89</v>
      </c>
      <c r="D115" s="118">
        <v>319919</v>
      </c>
      <c r="E115" s="117">
        <v>43896.500092592592</v>
      </c>
      <c r="F115" s="115">
        <v>3977</v>
      </c>
    </row>
    <row r="116" spans="1:6" x14ac:dyDescent="0.25">
      <c r="A116" s="118" t="str">
        <f>"3908204"</f>
        <v>3908204</v>
      </c>
      <c r="B116" s="116" t="s">
        <v>5785</v>
      </c>
      <c r="C116" s="166">
        <v>13.03</v>
      </c>
      <c r="D116" s="118">
        <v>322056</v>
      </c>
      <c r="E116" s="117">
        <v>43896.562141203707</v>
      </c>
      <c r="F116" s="115">
        <v>3978</v>
      </c>
    </row>
    <row r="117" spans="1:6" x14ac:dyDescent="0.25">
      <c r="A117" s="118" t="str">
        <f>"3903320"</f>
        <v>3903320</v>
      </c>
      <c r="B117" s="116" t="s">
        <v>2804</v>
      </c>
      <c r="C117" s="166">
        <v>3.94</v>
      </c>
      <c r="D117" s="118">
        <v>320502</v>
      </c>
      <c r="E117" s="117">
        <v>43896.672789351855</v>
      </c>
      <c r="F117" s="115">
        <v>3979</v>
      </c>
    </row>
    <row r="118" spans="1:6" s="164" customFormat="1" x14ac:dyDescent="0.25">
      <c r="A118" s="115"/>
      <c r="B118" s="115" t="s">
        <v>5691</v>
      </c>
      <c r="C118" s="167">
        <f>SUM(C112:C117)</f>
        <v>58.83</v>
      </c>
      <c r="D118" s="115">
        <v>5</v>
      </c>
      <c r="E118" s="163"/>
      <c r="F118" s="115"/>
    </row>
    <row r="119" spans="1:6" x14ac:dyDescent="0.25">
      <c r="A119" s="118"/>
      <c r="B119" s="116"/>
      <c r="C119" s="166"/>
      <c r="D119" s="118"/>
      <c r="E119" s="117"/>
      <c r="F119" s="118"/>
    </row>
    <row r="120" spans="1:6" x14ac:dyDescent="0.25">
      <c r="A120" s="118" t="str">
        <f>"3903082"</f>
        <v>3903082</v>
      </c>
      <c r="B120" s="116" t="s">
        <v>5784</v>
      </c>
      <c r="C120" s="166">
        <v>5.82</v>
      </c>
      <c r="D120" s="118">
        <v>322450</v>
      </c>
      <c r="E120" s="117">
        <v>43899.493807870371</v>
      </c>
      <c r="F120" s="115">
        <v>4048</v>
      </c>
    </row>
    <row r="121" spans="1:6" x14ac:dyDescent="0.25">
      <c r="A121" s="118" t="str">
        <f>"3908169"</f>
        <v>3908169</v>
      </c>
      <c r="B121" s="116" t="s">
        <v>5783</v>
      </c>
      <c r="C121" s="166">
        <v>1.31</v>
      </c>
      <c r="D121" s="118">
        <v>322587</v>
      </c>
      <c r="E121" s="117">
        <v>43899.467881944445</v>
      </c>
      <c r="F121" s="115">
        <v>4043</v>
      </c>
    </row>
    <row r="122" spans="1:6" x14ac:dyDescent="0.25">
      <c r="A122" s="118" t="str">
        <f>"3909239"</f>
        <v>3909239</v>
      </c>
      <c r="B122" s="116" t="s">
        <v>5732</v>
      </c>
      <c r="C122" s="166">
        <v>1.68</v>
      </c>
      <c r="D122" s="118">
        <v>321206</v>
      </c>
      <c r="E122" s="117">
        <v>43899.587835648148</v>
      </c>
      <c r="F122" s="115">
        <v>4049</v>
      </c>
    </row>
    <row r="123" spans="1:6" x14ac:dyDescent="0.25">
      <c r="A123" s="118" t="str">
        <f>"3900244"</f>
        <v>3900244</v>
      </c>
      <c r="B123" s="116" t="s">
        <v>2926</v>
      </c>
      <c r="C123" s="166">
        <v>9.77</v>
      </c>
      <c r="D123" s="118">
        <v>322477</v>
      </c>
      <c r="E123" s="117">
        <v>43899.599050925928</v>
      </c>
      <c r="F123" s="115">
        <v>4044</v>
      </c>
    </row>
    <row r="124" spans="1:6" x14ac:dyDescent="0.25">
      <c r="A124" s="118" t="str">
        <f>"3907920"</f>
        <v>3907920</v>
      </c>
      <c r="B124" s="116" t="s">
        <v>2806</v>
      </c>
      <c r="C124" s="166">
        <v>4.3899999999999997</v>
      </c>
      <c r="D124" s="118">
        <v>320874</v>
      </c>
      <c r="E124" s="117">
        <v>43899.719583333332</v>
      </c>
      <c r="F124" s="115">
        <v>4045</v>
      </c>
    </row>
    <row r="125" spans="1:6" x14ac:dyDescent="0.25">
      <c r="A125" s="118" t="str">
        <f>"3903952"</f>
        <v>3903952</v>
      </c>
      <c r="B125" s="116" t="s">
        <v>2963</v>
      </c>
      <c r="C125" s="166">
        <v>2.68</v>
      </c>
      <c r="D125" s="118">
        <v>321788</v>
      </c>
      <c r="E125" s="117">
        <v>43899.743495370371</v>
      </c>
      <c r="F125" s="115">
        <v>4046</v>
      </c>
    </row>
    <row r="126" spans="1:6" x14ac:dyDescent="0.25">
      <c r="A126" s="118" t="str">
        <f>"3906656"</f>
        <v>3906656</v>
      </c>
      <c r="B126" s="116" t="s">
        <v>2975</v>
      </c>
      <c r="C126" s="166">
        <v>13.31</v>
      </c>
      <c r="D126" s="118">
        <v>322184</v>
      </c>
      <c r="E126" s="117">
        <v>43899.812650462962</v>
      </c>
      <c r="F126" s="115">
        <v>4047</v>
      </c>
    </row>
    <row r="127" spans="1:6" s="164" customFormat="1" x14ac:dyDescent="0.25">
      <c r="A127" s="115"/>
      <c r="B127" s="115" t="s">
        <v>5691</v>
      </c>
      <c r="C127" s="167">
        <f>SUM(C120:C126)</f>
        <v>38.96</v>
      </c>
      <c r="D127" s="115">
        <v>6</v>
      </c>
      <c r="E127" s="163"/>
      <c r="F127" s="115"/>
    </row>
    <row r="128" spans="1:6" x14ac:dyDescent="0.25">
      <c r="A128" s="118"/>
      <c r="B128" s="116"/>
      <c r="C128" s="166"/>
      <c r="D128" s="118"/>
      <c r="E128" s="117"/>
      <c r="F128" s="118"/>
    </row>
    <row r="129" spans="1:6" x14ac:dyDescent="0.25">
      <c r="A129" s="118" t="str">
        <f>"3904598"</f>
        <v>3904598</v>
      </c>
      <c r="B129" s="116" t="s">
        <v>2985</v>
      </c>
      <c r="C129" s="166">
        <v>16.760000000000002</v>
      </c>
      <c r="D129" s="118">
        <v>320143</v>
      </c>
      <c r="E129" s="117">
        <v>43900.496111111112</v>
      </c>
      <c r="F129" s="115">
        <v>4091</v>
      </c>
    </row>
    <row r="130" spans="1:6" x14ac:dyDescent="0.25">
      <c r="A130" s="118" t="str">
        <f>"3907926"</f>
        <v>3907926</v>
      </c>
      <c r="B130" s="116" t="s">
        <v>5782</v>
      </c>
      <c r="C130" s="166">
        <v>9.24</v>
      </c>
      <c r="D130" s="118">
        <v>320872</v>
      </c>
      <c r="E130" s="117">
        <v>43900.549618055556</v>
      </c>
      <c r="F130" s="115">
        <v>4092</v>
      </c>
    </row>
    <row r="131" spans="1:6" x14ac:dyDescent="0.25">
      <c r="A131" s="118" t="str">
        <f>"3900258"</f>
        <v>3900258</v>
      </c>
      <c r="B131" s="116" t="s">
        <v>5781</v>
      </c>
      <c r="C131" s="166">
        <v>7.55</v>
      </c>
      <c r="D131" s="118">
        <v>321344</v>
      </c>
      <c r="E131" s="117">
        <v>43900.746678240743</v>
      </c>
      <c r="F131" s="115">
        <v>4093</v>
      </c>
    </row>
    <row r="132" spans="1:6" s="164" customFormat="1" x14ac:dyDescent="0.25">
      <c r="A132" s="115"/>
      <c r="B132" s="115" t="s">
        <v>5691</v>
      </c>
      <c r="C132" s="167">
        <f>SUM(C129:C131)</f>
        <v>33.549999999999997</v>
      </c>
      <c r="D132" s="115">
        <v>7</v>
      </c>
      <c r="E132" s="163"/>
      <c r="F132" s="115"/>
    </row>
    <row r="133" spans="1:6" x14ac:dyDescent="0.25">
      <c r="A133" s="118"/>
      <c r="B133" s="116"/>
      <c r="C133" s="166"/>
      <c r="D133" s="118"/>
      <c r="E133" s="117"/>
      <c r="F133" s="118"/>
    </row>
    <row r="134" spans="1:6" x14ac:dyDescent="0.25">
      <c r="A134" s="118" t="str">
        <f>"3907530"</f>
        <v>3907530</v>
      </c>
      <c r="B134" s="116" t="s">
        <v>2910</v>
      </c>
      <c r="C134" s="166">
        <v>2.27</v>
      </c>
      <c r="D134" s="118">
        <v>322578</v>
      </c>
      <c r="E134" s="117">
        <v>43901.401412037034</v>
      </c>
      <c r="F134" s="115">
        <v>4158</v>
      </c>
    </row>
    <row r="135" spans="1:6" x14ac:dyDescent="0.25">
      <c r="A135" s="118" t="str">
        <f>"3907527"</f>
        <v>3907527</v>
      </c>
      <c r="B135" s="116" t="s">
        <v>5739</v>
      </c>
      <c r="C135" s="166">
        <v>3.02</v>
      </c>
      <c r="D135" s="118">
        <v>320297</v>
      </c>
      <c r="E135" s="117">
        <v>43901.455081018517</v>
      </c>
      <c r="F135" s="115">
        <v>4159</v>
      </c>
    </row>
    <row r="136" spans="1:6" x14ac:dyDescent="0.25">
      <c r="A136" s="118" t="str">
        <f>"3903217"</f>
        <v>3903217</v>
      </c>
      <c r="B136" s="116" t="s">
        <v>5780</v>
      </c>
      <c r="C136" s="166">
        <v>14.45</v>
      </c>
      <c r="D136" s="118">
        <v>320396</v>
      </c>
      <c r="E136" s="117">
        <v>43901.475023148145</v>
      </c>
      <c r="F136" s="115">
        <v>4161</v>
      </c>
    </row>
    <row r="137" spans="1:6" x14ac:dyDescent="0.25">
      <c r="A137" s="118" t="str">
        <f>"3903841"</f>
        <v>3903841</v>
      </c>
      <c r="B137" s="116" t="s">
        <v>5780</v>
      </c>
      <c r="C137" s="166">
        <v>10.43</v>
      </c>
      <c r="D137" s="118">
        <v>321751</v>
      </c>
      <c r="E137" s="117">
        <v>43901.475115740737</v>
      </c>
      <c r="F137" s="115" t="s">
        <v>5779</v>
      </c>
    </row>
    <row r="138" spans="1:6" x14ac:dyDescent="0.25">
      <c r="A138" s="118" t="str">
        <f>"3900321"</f>
        <v>3900321</v>
      </c>
      <c r="B138" s="116" t="s">
        <v>5778</v>
      </c>
      <c r="C138" s="166">
        <v>12.43</v>
      </c>
      <c r="D138" s="118">
        <v>321359</v>
      </c>
      <c r="E138" s="117">
        <v>43901.574849537035</v>
      </c>
      <c r="F138" s="115">
        <v>4162</v>
      </c>
    </row>
    <row r="139" spans="1:6" x14ac:dyDescent="0.25">
      <c r="A139" s="118" t="str">
        <f>"3902009"</f>
        <v>3902009</v>
      </c>
      <c r="B139" s="116" t="s">
        <v>2890</v>
      </c>
      <c r="C139" s="166">
        <v>3.36</v>
      </c>
      <c r="D139" s="118">
        <v>322280</v>
      </c>
      <c r="E139" s="117">
        <v>43901.639027777775</v>
      </c>
      <c r="F139" s="115">
        <v>4160</v>
      </c>
    </row>
    <row r="140" spans="1:6" s="164" customFormat="1" x14ac:dyDescent="0.25">
      <c r="A140" s="115"/>
      <c r="B140" s="115" t="s">
        <v>5691</v>
      </c>
      <c r="C140" s="167">
        <f>SUM(C134:C139)</f>
        <v>45.959999999999994</v>
      </c>
      <c r="D140" s="115">
        <v>8</v>
      </c>
      <c r="E140" s="163"/>
      <c r="F140" s="115"/>
    </row>
    <row r="141" spans="1:6" x14ac:dyDescent="0.25">
      <c r="A141" s="118"/>
      <c r="B141" s="116"/>
      <c r="C141" s="166"/>
      <c r="D141" s="118"/>
      <c r="E141" s="117"/>
      <c r="F141" s="118"/>
    </row>
    <row r="142" spans="1:6" x14ac:dyDescent="0.25">
      <c r="A142" s="118" t="str">
        <f>"3907487"</f>
        <v>3907487</v>
      </c>
      <c r="B142" s="116" t="s">
        <v>2966</v>
      </c>
      <c r="C142" s="166">
        <v>7.37</v>
      </c>
      <c r="D142" s="118">
        <v>320231</v>
      </c>
      <c r="E142" s="117">
        <v>43902.435995370368</v>
      </c>
      <c r="F142" s="115">
        <v>4212</v>
      </c>
    </row>
    <row r="143" spans="1:6" x14ac:dyDescent="0.25">
      <c r="A143" s="118" t="str">
        <f>"3945204"</f>
        <v>3945204</v>
      </c>
      <c r="B143" s="116" t="s">
        <v>2803</v>
      </c>
      <c r="C143" s="166">
        <v>8.3800000000000008</v>
      </c>
      <c r="D143" s="118">
        <v>320066</v>
      </c>
      <c r="E143" s="117">
        <v>43902.560694444444</v>
      </c>
      <c r="F143" s="115">
        <v>4213</v>
      </c>
    </row>
    <row r="144" spans="1:6" x14ac:dyDescent="0.25">
      <c r="A144" s="118" t="str">
        <f>"3908621"</f>
        <v>3908621</v>
      </c>
      <c r="B144" s="116" t="s">
        <v>2912</v>
      </c>
      <c r="C144" s="166">
        <v>1.72</v>
      </c>
      <c r="D144" s="118">
        <v>320263</v>
      </c>
      <c r="E144" s="117">
        <v>43902.567164351851</v>
      </c>
      <c r="F144" s="115">
        <v>4214</v>
      </c>
    </row>
    <row r="145" spans="1:6" x14ac:dyDescent="0.25">
      <c r="A145" s="118" t="str">
        <f>"3903872"</f>
        <v>3903872</v>
      </c>
      <c r="B145" s="116" t="s">
        <v>5777</v>
      </c>
      <c r="C145" s="166">
        <v>4.07</v>
      </c>
      <c r="D145" s="118">
        <v>322557</v>
      </c>
      <c r="E145" s="117">
        <v>43902.627858796295</v>
      </c>
      <c r="F145" s="115">
        <v>4217</v>
      </c>
    </row>
    <row r="146" spans="1:6" x14ac:dyDescent="0.25">
      <c r="A146" s="118" t="str">
        <f>"3960392"</f>
        <v>3960392</v>
      </c>
      <c r="B146" s="116" t="s">
        <v>2872</v>
      </c>
      <c r="C146" s="166">
        <v>8.3800000000000008</v>
      </c>
      <c r="D146" s="118">
        <v>320023</v>
      </c>
      <c r="E146" s="117">
        <v>43902.717418981483</v>
      </c>
      <c r="F146" s="115">
        <v>4215</v>
      </c>
    </row>
    <row r="147" spans="1:6" x14ac:dyDescent="0.25">
      <c r="A147" s="118" t="str">
        <f>"3909002"</f>
        <v>3909002</v>
      </c>
      <c r="B147" s="116" t="s">
        <v>5738</v>
      </c>
      <c r="C147" s="166">
        <v>2.31</v>
      </c>
      <c r="D147" s="118">
        <v>320695</v>
      </c>
      <c r="E147" s="117">
        <v>43902.736192129632</v>
      </c>
      <c r="F147" s="115">
        <v>4216</v>
      </c>
    </row>
    <row r="148" spans="1:6" s="164" customFormat="1" x14ac:dyDescent="0.25">
      <c r="A148" s="115"/>
      <c r="B148" s="115" t="s">
        <v>5691</v>
      </c>
      <c r="C148" s="167">
        <f>SUM(C142:C147)</f>
        <v>32.230000000000004</v>
      </c>
      <c r="D148" s="115">
        <v>9</v>
      </c>
      <c r="E148" s="163"/>
      <c r="F148" s="115"/>
    </row>
    <row r="149" spans="1:6" x14ac:dyDescent="0.25">
      <c r="A149" s="118"/>
      <c r="B149" s="116"/>
      <c r="C149" s="166"/>
      <c r="D149" s="118"/>
      <c r="E149" s="117"/>
      <c r="F149" s="118"/>
    </row>
    <row r="150" spans="1:6" x14ac:dyDescent="0.25">
      <c r="A150" s="118" t="str">
        <f>"3907618"</f>
        <v>3907618</v>
      </c>
      <c r="B150" s="116" t="s">
        <v>2783</v>
      </c>
      <c r="C150" s="166">
        <v>0.47</v>
      </c>
      <c r="D150" s="118">
        <v>321950</v>
      </c>
      <c r="E150" s="117">
        <v>43903.480428240742</v>
      </c>
      <c r="F150" s="115">
        <v>4339</v>
      </c>
    </row>
    <row r="151" spans="1:6" x14ac:dyDescent="0.25">
      <c r="A151" s="118" t="str">
        <f>"3906469"</f>
        <v>3906469</v>
      </c>
      <c r="B151" s="116" t="s">
        <v>5776</v>
      </c>
      <c r="C151" s="166">
        <v>10.25</v>
      </c>
      <c r="D151" s="118">
        <v>320157</v>
      </c>
      <c r="E151" s="117">
        <v>43903.492395833331</v>
      </c>
      <c r="F151" s="115">
        <v>4340</v>
      </c>
    </row>
    <row r="152" spans="1:6" x14ac:dyDescent="0.25">
      <c r="A152" s="118" t="str">
        <f>"3903517"</f>
        <v>3903517</v>
      </c>
      <c r="B152" s="116" t="s">
        <v>5765</v>
      </c>
      <c r="C152" s="166">
        <v>4.42</v>
      </c>
      <c r="D152" s="118">
        <v>320818</v>
      </c>
      <c r="E152" s="117">
        <v>43903.613865740743</v>
      </c>
      <c r="F152" s="115">
        <v>4341</v>
      </c>
    </row>
    <row r="153" spans="1:6" x14ac:dyDescent="0.25">
      <c r="A153" s="118" t="str">
        <f>"3930042"</f>
        <v>3930042</v>
      </c>
      <c r="B153" s="116" t="s">
        <v>2929</v>
      </c>
      <c r="C153" s="166">
        <v>19.059999999999999</v>
      </c>
      <c r="D153" s="118">
        <v>322259</v>
      </c>
      <c r="E153" s="117">
        <v>43903.648402777777</v>
      </c>
      <c r="F153" s="115">
        <v>4342</v>
      </c>
    </row>
    <row r="154" spans="1:6" x14ac:dyDescent="0.25">
      <c r="A154" s="118" t="str">
        <f>"3906658"</f>
        <v>3906658</v>
      </c>
      <c r="B154" s="116" t="s">
        <v>2907</v>
      </c>
      <c r="C154" s="166">
        <v>9.27</v>
      </c>
      <c r="D154" s="118">
        <v>322303</v>
      </c>
      <c r="E154" s="117">
        <v>43903.653148148151</v>
      </c>
      <c r="F154" s="115">
        <v>4343</v>
      </c>
    </row>
    <row r="155" spans="1:6" x14ac:dyDescent="0.25">
      <c r="A155" s="118" t="str">
        <f>"3901121"</f>
        <v>3901121</v>
      </c>
      <c r="B155" s="116" t="s">
        <v>2908</v>
      </c>
      <c r="C155" s="166">
        <v>2.56</v>
      </c>
      <c r="D155" s="118">
        <v>320650</v>
      </c>
      <c r="E155" s="117">
        <v>43903.653391203705</v>
      </c>
      <c r="F155" s="115">
        <v>4344</v>
      </c>
    </row>
    <row r="156" spans="1:6" s="164" customFormat="1" x14ac:dyDescent="0.25">
      <c r="A156" s="115"/>
      <c r="B156" s="115" t="s">
        <v>5691</v>
      </c>
      <c r="C156" s="167">
        <f>SUM(C150:C155)</f>
        <v>46.03</v>
      </c>
      <c r="D156" s="115">
        <v>10</v>
      </c>
      <c r="E156" s="163"/>
      <c r="F156" s="115"/>
    </row>
    <row r="157" spans="1:6" x14ac:dyDescent="0.25">
      <c r="A157" s="118"/>
      <c r="B157" s="116"/>
      <c r="C157" s="166"/>
      <c r="D157" s="118"/>
      <c r="E157" s="117"/>
      <c r="F157" s="118"/>
    </row>
    <row r="158" spans="1:6" x14ac:dyDescent="0.25">
      <c r="A158" s="118" t="str">
        <f>"3930203"</f>
        <v>3930203</v>
      </c>
      <c r="B158" s="116" t="s">
        <v>2902</v>
      </c>
      <c r="C158" s="166">
        <v>3.54</v>
      </c>
      <c r="D158" s="118">
        <v>320745</v>
      </c>
      <c r="E158" s="117">
        <v>43906.349444444444</v>
      </c>
      <c r="F158" s="115">
        <v>4345</v>
      </c>
    </row>
    <row r="159" spans="1:6" x14ac:dyDescent="0.25">
      <c r="A159" s="118" t="str">
        <f>"3902744"</f>
        <v>3902744</v>
      </c>
      <c r="B159" s="116" t="s">
        <v>2934</v>
      </c>
      <c r="C159" s="166">
        <v>7.48</v>
      </c>
      <c r="D159" s="118">
        <v>321685</v>
      </c>
      <c r="E159" s="117">
        <v>43906.451736111114</v>
      </c>
      <c r="F159" s="115">
        <v>4346</v>
      </c>
    </row>
    <row r="160" spans="1:6" x14ac:dyDescent="0.25">
      <c r="A160" s="118" t="str">
        <f>"3900588"</f>
        <v>3900588</v>
      </c>
      <c r="B160" s="116" t="s">
        <v>2792</v>
      </c>
      <c r="C160" s="166">
        <v>3.4</v>
      </c>
      <c r="D160" s="118">
        <v>321465</v>
      </c>
      <c r="E160" s="117">
        <v>43906.580752314818</v>
      </c>
      <c r="F160" s="115">
        <v>4347</v>
      </c>
    </row>
    <row r="161" spans="1:6" x14ac:dyDescent="0.25">
      <c r="A161" s="118" t="str">
        <f>"3908064"</f>
        <v>3908064</v>
      </c>
      <c r="B161" s="116" t="s">
        <v>2976</v>
      </c>
      <c r="C161" s="166">
        <v>3.09</v>
      </c>
      <c r="D161" s="118">
        <v>321170</v>
      </c>
      <c r="E161" s="117">
        <v>43906.651192129626</v>
      </c>
      <c r="F161" s="115">
        <v>4348</v>
      </c>
    </row>
    <row r="162" spans="1:6" x14ac:dyDescent="0.25">
      <c r="A162" s="118" t="str">
        <f>"3960269"</f>
        <v>3960269</v>
      </c>
      <c r="B162" s="116" t="s">
        <v>2927</v>
      </c>
      <c r="C162" s="166">
        <v>12.3</v>
      </c>
      <c r="D162" s="118">
        <v>319877</v>
      </c>
      <c r="E162" s="117">
        <v>43906.824074074073</v>
      </c>
      <c r="F162" s="115">
        <v>4349</v>
      </c>
    </row>
    <row r="163" spans="1:6" x14ac:dyDescent="0.25">
      <c r="A163" s="118" t="str">
        <f>"3960240"</f>
        <v>3960240</v>
      </c>
      <c r="B163" s="116" t="s">
        <v>5775</v>
      </c>
      <c r="C163" s="166">
        <v>13.88</v>
      </c>
      <c r="D163" s="118">
        <v>320122</v>
      </c>
      <c r="E163" s="117">
        <v>43906.363854166666</v>
      </c>
      <c r="F163" s="115">
        <v>4350</v>
      </c>
    </row>
    <row r="164" spans="1:6" x14ac:dyDescent="0.25">
      <c r="A164" s="118" t="str">
        <f>"3906904"</f>
        <v>3906904</v>
      </c>
      <c r="B164" s="116" t="s">
        <v>5774</v>
      </c>
      <c r="C164" s="166">
        <v>2.4500000000000002</v>
      </c>
      <c r="D164" s="118">
        <v>321849</v>
      </c>
      <c r="E164" s="117">
        <v>43906.412488425929</v>
      </c>
      <c r="F164" s="115">
        <v>4351</v>
      </c>
    </row>
    <row r="165" spans="1:6" x14ac:dyDescent="0.25">
      <c r="A165" s="118" t="str">
        <f>"3930394"</f>
        <v>3930394</v>
      </c>
      <c r="B165" s="116" t="s">
        <v>2813</v>
      </c>
      <c r="C165" s="166">
        <v>2.5299999999999998</v>
      </c>
      <c r="D165" s="118">
        <v>321104</v>
      </c>
      <c r="E165" s="117">
        <v>43906.487812500003</v>
      </c>
      <c r="F165" s="115">
        <v>4352</v>
      </c>
    </row>
    <row r="166" spans="1:6" x14ac:dyDescent="0.25">
      <c r="A166" s="118" t="str">
        <f>"3906858"</f>
        <v>3906858</v>
      </c>
      <c r="B166" s="116" t="s">
        <v>5773</v>
      </c>
      <c r="C166" s="166">
        <v>2.92</v>
      </c>
      <c r="D166" s="118">
        <v>322391</v>
      </c>
      <c r="E166" s="117">
        <v>43906.550682870373</v>
      </c>
      <c r="F166" s="115">
        <v>4353</v>
      </c>
    </row>
    <row r="167" spans="1:6" x14ac:dyDescent="0.25">
      <c r="A167" s="118" t="str">
        <f>"3903686"</f>
        <v>3903686</v>
      </c>
      <c r="B167" s="116" t="s">
        <v>5773</v>
      </c>
      <c r="C167" s="166">
        <v>12.88</v>
      </c>
      <c r="D167" s="118">
        <v>322561</v>
      </c>
      <c r="E167" s="117">
        <v>43906.551018518519</v>
      </c>
      <c r="F167" s="115">
        <v>4354</v>
      </c>
    </row>
    <row r="168" spans="1:6" x14ac:dyDescent="0.25">
      <c r="A168" s="118" t="str">
        <f>"3908040"</f>
        <v>3908040</v>
      </c>
      <c r="B168" s="116" t="s">
        <v>5772</v>
      </c>
      <c r="C168" s="166">
        <v>4.0199999999999996</v>
      </c>
      <c r="D168" s="118">
        <v>321979</v>
      </c>
      <c r="E168" s="117">
        <v>43906.607685185183</v>
      </c>
      <c r="F168" s="115">
        <v>4356</v>
      </c>
    </row>
    <row r="169" spans="1:6" x14ac:dyDescent="0.25">
      <c r="A169" s="118" t="str">
        <f>"3940887"</f>
        <v>3940887</v>
      </c>
      <c r="B169" s="116" t="s">
        <v>2933</v>
      </c>
      <c r="C169" s="166">
        <v>17.899999999999999</v>
      </c>
      <c r="D169" s="118">
        <v>319907</v>
      </c>
      <c r="E169" s="117">
        <v>43906.642106481479</v>
      </c>
      <c r="F169" s="115">
        <v>4355</v>
      </c>
    </row>
    <row r="170" spans="1:6" x14ac:dyDescent="0.25">
      <c r="A170" s="118" t="str">
        <f>"3930391"</f>
        <v>3930391</v>
      </c>
      <c r="B170" s="116" t="s">
        <v>5771</v>
      </c>
      <c r="C170" s="166">
        <v>3.4</v>
      </c>
      <c r="D170" s="118">
        <v>321093</v>
      </c>
      <c r="E170" s="117">
        <v>43906.656550925924</v>
      </c>
      <c r="F170" s="115">
        <v>4357</v>
      </c>
    </row>
    <row r="171" spans="1:6" x14ac:dyDescent="0.25">
      <c r="A171" s="118" t="str">
        <f>"3900397"</f>
        <v>3900397</v>
      </c>
      <c r="B171" s="116" t="s">
        <v>2984</v>
      </c>
      <c r="C171" s="166">
        <v>4.13</v>
      </c>
      <c r="D171" s="118">
        <v>322490</v>
      </c>
      <c r="E171" s="117">
        <v>43906.715810185182</v>
      </c>
      <c r="F171" s="115">
        <v>4358</v>
      </c>
    </row>
    <row r="172" spans="1:6" x14ac:dyDescent="0.25">
      <c r="A172" s="118" t="str">
        <f>"3909980"</f>
        <v>3909980</v>
      </c>
      <c r="B172" s="116" t="s">
        <v>5770</v>
      </c>
      <c r="C172" s="166">
        <v>4.68</v>
      </c>
      <c r="D172" s="118">
        <v>320450</v>
      </c>
      <c r="E172" s="117">
        <v>43906.759259259263</v>
      </c>
      <c r="F172" s="115">
        <v>4359</v>
      </c>
    </row>
    <row r="173" spans="1:6" s="164" customFormat="1" x14ac:dyDescent="0.25">
      <c r="A173" s="115"/>
      <c r="B173" s="115" t="s">
        <v>5691</v>
      </c>
      <c r="C173" s="167">
        <f>SUM(C158:C172)</f>
        <v>98.6</v>
      </c>
      <c r="D173" s="115">
        <v>11</v>
      </c>
      <c r="E173" s="163"/>
      <c r="F173" s="115"/>
    </row>
    <row r="174" spans="1:6" x14ac:dyDescent="0.25">
      <c r="A174" s="118"/>
      <c r="B174" s="116"/>
      <c r="C174" s="166"/>
      <c r="D174" s="118"/>
      <c r="E174" s="117"/>
      <c r="F174" s="118"/>
    </row>
    <row r="175" spans="1:6" x14ac:dyDescent="0.25">
      <c r="A175" s="118" t="str">
        <f>"3906821"</f>
        <v>3906821</v>
      </c>
      <c r="B175" s="116" t="s">
        <v>2950</v>
      </c>
      <c r="C175" s="166">
        <v>5.75</v>
      </c>
      <c r="D175" s="118">
        <v>321015</v>
      </c>
      <c r="E175" s="117">
        <v>43907.366087962961</v>
      </c>
      <c r="F175" s="115">
        <v>4362</v>
      </c>
    </row>
    <row r="176" spans="1:6" x14ac:dyDescent="0.25">
      <c r="A176" s="118" t="str">
        <f>"3960306"</f>
        <v>3960306</v>
      </c>
      <c r="B176" s="116" t="s">
        <v>2815</v>
      </c>
      <c r="C176" s="166">
        <v>10.57</v>
      </c>
      <c r="D176" s="118">
        <v>320019</v>
      </c>
      <c r="E176" s="117">
        <v>43907.447766203702</v>
      </c>
      <c r="F176" s="115">
        <v>4363</v>
      </c>
    </row>
    <row r="177" spans="1:6" s="164" customFormat="1" x14ac:dyDescent="0.25">
      <c r="A177" s="115"/>
      <c r="B177" s="115" t="s">
        <v>5691</v>
      </c>
      <c r="C177" s="167">
        <f>SUM(C175:C176)</f>
        <v>16.32</v>
      </c>
      <c r="D177" s="115">
        <v>12</v>
      </c>
      <c r="E177" s="163"/>
      <c r="F177" s="115"/>
    </row>
    <row r="178" spans="1:6" x14ac:dyDescent="0.25">
      <c r="A178" s="118"/>
      <c r="B178" s="116"/>
      <c r="C178" s="166"/>
      <c r="D178" s="118"/>
      <c r="E178" s="117"/>
      <c r="F178" s="118"/>
    </row>
    <row r="179" spans="1:6" x14ac:dyDescent="0.25">
      <c r="A179" s="118" t="str">
        <f>"3906285"</f>
        <v>3906285</v>
      </c>
      <c r="B179" s="116" t="s">
        <v>2972</v>
      </c>
      <c r="C179" s="166">
        <v>2.79</v>
      </c>
      <c r="D179" s="118">
        <v>321219</v>
      </c>
      <c r="E179" s="117">
        <v>43908.471446759257</v>
      </c>
      <c r="F179" s="115">
        <v>4360</v>
      </c>
    </row>
    <row r="180" spans="1:6" x14ac:dyDescent="0.25">
      <c r="A180" s="118" t="str">
        <f>"3906033"</f>
        <v>3906033</v>
      </c>
      <c r="B180" s="116" t="s">
        <v>5769</v>
      </c>
      <c r="C180" s="166">
        <v>3.36</v>
      </c>
      <c r="D180" s="118">
        <v>321816</v>
      </c>
      <c r="E180" s="117">
        <v>43908.775219907409</v>
      </c>
      <c r="F180" s="115">
        <v>4361</v>
      </c>
    </row>
    <row r="181" spans="1:6" s="164" customFormat="1" x14ac:dyDescent="0.25">
      <c r="A181" s="115"/>
      <c r="B181" s="115" t="s">
        <v>5691</v>
      </c>
      <c r="C181" s="167">
        <f>SUM(C179:C180)</f>
        <v>6.15</v>
      </c>
      <c r="D181" s="115">
        <v>13</v>
      </c>
      <c r="E181" s="163"/>
      <c r="F181" s="115"/>
    </row>
    <row r="182" spans="1:6" x14ac:dyDescent="0.25">
      <c r="A182" s="118"/>
      <c r="B182" s="116"/>
      <c r="C182" s="166"/>
      <c r="D182" s="118"/>
      <c r="E182" s="117"/>
      <c r="F182" s="118"/>
    </row>
    <row r="183" spans="1:6" x14ac:dyDescent="0.25">
      <c r="A183" s="118" t="str">
        <f>"3960373"</f>
        <v>3960373</v>
      </c>
      <c r="B183" s="116" t="s">
        <v>2940</v>
      </c>
      <c r="C183" s="166">
        <v>8.3800000000000008</v>
      </c>
      <c r="D183" s="118">
        <v>319991</v>
      </c>
      <c r="E183" s="117">
        <v>43909.455972222226</v>
      </c>
      <c r="F183" s="115">
        <v>4372</v>
      </c>
    </row>
    <row r="184" spans="1:6" x14ac:dyDescent="0.25">
      <c r="A184" s="118" t="str">
        <f>"3903105"</f>
        <v>3903105</v>
      </c>
      <c r="B184" s="116" t="s">
        <v>2903</v>
      </c>
      <c r="C184" s="166">
        <v>1.94</v>
      </c>
      <c r="D184" s="118">
        <v>322454</v>
      </c>
      <c r="E184" s="117">
        <v>43909.543599537035</v>
      </c>
      <c r="F184" s="115">
        <v>4373</v>
      </c>
    </row>
    <row r="185" spans="1:6" s="164" customFormat="1" x14ac:dyDescent="0.25">
      <c r="A185" s="115"/>
      <c r="B185" s="115" t="s">
        <v>5691</v>
      </c>
      <c r="C185" s="167">
        <f>SUM(C183:C184)</f>
        <v>10.32</v>
      </c>
      <c r="D185" s="115">
        <v>14</v>
      </c>
      <c r="E185" s="163"/>
      <c r="F185" s="115"/>
    </row>
    <row r="186" spans="1:6" x14ac:dyDescent="0.25">
      <c r="A186" s="118"/>
      <c r="B186" s="116"/>
      <c r="C186" s="166"/>
      <c r="D186" s="118"/>
      <c r="E186" s="117"/>
      <c r="F186" s="118"/>
    </row>
    <row r="187" spans="1:6" x14ac:dyDescent="0.25">
      <c r="A187" s="118" t="str">
        <f>"3960369"</f>
        <v>3960369</v>
      </c>
      <c r="B187" s="116" t="s">
        <v>2937</v>
      </c>
      <c r="C187" s="166">
        <v>8.3800000000000008</v>
      </c>
      <c r="D187" s="118">
        <v>319980</v>
      </c>
      <c r="E187" s="117">
        <v>43910.393611111111</v>
      </c>
      <c r="F187" s="115">
        <v>4401</v>
      </c>
    </row>
    <row r="188" spans="1:6" x14ac:dyDescent="0.25">
      <c r="A188" s="118" t="str">
        <f>"3930243"</f>
        <v>3930243</v>
      </c>
      <c r="B188" s="116" t="s">
        <v>5768</v>
      </c>
      <c r="C188" s="166">
        <v>5.79</v>
      </c>
      <c r="D188" s="118">
        <v>320786</v>
      </c>
      <c r="E188" s="117">
        <v>43910.488217592596</v>
      </c>
      <c r="F188" s="115">
        <v>4402</v>
      </c>
    </row>
    <row r="189" spans="1:6" x14ac:dyDescent="0.25">
      <c r="A189" s="118" t="str">
        <f>"3903548"</f>
        <v>3903548</v>
      </c>
      <c r="B189" s="116" t="s">
        <v>2776</v>
      </c>
      <c r="C189" s="166">
        <v>4.49</v>
      </c>
      <c r="D189" s="118">
        <v>320807</v>
      </c>
      <c r="E189" s="117">
        <v>43910.644895833335</v>
      </c>
      <c r="F189" s="115">
        <v>4403</v>
      </c>
    </row>
    <row r="190" spans="1:6" x14ac:dyDescent="0.25">
      <c r="A190" s="118" t="str">
        <f>"3909033"</f>
        <v>3909033</v>
      </c>
      <c r="B190" s="116" t="s">
        <v>2812</v>
      </c>
      <c r="C190" s="166">
        <v>2.63</v>
      </c>
      <c r="D190" s="118">
        <v>321053</v>
      </c>
      <c r="E190" s="117">
        <v>43910.817523148151</v>
      </c>
      <c r="F190" s="115">
        <v>4404</v>
      </c>
    </row>
    <row r="191" spans="1:6" s="164" customFormat="1" x14ac:dyDescent="0.25">
      <c r="A191" s="115"/>
      <c r="B191" s="115" t="s">
        <v>5691</v>
      </c>
      <c r="C191" s="167">
        <f>SUM(C187:C190)</f>
        <v>21.290000000000003</v>
      </c>
      <c r="D191" s="115">
        <v>15</v>
      </c>
      <c r="E191" s="163"/>
      <c r="F191" s="115"/>
    </row>
    <row r="192" spans="1:6" x14ac:dyDescent="0.25">
      <c r="A192" s="118"/>
      <c r="B192" s="116"/>
      <c r="C192" s="166"/>
      <c r="D192" s="118"/>
      <c r="E192" s="117"/>
      <c r="F192" s="118"/>
    </row>
    <row r="193" spans="1:6" x14ac:dyDescent="0.25">
      <c r="A193" s="118" t="str">
        <f>"3945471"</f>
        <v>3945471</v>
      </c>
      <c r="B193" s="116" t="s">
        <v>5767</v>
      </c>
      <c r="C193" s="166">
        <v>16.760000000000002</v>
      </c>
      <c r="D193" s="118">
        <v>320010</v>
      </c>
      <c r="E193" s="117">
        <v>43913.71465277778</v>
      </c>
      <c r="F193" s="115">
        <v>4420</v>
      </c>
    </row>
    <row r="194" spans="1:6" x14ac:dyDescent="0.25">
      <c r="A194" s="118" t="str">
        <f>"3901396"</f>
        <v>3901396</v>
      </c>
      <c r="B194" s="116" t="s">
        <v>2788</v>
      </c>
      <c r="C194" s="166">
        <v>3.36</v>
      </c>
      <c r="D194" s="118">
        <v>321534</v>
      </c>
      <c r="E194" s="117">
        <v>43913.563020833331</v>
      </c>
      <c r="F194" s="115">
        <v>4421</v>
      </c>
    </row>
    <row r="195" spans="1:6" x14ac:dyDescent="0.25">
      <c r="A195" s="118" t="str">
        <f>"3901461"</f>
        <v>3901461</v>
      </c>
      <c r="B195" s="116" t="s">
        <v>2931</v>
      </c>
      <c r="C195" s="166">
        <v>15.3</v>
      </c>
      <c r="D195" s="118">
        <v>322131</v>
      </c>
      <c r="E195" s="117">
        <v>43913.838310185187</v>
      </c>
      <c r="F195" s="115">
        <v>4422</v>
      </c>
    </row>
    <row r="196" spans="1:6" s="164" customFormat="1" x14ac:dyDescent="0.25">
      <c r="A196" s="115"/>
      <c r="B196" s="115" t="s">
        <v>5691</v>
      </c>
      <c r="C196" s="167">
        <f>SUM(C193:C195)</f>
        <v>35.42</v>
      </c>
      <c r="D196" s="115">
        <v>16</v>
      </c>
      <c r="E196" s="163"/>
      <c r="F196" s="115"/>
    </row>
    <row r="197" spans="1:6" x14ac:dyDescent="0.25">
      <c r="A197" s="118"/>
      <c r="B197" s="116"/>
      <c r="C197" s="166"/>
      <c r="D197" s="118"/>
      <c r="E197" s="117"/>
      <c r="F197" s="118"/>
    </row>
    <row r="198" spans="1:6" x14ac:dyDescent="0.25">
      <c r="A198" s="118" t="str">
        <f>"3907489"</f>
        <v>3907489</v>
      </c>
      <c r="B198" s="116" t="s">
        <v>5749</v>
      </c>
      <c r="C198" s="166">
        <v>14.03</v>
      </c>
      <c r="D198" s="118">
        <v>322997</v>
      </c>
      <c r="E198" s="117">
        <v>43914.372685185182</v>
      </c>
      <c r="F198" s="115">
        <v>4423</v>
      </c>
    </row>
    <row r="199" spans="1:6" x14ac:dyDescent="0.25">
      <c r="A199" s="118" t="str">
        <f>"3907535"</f>
        <v>3907535</v>
      </c>
      <c r="B199" s="116" t="s">
        <v>2977</v>
      </c>
      <c r="C199" s="166">
        <v>3.36</v>
      </c>
      <c r="D199" s="118">
        <v>323135</v>
      </c>
      <c r="E199" s="117">
        <v>43914.656331018516</v>
      </c>
      <c r="F199" s="115">
        <v>4424</v>
      </c>
    </row>
    <row r="200" spans="1:6" x14ac:dyDescent="0.25">
      <c r="A200" s="118" t="str">
        <f>"3960344"</f>
        <v>3960344</v>
      </c>
      <c r="B200" s="116" t="s">
        <v>2953</v>
      </c>
      <c r="C200" s="166">
        <v>26.38</v>
      </c>
      <c r="D200" s="118">
        <v>322731</v>
      </c>
      <c r="E200" s="117">
        <v>43914.664571759262</v>
      </c>
      <c r="F200" s="115">
        <v>4425</v>
      </c>
    </row>
    <row r="201" spans="1:6" x14ac:dyDescent="0.25">
      <c r="A201" s="118" t="str">
        <f>"3930235"</f>
        <v>3930235</v>
      </c>
      <c r="B201" s="116" t="s">
        <v>5700</v>
      </c>
      <c r="C201" s="166">
        <v>3.48</v>
      </c>
      <c r="D201" s="118">
        <v>323517</v>
      </c>
      <c r="E201" s="117">
        <v>43914.672731481478</v>
      </c>
      <c r="F201" s="115">
        <v>4426</v>
      </c>
    </row>
    <row r="202" spans="1:6" x14ac:dyDescent="0.25">
      <c r="A202" s="118" t="str">
        <f>"3901219"</f>
        <v>3901219</v>
      </c>
      <c r="B202" s="116" t="s">
        <v>5766</v>
      </c>
      <c r="C202" s="166">
        <v>5.28</v>
      </c>
      <c r="D202" s="118">
        <v>323699</v>
      </c>
      <c r="E202" s="117">
        <v>43914.775324074071</v>
      </c>
      <c r="F202" s="115">
        <v>4427</v>
      </c>
    </row>
    <row r="203" spans="1:6" x14ac:dyDescent="0.25">
      <c r="A203" s="118" t="str">
        <f>"3903517"</f>
        <v>3903517</v>
      </c>
      <c r="B203" s="116" t="s">
        <v>5765</v>
      </c>
      <c r="C203" s="166">
        <v>5.68</v>
      </c>
      <c r="D203" s="118">
        <v>323566</v>
      </c>
      <c r="E203" s="117">
        <v>43914.775914351849</v>
      </c>
      <c r="F203" s="115">
        <v>4428</v>
      </c>
    </row>
    <row r="204" spans="1:6" s="164" customFormat="1" x14ac:dyDescent="0.25">
      <c r="A204" s="115"/>
      <c r="B204" s="115" t="s">
        <v>5691</v>
      </c>
      <c r="C204" s="167">
        <f>SUM(C198:C203)</f>
        <v>58.209999999999994</v>
      </c>
      <c r="D204" s="115">
        <v>17</v>
      </c>
      <c r="E204" s="163"/>
      <c r="F204" s="115"/>
    </row>
    <row r="205" spans="1:6" x14ac:dyDescent="0.25">
      <c r="A205" s="118"/>
      <c r="B205" s="116"/>
      <c r="C205" s="166"/>
      <c r="D205" s="118"/>
      <c r="E205" s="117"/>
      <c r="F205" s="118"/>
    </row>
    <row r="206" spans="1:6" x14ac:dyDescent="0.25">
      <c r="A206" s="118" t="str">
        <f>"3960276"</f>
        <v>3960276</v>
      </c>
      <c r="B206" s="116" t="s">
        <v>2894</v>
      </c>
      <c r="C206" s="166">
        <v>24.6</v>
      </c>
      <c r="D206" s="118">
        <v>322667</v>
      </c>
      <c r="E206" s="117">
        <v>43915.410358796296</v>
      </c>
      <c r="F206" s="115">
        <v>4439</v>
      </c>
    </row>
    <row r="207" spans="1:6" x14ac:dyDescent="0.25">
      <c r="A207" s="118" t="str">
        <f>"23923068"</f>
        <v>23923068</v>
      </c>
      <c r="B207" s="116" t="s">
        <v>2973</v>
      </c>
      <c r="C207" s="166">
        <v>4.1900000000000004</v>
      </c>
      <c r="D207" s="118">
        <v>1401</v>
      </c>
      <c r="E207" s="117">
        <v>43915.438564814816</v>
      </c>
      <c r="F207" s="115">
        <v>4440</v>
      </c>
    </row>
    <row r="208" spans="1:6" x14ac:dyDescent="0.25">
      <c r="A208" s="118" t="str">
        <f>"3908699"</f>
        <v>3908699</v>
      </c>
      <c r="B208" s="116" t="s">
        <v>5764</v>
      </c>
      <c r="C208" s="166">
        <v>10.74</v>
      </c>
      <c r="D208" s="118">
        <v>323094</v>
      </c>
      <c r="E208" s="117">
        <v>43915.5000462963</v>
      </c>
      <c r="F208" s="115">
        <v>4441</v>
      </c>
    </row>
    <row r="209" spans="1:6" x14ac:dyDescent="0.25">
      <c r="A209" s="118" t="str">
        <f>"3902710"</f>
        <v>3902710</v>
      </c>
      <c r="B209" s="116" t="s">
        <v>2965</v>
      </c>
      <c r="C209" s="166">
        <v>4.4800000000000004</v>
      </c>
      <c r="D209" s="118">
        <v>324416</v>
      </c>
      <c r="E209" s="117">
        <v>43915.609351851854</v>
      </c>
      <c r="F209" s="115">
        <v>4442</v>
      </c>
    </row>
    <row r="210" spans="1:6" x14ac:dyDescent="0.25">
      <c r="A210" s="118" t="str">
        <f>"3900383"</f>
        <v>3900383</v>
      </c>
      <c r="B210" s="116" t="s">
        <v>2974</v>
      </c>
      <c r="C210" s="166">
        <v>3.64</v>
      </c>
      <c r="D210" s="118">
        <v>324142</v>
      </c>
      <c r="E210" s="117">
        <v>43915.647800925923</v>
      </c>
      <c r="F210" s="115">
        <v>4443</v>
      </c>
    </row>
    <row r="211" spans="1:6" x14ac:dyDescent="0.25">
      <c r="A211" s="118" t="str">
        <f>"3909959"</f>
        <v>3909959</v>
      </c>
      <c r="B211" s="116" t="s">
        <v>2998</v>
      </c>
      <c r="C211" s="166">
        <v>19.63</v>
      </c>
      <c r="D211" s="118">
        <v>323194</v>
      </c>
      <c r="E211" s="117">
        <v>43915.695057870369</v>
      </c>
      <c r="F211" s="115">
        <v>4444</v>
      </c>
    </row>
    <row r="212" spans="1:6" s="164" customFormat="1" x14ac:dyDescent="0.25">
      <c r="A212" s="115"/>
      <c r="B212" s="115" t="s">
        <v>5691</v>
      </c>
      <c r="C212" s="167">
        <f>SUM(C206:C211)</f>
        <v>67.28</v>
      </c>
      <c r="D212" s="115">
        <v>18</v>
      </c>
      <c r="E212" s="163"/>
      <c r="F212" s="115"/>
    </row>
    <row r="213" spans="1:6" x14ac:dyDescent="0.25">
      <c r="A213" s="118"/>
      <c r="B213" s="116"/>
      <c r="C213" s="166"/>
      <c r="D213" s="118"/>
      <c r="E213" s="117"/>
      <c r="F213" s="118"/>
    </row>
    <row r="214" spans="1:6" x14ac:dyDescent="0.25">
      <c r="A214" s="118" t="str">
        <f>"3945410"</f>
        <v>3945410</v>
      </c>
      <c r="B214" s="116" t="s">
        <v>5702</v>
      </c>
      <c r="C214" s="166">
        <v>16.760000000000002</v>
      </c>
      <c r="D214" s="118">
        <v>322764</v>
      </c>
      <c r="E214" s="117">
        <v>43917.385625000003</v>
      </c>
      <c r="F214" s="115">
        <v>4487</v>
      </c>
    </row>
    <row r="215" spans="1:6" x14ac:dyDescent="0.25">
      <c r="A215" s="118" t="str">
        <f>"3900695"</f>
        <v>3900695</v>
      </c>
      <c r="B215" s="116" t="s">
        <v>2778</v>
      </c>
      <c r="C215" s="166">
        <v>6.96</v>
      </c>
      <c r="D215" s="118">
        <v>324264</v>
      </c>
      <c r="E215" s="117">
        <v>43917.398194444446</v>
      </c>
      <c r="F215" s="115">
        <v>4488</v>
      </c>
    </row>
    <row r="216" spans="1:6" x14ac:dyDescent="0.25">
      <c r="A216" s="118" t="str">
        <f>"3960265"</f>
        <v>3960265</v>
      </c>
      <c r="B216" s="116" t="s">
        <v>2999</v>
      </c>
      <c r="C216" s="166">
        <v>27.83</v>
      </c>
      <c r="D216" s="118">
        <v>322642</v>
      </c>
      <c r="E216" s="117">
        <v>43917.490844907406</v>
      </c>
      <c r="F216" s="115">
        <v>4489</v>
      </c>
    </row>
    <row r="217" spans="1:6" x14ac:dyDescent="0.25">
      <c r="A217" s="118" t="str">
        <f>"3900576"</f>
        <v>3900576</v>
      </c>
      <c r="B217" s="116" t="s">
        <v>2995</v>
      </c>
      <c r="C217" s="166">
        <v>10.41</v>
      </c>
      <c r="D217" s="118">
        <v>324210</v>
      </c>
      <c r="E217" s="117">
        <v>43917.533888888887</v>
      </c>
      <c r="F217" s="115">
        <v>4490</v>
      </c>
    </row>
    <row r="218" spans="1:6" x14ac:dyDescent="0.25">
      <c r="A218" s="118" t="str">
        <f>"3900685"</f>
        <v>3900685</v>
      </c>
      <c r="B218" s="116" t="s">
        <v>5713</v>
      </c>
      <c r="C218" s="166">
        <v>3.37</v>
      </c>
      <c r="D218" s="118">
        <v>324258</v>
      </c>
      <c r="E218" s="117">
        <v>43917.556030092594</v>
      </c>
      <c r="F218" s="115">
        <v>4491</v>
      </c>
    </row>
    <row r="219" spans="1:6" s="164" customFormat="1" x14ac:dyDescent="0.25">
      <c r="A219" s="115"/>
      <c r="B219" s="115" t="s">
        <v>5691</v>
      </c>
      <c r="C219" s="167">
        <f>SUM(C214:C218)</f>
        <v>65.33</v>
      </c>
      <c r="D219" s="115">
        <v>19</v>
      </c>
      <c r="E219" s="163"/>
      <c r="F219" s="115"/>
    </row>
    <row r="220" spans="1:6" x14ac:dyDescent="0.25">
      <c r="A220" s="118"/>
      <c r="B220" s="116"/>
      <c r="C220" s="166"/>
      <c r="D220" s="118"/>
      <c r="E220" s="117"/>
      <c r="F220" s="118"/>
    </row>
    <row r="221" spans="1:6" x14ac:dyDescent="0.25">
      <c r="A221" s="118" t="str">
        <f>"3908064"</f>
        <v>3908064</v>
      </c>
      <c r="B221" s="116" t="s">
        <v>2976</v>
      </c>
      <c r="C221" s="166">
        <v>4.58</v>
      </c>
      <c r="D221" s="118">
        <v>323926</v>
      </c>
      <c r="E221" s="117">
        <v>43920.797673611109</v>
      </c>
      <c r="F221" s="115">
        <v>4508</v>
      </c>
    </row>
    <row r="222" spans="1:6" x14ac:dyDescent="0.25">
      <c r="A222" s="118" t="str">
        <f>"3960313"</f>
        <v>3960313</v>
      </c>
      <c r="B222" s="116" t="s">
        <v>2944</v>
      </c>
      <c r="C222" s="166">
        <v>15.64</v>
      </c>
      <c r="D222" s="118">
        <v>322800</v>
      </c>
      <c r="E222" s="117">
        <v>43920.378148148149</v>
      </c>
      <c r="F222" s="115">
        <v>4509</v>
      </c>
    </row>
    <row r="223" spans="1:6" x14ac:dyDescent="0.25">
      <c r="A223" s="118" t="str">
        <f>"23923204"</f>
        <v>23923204</v>
      </c>
      <c r="B223" s="116" t="s">
        <v>5763</v>
      </c>
      <c r="C223" s="166">
        <v>20.65</v>
      </c>
      <c r="D223" s="118">
        <v>1477</v>
      </c>
      <c r="E223" s="117">
        <v>43920.544409722221</v>
      </c>
      <c r="F223" s="115">
        <v>4510</v>
      </c>
    </row>
    <row r="224" spans="1:6" x14ac:dyDescent="0.25">
      <c r="A224" s="118" t="str">
        <f>"3902164"</f>
        <v>3902164</v>
      </c>
      <c r="B224" s="116" t="s">
        <v>5742</v>
      </c>
      <c r="C224" s="166">
        <v>8.76</v>
      </c>
      <c r="D224" s="118">
        <v>323950</v>
      </c>
      <c r="E224" s="117">
        <v>43920.662280092591</v>
      </c>
      <c r="F224" s="115">
        <v>4511</v>
      </c>
    </row>
    <row r="225" spans="1:6" x14ac:dyDescent="0.25">
      <c r="A225" s="118" t="str">
        <f>"3909033"</f>
        <v>3909033</v>
      </c>
      <c r="B225" s="116" t="s">
        <v>2812</v>
      </c>
      <c r="C225" s="166">
        <v>3.45</v>
      </c>
      <c r="D225" s="118">
        <v>323810</v>
      </c>
      <c r="E225" s="117">
        <v>43920.67287037037</v>
      </c>
      <c r="F225" s="115">
        <v>4512</v>
      </c>
    </row>
    <row r="226" spans="1:6" x14ac:dyDescent="0.25">
      <c r="A226" s="118" t="str">
        <f>"3909239"</f>
        <v>3909239</v>
      </c>
      <c r="B226" s="116" t="s">
        <v>5732</v>
      </c>
      <c r="C226" s="166">
        <v>1.68</v>
      </c>
      <c r="D226" s="118">
        <v>323965</v>
      </c>
      <c r="E226" s="117">
        <v>43920.682835648149</v>
      </c>
      <c r="F226" s="115">
        <v>4513</v>
      </c>
    </row>
    <row r="227" spans="1:6" s="164" customFormat="1" x14ac:dyDescent="0.25">
      <c r="A227" s="115"/>
      <c r="B227" s="115" t="s">
        <v>5691</v>
      </c>
      <c r="C227" s="167">
        <f>SUM(C221:C226)</f>
        <v>54.76</v>
      </c>
      <c r="D227" s="115">
        <v>20</v>
      </c>
      <c r="E227" s="163"/>
      <c r="F227" s="115"/>
    </row>
    <row r="228" spans="1:6" x14ac:dyDescent="0.25">
      <c r="A228" s="118"/>
      <c r="B228" s="116"/>
      <c r="C228" s="166"/>
      <c r="D228" s="118"/>
      <c r="E228" s="117"/>
      <c r="F228" s="118"/>
    </row>
    <row r="229" spans="1:6" x14ac:dyDescent="0.25">
      <c r="A229" s="118" t="str">
        <f>"3902247"</f>
        <v>3902247</v>
      </c>
      <c r="B229" s="116" t="s">
        <v>3002</v>
      </c>
      <c r="C229" s="166">
        <v>2.87</v>
      </c>
      <c r="D229" s="118">
        <v>323977</v>
      </c>
      <c r="E229" s="117">
        <v>43921.38548611111</v>
      </c>
      <c r="F229" s="115">
        <v>4529</v>
      </c>
    </row>
    <row r="230" spans="1:6" x14ac:dyDescent="0.25">
      <c r="A230" s="118" t="str">
        <f>"3908057"</f>
        <v>3908057</v>
      </c>
      <c r="B230" s="116" t="s">
        <v>3000</v>
      </c>
      <c r="C230" s="166">
        <v>1.94</v>
      </c>
      <c r="D230" s="118">
        <v>323922</v>
      </c>
      <c r="E230" s="117">
        <v>43921.782256944447</v>
      </c>
      <c r="F230" s="115">
        <v>4530</v>
      </c>
    </row>
    <row r="231" spans="1:6" x14ac:dyDescent="0.25">
      <c r="A231" s="118" t="str">
        <f>"3900329"</f>
        <v>3900329</v>
      </c>
      <c r="B231" s="116" t="s">
        <v>5762</v>
      </c>
      <c r="C231" s="166">
        <v>2.5299999999999998</v>
      </c>
      <c r="D231" s="118">
        <v>324118</v>
      </c>
      <c r="E231" s="117">
        <v>43921.783425925925</v>
      </c>
      <c r="F231" s="115">
        <v>4531</v>
      </c>
    </row>
    <row r="232" spans="1:6" x14ac:dyDescent="0.25">
      <c r="A232" s="118" t="str">
        <f>"3909808"</f>
        <v>3909808</v>
      </c>
      <c r="B232" s="116" t="s">
        <v>2809</v>
      </c>
      <c r="C232" s="166">
        <v>5.07</v>
      </c>
      <c r="D232" s="118">
        <v>324006</v>
      </c>
      <c r="E232" s="117">
        <v>43921.849594907406</v>
      </c>
      <c r="F232" s="115">
        <v>4532</v>
      </c>
    </row>
    <row r="233" spans="1:6" s="164" customFormat="1" x14ac:dyDescent="0.25">
      <c r="A233" s="115"/>
      <c r="B233" s="115" t="s">
        <v>5691</v>
      </c>
      <c r="C233" s="167">
        <f>SUM(C229:C232)</f>
        <v>12.41</v>
      </c>
      <c r="D233" s="115">
        <v>21</v>
      </c>
      <c r="E233" s="163"/>
      <c r="F233" s="115"/>
    </row>
    <row r="234" spans="1:6" x14ac:dyDescent="0.25">
      <c r="A234" s="118"/>
      <c r="B234" s="116"/>
      <c r="C234" s="166"/>
      <c r="D234" s="118"/>
      <c r="E234" s="117"/>
      <c r="F234" s="118"/>
    </row>
    <row r="235" spans="1:6" x14ac:dyDescent="0.25">
      <c r="A235" s="118"/>
      <c r="B235" s="116"/>
      <c r="C235" s="166"/>
      <c r="D235" s="118"/>
      <c r="E235" s="117"/>
      <c r="F235" s="115"/>
    </row>
    <row r="236" spans="1:6" x14ac:dyDescent="0.25">
      <c r="A236" s="118"/>
      <c r="B236" s="116"/>
      <c r="C236" s="166"/>
      <c r="D236" s="118"/>
      <c r="E236" s="117"/>
      <c r="F236" s="115"/>
    </row>
    <row r="237" spans="1:6" x14ac:dyDescent="0.25">
      <c r="A237" s="118"/>
      <c r="B237" s="116"/>
      <c r="C237" s="166"/>
      <c r="D237" s="118"/>
      <c r="E237" s="117"/>
      <c r="F237" s="115"/>
    </row>
    <row r="238" spans="1:6" x14ac:dyDescent="0.25">
      <c r="A238" s="118"/>
      <c r="B238" s="116"/>
      <c r="C238" s="166"/>
      <c r="D238" s="118"/>
      <c r="E238" s="117"/>
      <c r="F238" s="115"/>
    </row>
    <row r="239" spans="1:6" x14ac:dyDescent="0.25">
      <c r="A239" s="121"/>
      <c r="B239" s="119"/>
      <c r="C239" s="168"/>
      <c r="D239" s="121"/>
      <c r="E239" s="120"/>
      <c r="F239" s="170"/>
    </row>
    <row r="240" spans="1:6" x14ac:dyDescent="0.25">
      <c r="A240" s="118"/>
      <c r="B240" s="116"/>
      <c r="C240" s="166"/>
      <c r="D240" s="118"/>
      <c r="E240" s="117"/>
      <c r="F240" s="115"/>
    </row>
    <row r="241" spans="1:6" x14ac:dyDescent="0.25">
      <c r="A241" s="118"/>
      <c r="B241" s="116"/>
      <c r="C241" s="166"/>
      <c r="D241" s="118"/>
      <c r="E241" s="117"/>
      <c r="F241" s="115"/>
    </row>
    <row r="242" spans="1:6" x14ac:dyDescent="0.25">
      <c r="A242" s="118"/>
      <c r="B242" s="116"/>
      <c r="C242" s="166"/>
      <c r="D242" s="118"/>
      <c r="E242" s="117"/>
      <c r="F242" s="115"/>
    </row>
    <row r="243" spans="1:6" x14ac:dyDescent="0.25">
      <c r="A243" s="118"/>
      <c r="B243" s="116"/>
      <c r="C243" s="166"/>
      <c r="D243" s="118"/>
      <c r="E243" s="117"/>
      <c r="F243" s="115"/>
    </row>
    <row r="244" spans="1:6" x14ac:dyDescent="0.25">
      <c r="A244" s="118"/>
      <c r="B244" s="116"/>
      <c r="C244" s="166"/>
      <c r="D244" s="118"/>
      <c r="E244" s="117"/>
      <c r="F244" s="115"/>
    </row>
    <row r="245" spans="1:6" x14ac:dyDescent="0.25">
      <c r="A245" s="118"/>
      <c r="B245" s="116"/>
      <c r="C245" s="166"/>
      <c r="D245" s="118"/>
      <c r="E245" s="117"/>
      <c r="F245" s="115"/>
    </row>
    <row r="246" spans="1:6" x14ac:dyDescent="0.25">
      <c r="A246" s="118"/>
      <c r="B246" s="116"/>
      <c r="C246" s="166"/>
      <c r="D246" s="118"/>
      <c r="E246" s="117"/>
      <c r="F246" s="115"/>
    </row>
    <row r="247" spans="1:6" x14ac:dyDescent="0.25">
      <c r="A247" s="118"/>
      <c r="B247" s="116"/>
      <c r="C247" s="166"/>
      <c r="D247" s="118"/>
      <c r="E247" s="117"/>
      <c r="F247" s="115"/>
    </row>
    <row r="248" spans="1:6" x14ac:dyDescent="0.25">
      <c r="A248" s="118"/>
      <c r="B248" s="116"/>
      <c r="C248" s="166"/>
      <c r="D248" s="118"/>
      <c r="E248" s="117"/>
      <c r="F248" s="115"/>
    </row>
    <row r="249" spans="1:6" x14ac:dyDescent="0.25">
      <c r="A249" s="118"/>
      <c r="B249" s="116"/>
      <c r="C249" s="166"/>
      <c r="D249" s="118"/>
      <c r="E249" s="117"/>
      <c r="F249" s="115"/>
    </row>
    <row r="250" spans="1:6" x14ac:dyDescent="0.25">
      <c r="A250" s="118"/>
      <c r="B250" s="116"/>
      <c r="C250" s="166"/>
      <c r="D250" s="118"/>
      <c r="E250" s="117"/>
      <c r="F250" s="115"/>
    </row>
    <row r="251" spans="1:6" x14ac:dyDescent="0.25">
      <c r="A251" s="118"/>
      <c r="B251" s="116"/>
      <c r="C251" s="166"/>
      <c r="D251" s="118"/>
      <c r="E251" s="117"/>
      <c r="F251" s="115"/>
    </row>
    <row r="252" spans="1:6" x14ac:dyDescent="0.25">
      <c r="A252" s="118"/>
      <c r="B252" s="116"/>
      <c r="C252" s="166"/>
      <c r="D252" s="118"/>
      <c r="E252" s="117"/>
      <c r="F252" s="115"/>
    </row>
    <row r="253" spans="1:6" x14ac:dyDescent="0.25">
      <c r="A253" s="118"/>
      <c r="B253" s="116"/>
      <c r="C253" s="166"/>
      <c r="D253" s="118"/>
      <c r="E253" s="117"/>
      <c r="F253" s="115"/>
    </row>
    <row r="254" spans="1:6" x14ac:dyDescent="0.25">
      <c r="A254" s="118"/>
      <c r="B254" s="116"/>
      <c r="C254" s="166"/>
      <c r="D254" s="118"/>
      <c r="E254" s="117"/>
      <c r="F254" s="115"/>
    </row>
    <row r="255" spans="1:6" x14ac:dyDescent="0.25">
      <c r="A255" s="118"/>
      <c r="B255" s="116"/>
      <c r="C255" s="166"/>
      <c r="D255" s="118"/>
      <c r="E255" s="117"/>
      <c r="F255" s="115"/>
    </row>
    <row r="256" spans="1:6" x14ac:dyDescent="0.25">
      <c r="A256" s="118"/>
      <c r="B256" s="116"/>
      <c r="C256" s="166"/>
      <c r="D256" s="118"/>
      <c r="E256" s="117"/>
      <c r="F256" s="115"/>
    </row>
    <row r="257" spans="1:6" x14ac:dyDescent="0.25">
      <c r="A257" s="118"/>
      <c r="B257" s="116"/>
      <c r="C257" s="166"/>
      <c r="D257" s="118"/>
      <c r="E257" s="117"/>
      <c r="F257" s="115"/>
    </row>
    <row r="258" spans="1:6" x14ac:dyDescent="0.25">
      <c r="A258" s="118"/>
      <c r="B258" s="116"/>
      <c r="C258" s="166"/>
      <c r="D258" s="118"/>
      <c r="E258" s="117"/>
      <c r="F258" s="115"/>
    </row>
    <row r="259" spans="1:6" x14ac:dyDescent="0.25">
      <c r="A259" s="118"/>
      <c r="B259" s="116"/>
      <c r="C259" s="166"/>
      <c r="D259" s="118"/>
      <c r="E259" s="117"/>
      <c r="F259" s="115"/>
    </row>
    <row r="260" spans="1:6" x14ac:dyDescent="0.25">
      <c r="A260" s="118"/>
      <c r="B260" s="116"/>
      <c r="C260" s="166"/>
      <c r="D260" s="118"/>
      <c r="E260" s="117"/>
      <c r="F260" s="115"/>
    </row>
    <row r="261" spans="1:6" x14ac:dyDescent="0.25">
      <c r="A261" s="118"/>
      <c r="B261" s="116"/>
      <c r="C261" s="166"/>
      <c r="D261" s="118"/>
      <c r="E261" s="117"/>
      <c r="F261" s="115"/>
    </row>
    <row r="262" spans="1:6" x14ac:dyDescent="0.25">
      <c r="A262" s="118"/>
      <c r="B262" s="116"/>
      <c r="C262" s="166"/>
      <c r="D262" s="118"/>
      <c r="E262" s="117"/>
      <c r="F262" s="115"/>
    </row>
    <row r="263" spans="1:6" x14ac:dyDescent="0.25">
      <c r="A263" s="118"/>
      <c r="B263" s="116"/>
      <c r="C263" s="166"/>
      <c r="D263" s="118"/>
      <c r="E263" s="117"/>
      <c r="F263" s="115"/>
    </row>
    <row r="264" spans="1:6" x14ac:dyDescent="0.25">
      <c r="A264" s="118"/>
      <c r="B264" s="116"/>
      <c r="C264" s="166"/>
      <c r="D264" s="118"/>
      <c r="E264" s="117"/>
      <c r="F264" s="115"/>
    </row>
    <row r="265" spans="1:6" x14ac:dyDescent="0.25">
      <c r="A265" s="118"/>
      <c r="B265" s="116"/>
      <c r="C265" s="166"/>
      <c r="D265" s="118"/>
      <c r="E265" s="117"/>
      <c r="F265" s="115"/>
    </row>
    <row r="266" spans="1:6" x14ac:dyDescent="0.25">
      <c r="A266" s="118"/>
      <c r="B266" s="116"/>
      <c r="C266" s="166"/>
      <c r="D266" s="118"/>
      <c r="E266" s="117"/>
      <c r="F266" s="115"/>
    </row>
    <row r="267" spans="1:6" x14ac:dyDescent="0.25">
      <c r="A267" s="118"/>
      <c r="B267" s="116"/>
      <c r="C267" s="166"/>
      <c r="D267" s="118"/>
      <c r="E267" s="117"/>
      <c r="F267" s="115"/>
    </row>
    <row r="268" spans="1:6" x14ac:dyDescent="0.25">
      <c r="A268" s="118"/>
      <c r="B268" s="116"/>
      <c r="C268" s="166"/>
      <c r="D268" s="118"/>
      <c r="E268" s="117"/>
      <c r="F268" s="115"/>
    </row>
    <row r="269" spans="1:6" x14ac:dyDescent="0.25">
      <c r="A269" s="118"/>
      <c r="B269" s="116"/>
      <c r="C269" s="166"/>
      <c r="D269" s="118"/>
      <c r="E269" s="117"/>
      <c r="F269" s="115"/>
    </row>
    <row r="270" spans="1:6" x14ac:dyDescent="0.25">
      <c r="A270" s="118"/>
      <c r="B270" s="116"/>
      <c r="C270" s="166"/>
      <c r="D270" s="118"/>
      <c r="E270" s="117"/>
      <c r="F270" s="115"/>
    </row>
    <row r="271" spans="1:6" x14ac:dyDescent="0.25">
      <c r="A271" s="118"/>
      <c r="B271" s="116"/>
      <c r="C271" s="166"/>
      <c r="D271" s="118"/>
      <c r="E271" s="117"/>
      <c r="F271" s="115"/>
    </row>
    <row r="272" spans="1:6" x14ac:dyDescent="0.25">
      <c r="A272" s="118"/>
      <c r="B272" s="116"/>
      <c r="C272" s="166"/>
      <c r="D272" s="118"/>
      <c r="E272" s="117"/>
      <c r="F272" s="115"/>
    </row>
    <row r="273" spans="1:6" x14ac:dyDescent="0.25">
      <c r="A273" s="118"/>
      <c r="B273" s="116"/>
      <c r="C273" s="166"/>
      <c r="D273" s="118"/>
      <c r="E273" s="117"/>
      <c r="F273" s="115"/>
    </row>
    <row r="274" spans="1:6" x14ac:dyDescent="0.25">
      <c r="A274" s="118"/>
      <c r="B274" s="116"/>
      <c r="C274" s="166"/>
      <c r="D274" s="118"/>
      <c r="E274" s="117"/>
      <c r="F274" s="115"/>
    </row>
    <row r="275" spans="1:6" x14ac:dyDescent="0.25">
      <c r="A275" s="118"/>
      <c r="B275" s="116"/>
      <c r="C275" s="166"/>
      <c r="D275" s="118"/>
      <c r="E275" s="117"/>
      <c r="F275" s="115"/>
    </row>
    <row r="276" spans="1:6" x14ac:dyDescent="0.25">
      <c r="A276" s="118"/>
      <c r="B276" s="116"/>
      <c r="C276" s="166"/>
      <c r="D276" s="118"/>
      <c r="E276" s="117"/>
      <c r="F276" s="115"/>
    </row>
    <row r="277" spans="1:6" x14ac:dyDescent="0.25">
      <c r="A277" s="118"/>
      <c r="B277" s="116"/>
      <c r="C277" s="166"/>
      <c r="D277" s="118"/>
      <c r="E277" s="117"/>
      <c r="F277" s="115"/>
    </row>
    <row r="278" spans="1:6" x14ac:dyDescent="0.25">
      <c r="A278" s="118"/>
      <c r="B278" s="116"/>
      <c r="C278" s="166"/>
      <c r="D278" s="118"/>
      <c r="E278" s="117"/>
      <c r="F278" s="115"/>
    </row>
    <row r="279" spans="1:6" x14ac:dyDescent="0.25">
      <c r="A279" s="118"/>
      <c r="B279" s="116"/>
      <c r="C279" s="166"/>
      <c r="D279" s="118"/>
      <c r="E279" s="117"/>
      <c r="F279" s="115"/>
    </row>
    <row r="280" spans="1:6" x14ac:dyDescent="0.25">
      <c r="A280" s="118"/>
      <c r="B280" s="116"/>
      <c r="C280" s="166"/>
      <c r="D280" s="118"/>
      <c r="E280" s="117"/>
      <c r="F280" s="115"/>
    </row>
    <row r="281" spans="1:6" x14ac:dyDescent="0.25">
      <c r="A281" s="118"/>
      <c r="B281" s="116"/>
      <c r="C281" s="166"/>
      <c r="D281" s="118"/>
      <c r="E281" s="117"/>
      <c r="F281" s="115"/>
    </row>
    <row r="282" spans="1:6" x14ac:dyDescent="0.25">
      <c r="A282" s="118"/>
      <c r="B282" s="116"/>
      <c r="C282" s="166"/>
      <c r="D282" s="118"/>
      <c r="E282" s="117"/>
      <c r="F282" s="115"/>
    </row>
    <row r="283" spans="1:6" x14ac:dyDescent="0.25">
      <c r="A283" s="118"/>
      <c r="B283" s="116"/>
      <c r="C283" s="166"/>
      <c r="D283" s="118"/>
      <c r="E283" s="117"/>
      <c r="F283" s="115"/>
    </row>
    <row r="284" spans="1:6" x14ac:dyDescent="0.25">
      <c r="A284" s="118"/>
      <c r="B284" s="116"/>
      <c r="C284" s="166"/>
      <c r="D284" s="118"/>
      <c r="E284" s="117"/>
      <c r="F284" s="115"/>
    </row>
    <row r="285" spans="1:6" x14ac:dyDescent="0.25">
      <c r="A285" s="118"/>
      <c r="B285" s="116"/>
      <c r="C285" s="166"/>
      <c r="D285" s="118"/>
      <c r="E285" s="117"/>
      <c r="F285" s="115"/>
    </row>
    <row r="286" spans="1:6" x14ac:dyDescent="0.25">
      <c r="A286" s="118"/>
      <c r="B286" s="116"/>
      <c r="C286" s="166"/>
      <c r="D286" s="118"/>
      <c r="E286" s="117"/>
      <c r="F286" s="115"/>
    </row>
    <row r="287" spans="1:6" x14ac:dyDescent="0.25">
      <c r="A287" s="118"/>
      <c r="B287" s="116"/>
      <c r="C287" s="166"/>
      <c r="D287" s="118"/>
      <c r="E287" s="117"/>
      <c r="F287" s="115"/>
    </row>
    <row r="288" spans="1:6" x14ac:dyDescent="0.25">
      <c r="A288" s="118"/>
      <c r="B288" s="116"/>
      <c r="C288" s="166"/>
      <c r="D288" s="118"/>
      <c r="E288" s="117"/>
      <c r="F288" s="115"/>
    </row>
    <row r="289" spans="1:6" x14ac:dyDescent="0.25">
      <c r="A289" s="118"/>
      <c r="B289" s="116"/>
      <c r="C289" s="166"/>
      <c r="D289" s="118"/>
      <c r="E289" s="117"/>
      <c r="F289" s="115"/>
    </row>
    <row r="290" spans="1:6" x14ac:dyDescent="0.25">
      <c r="A290" s="118"/>
      <c r="B290" s="116"/>
      <c r="C290" s="166"/>
      <c r="D290" s="118"/>
      <c r="E290" s="117"/>
      <c r="F290" s="115"/>
    </row>
    <row r="291" spans="1:6" x14ac:dyDescent="0.25">
      <c r="A291" s="118"/>
      <c r="B291" s="116"/>
      <c r="C291" s="166"/>
      <c r="D291" s="118"/>
      <c r="E291" s="117"/>
      <c r="F291" s="115"/>
    </row>
    <row r="292" spans="1:6" x14ac:dyDescent="0.25">
      <c r="A292" s="118"/>
      <c r="B292" s="116"/>
      <c r="C292" s="166"/>
      <c r="D292" s="118"/>
      <c r="E292" s="117"/>
      <c r="F292" s="115"/>
    </row>
    <row r="293" spans="1:6" x14ac:dyDescent="0.25">
      <c r="A293" s="118"/>
      <c r="B293" s="116"/>
      <c r="C293" s="166"/>
      <c r="D293" s="118"/>
      <c r="E293" s="117"/>
      <c r="F293" s="115"/>
    </row>
    <row r="294" spans="1:6" x14ac:dyDescent="0.25">
      <c r="A294" s="118"/>
      <c r="B294" s="116"/>
      <c r="C294" s="166"/>
      <c r="D294" s="118"/>
      <c r="E294" s="117"/>
      <c r="F294" s="115"/>
    </row>
    <row r="295" spans="1:6" x14ac:dyDescent="0.25">
      <c r="A295" s="118"/>
      <c r="B295" s="116"/>
      <c r="C295" s="166"/>
      <c r="D295" s="118"/>
      <c r="E295" s="117"/>
      <c r="F295" s="115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4" fitToHeight="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D0CA-252A-4898-B173-4C87EFEFF0EC}">
  <sheetPr>
    <pageSetUpPr fitToPage="1"/>
  </sheetPr>
  <dimension ref="A1:K487"/>
  <sheetViews>
    <sheetView workbookViewId="0">
      <selection activeCell="C488" sqref="C488"/>
    </sheetView>
  </sheetViews>
  <sheetFormatPr baseColWidth="10" defaultColWidth="29.5703125" defaultRowHeight="15.75" x14ac:dyDescent="0.25"/>
  <cols>
    <col min="1" max="1" width="10.85546875" style="137" customWidth="1"/>
    <col min="2" max="2" width="9" style="137" bestFit="1" customWidth="1"/>
    <col min="3" max="3" width="25.42578125" style="137" bestFit="1" customWidth="1"/>
    <col min="4" max="4" width="9.85546875" style="137" bestFit="1" customWidth="1"/>
    <col min="5" max="5" width="8.7109375" style="142" customWidth="1"/>
    <col min="6" max="6" width="15.42578125" style="137" bestFit="1" customWidth="1"/>
    <col min="7" max="7" width="8.7109375" style="137" bestFit="1" customWidth="1"/>
    <col min="8" max="8" width="8.5703125" style="137" bestFit="1" customWidth="1"/>
    <col min="9" max="10" width="29.5703125" style="137"/>
    <col min="11" max="11" width="1.5703125" style="137" bestFit="1" customWidth="1"/>
    <col min="12" max="16384" width="29.5703125" style="137"/>
  </cols>
  <sheetData>
    <row r="1" spans="1:8" ht="16.5" thickBot="1" x14ac:dyDescent="0.3">
      <c r="A1" s="380" t="s">
        <v>14418</v>
      </c>
      <c r="B1" s="381"/>
      <c r="C1" s="381"/>
      <c r="D1" s="381"/>
      <c r="E1" s="381"/>
      <c r="F1" s="381"/>
      <c r="G1" s="143"/>
      <c r="H1" s="201"/>
    </row>
    <row r="2" spans="1:8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x14ac:dyDescent="0.25">
      <c r="A3" s="134" t="s">
        <v>8953</v>
      </c>
      <c r="B3" s="134" t="s">
        <v>8985</v>
      </c>
      <c r="C3" s="134" t="s">
        <v>8984</v>
      </c>
      <c r="D3" s="134" t="s">
        <v>6949</v>
      </c>
      <c r="E3" s="139">
        <v>0.36</v>
      </c>
      <c r="F3" s="134" t="s">
        <v>6948</v>
      </c>
      <c r="G3" s="134" t="s">
        <v>3007</v>
      </c>
      <c r="H3" s="123">
        <v>3289</v>
      </c>
    </row>
    <row r="4" spans="1:8" ht="31.5" x14ac:dyDescent="0.25">
      <c r="A4" s="134" t="s">
        <v>8953</v>
      </c>
      <c r="B4" s="134" t="s">
        <v>6283</v>
      </c>
      <c r="C4" s="134" t="s">
        <v>8983</v>
      </c>
      <c r="D4" s="134" t="s">
        <v>3579</v>
      </c>
      <c r="E4" s="139">
        <v>1.79</v>
      </c>
      <c r="F4" s="134" t="s">
        <v>3578</v>
      </c>
      <c r="G4" s="134" t="s">
        <v>3007</v>
      </c>
      <c r="H4" s="123">
        <v>3290</v>
      </c>
    </row>
    <row r="5" spans="1:8" ht="31.5" x14ac:dyDescent="0.25">
      <c r="A5" s="134" t="s">
        <v>8953</v>
      </c>
      <c r="B5" s="134" t="s">
        <v>8982</v>
      </c>
      <c r="C5" s="134" t="s">
        <v>8981</v>
      </c>
      <c r="D5" s="134" t="s">
        <v>8980</v>
      </c>
      <c r="E5" s="139">
        <v>2.0499999999999998</v>
      </c>
      <c r="F5" s="134" t="s">
        <v>8979</v>
      </c>
      <c r="G5" s="134" t="s">
        <v>3007</v>
      </c>
      <c r="H5" s="123">
        <v>3291</v>
      </c>
    </row>
    <row r="6" spans="1:8" x14ac:dyDescent="0.25">
      <c r="A6" s="134" t="s">
        <v>8953</v>
      </c>
      <c r="B6" s="134" t="s">
        <v>6820</v>
      </c>
      <c r="C6" s="134" t="s">
        <v>8978</v>
      </c>
      <c r="D6" s="134" t="s">
        <v>3034</v>
      </c>
      <c r="E6" s="139">
        <v>6.79</v>
      </c>
      <c r="F6" s="134" t="s">
        <v>3033</v>
      </c>
      <c r="G6" s="134" t="s">
        <v>3007</v>
      </c>
      <c r="H6" s="123">
        <v>3292</v>
      </c>
    </row>
    <row r="7" spans="1:8" x14ac:dyDescent="0.25">
      <c r="A7" s="134" t="s">
        <v>8953</v>
      </c>
      <c r="B7" s="134" t="s">
        <v>8977</v>
      </c>
      <c r="C7" s="134" t="s">
        <v>8976</v>
      </c>
      <c r="D7" s="134" t="s">
        <v>5372</v>
      </c>
      <c r="E7" s="139">
        <v>6.58</v>
      </c>
      <c r="F7" s="134" t="s">
        <v>5371</v>
      </c>
      <c r="G7" s="134" t="s">
        <v>3007</v>
      </c>
      <c r="H7" s="123">
        <v>3293</v>
      </c>
    </row>
    <row r="8" spans="1:8" x14ac:dyDescent="0.25">
      <c r="A8" s="134" t="s">
        <v>8953</v>
      </c>
      <c r="B8" s="134" t="s">
        <v>8975</v>
      </c>
      <c r="C8" s="134" t="s">
        <v>8974</v>
      </c>
      <c r="D8" s="134" t="s">
        <v>8973</v>
      </c>
      <c r="E8" s="139">
        <v>10.33</v>
      </c>
      <c r="F8" s="134" t="s">
        <v>8972</v>
      </c>
      <c r="G8" s="134" t="s">
        <v>3007</v>
      </c>
      <c r="H8" s="123">
        <v>3294</v>
      </c>
    </row>
    <row r="9" spans="1:8" x14ac:dyDescent="0.25">
      <c r="A9" s="134" t="s">
        <v>8953</v>
      </c>
      <c r="B9" s="134" t="s">
        <v>8971</v>
      </c>
      <c r="C9" s="134" t="s">
        <v>8970</v>
      </c>
      <c r="D9" s="134" t="s">
        <v>8969</v>
      </c>
      <c r="E9" s="139">
        <v>5.42</v>
      </c>
      <c r="F9" s="134" t="s">
        <v>8968</v>
      </c>
      <c r="G9" s="134" t="s">
        <v>3007</v>
      </c>
      <c r="H9" s="123">
        <v>3295</v>
      </c>
    </row>
    <row r="10" spans="1:8" x14ac:dyDescent="0.25">
      <c r="A10" s="134" t="s">
        <v>8953</v>
      </c>
      <c r="B10" s="134" t="s">
        <v>3589</v>
      </c>
      <c r="C10" s="134" t="s">
        <v>8967</v>
      </c>
      <c r="D10" s="134" t="s">
        <v>8966</v>
      </c>
      <c r="E10" s="139">
        <v>6.35</v>
      </c>
      <c r="F10" s="134" t="s">
        <v>8965</v>
      </c>
      <c r="G10" s="134" t="s">
        <v>3007</v>
      </c>
      <c r="H10" s="123">
        <v>3296</v>
      </c>
    </row>
    <row r="11" spans="1:8" x14ac:dyDescent="0.25">
      <c r="A11" s="134" t="s">
        <v>8953</v>
      </c>
      <c r="B11" s="134" t="s">
        <v>8964</v>
      </c>
      <c r="C11" s="134" t="s">
        <v>8963</v>
      </c>
      <c r="D11" s="134" t="s">
        <v>8962</v>
      </c>
      <c r="E11" s="139">
        <v>10.82</v>
      </c>
      <c r="F11" s="134" t="s">
        <v>8961</v>
      </c>
      <c r="G11" s="134" t="s">
        <v>3007</v>
      </c>
      <c r="H11" s="123">
        <v>3297</v>
      </c>
    </row>
    <row r="12" spans="1:8" ht="31.5" x14ac:dyDescent="0.25">
      <c r="A12" s="134" t="s">
        <v>8953</v>
      </c>
      <c r="B12" s="134" t="s">
        <v>8960</v>
      </c>
      <c r="C12" s="134" t="s">
        <v>8959</v>
      </c>
      <c r="D12" s="134" t="s">
        <v>8958</v>
      </c>
      <c r="E12" s="139">
        <v>4.53</v>
      </c>
      <c r="F12" s="134" t="s">
        <v>8957</v>
      </c>
      <c r="G12" s="134" t="s">
        <v>3007</v>
      </c>
      <c r="H12" s="123">
        <v>3298</v>
      </c>
    </row>
    <row r="13" spans="1:8" x14ac:dyDescent="0.25">
      <c r="A13" s="134" t="s">
        <v>8953</v>
      </c>
      <c r="B13" s="134" t="s">
        <v>7684</v>
      </c>
      <c r="C13" s="134" t="s">
        <v>8956</v>
      </c>
      <c r="D13" s="134" t="s">
        <v>8955</v>
      </c>
      <c r="E13" s="139">
        <v>4.4000000000000004</v>
      </c>
      <c r="F13" s="134" t="s">
        <v>8954</v>
      </c>
      <c r="G13" s="134" t="s">
        <v>3007</v>
      </c>
      <c r="H13" s="123">
        <v>3301</v>
      </c>
    </row>
    <row r="14" spans="1:8" x14ac:dyDescent="0.25">
      <c r="A14" s="134" t="s">
        <v>8953</v>
      </c>
      <c r="B14" s="134" t="s">
        <v>8952</v>
      </c>
      <c r="C14" s="134" t="s">
        <v>8951</v>
      </c>
      <c r="D14" s="134" t="s">
        <v>8950</v>
      </c>
      <c r="E14" s="139">
        <v>13.67</v>
      </c>
      <c r="F14" s="134" t="s">
        <v>8949</v>
      </c>
      <c r="G14" s="134" t="s">
        <v>3007</v>
      </c>
      <c r="H14" s="123">
        <v>3306</v>
      </c>
    </row>
    <row r="15" spans="1:8" x14ac:dyDescent="0.25">
      <c r="A15" s="134" t="s">
        <v>8836</v>
      </c>
      <c r="B15" s="134" t="s">
        <v>8948</v>
      </c>
      <c r="C15" s="134" t="s">
        <v>8947</v>
      </c>
      <c r="D15" s="134" t="s">
        <v>5346</v>
      </c>
      <c r="E15" s="139">
        <v>3.43</v>
      </c>
      <c r="F15" s="134" t="s">
        <v>5345</v>
      </c>
      <c r="G15" s="134" t="s">
        <v>3007</v>
      </c>
      <c r="H15" s="123">
        <v>3368</v>
      </c>
    </row>
    <row r="16" spans="1:8" x14ac:dyDescent="0.25">
      <c r="A16" s="134" t="s">
        <v>8836</v>
      </c>
      <c r="B16" s="134" t="s">
        <v>8946</v>
      </c>
      <c r="C16" s="134" t="s">
        <v>8945</v>
      </c>
      <c r="D16" s="134" t="s">
        <v>4220</v>
      </c>
      <c r="E16" s="139">
        <v>8.2799999999999994</v>
      </c>
      <c r="F16" s="134" t="s">
        <v>4219</v>
      </c>
      <c r="G16" s="134" t="s">
        <v>3007</v>
      </c>
      <c r="H16" s="123">
        <v>3369</v>
      </c>
    </row>
    <row r="17" spans="1:8" ht="31.5" x14ac:dyDescent="0.25">
      <c r="A17" s="134" t="s">
        <v>8836</v>
      </c>
      <c r="B17" s="134" t="s">
        <v>8944</v>
      </c>
      <c r="C17" s="134" t="s">
        <v>8943</v>
      </c>
      <c r="D17" s="134" t="s">
        <v>5182</v>
      </c>
      <c r="E17" s="139">
        <v>4.55</v>
      </c>
      <c r="F17" s="134" t="s">
        <v>5181</v>
      </c>
      <c r="G17" s="134" t="s">
        <v>3007</v>
      </c>
      <c r="H17" s="123">
        <v>3370</v>
      </c>
    </row>
    <row r="18" spans="1:8" x14ac:dyDescent="0.25">
      <c r="A18" s="134" t="s">
        <v>8836</v>
      </c>
      <c r="B18" s="134" t="s">
        <v>8942</v>
      </c>
      <c r="C18" s="134" t="s">
        <v>8941</v>
      </c>
      <c r="D18" s="134" t="s">
        <v>6919</v>
      </c>
      <c r="E18" s="139">
        <v>1.38</v>
      </c>
      <c r="F18" s="134" t="s">
        <v>6918</v>
      </c>
      <c r="G18" s="134" t="s">
        <v>3007</v>
      </c>
      <c r="H18" s="123">
        <v>3371</v>
      </c>
    </row>
    <row r="19" spans="1:8" x14ac:dyDescent="0.25">
      <c r="A19" s="134" t="s">
        <v>8836</v>
      </c>
      <c r="B19" s="134" t="s">
        <v>8940</v>
      </c>
      <c r="C19" s="134" t="s">
        <v>8939</v>
      </c>
      <c r="D19" s="134" t="s">
        <v>7240</v>
      </c>
      <c r="E19" s="139">
        <v>7.15</v>
      </c>
      <c r="F19" s="134" t="s">
        <v>7239</v>
      </c>
      <c r="G19" s="134" t="s">
        <v>3007</v>
      </c>
      <c r="H19" s="123">
        <v>3372</v>
      </c>
    </row>
    <row r="20" spans="1:8" x14ac:dyDescent="0.25">
      <c r="A20" s="134" t="s">
        <v>8836</v>
      </c>
      <c r="B20" s="134" t="s">
        <v>8938</v>
      </c>
      <c r="C20" s="134" t="s">
        <v>8937</v>
      </c>
      <c r="D20" s="134" t="s">
        <v>3727</v>
      </c>
      <c r="E20" s="139">
        <v>2.02</v>
      </c>
      <c r="F20" s="134" t="s">
        <v>3726</v>
      </c>
      <c r="G20" s="134" t="s">
        <v>3007</v>
      </c>
      <c r="H20" s="123" t="s">
        <v>8936</v>
      </c>
    </row>
    <row r="21" spans="1:8" x14ac:dyDescent="0.25">
      <c r="A21" s="134" t="s">
        <v>8836</v>
      </c>
      <c r="B21" s="134" t="s">
        <v>8935</v>
      </c>
      <c r="C21" s="134" t="s">
        <v>8934</v>
      </c>
      <c r="D21" s="134" t="s">
        <v>4408</v>
      </c>
      <c r="E21" s="139">
        <v>7.84</v>
      </c>
      <c r="F21" s="134" t="s">
        <v>4407</v>
      </c>
      <c r="G21" s="134" t="s">
        <v>3007</v>
      </c>
      <c r="H21" s="123">
        <v>3373</v>
      </c>
    </row>
    <row r="22" spans="1:8" x14ac:dyDescent="0.25">
      <c r="A22" s="134" t="s">
        <v>8836</v>
      </c>
      <c r="B22" s="134" t="s">
        <v>8933</v>
      </c>
      <c r="C22" s="134" t="s">
        <v>8932</v>
      </c>
      <c r="D22" s="134" t="s">
        <v>7152</v>
      </c>
      <c r="E22" s="139">
        <v>1.68</v>
      </c>
      <c r="F22" s="134" t="s">
        <v>7151</v>
      </c>
      <c r="G22" s="134" t="s">
        <v>3007</v>
      </c>
      <c r="H22" s="123">
        <v>3374</v>
      </c>
    </row>
    <row r="23" spans="1:8" x14ac:dyDescent="0.25">
      <c r="A23" s="134" t="s">
        <v>8836</v>
      </c>
      <c r="B23" s="134" t="s">
        <v>8931</v>
      </c>
      <c r="C23" s="134" t="s">
        <v>8930</v>
      </c>
      <c r="D23" s="134" t="s">
        <v>7099</v>
      </c>
      <c r="E23" s="139">
        <v>5.22</v>
      </c>
      <c r="F23" s="134" t="s">
        <v>7098</v>
      </c>
      <c r="G23" s="134" t="s">
        <v>3007</v>
      </c>
      <c r="H23" s="123">
        <v>3375</v>
      </c>
    </row>
    <row r="24" spans="1:8" x14ac:dyDescent="0.25">
      <c r="A24" s="134" t="s">
        <v>8836</v>
      </c>
      <c r="B24" s="134" t="s">
        <v>8929</v>
      </c>
      <c r="C24" s="134" t="s">
        <v>8928</v>
      </c>
      <c r="D24" s="134" t="s">
        <v>8927</v>
      </c>
      <c r="E24" s="139">
        <v>1.68</v>
      </c>
      <c r="F24" s="134" t="s">
        <v>8926</v>
      </c>
      <c r="G24" s="134" t="s">
        <v>3007</v>
      </c>
      <c r="H24" s="123">
        <v>3376</v>
      </c>
    </row>
    <row r="25" spans="1:8" x14ac:dyDescent="0.25">
      <c r="A25" s="134" t="s">
        <v>8836</v>
      </c>
      <c r="B25" s="134" t="s">
        <v>8925</v>
      </c>
      <c r="C25" s="134" t="s">
        <v>8924</v>
      </c>
      <c r="D25" s="134" t="s">
        <v>3583</v>
      </c>
      <c r="E25" s="139">
        <v>8.4600000000000009</v>
      </c>
      <c r="F25" s="134" t="s">
        <v>3582</v>
      </c>
      <c r="G25" s="134" t="s">
        <v>3007</v>
      </c>
      <c r="H25" s="123">
        <v>3377</v>
      </c>
    </row>
    <row r="26" spans="1:8" ht="31.5" x14ac:dyDescent="0.25">
      <c r="A26" s="134" t="s">
        <v>8836</v>
      </c>
      <c r="B26" s="134" t="s">
        <v>8076</v>
      </c>
      <c r="C26" s="134" t="s">
        <v>8923</v>
      </c>
      <c r="D26" s="134" t="s">
        <v>3082</v>
      </c>
      <c r="E26" s="139">
        <v>6.43</v>
      </c>
      <c r="F26" s="134" t="s">
        <v>3081</v>
      </c>
      <c r="G26" s="134" t="s">
        <v>3007</v>
      </c>
      <c r="H26" s="123">
        <v>3398</v>
      </c>
    </row>
    <row r="27" spans="1:8" x14ac:dyDescent="0.25">
      <c r="A27" s="134" t="s">
        <v>8836</v>
      </c>
      <c r="B27" s="134" t="s">
        <v>8922</v>
      </c>
      <c r="C27" s="134" t="s">
        <v>8921</v>
      </c>
      <c r="D27" s="134" t="s">
        <v>5618</v>
      </c>
      <c r="E27" s="139">
        <v>2.21</v>
      </c>
      <c r="F27" s="134" t="s">
        <v>5617</v>
      </c>
      <c r="G27" s="134" t="s">
        <v>3007</v>
      </c>
      <c r="H27" s="123">
        <v>3399</v>
      </c>
    </row>
    <row r="28" spans="1:8" ht="31.5" x14ac:dyDescent="0.25">
      <c r="A28" s="134" t="s">
        <v>8836</v>
      </c>
      <c r="B28" s="134" t="s">
        <v>8920</v>
      </c>
      <c r="C28" s="134" t="s">
        <v>8919</v>
      </c>
      <c r="D28" s="134" t="s">
        <v>3735</v>
      </c>
      <c r="E28" s="139">
        <v>0.84</v>
      </c>
      <c r="F28" s="134" t="s">
        <v>3734</v>
      </c>
      <c r="G28" s="134" t="s">
        <v>3007</v>
      </c>
      <c r="H28" s="123">
        <v>3400</v>
      </c>
    </row>
    <row r="29" spans="1:8" x14ac:dyDescent="0.25">
      <c r="A29" s="134" t="s">
        <v>8836</v>
      </c>
      <c r="B29" s="134" t="s">
        <v>8918</v>
      </c>
      <c r="C29" s="134" t="s">
        <v>8917</v>
      </c>
      <c r="D29" s="134" t="s">
        <v>8916</v>
      </c>
      <c r="E29" s="139">
        <v>0.44</v>
      </c>
      <c r="F29" s="134" t="s">
        <v>8915</v>
      </c>
      <c r="G29" s="134" t="s">
        <v>3007</v>
      </c>
      <c r="H29" s="123">
        <v>3401</v>
      </c>
    </row>
    <row r="30" spans="1:8" x14ac:dyDescent="0.25">
      <c r="A30" s="134" t="s">
        <v>8836</v>
      </c>
      <c r="B30" s="134" t="s">
        <v>8914</v>
      </c>
      <c r="C30" s="134" t="s">
        <v>8913</v>
      </c>
      <c r="D30" s="134" t="s">
        <v>8912</v>
      </c>
      <c r="E30" s="139">
        <v>4.04</v>
      </c>
      <c r="F30" s="134" t="s">
        <v>8911</v>
      </c>
      <c r="G30" s="134" t="s">
        <v>3007</v>
      </c>
      <c r="H30" s="124">
        <v>3402</v>
      </c>
    </row>
    <row r="31" spans="1:8" x14ac:dyDescent="0.25">
      <c r="A31" s="134" t="s">
        <v>8836</v>
      </c>
      <c r="B31" s="134" t="s">
        <v>8910</v>
      </c>
      <c r="C31" s="134" t="s">
        <v>8909</v>
      </c>
      <c r="D31" s="134" t="s">
        <v>3123</v>
      </c>
      <c r="E31" s="139">
        <v>2.11</v>
      </c>
      <c r="F31" s="134" t="s">
        <v>3122</v>
      </c>
      <c r="G31" s="134" t="s">
        <v>3007</v>
      </c>
      <c r="H31" s="124" t="s">
        <v>8908</v>
      </c>
    </row>
    <row r="32" spans="1:8" ht="31.5" x14ac:dyDescent="0.25">
      <c r="A32" s="134" t="s">
        <v>8836</v>
      </c>
      <c r="B32" s="134" t="s">
        <v>8907</v>
      </c>
      <c r="C32" s="134" t="s">
        <v>8906</v>
      </c>
      <c r="D32" s="134" t="s">
        <v>3381</v>
      </c>
      <c r="E32" s="139">
        <v>1.68</v>
      </c>
      <c r="F32" s="134" t="s">
        <v>3380</v>
      </c>
      <c r="G32" s="134" t="s">
        <v>3007</v>
      </c>
      <c r="H32" s="124">
        <v>3403</v>
      </c>
    </row>
    <row r="33" spans="1:11" x14ac:dyDescent="0.25">
      <c r="A33" s="134" t="s">
        <v>8836</v>
      </c>
      <c r="B33" s="134" t="s">
        <v>8905</v>
      </c>
      <c r="C33" s="134" t="s">
        <v>8904</v>
      </c>
      <c r="D33" s="134" t="s">
        <v>4697</v>
      </c>
      <c r="E33" s="139">
        <v>1.72</v>
      </c>
      <c r="F33" s="134" t="s">
        <v>4696</v>
      </c>
      <c r="G33" s="134" t="s">
        <v>3007</v>
      </c>
      <c r="H33" s="124">
        <v>3404</v>
      </c>
    </row>
    <row r="34" spans="1:11" x14ac:dyDescent="0.25">
      <c r="A34" s="134" t="s">
        <v>8836</v>
      </c>
      <c r="B34" s="134" t="s">
        <v>8903</v>
      </c>
      <c r="C34" s="134" t="s">
        <v>8902</v>
      </c>
      <c r="D34" s="134" t="s">
        <v>8901</v>
      </c>
      <c r="E34" s="139">
        <v>4.8899999999999997</v>
      </c>
      <c r="F34" s="134" t="s">
        <v>8900</v>
      </c>
      <c r="G34" s="134" t="s">
        <v>3007</v>
      </c>
      <c r="H34" s="124">
        <v>3405</v>
      </c>
    </row>
    <row r="35" spans="1:11" x14ac:dyDescent="0.25">
      <c r="A35" s="134" t="s">
        <v>8836</v>
      </c>
      <c r="B35" s="134" t="s">
        <v>8899</v>
      </c>
      <c r="C35" s="134" t="s">
        <v>8898</v>
      </c>
      <c r="D35" s="134" t="s">
        <v>4346</v>
      </c>
      <c r="E35" s="139">
        <v>12.35</v>
      </c>
      <c r="F35" s="134" t="s">
        <v>4345</v>
      </c>
      <c r="G35" s="134" t="s">
        <v>3007</v>
      </c>
      <c r="H35" s="124">
        <v>3409</v>
      </c>
    </row>
    <row r="36" spans="1:11" x14ac:dyDescent="0.25">
      <c r="A36" s="134" t="s">
        <v>8836</v>
      </c>
      <c r="B36" s="134" t="s">
        <v>8897</v>
      </c>
      <c r="C36" s="134" t="s">
        <v>8896</v>
      </c>
      <c r="D36" s="134" t="s">
        <v>8895</v>
      </c>
      <c r="E36" s="139">
        <v>5.57</v>
      </c>
      <c r="F36" s="134" t="s">
        <v>8894</v>
      </c>
      <c r="G36" s="134" t="s">
        <v>3007</v>
      </c>
      <c r="H36" s="124">
        <v>3410</v>
      </c>
    </row>
    <row r="37" spans="1:11" ht="31.5" x14ac:dyDescent="0.25">
      <c r="A37" s="134" t="s">
        <v>8836</v>
      </c>
      <c r="B37" s="134" t="s">
        <v>8893</v>
      </c>
      <c r="C37" s="134" t="s">
        <v>8892</v>
      </c>
      <c r="D37" s="134" t="s">
        <v>5486</v>
      </c>
      <c r="E37" s="139">
        <v>5.17</v>
      </c>
      <c r="F37" s="134" t="s">
        <v>5485</v>
      </c>
      <c r="G37" s="134" t="s">
        <v>3007</v>
      </c>
      <c r="H37" s="124">
        <v>3411</v>
      </c>
    </row>
    <row r="38" spans="1:11" x14ac:dyDescent="0.25">
      <c r="A38" s="134" t="s">
        <v>8836</v>
      </c>
      <c r="B38" s="134" t="s">
        <v>8891</v>
      </c>
      <c r="C38" s="134" t="s">
        <v>8890</v>
      </c>
      <c r="D38" s="134" t="s">
        <v>7707</v>
      </c>
      <c r="E38" s="139">
        <v>5.05</v>
      </c>
      <c r="F38" s="134" t="s">
        <v>7706</v>
      </c>
      <c r="G38" s="134" t="s">
        <v>3007</v>
      </c>
      <c r="H38" s="123">
        <v>3412</v>
      </c>
    </row>
    <row r="39" spans="1:11" x14ac:dyDescent="0.25">
      <c r="A39" s="134" t="s">
        <v>8836</v>
      </c>
      <c r="B39" s="134" t="s">
        <v>8889</v>
      </c>
      <c r="C39" s="134" t="s">
        <v>8888</v>
      </c>
      <c r="D39" s="134" t="s">
        <v>7498</v>
      </c>
      <c r="E39" s="139">
        <v>8.3800000000000008</v>
      </c>
      <c r="F39" s="134" t="s">
        <v>7497</v>
      </c>
      <c r="G39" s="134" t="s">
        <v>3007</v>
      </c>
      <c r="H39" s="123">
        <v>3414</v>
      </c>
    </row>
    <row r="40" spans="1:11" ht="31.5" x14ac:dyDescent="0.25">
      <c r="A40" s="134" t="s">
        <v>8836</v>
      </c>
      <c r="B40" s="134" t="s">
        <v>8887</v>
      </c>
      <c r="C40" s="134" t="s">
        <v>8886</v>
      </c>
      <c r="D40" s="134" t="s">
        <v>8885</v>
      </c>
      <c r="E40" s="139">
        <v>15.3</v>
      </c>
      <c r="F40" s="134" t="s">
        <v>8884</v>
      </c>
      <c r="G40" s="134" t="s">
        <v>3007</v>
      </c>
      <c r="H40" s="123">
        <v>3415</v>
      </c>
    </row>
    <row r="41" spans="1:11" x14ac:dyDescent="0.25">
      <c r="A41" s="134" t="s">
        <v>8836</v>
      </c>
      <c r="B41" s="134" t="s">
        <v>8883</v>
      </c>
      <c r="C41" s="134" t="s">
        <v>8882</v>
      </c>
      <c r="D41" s="134" t="s">
        <v>3479</v>
      </c>
      <c r="E41" s="139">
        <v>8.25</v>
      </c>
      <c r="F41" s="134" t="s">
        <v>3478</v>
      </c>
      <c r="G41" s="134" t="s">
        <v>3007</v>
      </c>
      <c r="H41" s="123">
        <v>3416</v>
      </c>
    </row>
    <row r="42" spans="1:11" x14ac:dyDescent="0.25">
      <c r="A42" s="134" t="s">
        <v>8836</v>
      </c>
      <c r="B42" s="134" t="s">
        <v>8881</v>
      </c>
      <c r="C42" s="134" t="s">
        <v>8880</v>
      </c>
      <c r="D42" s="134" t="s">
        <v>4028</v>
      </c>
      <c r="E42" s="139">
        <v>3.36</v>
      </c>
      <c r="F42" s="134" t="s">
        <v>4024</v>
      </c>
      <c r="G42" s="134" t="s">
        <v>3007</v>
      </c>
      <c r="H42" s="123">
        <v>3417</v>
      </c>
    </row>
    <row r="43" spans="1:11" x14ac:dyDescent="0.25">
      <c r="A43" s="134" t="s">
        <v>8836</v>
      </c>
      <c r="B43" s="134" t="s">
        <v>8879</v>
      </c>
      <c r="C43" s="134" t="s">
        <v>8878</v>
      </c>
      <c r="D43" s="134" t="s">
        <v>7310</v>
      </c>
      <c r="E43" s="139">
        <v>5.08</v>
      </c>
      <c r="F43" s="134" t="s">
        <v>7309</v>
      </c>
      <c r="G43" s="134" t="s">
        <v>3007</v>
      </c>
      <c r="H43" s="123">
        <v>3418</v>
      </c>
    </row>
    <row r="44" spans="1:11" x14ac:dyDescent="0.25">
      <c r="A44" s="134" t="s">
        <v>8836</v>
      </c>
      <c r="B44" s="134" t="s">
        <v>8877</v>
      </c>
      <c r="C44" s="134" t="s">
        <v>8876</v>
      </c>
      <c r="D44" s="134" t="s">
        <v>5298</v>
      </c>
      <c r="E44" s="139">
        <v>5.1100000000000003</v>
      </c>
      <c r="F44" s="134" t="s">
        <v>5297</v>
      </c>
      <c r="G44" s="134" t="s">
        <v>3007</v>
      </c>
      <c r="H44" s="123">
        <v>3419</v>
      </c>
    </row>
    <row r="45" spans="1:11" ht="31.5" x14ac:dyDescent="0.25">
      <c r="A45" s="134" t="s">
        <v>8836</v>
      </c>
      <c r="B45" s="134" t="s">
        <v>8875</v>
      </c>
      <c r="C45" s="134" t="s">
        <v>8874</v>
      </c>
      <c r="D45" s="134" t="s">
        <v>4208</v>
      </c>
      <c r="E45" s="139">
        <v>10.08</v>
      </c>
      <c r="F45" s="134" t="s">
        <v>4207</v>
      </c>
      <c r="G45" s="134" t="s">
        <v>3007</v>
      </c>
      <c r="H45" s="123">
        <v>3420</v>
      </c>
    </row>
    <row r="46" spans="1:11" x14ac:dyDescent="0.25">
      <c r="A46" s="134" t="s">
        <v>8836</v>
      </c>
      <c r="B46" s="134" t="s">
        <v>8873</v>
      </c>
      <c r="C46" s="134" t="s">
        <v>8872</v>
      </c>
      <c r="D46" s="134" t="s">
        <v>5376</v>
      </c>
      <c r="E46" s="139">
        <v>2.33</v>
      </c>
      <c r="F46" s="134" t="s">
        <v>5375</v>
      </c>
      <c r="G46" s="134" t="s">
        <v>3007</v>
      </c>
      <c r="H46" s="123">
        <v>3421</v>
      </c>
    </row>
    <row r="47" spans="1:11" x14ac:dyDescent="0.25">
      <c r="A47" s="134" t="s">
        <v>8836</v>
      </c>
      <c r="B47" s="134" t="s">
        <v>8871</v>
      </c>
      <c r="C47" s="134" t="s">
        <v>8870</v>
      </c>
      <c r="D47" s="134" t="s">
        <v>8869</v>
      </c>
      <c r="E47" s="139">
        <v>5.1100000000000003</v>
      </c>
      <c r="F47" s="134" t="s">
        <v>8868</v>
      </c>
      <c r="G47" s="134" t="s">
        <v>3007</v>
      </c>
      <c r="H47" s="123">
        <v>3422</v>
      </c>
      <c r="K47" s="137" t="s">
        <v>5521</v>
      </c>
    </row>
    <row r="48" spans="1:11" x14ac:dyDescent="0.25">
      <c r="A48" s="134" t="s">
        <v>8836</v>
      </c>
      <c r="B48" s="134" t="s">
        <v>8867</v>
      </c>
      <c r="C48" s="134" t="s">
        <v>8866</v>
      </c>
      <c r="D48" s="134" t="s">
        <v>5622</v>
      </c>
      <c r="E48" s="139">
        <v>1.83</v>
      </c>
      <c r="F48" s="134" t="s">
        <v>5621</v>
      </c>
      <c r="G48" s="134" t="s">
        <v>3007</v>
      </c>
      <c r="H48" s="123">
        <v>3423</v>
      </c>
    </row>
    <row r="49" spans="1:8" x14ac:dyDescent="0.25">
      <c r="A49" s="134" t="s">
        <v>8836</v>
      </c>
      <c r="B49" s="134" t="s">
        <v>8865</v>
      </c>
      <c r="C49" s="134" t="s">
        <v>8864</v>
      </c>
      <c r="D49" s="134" t="s">
        <v>8863</v>
      </c>
      <c r="E49" s="139">
        <v>3.48</v>
      </c>
      <c r="F49" s="134" t="s">
        <v>8862</v>
      </c>
      <c r="G49" s="134" t="s">
        <v>3007</v>
      </c>
      <c r="H49" s="123">
        <v>3424</v>
      </c>
    </row>
    <row r="50" spans="1:8" x14ac:dyDescent="0.25">
      <c r="A50" s="134" t="s">
        <v>8836</v>
      </c>
      <c r="B50" s="134" t="s">
        <v>8861</v>
      </c>
      <c r="C50" s="134" t="s">
        <v>8860</v>
      </c>
      <c r="D50" s="134" t="s">
        <v>5255</v>
      </c>
      <c r="E50" s="139">
        <v>1.68</v>
      </c>
      <c r="F50" s="134" t="s">
        <v>5254</v>
      </c>
      <c r="G50" s="134" t="s">
        <v>3007</v>
      </c>
      <c r="H50" s="123">
        <v>3425</v>
      </c>
    </row>
    <row r="51" spans="1:8" x14ac:dyDescent="0.25">
      <c r="A51" s="134" t="s">
        <v>8836</v>
      </c>
      <c r="B51" s="134" t="s">
        <v>8859</v>
      </c>
      <c r="C51" s="134" t="s">
        <v>8858</v>
      </c>
      <c r="D51" s="134" t="s">
        <v>8857</v>
      </c>
      <c r="E51" s="139">
        <v>12.87</v>
      </c>
      <c r="F51" s="134" t="s">
        <v>8856</v>
      </c>
      <c r="G51" s="134" t="s">
        <v>3007</v>
      </c>
      <c r="H51" s="123">
        <v>3427</v>
      </c>
    </row>
    <row r="52" spans="1:8" x14ac:dyDescent="0.25">
      <c r="A52" s="134" t="s">
        <v>8836</v>
      </c>
      <c r="B52" s="134" t="s">
        <v>8855</v>
      </c>
      <c r="C52" s="134" t="s">
        <v>8854</v>
      </c>
      <c r="D52" s="134" t="s">
        <v>3418</v>
      </c>
      <c r="E52" s="139">
        <v>10.49</v>
      </c>
      <c r="F52" s="134" t="s">
        <v>3417</v>
      </c>
      <c r="G52" s="134" t="s">
        <v>3007</v>
      </c>
      <c r="H52" s="123">
        <v>3248</v>
      </c>
    </row>
    <row r="53" spans="1:8" ht="31.5" x14ac:dyDescent="0.25">
      <c r="A53" s="134" t="s">
        <v>8836</v>
      </c>
      <c r="B53" s="134" t="s">
        <v>4871</v>
      </c>
      <c r="C53" s="134" t="s">
        <v>8853</v>
      </c>
      <c r="D53" s="134" t="s">
        <v>5470</v>
      </c>
      <c r="E53" s="139">
        <v>4.72</v>
      </c>
      <c r="F53" s="134" t="s">
        <v>5469</v>
      </c>
      <c r="G53" s="134" t="s">
        <v>3007</v>
      </c>
      <c r="H53" s="123">
        <v>3429</v>
      </c>
    </row>
    <row r="54" spans="1:8" x14ac:dyDescent="0.25">
      <c r="A54" s="134" t="s">
        <v>8836</v>
      </c>
      <c r="B54" s="134" t="s">
        <v>8852</v>
      </c>
      <c r="C54" s="134" t="s">
        <v>8851</v>
      </c>
      <c r="D54" s="134" t="s">
        <v>8850</v>
      </c>
      <c r="E54" s="139">
        <v>3.37</v>
      </c>
      <c r="F54" s="134" t="s">
        <v>8849</v>
      </c>
      <c r="G54" s="134" t="s">
        <v>3007</v>
      </c>
      <c r="H54" s="123">
        <v>3430</v>
      </c>
    </row>
    <row r="55" spans="1:8" x14ac:dyDescent="0.25">
      <c r="A55" s="134" t="s">
        <v>8836</v>
      </c>
      <c r="B55" s="134" t="s">
        <v>8848</v>
      </c>
      <c r="C55" s="134" t="s">
        <v>8847</v>
      </c>
      <c r="D55" s="134" t="s">
        <v>8846</v>
      </c>
      <c r="E55" s="139">
        <v>6.31</v>
      </c>
      <c r="F55" s="134" t="s">
        <v>8845</v>
      </c>
      <c r="G55" s="134" t="s">
        <v>3007</v>
      </c>
      <c r="H55" s="123">
        <v>3431</v>
      </c>
    </row>
    <row r="56" spans="1:8" x14ac:dyDescent="0.25">
      <c r="A56" s="134" t="s">
        <v>8836</v>
      </c>
      <c r="B56" s="134" t="s">
        <v>8844</v>
      </c>
      <c r="C56" s="134" t="s">
        <v>8843</v>
      </c>
      <c r="D56" s="134" t="s">
        <v>3466</v>
      </c>
      <c r="E56" s="139">
        <v>10.17</v>
      </c>
      <c r="F56" s="134" t="s">
        <v>3465</v>
      </c>
      <c r="G56" s="134" t="s">
        <v>3007</v>
      </c>
      <c r="H56" s="123">
        <v>3432</v>
      </c>
    </row>
    <row r="57" spans="1:8" x14ac:dyDescent="0.25">
      <c r="A57" s="134" t="s">
        <v>8836</v>
      </c>
      <c r="B57" s="134" t="s">
        <v>8842</v>
      </c>
      <c r="C57" s="134" t="s">
        <v>8841</v>
      </c>
      <c r="D57" s="134" t="s">
        <v>8840</v>
      </c>
      <c r="E57" s="139">
        <v>6.73</v>
      </c>
      <c r="F57" s="134" t="s">
        <v>8839</v>
      </c>
      <c r="G57" s="134" t="s">
        <v>3007</v>
      </c>
      <c r="H57" s="123">
        <v>3433</v>
      </c>
    </row>
    <row r="58" spans="1:8" ht="31.5" x14ac:dyDescent="0.25">
      <c r="A58" s="134" t="s">
        <v>8836</v>
      </c>
      <c r="B58" s="134" t="s">
        <v>8838</v>
      </c>
      <c r="C58" s="134" t="s">
        <v>8837</v>
      </c>
      <c r="D58" s="134" t="s">
        <v>3506</v>
      </c>
      <c r="E58" s="139">
        <v>1.68</v>
      </c>
      <c r="F58" s="134" t="s">
        <v>3505</v>
      </c>
      <c r="G58" s="134" t="s">
        <v>3007</v>
      </c>
      <c r="H58" s="123">
        <v>3434</v>
      </c>
    </row>
    <row r="59" spans="1:8" x14ac:dyDescent="0.25">
      <c r="A59" s="134" t="s">
        <v>8836</v>
      </c>
      <c r="B59" s="134" t="s">
        <v>8835</v>
      </c>
      <c r="C59" s="134" t="s">
        <v>8834</v>
      </c>
      <c r="D59" s="134" t="s">
        <v>5048</v>
      </c>
      <c r="E59" s="139">
        <v>3.57</v>
      </c>
      <c r="F59" s="134" t="s">
        <v>5047</v>
      </c>
      <c r="G59" s="134" t="s">
        <v>3007</v>
      </c>
      <c r="H59" s="123">
        <v>3435</v>
      </c>
    </row>
    <row r="60" spans="1:8" x14ac:dyDescent="0.25">
      <c r="A60" s="134" t="s">
        <v>8686</v>
      </c>
      <c r="B60" s="134" t="s">
        <v>8833</v>
      </c>
      <c r="C60" s="134" t="s">
        <v>8832</v>
      </c>
      <c r="D60" s="134" t="s">
        <v>8831</v>
      </c>
      <c r="E60" s="139">
        <v>6.58</v>
      </c>
      <c r="F60" s="134" t="s">
        <v>8830</v>
      </c>
      <c r="G60" s="134" t="s">
        <v>3007</v>
      </c>
      <c r="H60" s="123">
        <v>3587</v>
      </c>
    </row>
    <row r="61" spans="1:8" x14ac:dyDescent="0.25">
      <c r="A61" s="134" t="s">
        <v>8686</v>
      </c>
      <c r="B61" s="134" t="s">
        <v>8829</v>
      </c>
      <c r="C61" s="134" t="s">
        <v>8828</v>
      </c>
      <c r="D61" s="134" t="s">
        <v>3924</v>
      </c>
      <c r="E61" s="139">
        <v>1.89</v>
      </c>
      <c r="F61" s="134" t="s">
        <v>3923</v>
      </c>
      <c r="G61" s="134" t="s">
        <v>3007</v>
      </c>
      <c r="H61" s="123">
        <v>3588</v>
      </c>
    </row>
    <row r="62" spans="1:8" x14ac:dyDescent="0.25">
      <c r="A62" s="134" t="s">
        <v>8686</v>
      </c>
      <c r="B62" s="134" t="s">
        <v>8827</v>
      </c>
      <c r="C62" s="134" t="s">
        <v>8826</v>
      </c>
      <c r="D62" s="134" t="s">
        <v>4847</v>
      </c>
      <c r="E62" s="139">
        <v>2.64</v>
      </c>
      <c r="F62" s="134" t="s">
        <v>4846</v>
      </c>
      <c r="G62" s="134" t="s">
        <v>3007</v>
      </c>
      <c r="H62" s="123">
        <v>3589</v>
      </c>
    </row>
    <row r="63" spans="1:8" x14ac:dyDescent="0.25">
      <c r="A63" s="134" t="s">
        <v>8686</v>
      </c>
      <c r="B63" s="134" t="s">
        <v>8825</v>
      </c>
      <c r="C63" s="134" t="s">
        <v>8824</v>
      </c>
      <c r="D63" s="134" t="s">
        <v>3341</v>
      </c>
      <c r="E63" s="139">
        <v>4.57</v>
      </c>
      <c r="F63" s="134" t="s">
        <v>3340</v>
      </c>
      <c r="G63" s="134" t="s">
        <v>3007</v>
      </c>
      <c r="H63" s="123">
        <v>3590</v>
      </c>
    </row>
    <row r="64" spans="1:8" x14ac:dyDescent="0.25">
      <c r="A64" s="134" t="s">
        <v>8686</v>
      </c>
      <c r="B64" s="134" t="s">
        <v>8823</v>
      </c>
      <c r="C64" s="134" t="s">
        <v>8822</v>
      </c>
      <c r="D64" s="134" t="s">
        <v>5380</v>
      </c>
      <c r="E64" s="139">
        <v>2</v>
      </c>
      <c r="F64" s="134" t="s">
        <v>5379</v>
      </c>
      <c r="G64" s="134" t="s">
        <v>3007</v>
      </c>
      <c r="H64" s="123">
        <v>3591</v>
      </c>
    </row>
    <row r="65" spans="1:8" x14ac:dyDescent="0.25">
      <c r="A65" s="134" t="s">
        <v>8686</v>
      </c>
      <c r="B65" s="134" t="s">
        <v>8821</v>
      </c>
      <c r="C65" s="134" t="s">
        <v>8820</v>
      </c>
      <c r="D65" s="134" t="s">
        <v>3345</v>
      </c>
      <c r="E65" s="139">
        <v>1.7</v>
      </c>
      <c r="F65" s="134" t="s">
        <v>3344</v>
      </c>
      <c r="G65" s="134" t="s">
        <v>3007</v>
      </c>
      <c r="H65" s="123">
        <v>3592</v>
      </c>
    </row>
    <row r="66" spans="1:8" x14ac:dyDescent="0.25">
      <c r="A66" s="134" t="s">
        <v>8686</v>
      </c>
      <c r="B66" s="134" t="s">
        <v>8819</v>
      </c>
      <c r="C66" s="134" t="s">
        <v>8818</v>
      </c>
      <c r="D66" s="134" t="s">
        <v>4085</v>
      </c>
      <c r="E66" s="139">
        <v>7.82</v>
      </c>
      <c r="F66" s="134" t="s">
        <v>4084</v>
      </c>
      <c r="G66" s="134" t="s">
        <v>3007</v>
      </c>
      <c r="H66" s="123">
        <v>3593</v>
      </c>
    </row>
    <row r="67" spans="1:8" x14ac:dyDescent="0.25">
      <c r="A67" s="134" t="s">
        <v>8686</v>
      </c>
      <c r="B67" s="134" t="s">
        <v>8817</v>
      </c>
      <c r="C67" s="134" t="s">
        <v>8816</v>
      </c>
      <c r="D67" s="134" t="s">
        <v>4116</v>
      </c>
      <c r="E67" s="139">
        <v>16.75</v>
      </c>
      <c r="F67" s="134" t="s">
        <v>4115</v>
      </c>
      <c r="G67" s="134" t="s">
        <v>3007</v>
      </c>
      <c r="H67" s="123">
        <v>3594</v>
      </c>
    </row>
    <row r="68" spans="1:8" x14ac:dyDescent="0.25">
      <c r="A68" s="134" t="s">
        <v>8686</v>
      </c>
      <c r="B68" s="134" t="s">
        <v>8815</v>
      </c>
      <c r="C68" s="134" t="s">
        <v>8814</v>
      </c>
      <c r="D68" s="134" t="s">
        <v>4638</v>
      </c>
      <c r="E68" s="139">
        <v>7.36</v>
      </c>
      <c r="F68" s="134" t="s">
        <v>4637</v>
      </c>
      <c r="G68" s="134" t="s">
        <v>3007</v>
      </c>
      <c r="H68" s="123">
        <v>3595</v>
      </c>
    </row>
    <row r="69" spans="1:8" x14ac:dyDescent="0.25">
      <c r="A69" s="134" t="s">
        <v>8686</v>
      </c>
      <c r="B69" s="134" t="s">
        <v>8813</v>
      </c>
      <c r="C69" s="134" t="s">
        <v>8812</v>
      </c>
      <c r="D69" s="134" t="s">
        <v>3719</v>
      </c>
      <c r="E69" s="139">
        <v>3.68</v>
      </c>
      <c r="F69" s="134" t="s">
        <v>3718</v>
      </c>
      <c r="G69" s="134" t="s">
        <v>3007</v>
      </c>
      <c r="H69" s="123">
        <v>3596</v>
      </c>
    </row>
    <row r="70" spans="1:8" ht="31.5" x14ac:dyDescent="0.25">
      <c r="A70" s="134" t="s">
        <v>8686</v>
      </c>
      <c r="B70" s="134" t="s">
        <v>8811</v>
      </c>
      <c r="C70" s="134" t="s">
        <v>8810</v>
      </c>
      <c r="D70" s="134" t="s">
        <v>3281</v>
      </c>
      <c r="E70" s="139">
        <v>4.8</v>
      </c>
      <c r="F70" s="134" t="s">
        <v>3280</v>
      </c>
      <c r="G70" s="134" t="s">
        <v>3007</v>
      </c>
      <c r="H70" s="123">
        <v>3597</v>
      </c>
    </row>
    <row r="71" spans="1:8" x14ac:dyDescent="0.25">
      <c r="A71" s="134" t="s">
        <v>8686</v>
      </c>
      <c r="B71" s="134" t="s">
        <v>8809</v>
      </c>
      <c r="C71" s="134" t="s">
        <v>8808</v>
      </c>
      <c r="D71" s="134" t="s">
        <v>8807</v>
      </c>
      <c r="E71" s="139">
        <v>7.81</v>
      </c>
      <c r="F71" s="134" t="s">
        <v>8806</v>
      </c>
      <c r="G71" s="134" t="s">
        <v>3007</v>
      </c>
      <c r="H71" s="123">
        <v>3598</v>
      </c>
    </row>
    <row r="72" spans="1:8" x14ac:dyDescent="0.25">
      <c r="A72" s="134" t="s">
        <v>8686</v>
      </c>
      <c r="B72" s="134" t="s">
        <v>8805</v>
      </c>
      <c r="C72" s="134" t="s">
        <v>8804</v>
      </c>
      <c r="D72" s="134" t="s">
        <v>8803</v>
      </c>
      <c r="E72" s="139">
        <v>3.36</v>
      </c>
      <c r="F72" s="134" t="s">
        <v>8802</v>
      </c>
      <c r="G72" s="134" t="s">
        <v>3007</v>
      </c>
      <c r="H72" s="123">
        <v>3599</v>
      </c>
    </row>
    <row r="73" spans="1:8" x14ac:dyDescent="0.25">
      <c r="A73" s="134" t="s">
        <v>8686</v>
      </c>
      <c r="B73" s="134" t="s">
        <v>8801</v>
      </c>
      <c r="C73" s="134" t="s">
        <v>8800</v>
      </c>
      <c r="D73" s="134" t="s">
        <v>8799</v>
      </c>
      <c r="E73" s="139">
        <v>7.61</v>
      </c>
      <c r="F73" s="134" t="s">
        <v>8798</v>
      </c>
      <c r="G73" s="134" t="s">
        <v>3007</v>
      </c>
      <c r="H73" s="123">
        <v>3600</v>
      </c>
    </row>
    <row r="74" spans="1:8" ht="31.5" x14ac:dyDescent="0.25">
      <c r="A74" s="134" t="s">
        <v>8686</v>
      </c>
      <c r="B74" s="134" t="s">
        <v>8797</v>
      </c>
      <c r="C74" s="134" t="s">
        <v>8796</v>
      </c>
      <c r="D74" s="134" t="s">
        <v>3534</v>
      </c>
      <c r="E74" s="139">
        <v>5.66</v>
      </c>
      <c r="F74" s="134" t="s">
        <v>3533</v>
      </c>
      <c r="G74" s="134" t="s">
        <v>3007</v>
      </c>
      <c r="H74" s="123">
        <v>3601</v>
      </c>
    </row>
    <row r="75" spans="1:8" x14ac:dyDescent="0.25">
      <c r="A75" s="134" t="s">
        <v>8686</v>
      </c>
      <c r="B75" s="134" t="s">
        <v>8795</v>
      </c>
      <c r="C75" s="134" t="s">
        <v>8794</v>
      </c>
      <c r="D75" s="134" t="s">
        <v>5106</v>
      </c>
      <c r="E75" s="139">
        <v>8.1999999999999993</v>
      </c>
      <c r="F75" s="134" t="s">
        <v>5105</v>
      </c>
      <c r="G75" s="134" t="s">
        <v>3007</v>
      </c>
      <c r="H75" s="123">
        <v>3602</v>
      </c>
    </row>
    <row r="76" spans="1:8" ht="31.5" x14ac:dyDescent="0.25">
      <c r="A76" s="134" t="s">
        <v>8686</v>
      </c>
      <c r="B76" s="134" t="s">
        <v>8793</v>
      </c>
      <c r="C76" s="134" t="s">
        <v>8792</v>
      </c>
      <c r="D76" s="134" t="s">
        <v>7407</v>
      </c>
      <c r="E76" s="139">
        <v>6.88</v>
      </c>
      <c r="F76" s="134" t="s">
        <v>7406</v>
      </c>
      <c r="G76" s="134" t="s">
        <v>3007</v>
      </c>
      <c r="H76" s="123">
        <v>3603</v>
      </c>
    </row>
    <row r="77" spans="1:8" x14ac:dyDescent="0.25">
      <c r="A77" s="134" t="s">
        <v>8686</v>
      </c>
      <c r="B77" s="134" t="s">
        <v>8791</v>
      </c>
      <c r="C77" s="134" t="s">
        <v>8790</v>
      </c>
      <c r="D77" s="134" t="s">
        <v>7464</v>
      </c>
      <c r="E77" s="139">
        <v>6.47</v>
      </c>
      <c r="F77" s="134" t="s">
        <v>7463</v>
      </c>
      <c r="G77" s="134" t="s">
        <v>3007</v>
      </c>
      <c r="H77" s="123">
        <v>3604</v>
      </c>
    </row>
    <row r="78" spans="1:8" x14ac:dyDescent="0.25">
      <c r="A78" s="134" t="s">
        <v>8686</v>
      </c>
      <c r="B78" s="134" t="s">
        <v>8789</v>
      </c>
      <c r="C78" s="134" t="s">
        <v>8788</v>
      </c>
      <c r="D78" s="134" t="s">
        <v>4544</v>
      </c>
      <c r="E78" s="139">
        <v>2.5099999999999998</v>
      </c>
      <c r="F78" s="134" t="s">
        <v>4543</v>
      </c>
      <c r="G78" s="134" t="s">
        <v>3007</v>
      </c>
      <c r="H78" s="123">
        <v>3605</v>
      </c>
    </row>
    <row r="79" spans="1:8" x14ac:dyDescent="0.25">
      <c r="A79" s="134" t="s">
        <v>8686</v>
      </c>
      <c r="B79" s="134" t="s">
        <v>8787</v>
      </c>
      <c r="C79" s="134" t="s">
        <v>8786</v>
      </c>
      <c r="D79" s="134" t="s">
        <v>5554</v>
      </c>
      <c r="E79" s="139">
        <v>11.59</v>
      </c>
      <c r="F79" s="134" t="s">
        <v>5553</v>
      </c>
      <c r="G79" s="134" t="s">
        <v>3007</v>
      </c>
      <c r="H79" s="123">
        <v>3606</v>
      </c>
    </row>
    <row r="80" spans="1:8" x14ac:dyDescent="0.25">
      <c r="A80" s="134" t="s">
        <v>8686</v>
      </c>
      <c r="B80" s="134" t="s">
        <v>8785</v>
      </c>
      <c r="C80" s="134" t="s">
        <v>8784</v>
      </c>
      <c r="D80" s="134" t="s">
        <v>5558</v>
      </c>
      <c r="E80" s="139">
        <v>7.68</v>
      </c>
      <c r="F80" s="134" t="s">
        <v>5557</v>
      </c>
      <c r="G80" s="134" t="s">
        <v>3007</v>
      </c>
      <c r="H80" s="123">
        <v>3607</v>
      </c>
    </row>
    <row r="81" spans="1:11" ht="31.5" x14ac:dyDescent="0.25">
      <c r="A81" s="134" t="s">
        <v>8686</v>
      </c>
      <c r="B81" s="134" t="s">
        <v>8783</v>
      </c>
      <c r="C81" s="134" t="s">
        <v>8782</v>
      </c>
      <c r="D81" s="134" t="s">
        <v>3912</v>
      </c>
      <c r="E81" s="139">
        <v>11.84</v>
      </c>
      <c r="F81" s="134" t="s">
        <v>3911</v>
      </c>
      <c r="G81" s="134" t="s">
        <v>3007</v>
      </c>
      <c r="H81" s="123">
        <v>3608</v>
      </c>
    </row>
    <row r="82" spans="1:11" ht="31.5" x14ac:dyDescent="0.25">
      <c r="A82" s="134" t="s">
        <v>8686</v>
      </c>
      <c r="B82" s="134" t="s">
        <v>8781</v>
      </c>
      <c r="C82" s="134" t="s">
        <v>8780</v>
      </c>
      <c r="D82" s="134" t="s">
        <v>4873</v>
      </c>
      <c r="E82" s="139">
        <v>4.58</v>
      </c>
      <c r="F82" s="134" t="s">
        <v>4872</v>
      </c>
      <c r="G82" s="134" t="s">
        <v>3007</v>
      </c>
      <c r="H82" s="123">
        <v>3609</v>
      </c>
    </row>
    <row r="83" spans="1:11" x14ac:dyDescent="0.25">
      <c r="A83" s="134" t="s">
        <v>8686</v>
      </c>
      <c r="B83" s="134" t="s">
        <v>8779</v>
      </c>
      <c r="C83" s="134" t="s">
        <v>8778</v>
      </c>
      <c r="D83" s="134" t="s">
        <v>3816</v>
      </c>
      <c r="E83" s="139">
        <v>22.51</v>
      </c>
      <c r="F83" s="134" t="s">
        <v>3815</v>
      </c>
      <c r="G83" s="134" t="s">
        <v>3007</v>
      </c>
      <c r="H83" s="123">
        <v>3610</v>
      </c>
    </row>
    <row r="84" spans="1:11" x14ac:dyDescent="0.25">
      <c r="A84" s="134" t="s">
        <v>8686</v>
      </c>
      <c r="B84" s="134" t="s">
        <v>8777</v>
      </c>
      <c r="C84" s="134" t="s">
        <v>8776</v>
      </c>
      <c r="D84" s="134" t="s">
        <v>8775</v>
      </c>
      <c r="E84" s="139">
        <v>5.84</v>
      </c>
      <c r="F84" s="134" t="s">
        <v>8774</v>
      </c>
      <c r="G84" s="134" t="s">
        <v>3007</v>
      </c>
      <c r="H84" s="123">
        <v>3611</v>
      </c>
    </row>
    <row r="85" spans="1:11" x14ac:dyDescent="0.25">
      <c r="A85" s="134" t="s">
        <v>8686</v>
      </c>
      <c r="B85" s="134" t="s">
        <v>8773</v>
      </c>
      <c r="C85" s="134" t="s">
        <v>8772</v>
      </c>
      <c r="D85" s="134" t="s">
        <v>5600</v>
      </c>
      <c r="E85" s="139">
        <v>4.79</v>
      </c>
      <c r="F85" s="134" t="s">
        <v>5599</v>
      </c>
      <c r="G85" s="134" t="s">
        <v>3007</v>
      </c>
      <c r="H85" s="123">
        <v>3612</v>
      </c>
    </row>
    <row r="86" spans="1:11" x14ac:dyDescent="0.25">
      <c r="A86" s="134" t="s">
        <v>8686</v>
      </c>
      <c r="B86" s="134" t="s">
        <v>8771</v>
      </c>
      <c r="C86" s="134" t="s">
        <v>8770</v>
      </c>
      <c r="D86" s="134" t="s">
        <v>8769</v>
      </c>
      <c r="E86" s="139">
        <v>14.78</v>
      </c>
      <c r="F86" s="134" t="s">
        <v>8768</v>
      </c>
      <c r="G86" s="134" t="s">
        <v>3007</v>
      </c>
      <c r="H86" s="123">
        <v>3613</v>
      </c>
      <c r="I86" s="202"/>
      <c r="K86" s="123"/>
    </row>
    <row r="87" spans="1:11" ht="31.5" x14ac:dyDescent="0.25">
      <c r="A87" s="134" t="s">
        <v>8686</v>
      </c>
      <c r="B87" s="134" t="s">
        <v>8767</v>
      </c>
      <c r="C87" s="134" t="s">
        <v>8766</v>
      </c>
      <c r="D87" s="134" t="s">
        <v>7248</v>
      </c>
      <c r="E87" s="139">
        <v>7.18</v>
      </c>
      <c r="F87" s="134" t="s">
        <v>7247</v>
      </c>
      <c r="G87" s="134" t="s">
        <v>3007</v>
      </c>
      <c r="H87" s="123">
        <v>3614</v>
      </c>
    </row>
    <row r="88" spans="1:11" ht="31.5" x14ac:dyDescent="0.25">
      <c r="A88" s="134" t="s">
        <v>8686</v>
      </c>
      <c r="B88" s="134" t="s">
        <v>8765</v>
      </c>
      <c r="C88" s="134" t="s">
        <v>8764</v>
      </c>
      <c r="D88" s="134" t="s">
        <v>4433</v>
      </c>
      <c r="E88" s="139">
        <v>14.27</v>
      </c>
      <c r="F88" s="134" t="s">
        <v>4432</v>
      </c>
      <c r="G88" s="134" t="s">
        <v>3007</v>
      </c>
      <c r="H88" s="123">
        <v>3615</v>
      </c>
    </row>
    <row r="89" spans="1:11" x14ac:dyDescent="0.25">
      <c r="A89" s="134" t="s">
        <v>8686</v>
      </c>
      <c r="B89" s="134" t="s">
        <v>8763</v>
      </c>
      <c r="C89" s="134" t="s">
        <v>8762</v>
      </c>
      <c r="D89" s="134" t="s">
        <v>5285</v>
      </c>
      <c r="E89" s="139">
        <v>12.49</v>
      </c>
      <c r="F89" s="134" t="s">
        <v>5284</v>
      </c>
      <c r="G89" s="134" t="s">
        <v>3007</v>
      </c>
      <c r="H89" s="123">
        <v>3616</v>
      </c>
    </row>
    <row r="90" spans="1:11" x14ac:dyDescent="0.25">
      <c r="A90" s="134" t="s">
        <v>8686</v>
      </c>
      <c r="B90" s="134" t="s">
        <v>8761</v>
      </c>
      <c r="C90" s="134" t="s">
        <v>8760</v>
      </c>
      <c r="D90" s="134" t="s">
        <v>8759</v>
      </c>
      <c r="E90" s="139">
        <v>7.94</v>
      </c>
      <c r="F90" s="134" t="s">
        <v>8758</v>
      </c>
      <c r="G90" s="134" t="s">
        <v>3007</v>
      </c>
      <c r="H90" s="123">
        <v>3617</v>
      </c>
    </row>
    <row r="91" spans="1:11" x14ac:dyDescent="0.25">
      <c r="A91" s="134" t="s">
        <v>8686</v>
      </c>
      <c r="B91" s="134" t="s">
        <v>8757</v>
      </c>
      <c r="C91" s="134" t="s">
        <v>8756</v>
      </c>
      <c r="D91" s="134" t="s">
        <v>8755</v>
      </c>
      <c r="E91" s="139">
        <v>30.26</v>
      </c>
      <c r="F91" s="134" t="s">
        <v>8754</v>
      </c>
      <c r="G91" s="134" t="s">
        <v>3007</v>
      </c>
      <c r="H91" s="123">
        <v>3618</v>
      </c>
    </row>
    <row r="92" spans="1:11" x14ac:dyDescent="0.25">
      <c r="A92" s="134" t="s">
        <v>8686</v>
      </c>
      <c r="B92" s="134" t="s">
        <v>8753</v>
      </c>
      <c r="C92" s="134" t="s">
        <v>8752</v>
      </c>
      <c r="D92" s="134" t="s">
        <v>4376</v>
      </c>
      <c r="E92" s="139">
        <v>4.2</v>
      </c>
      <c r="F92" s="134" t="s">
        <v>4375</v>
      </c>
      <c r="G92" s="134" t="s">
        <v>3007</v>
      </c>
      <c r="H92" s="123">
        <v>3619</v>
      </c>
    </row>
    <row r="93" spans="1:11" x14ac:dyDescent="0.25">
      <c r="A93" s="134" t="s">
        <v>8686</v>
      </c>
      <c r="B93" s="134" t="s">
        <v>8751</v>
      </c>
      <c r="C93" s="134" t="s">
        <v>8750</v>
      </c>
      <c r="D93" s="134" t="s">
        <v>8749</v>
      </c>
      <c r="E93" s="139">
        <v>8.3800000000000008</v>
      </c>
      <c r="F93" s="134" t="s">
        <v>8745</v>
      </c>
      <c r="G93" s="134" t="s">
        <v>3007</v>
      </c>
      <c r="H93" s="123">
        <v>3620</v>
      </c>
    </row>
    <row r="94" spans="1:11" x14ac:dyDescent="0.25">
      <c r="A94" s="134" t="s">
        <v>8686</v>
      </c>
      <c r="B94" s="134" t="s">
        <v>8748</v>
      </c>
      <c r="C94" s="134" t="s">
        <v>8747</v>
      </c>
      <c r="D94" s="134" t="s">
        <v>8746</v>
      </c>
      <c r="E94" s="139">
        <v>8.3800000000000008</v>
      </c>
      <c r="F94" s="134" t="s">
        <v>8745</v>
      </c>
      <c r="G94" s="134" t="s">
        <v>3007</v>
      </c>
      <c r="H94" s="123">
        <v>3621</v>
      </c>
    </row>
    <row r="95" spans="1:11" ht="31.5" x14ac:dyDescent="0.25">
      <c r="A95" s="134" t="s">
        <v>8686</v>
      </c>
      <c r="B95" s="134" t="s">
        <v>8744</v>
      </c>
      <c r="C95" s="134" t="s">
        <v>8743</v>
      </c>
      <c r="D95" s="134" t="s">
        <v>5335</v>
      </c>
      <c r="E95" s="139">
        <v>6.35</v>
      </c>
      <c r="F95" s="134" t="s">
        <v>5334</v>
      </c>
      <c r="G95" s="134" t="s">
        <v>3007</v>
      </c>
      <c r="H95" s="123">
        <v>3622</v>
      </c>
    </row>
    <row r="96" spans="1:11" x14ac:dyDescent="0.25">
      <c r="A96" s="134" t="s">
        <v>8686</v>
      </c>
      <c r="B96" s="134" t="s">
        <v>8742</v>
      </c>
      <c r="C96" s="134" t="s">
        <v>8741</v>
      </c>
      <c r="D96" s="134" t="s">
        <v>7349</v>
      </c>
      <c r="E96" s="139">
        <v>8.3800000000000008</v>
      </c>
      <c r="F96" s="134" t="s">
        <v>7348</v>
      </c>
      <c r="G96" s="134" t="s">
        <v>3007</v>
      </c>
      <c r="H96" s="124">
        <v>3623</v>
      </c>
    </row>
    <row r="97" spans="1:8" x14ac:dyDescent="0.25">
      <c r="A97" s="134" t="s">
        <v>8686</v>
      </c>
      <c r="B97" s="134" t="s">
        <v>8740</v>
      </c>
      <c r="C97" s="134" t="s">
        <v>8739</v>
      </c>
      <c r="D97" s="134" t="s">
        <v>7664</v>
      </c>
      <c r="E97" s="139">
        <v>1.85</v>
      </c>
      <c r="F97" s="134" t="s">
        <v>7663</v>
      </c>
      <c r="G97" s="134" t="s">
        <v>3007</v>
      </c>
      <c r="H97" s="123">
        <v>3624</v>
      </c>
    </row>
    <row r="98" spans="1:8" x14ac:dyDescent="0.25">
      <c r="A98" s="134" t="s">
        <v>8686</v>
      </c>
      <c r="B98" s="134" t="s">
        <v>8738</v>
      </c>
      <c r="C98" s="134" t="s">
        <v>8737</v>
      </c>
      <c r="D98" s="134" t="s">
        <v>8736</v>
      </c>
      <c r="E98" s="139">
        <v>5.57</v>
      </c>
      <c r="F98" s="134" t="s">
        <v>8735</v>
      </c>
      <c r="G98" s="134" t="s">
        <v>3007</v>
      </c>
      <c r="H98" s="123">
        <v>3625</v>
      </c>
    </row>
    <row r="99" spans="1:8" x14ac:dyDescent="0.25">
      <c r="A99" s="134" t="s">
        <v>8686</v>
      </c>
      <c r="B99" s="134" t="s">
        <v>8734</v>
      </c>
      <c r="C99" s="134" t="s">
        <v>8733</v>
      </c>
      <c r="D99" s="134" t="s">
        <v>8732</v>
      </c>
      <c r="E99" s="139">
        <v>8.33</v>
      </c>
      <c r="F99" s="134" t="s">
        <v>8731</v>
      </c>
      <c r="G99" s="134" t="s">
        <v>3007</v>
      </c>
      <c r="H99" s="123">
        <v>3626</v>
      </c>
    </row>
    <row r="100" spans="1:8" x14ac:dyDescent="0.25">
      <c r="A100" s="134" t="s">
        <v>8686</v>
      </c>
      <c r="B100" s="134" t="s">
        <v>8730</v>
      </c>
      <c r="C100" s="134" t="s">
        <v>8729</v>
      </c>
      <c r="D100" s="134" t="s">
        <v>3042</v>
      </c>
      <c r="E100" s="139">
        <v>3.81</v>
      </c>
      <c r="F100" s="134" t="s">
        <v>3041</v>
      </c>
      <c r="G100" s="134" t="s">
        <v>3007</v>
      </c>
      <c r="H100" s="123">
        <v>3627</v>
      </c>
    </row>
    <row r="101" spans="1:8" x14ac:dyDescent="0.25">
      <c r="A101" s="134" t="s">
        <v>8686</v>
      </c>
      <c r="B101" s="134" t="s">
        <v>8728</v>
      </c>
      <c r="C101" s="134" t="s">
        <v>8727</v>
      </c>
      <c r="D101" s="134" t="s">
        <v>4811</v>
      </c>
      <c r="E101" s="139">
        <v>13.36</v>
      </c>
      <c r="F101" s="134" t="s">
        <v>4810</v>
      </c>
      <c r="G101" s="134" t="s">
        <v>3007</v>
      </c>
      <c r="H101" s="123">
        <v>3628</v>
      </c>
    </row>
    <row r="102" spans="1:8" x14ac:dyDescent="0.25">
      <c r="A102" s="134" t="s">
        <v>8686</v>
      </c>
      <c r="B102" s="134" t="s">
        <v>8726</v>
      </c>
      <c r="C102" s="134" t="s">
        <v>8725</v>
      </c>
      <c r="D102" s="134" t="s">
        <v>8724</v>
      </c>
      <c r="E102" s="139">
        <v>0.62</v>
      </c>
      <c r="F102" s="134" t="s">
        <v>8723</v>
      </c>
      <c r="G102" s="134" t="s">
        <v>3007</v>
      </c>
      <c r="H102" s="123">
        <v>3629</v>
      </c>
    </row>
    <row r="103" spans="1:8" x14ac:dyDescent="0.25">
      <c r="A103" s="134" t="s">
        <v>8686</v>
      </c>
      <c r="B103" s="134" t="s">
        <v>8722</v>
      </c>
      <c r="C103" s="134" t="s">
        <v>8721</v>
      </c>
      <c r="D103" s="134" t="s">
        <v>8720</v>
      </c>
      <c r="E103" s="139">
        <v>25.14</v>
      </c>
      <c r="F103" s="134" t="s">
        <v>8719</v>
      </c>
      <c r="G103" s="134" t="s">
        <v>3007</v>
      </c>
      <c r="H103" s="123">
        <v>3630</v>
      </c>
    </row>
    <row r="104" spans="1:8" x14ac:dyDescent="0.25">
      <c r="A104" s="134" t="s">
        <v>8686</v>
      </c>
      <c r="B104" s="134" t="s">
        <v>6006</v>
      </c>
      <c r="C104" s="134" t="s">
        <v>8718</v>
      </c>
      <c r="D104" s="134" t="s">
        <v>8717</v>
      </c>
      <c r="E104" s="139">
        <v>4.6399999999999997</v>
      </c>
      <c r="F104" s="134" t="s">
        <v>8716</v>
      </c>
      <c r="G104" s="134" t="s">
        <v>3007</v>
      </c>
      <c r="H104" s="123">
        <v>3631</v>
      </c>
    </row>
    <row r="105" spans="1:8" x14ac:dyDescent="0.25">
      <c r="A105" s="134" t="s">
        <v>8686</v>
      </c>
      <c r="B105" s="134" t="s">
        <v>8715</v>
      </c>
      <c r="C105" s="134" t="s">
        <v>8714</v>
      </c>
      <c r="D105" s="134" t="s">
        <v>4598</v>
      </c>
      <c r="E105" s="139">
        <v>6.58</v>
      </c>
      <c r="F105" s="134" t="s">
        <v>4597</v>
      </c>
      <c r="G105" s="134" t="s">
        <v>3007</v>
      </c>
      <c r="H105" s="123">
        <v>3632</v>
      </c>
    </row>
    <row r="106" spans="1:8" x14ac:dyDescent="0.25">
      <c r="A106" s="134" t="s">
        <v>8686</v>
      </c>
      <c r="B106" s="134" t="s">
        <v>8713</v>
      </c>
      <c r="C106" s="134" t="s">
        <v>8712</v>
      </c>
      <c r="D106" s="134" t="s">
        <v>8711</v>
      </c>
      <c r="E106" s="139">
        <v>9.1999999999999993</v>
      </c>
      <c r="F106" s="134" t="s">
        <v>8710</v>
      </c>
      <c r="G106" s="134" t="s">
        <v>3007</v>
      </c>
      <c r="H106" s="123">
        <v>3633</v>
      </c>
    </row>
    <row r="107" spans="1:8" x14ac:dyDescent="0.25">
      <c r="A107" s="134" t="s">
        <v>8686</v>
      </c>
      <c r="B107" s="134" t="s">
        <v>8709</v>
      </c>
      <c r="C107" s="134" t="s">
        <v>8708</v>
      </c>
      <c r="D107" s="134" t="s">
        <v>4313</v>
      </c>
      <c r="E107" s="139">
        <v>5.34</v>
      </c>
      <c r="F107" s="134" t="s">
        <v>4312</v>
      </c>
      <c r="G107" s="134" t="s">
        <v>3007</v>
      </c>
      <c r="H107" s="123">
        <v>3634</v>
      </c>
    </row>
    <row r="108" spans="1:8" x14ac:dyDescent="0.25">
      <c r="A108" s="134" t="s">
        <v>8686</v>
      </c>
      <c r="B108" s="134" t="s">
        <v>8707</v>
      </c>
      <c r="C108" s="134" t="s">
        <v>8706</v>
      </c>
      <c r="D108" s="134" t="s">
        <v>3398</v>
      </c>
      <c r="E108" s="139">
        <v>6.76</v>
      </c>
      <c r="F108" s="134" t="s">
        <v>3397</v>
      </c>
      <c r="G108" s="134" t="s">
        <v>3007</v>
      </c>
      <c r="H108" s="123">
        <v>3635</v>
      </c>
    </row>
    <row r="109" spans="1:8" x14ac:dyDescent="0.25">
      <c r="A109" s="134" t="s">
        <v>8686</v>
      </c>
      <c r="B109" s="134" t="s">
        <v>8705</v>
      </c>
      <c r="C109" s="134" t="s">
        <v>8704</v>
      </c>
      <c r="D109" s="134" t="s">
        <v>5646</v>
      </c>
      <c r="E109" s="139">
        <v>4.33</v>
      </c>
      <c r="F109" s="134" t="s">
        <v>5645</v>
      </c>
      <c r="G109" s="134" t="s">
        <v>3007</v>
      </c>
      <c r="H109" s="123">
        <v>3636</v>
      </c>
    </row>
    <row r="110" spans="1:8" x14ac:dyDescent="0.25">
      <c r="A110" s="134" t="s">
        <v>8686</v>
      </c>
      <c r="B110" s="134" t="s">
        <v>8703</v>
      </c>
      <c r="C110" s="134" t="s">
        <v>8702</v>
      </c>
      <c r="D110" s="134" t="s">
        <v>3026</v>
      </c>
      <c r="E110" s="139">
        <v>11.93</v>
      </c>
      <c r="F110" s="134" t="s">
        <v>3025</v>
      </c>
      <c r="G110" s="134" t="s">
        <v>3007</v>
      </c>
      <c r="H110" s="123">
        <v>3637</v>
      </c>
    </row>
    <row r="111" spans="1:8" ht="31.5" x14ac:dyDescent="0.25">
      <c r="A111" s="134" t="s">
        <v>8686</v>
      </c>
      <c r="B111" s="134" t="s">
        <v>8701</v>
      </c>
      <c r="C111" s="134" t="s">
        <v>8700</v>
      </c>
      <c r="D111" s="134" t="s">
        <v>3297</v>
      </c>
      <c r="E111" s="139">
        <v>8.92</v>
      </c>
      <c r="F111" s="134" t="s">
        <v>3296</v>
      </c>
      <c r="G111" s="134" t="s">
        <v>3007</v>
      </c>
      <c r="H111" s="123">
        <v>3638</v>
      </c>
    </row>
    <row r="112" spans="1:8" x14ac:dyDescent="0.25">
      <c r="A112" s="134" t="s">
        <v>8686</v>
      </c>
      <c r="B112" s="134" t="s">
        <v>8699</v>
      </c>
      <c r="C112" s="134" t="s">
        <v>8698</v>
      </c>
      <c r="D112" s="134" t="s">
        <v>3293</v>
      </c>
      <c r="E112" s="139">
        <v>4.5999999999999996</v>
      </c>
      <c r="F112" s="134" t="s">
        <v>3292</v>
      </c>
      <c r="G112" s="134" t="s">
        <v>3007</v>
      </c>
      <c r="H112" s="123">
        <v>3640</v>
      </c>
    </row>
    <row r="113" spans="1:8" x14ac:dyDescent="0.25">
      <c r="A113" s="134" t="s">
        <v>8686</v>
      </c>
      <c r="B113" s="134" t="s">
        <v>8697</v>
      </c>
      <c r="C113" s="134" t="s">
        <v>8696</v>
      </c>
      <c r="D113" s="134" t="s">
        <v>5190</v>
      </c>
      <c r="E113" s="139">
        <v>6.24</v>
      </c>
      <c r="F113" s="134" t="s">
        <v>5189</v>
      </c>
      <c r="G113" s="134" t="s">
        <v>3007</v>
      </c>
      <c r="H113" s="123">
        <v>3641</v>
      </c>
    </row>
    <row r="114" spans="1:8" ht="31.5" x14ac:dyDescent="0.25">
      <c r="A114" s="134" t="s">
        <v>8686</v>
      </c>
      <c r="B114" s="134" t="s">
        <v>8695</v>
      </c>
      <c r="C114" s="134" t="s">
        <v>8694</v>
      </c>
      <c r="D114" s="134" t="s">
        <v>3394</v>
      </c>
      <c r="E114" s="139">
        <v>10.8</v>
      </c>
      <c r="F114" s="134" t="s">
        <v>3393</v>
      </c>
      <c r="G114" s="134" t="s">
        <v>3007</v>
      </c>
      <c r="H114" s="123">
        <v>3642</v>
      </c>
    </row>
    <row r="115" spans="1:8" x14ac:dyDescent="0.25">
      <c r="A115" s="134" t="s">
        <v>8686</v>
      </c>
      <c r="B115" s="134" t="s">
        <v>8693</v>
      </c>
      <c r="C115" s="134" t="s">
        <v>8692</v>
      </c>
      <c r="D115" s="134" t="s">
        <v>4708</v>
      </c>
      <c r="E115" s="139">
        <v>0.9</v>
      </c>
      <c r="F115" s="134" t="s">
        <v>4704</v>
      </c>
      <c r="G115" s="134" t="s">
        <v>3007</v>
      </c>
      <c r="H115" s="123">
        <v>3643</v>
      </c>
    </row>
    <row r="116" spans="1:8" x14ac:dyDescent="0.25">
      <c r="A116" s="134" t="s">
        <v>8686</v>
      </c>
      <c r="B116" s="134" t="s">
        <v>8691</v>
      </c>
      <c r="C116" s="134" t="s">
        <v>8690</v>
      </c>
      <c r="D116" s="134" t="s">
        <v>8689</v>
      </c>
      <c r="E116" s="139">
        <v>10.49</v>
      </c>
      <c r="F116" s="134" t="s">
        <v>8688</v>
      </c>
      <c r="G116" s="134" t="s">
        <v>3007</v>
      </c>
      <c r="H116" s="123">
        <v>3644</v>
      </c>
    </row>
    <row r="117" spans="1:8" x14ac:dyDescent="0.25">
      <c r="A117" s="134" t="s">
        <v>8686</v>
      </c>
      <c r="B117" s="134" t="s">
        <v>7452</v>
      </c>
      <c r="C117" s="134" t="s">
        <v>8687</v>
      </c>
      <c r="D117" s="134" t="s">
        <v>4901</v>
      </c>
      <c r="E117" s="139">
        <v>1.71</v>
      </c>
      <c r="F117" s="134" t="s">
        <v>4900</v>
      </c>
      <c r="G117" s="134" t="s">
        <v>3007</v>
      </c>
      <c r="H117" s="123">
        <v>3645</v>
      </c>
    </row>
    <row r="118" spans="1:8" x14ac:dyDescent="0.25">
      <c r="A118" s="134" t="s">
        <v>8686</v>
      </c>
      <c r="B118" s="134" t="s">
        <v>8685</v>
      </c>
      <c r="C118" s="134" t="s">
        <v>8684</v>
      </c>
      <c r="D118" s="134" t="s">
        <v>5126</v>
      </c>
      <c r="E118" s="139">
        <v>12.34</v>
      </c>
      <c r="F118" s="134" t="s">
        <v>5125</v>
      </c>
      <c r="G118" s="134" t="s">
        <v>3007</v>
      </c>
      <c r="H118" s="123">
        <v>3646</v>
      </c>
    </row>
    <row r="119" spans="1:8" x14ac:dyDescent="0.25">
      <c r="A119" s="134" t="s">
        <v>8581</v>
      </c>
      <c r="B119" s="134" t="s">
        <v>8683</v>
      </c>
      <c r="C119" s="134" t="s">
        <v>8682</v>
      </c>
      <c r="D119" s="134" t="s">
        <v>4416</v>
      </c>
      <c r="E119" s="139">
        <v>21.81</v>
      </c>
      <c r="F119" s="134" t="s">
        <v>4415</v>
      </c>
      <c r="G119" s="134" t="s">
        <v>3007</v>
      </c>
      <c r="H119" s="123">
        <v>3734</v>
      </c>
    </row>
    <row r="120" spans="1:8" x14ac:dyDescent="0.25">
      <c r="A120" s="134" t="s">
        <v>8581</v>
      </c>
      <c r="B120" s="134" t="s">
        <v>8681</v>
      </c>
      <c r="C120" s="134" t="s">
        <v>8680</v>
      </c>
      <c r="D120" s="134" t="s">
        <v>8679</v>
      </c>
      <c r="E120" s="139">
        <v>6.58</v>
      </c>
      <c r="F120" s="134" t="s">
        <v>8678</v>
      </c>
      <c r="G120" s="134" t="s">
        <v>3007</v>
      </c>
      <c r="H120" s="123">
        <v>3735</v>
      </c>
    </row>
    <row r="121" spans="1:8" ht="31.5" x14ac:dyDescent="0.25">
      <c r="A121" s="134" t="s">
        <v>8581</v>
      </c>
      <c r="B121" s="134" t="s">
        <v>8677</v>
      </c>
      <c r="C121" s="134" t="s">
        <v>8676</v>
      </c>
      <c r="D121" s="134" t="s">
        <v>8675</v>
      </c>
      <c r="E121" s="139">
        <v>5.04</v>
      </c>
      <c r="F121" s="134" t="s">
        <v>8674</v>
      </c>
      <c r="G121" s="134" t="s">
        <v>3007</v>
      </c>
      <c r="H121" s="123">
        <v>3736</v>
      </c>
    </row>
    <row r="122" spans="1:8" ht="31.5" x14ac:dyDescent="0.25">
      <c r="A122" s="134" t="s">
        <v>8581</v>
      </c>
      <c r="B122" s="134" t="s">
        <v>4845</v>
      </c>
      <c r="C122" s="134" t="s">
        <v>8673</v>
      </c>
      <c r="D122" s="134" t="s">
        <v>7668</v>
      </c>
      <c r="E122" s="139">
        <v>18.760000000000002</v>
      </c>
      <c r="F122" s="134" t="s">
        <v>7667</v>
      </c>
      <c r="G122" s="134" t="s">
        <v>3007</v>
      </c>
      <c r="H122" s="123">
        <v>3737</v>
      </c>
    </row>
    <row r="123" spans="1:8" x14ac:dyDescent="0.25">
      <c r="A123" s="134" t="s">
        <v>8581</v>
      </c>
      <c r="B123" s="134" t="s">
        <v>8672</v>
      </c>
      <c r="C123" s="134" t="s">
        <v>8671</v>
      </c>
      <c r="D123" s="134" t="s">
        <v>4176</v>
      </c>
      <c r="E123" s="139">
        <v>2.7</v>
      </c>
      <c r="F123" s="134" t="s">
        <v>4175</v>
      </c>
      <c r="G123" s="134" t="s">
        <v>3007</v>
      </c>
      <c r="H123" s="123">
        <v>3738</v>
      </c>
    </row>
    <row r="124" spans="1:8" x14ac:dyDescent="0.25">
      <c r="A124" s="134" t="s">
        <v>8581</v>
      </c>
      <c r="B124" s="134" t="s">
        <v>8670</v>
      </c>
      <c r="C124" s="134" t="s">
        <v>8669</v>
      </c>
      <c r="D124" s="134" t="s">
        <v>3627</v>
      </c>
      <c r="E124" s="139">
        <v>8.3800000000000008</v>
      </c>
      <c r="F124" s="134" t="s">
        <v>3626</v>
      </c>
      <c r="G124" s="134" t="s">
        <v>3007</v>
      </c>
      <c r="H124" s="123">
        <v>3739</v>
      </c>
    </row>
    <row r="125" spans="1:8" x14ac:dyDescent="0.25">
      <c r="A125" s="134" t="s">
        <v>8581</v>
      </c>
      <c r="B125" s="134" t="s">
        <v>8668</v>
      </c>
      <c r="C125" s="134" t="s">
        <v>8667</v>
      </c>
      <c r="D125" s="134" t="s">
        <v>5198</v>
      </c>
      <c r="E125" s="139">
        <v>2.94</v>
      </c>
      <c r="F125" s="134" t="s">
        <v>5197</v>
      </c>
      <c r="G125" s="134" t="s">
        <v>3007</v>
      </c>
      <c r="H125" s="123">
        <v>3740</v>
      </c>
    </row>
    <row r="126" spans="1:8" x14ac:dyDescent="0.25">
      <c r="A126" s="134" t="s">
        <v>8581</v>
      </c>
      <c r="B126" s="134" t="s">
        <v>8666</v>
      </c>
      <c r="C126" s="134" t="s">
        <v>8665</v>
      </c>
      <c r="D126" s="134" t="s">
        <v>4881</v>
      </c>
      <c r="E126" s="139">
        <v>8.3800000000000008</v>
      </c>
      <c r="F126" s="134" t="s">
        <v>4880</v>
      </c>
      <c r="G126" s="134" t="s">
        <v>3007</v>
      </c>
      <c r="H126" s="123">
        <v>3741</v>
      </c>
    </row>
    <row r="127" spans="1:8" x14ac:dyDescent="0.25">
      <c r="A127" s="134" t="s">
        <v>8581</v>
      </c>
      <c r="B127" s="134" t="s">
        <v>8664</v>
      </c>
      <c r="C127" s="134" t="s">
        <v>8663</v>
      </c>
      <c r="D127" s="134" t="s">
        <v>8662</v>
      </c>
      <c r="E127" s="139">
        <v>1.82</v>
      </c>
      <c r="F127" s="134" t="s">
        <v>8661</v>
      </c>
      <c r="G127" s="134" t="s">
        <v>3007</v>
      </c>
      <c r="H127" s="123">
        <v>3742</v>
      </c>
    </row>
    <row r="128" spans="1:8" x14ac:dyDescent="0.25">
      <c r="A128" s="134" t="s">
        <v>8581</v>
      </c>
      <c r="B128" s="134" t="s">
        <v>8660</v>
      </c>
      <c r="C128" s="134" t="s">
        <v>8659</v>
      </c>
      <c r="D128" s="134" t="s">
        <v>5435</v>
      </c>
      <c r="E128" s="139">
        <v>4.1100000000000003</v>
      </c>
      <c r="F128" s="134" t="s">
        <v>5434</v>
      </c>
      <c r="G128" s="134" t="s">
        <v>3007</v>
      </c>
      <c r="H128" s="123">
        <v>3743</v>
      </c>
    </row>
    <row r="129" spans="1:8" x14ac:dyDescent="0.25">
      <c r="A129" s="134" t="s">
        <v>8581</v>
      </c>
      <c r="B129" s="134" t="s">
        <v>8658</v>
      </c>
      <c r="C129" s="134" t="s">
        <v>8657</v>
      </c>
      <c r="D129" s="134" t="s">
        <v>3731</v>
      </c>
      <c r="E129" s="139">
        <v>1.83</v>
      </c>
      <c r="F129" s="134" t="s">
        <v>3730</v>
      </c>
      <c r="G129" s="134" t="s">
        <v>3007</v>
      </c>
      <c r="H129" s="123">
        <v>3744</v>
      </c>
    </row>
    <row r="130" spans="1:8" x14ac:dyDescent="0.25">
      <c r="A130" s="134" t="s">
        <v>8581</v>
      </c>
      <c r="B130" s="134" t="s">
        <v>5616</v>
      </c>
      <c r="C130" s="134" t="s">
        <v>8656</v>
      </c>
      <c r="D130" s="134" t="s">
        <v>4775</v>
      </c>
      <c r="E130" s="139">
        <v>39.409999999999997</v>
      </c>
      <c r="F130" s="134" t="s">
        <v>4774</v>
      </c>
      <c r="G130" s="134" t="s">
        <v>3007</v>
      </c>
      <c r="H130" s="123">
        <v>3745</v>
      </c>
    </row>
    <row r="131" spans="1:8" ht="31.5" x14ac:dyDescent="0.25">
      <c r="A131" s="134" t="s">
        <v>8581</v>
      </c>
      <c r="B131" s="134" t="s">
        <v>8655</v>
      </c>
      <c r="C131" s="134" t="s">
        <v>8654</v>
      </c>
      <c r="D131" s="134" t="s">
        <v>8653</v>
      </c>
      <c r="E131" s="139">
        <v>3.36</v>
      </c>
      <c r="F131" s="134" t="s">
        <v>8652</v>
      </c>
      <c r="G131" s="134" t="s">
        <v>3007</v>
      </c>
      <c r="H131" s="123">
        <v>3746</v>
      </c>
    </row>
    <row r="132" spans="1:8" x14ac:dyDescent="0.25">
      <c r="A132" s="134" t="s">
        <v>8581</v>
      </c>
      <c r="B132" s="134" t="s">
        <v>8651</v>
      </c>
      <c r="C132" s="134" t="s">
        <v>8650</v>
      </c>
      <c r="D132" s="134" t="s">
        <v>6514</v>
      </c>
      <c r="E132" s="139">
        <v>1.86</v>
      </c>
      <c r="F132" s="134" t="s">
        <v>6513</v>
      </c>
      <c r="G132" s="134" t="s">
        <v>3007</v>
      </c>
      <c r="H132" s="123">
        <v>3747</v>
      </c>
    </row>
    <row r="133" spans="1:8" x14ac:dyDescent="0.25">
      <c r="A133" s="134" t="s">
        <v>8581</v>
      </c>
      <c r="B133" s="134" t="s">
        <v>8649</v>
      </c>
      <c r="C133" s="134" t="s">
        <v>8648</v>
      </c>
      <c r="D133" s="134" t="s">
        <v>8647</v>
      </c>
      <c r="E133" s="139">
        <v>9.23</v>
      </c>
      <c r="F133" s="134" t="s">
        <v>8646</v>
      </c>
      <c r="G133" s="134" t="s">
        <v>3007</v>
      </c>
      <c r="H133" s="123" t="s">
        <v>8645</v>
      </c>
    </row>
    <row r="134" spans="1:8" ht="31.5" x14ac:dyDescent="0.25">
      <c r="A134" s="134" t="s">
        <v>8581</v>
      </c>
      <c r="B134" s="134" t="s">
        <v>8644</v>
      </c>
      <c r="C134" s="134" t="s">
        <v>8643</v>
      </c>
      <c r="D134" s="134" t="s">
        <v>7585</v>
      </c>
      <c r="E134" s="139">
        <v>10.53</v>
      </c>
      <c r="F134" s="134" t="s">
        <v>7584</v>
      </c>
      <c r="G134" s="134" t="s">
        <v>3007</v>
      </c>
      <c r="H134" s="123">
        <v>3748</v>
      </c>
    </row>
    <row r="135" spans="1:8" ht="31.5" x14ac:dyDescent="0.25">
      <c r="A135" s="134" t="s">
        <v>8581</v>
      </c>
      <c r="B135" s="134" t="s">
        <v>8642</v>
      </c>
      <c r="C135" s="134" t="s">
        <v>8641</v>
      </c>
      <c r="D135" s="134" t="s">
        <v>4701</v>
      </c>
      <c r="E135" s="139">
        <v>26.95</v>
      </c>
      <c r="F135" s="134" t="s">
        <v>4700</v>
      </c>
      <c r="G135" s="134" t="s">
        <v>3007</v>
      </c>
      <c r="H135" s="123">
        <v>3749</v>
      </c>
    </row>
    <row r="136" spans="1:8" x14ac:dyDescent="0.25">
      <c r="A136" s="134" t="s">
        <v>8581</v>
      </c>
      <c r="B136" s="134" t="s">
        <v>8640</v>
      </c>
      <c r="C136" s="134" t="s">
        <v>8639</v>
      </c>
      <c r="D136" s="134" t="s">
        <v>3127</v>
      </c>
      <c r="E136" s="139">
        <v>13.54</v>
      </c>
      <c r="F136" s="134" t="s">
        <v>3126</v>
      </c>
      <c r="G136" s="134" t="s">
        <v>3007</v>
      </c>
      <c r="H136" s="123">
        <v>3750</v>
      </c>
    </row>
    <row r="137" spans="1:8" x14ac:dyDescent="0.25">
      <c r="A137" s="134" t="s">
        <v>8581</v>
      </c>
      <c r="B137" s="134" t="s">
        <v>8638</v>
      </c>
      <c r="C137" s="134" t="s">
        <v>8637</v>
      </c>
      <c r="D137" s="134" t="s">
        <v>5510</v>
      </c>
      <c r="E137" s="139">
        <v>20.059999999999999</v>
      </c>
      <c r="F137" s="134" t="s">
        <v>5509</v>
      </c>
      <c r="G137" s="134" t="s">
        <v>3007</v>
      </c>
      <c r="H137" s="123">
        <v>3751</v>
      </c>
    </row>
    <row r="138" spans="1:8" x14ac:dyDescent="0.25">
      <c r="A138" s="134" t="s">
        <v>8581</v>
      </c>
      <c r="B138" s="134" t="s">
        <v>8636</v>
      </c>
      <c r="C138" s="134" t="s">
        <v>8635</v>
      </c>
      <c r="D138" s="134" t="s">
        <v>5166</v>
      </c>
      <c r="E138" s="139">
        <v>9.82</v>
      </c>
      <c r="F138" s="134" t="s">
        <v>5165</v>
      </c>
      <c r="G138" s="134" t="s">
        <v>3007</v>
      </c>
      <c r="H138" s="123">
        <v>3752</v>
      </c>
    </row>
    <row r="139" spans="1:8" ht="31.5" x14ac:dyDescent="0.25">
      <c r="A139" s="134" t="s">
        <v>8581</v>
      </c>
      <c r="B139" s="134" t="s">
        <v>8634</v>
      </c>
      <c r="C139" s="134" t="s">
        <v>8633</v>
      </c>
      <c r="D139" s="134" t="s">
        <v>8632</v>
      </c>
      <c r="E139" s="139">
        <v>1.08</v>
      </c>
      <c r="F139" s="134" t="s">
        <v>8631</v>
      </c>
      <c r="G139" s="134" t="s">
        <v>3007</v>
      </c>
      <c r="H139" s="123">
        <v>3753</v>
      </c>
    </row>
    <row r="140" spans="1:8" x14ac:dyDescent="0.25">
      <c r="A140" s="134" t="s">
        <v>8581</v>
      </c>
      <c r="B140" s="134" t="s">
        <v>8630</v>
      </c>
      <c r="C140" s="134" t="s">
        <v>8629</v>
      </c>
      <c r="D140" s="134" t="s">
        <v>4124</v>
      </c>
      <c r="E140" s="139">
        <v>3.72</v>
      </c>
      <c r="F140" s="134" t="s">
        <v>4123</v>
      </c>
      <c r="G140" s="134" t="s">
        <v>3007</v>
      </c>
      <c r="H140" s="123">
        <v>3754</v>
      </c>
    </row>
    <row r="141" spans="1:8" x14ac:dyDescent="0.25">
      <c r="A141" s="134" t="s">
        <v>8581</v>
      </c>
      <c r="B141" s="134" t="s">
        <v>8628</v>
      </c>
      <c r="C141" s="134" t="s">
        <v>8627</v>
      </c>
      <c r="D141" s="134" t="s">
        <v>8626</v>
      </c>
      <c r="E141" s="139">
        <v>4.3499999999999996</v>
      </c>
      <c r="F141" s="134" t="s">
        <v>8625</v>
      </c>
      <c r="G141" s="134" t="s">
        <v>3007</v>
      </c>
      <c r="H141" s="123">
        <v>3755</v>
      </c>
    </row>
    <row r="142" spans="1:8" x14ac:dyDescent="0.25">
      <c r="A142" s="134" t="s">
        <v>8581</v>
      </c>
      <c r="B142" s="134" t="s">
        <v>7847</v>
      </c>
      <c r="C142" s="134" t="s">
        <v>8624</v>
      </c>
      <c r="D142" s="134" t="s">
        <v>3571</v>
      </c>
      <c r="E142" s="139">
        <v>6.61</v>
      </c>
      <c r="F142" s="134" t="s">
        <v>3570</v>
      </c>
      <c r="G142" s="134" t="s">
        <v>3007</v>
      </c>
      <c r="H142" s="123">
        <v>3756</v>
      </c>
    </row>
    <row r="143" spans="1:8" x14ac:dyDescent="0.25">
      <c r="A143" s="134" t="s">
        <v>8581</v>
      </c>
      <c r="B143" s="134" t="s">
        <v>8623</v>
      </c>
      <c r="C143" s="134" t="s">
        <v>8622</v>
      </c>
      <c r="D143" s="134" t="s">
        <v>5673</v>
      </c>
      <c r="E143" s="139">
        <v>3.36</v>
      </c>
      <c r="F143" s="134" t="s">
        <v>5672</v>
      </c>
      <c r="G143" s="134" t="s">
        <v>3007</v>
      </c>
      <c r="H143" s="123">
        <v>3757</v>
      </c>
    </row>
    <row r="144" spans="1:8" ht="31.5" x14ac:dyDescent="0.25">
      <c r="A144" s="134" t="s">
        <v>8581</v>
      </c>
      <c r="B144" s="134" t="s">
        <v>8621</v>
      </c>
      <c r="C144" s="134" t="s">
        <v>8620</v>
      </c>
      <c r="D144" s="134" t="s">
        <v>5273</v>
      </c>
      <c r="E144" s="139">
        <v>4.08</v>
      </c>
      <c r="F144" s="134" t="s">
        <v>5272</v>
      </c>
      <c r="G144" s="134" t="s">
        <v>3007</v>
      </c>
      <c r="H144" s="123">
        <v>3758</v>
      </c>
    </row>
    <row r="145" spans="1:8" x14ac:dyDescent="0.25">
      <c r="A145" s="134" t="s">
        <v>8581</v>
      </c>
      <c r="B145" s="134" t="s">
        <v>8619</v>
      </c>
      <c r="C145" s="134" t="s">
        <v>8618</v>
      </c>
      <c r="D145" s="134" t="s">
        <v>3555</v>
      </c>
      <c r="E145" s="139">
        <v>2.5</v>
      </c>
      <c r="F145" s="134" t="s">
        <v>3554</v>
      </c>
      <c r="G145" s="134" t="s">
        <v>3007</v>
      </c>
      <c r="H145" s="123">
        <v>3759</v>
      </c>
    </row>
    <row r="146" spans="1:8" x14ac:dyDescent="0.25">
      <c r="A146" s="134" t="s">
        <v>8581</v>
      </c>
      <c r="B146" s="134" t="s">
        <v>8617</v>
      </c>
      <c r="C146" s="134" t="s">
        <v>8616</v>
      </c>
      <c r="D146" s="134" t="s">
        <v>8615</v>
      </c>
      <c r="E146" s="139">
        <v>20.45</v>
      </c>
      <c r="F146" s="134" t="s">
        <v>8614</v>
      </c>
      <c r="G146" s="134" t="s">
        <v>3007</v>
      </c>
      <c r="H146" s="123">
        <v>3760</v>
      </c>
    </row>
    <row r="147" spans="1:8" ht="31.5" x14ac:dyDescent="0.25">
      <c r="A147" s="134" t="s">
        <v>8581</v>
      </c>
      <c r="B147" s="134" t="s">
        <v>8613</v>
      </c>
      <c r="C147" s="134" t="s">
        <v>8612</v>
      </c>
      <c r="D147" s="134" t="s">
        <v>8611</v>
      </c>
      <c r="E147" s="139">
        <v>7.21</v>
      </c>
      <c r="F147" s="134" t="s">
        <v>8610</v>
      </c>
      <c r="G147" s="134" t="s">
        <v>3007</v>
      </c>
      <c r="H147" s="123">
        <v>3761</v>
      </c>
    </row>
    <row r="148" spans="1:8" x14ac:dyDescent="0.25">
      <c r="A148" s="134" t="s">
        <v>8581</v>
      </c>
      <c r="B148" s="134" t="s">
        <v>8609</v>
      </c>
      <c r="C148" s="134" t="s">
        <v>8608</v>
      </c>
      <c r="D148" s="134" t="s">
        <v>8607</v>
      </c>
      <c r="E148" s="139">
        <v>0.06</v>
      </c>
      <c r="F148" s="134" t="s">
        <v>8606</v>
      </c>
      <c r="G148" s="134" t="s">
        <v>3007</v>
      </c>
      <c r="H148" s="123">
        <v>3762</v>
      </c>
    </row>
    <row r="149" spans="1:8" x14ac:dyDescent="0.25">
      <c r="A149" s="134" t="s">
        <v>8581</v>
      </c>
      <c r="B149" s="134" t="s">
        <v>8605</v>
      </c>
      <c r="C149" s="134" t="s">
        <v>8604</v>
      </c>
      <c r="D149" s="134" t="s">
        <v>4941</v>
      </c>
      <c r="E149" s="139">
        <v>8.42</v>
      </c>
      <c r="F149" s="134" t="s">
        <v>4940</v>
      </c>
      <c r="G149" s="134" t="s">
        <v>3007</v>
      </c>
      <c r="H149" s="123">
        <v>3763</v>
      </c>
    </row>
    <row r="150" spans="1:8" x14ac:dyDescent="0.25">
      <c r="A150" s="134" t="s">
        <v>8581</v>
      </c>
      <c r="B150" s="134" t="s">
        <v>8603</v>
      </c>
      <c r="C150" s="134" t="s">
        <v>8602</v>
      </c>
      <c r="D150" s="134" t="s">
        <v>8601</v>
      </c>
      <c r="E150" s="139">
        <v>1.62</v>
      </c>
      <c r="F150" s="134" t="s">
        <v>8600</v>
      </c>
      <c r="G150" s="134" t="s">
        <v>3007</v>
      </c>
      <c r="H150" s="123">
        <v>3764</v>
      </c>
    </row>
    <row r="151" spans="1:8" x14ac:dyDescent="0.25">
      <c r="A151" s="134" t="s">
        <v>8581</v>
      </c>
      <c r="B151" s="134" t="s">
        <v>8599</v>
      </c>
      <c r="C151" s="134" t="s">
        <v>8598</v>
      </c>
      <c r="D151" s="134" t="s">
        <v>8597</v>
      </c>
      <c r="E151" s="139">
        <v>5.44</v>
      </c>
      <c r="F151" s="134" t="s">
        <v>8596</v>
      </c>
      <c r="G151" s="134" t="s">
        <v>3007</v>
      </c>
      <c r="H151" s="123">
        <v>3765</v>
      </c>
    </row>
    <row r="152" spans="1:8" x14ac:dyDescent="0.25">
      <c r="A152" s="134" t="s">
        <v>8581</v>
      </c>
      <c r="B152" s="134" t="s">
        <v>8595</v>
      </c>
      <c r="C152" s="134" t="s">
        <v>8594</v>
      </c>
      <c r="D152" s="134" t="s">
        <v>4164</v>
      </c>
      <c r="E152" s="139">
        <v>6.55</v>
      </c>
      <c r="F152" s="134" t="s">
        <v>4163</v>
      </c>
      <c r="G152" s="134" t="s">
        <v>3007</v>
      </c>
      <c r="H152" s="123">
        <v>3766</v>
      </c>
    </row>
    <row r="153" spans="1:8" x14ac:dyDescent="0.25">
      <c r="A153" s="134" t="s">
        <v>8581</v>
      </c>
      <c r="B153" s="134" t="s">
        <v>8593</v>
      </c>
      <c r="C153" s="134" t="s">
        <v>8592</v>
      </c>
      <c r="D153" s="134" t="s">
        <v>5036</v>
      </c>
      <c r="E153" s="139">
        <v>12.14</v>
      </c>
      <c r="F153" s="134" t="s">
        <v>5035</v>
      </c>
      <c r="G153" s="134" t="s">
        <v>3007</v>
      </c>
      <c r="H153" s="123">
        <v>3767</v>
      </c>
    </row>
    <row r="154" spans="1:8" ht="31.5" x14ac:dyDescent="0.25">
      <c r="A154" s="134" t="s">
        <v>8581</v>
      </c>
      <c r="B154" s="134" t="s">
        <v>8591</v>
      </c>
      <c r="C154" s="134" t="s">
        <v>8590</v>
      </c>
      <c r="D154" s="134" t="s">
        <v>8589</v>
      </c>
      <c r="E154" s="139">
        <v>1.84</v>
      </c>
      <c r="F154" s="134" t="s">
        <v>8588</v>
      </c>
      <c r="G154" s="134" t="s">
        <v>3007</v>
      </c>
      <c r="H154" s="123">
        <v>3768</v>
      </c>
    </row>
    <row r="155" spans="1:8" x14ac:dyDescent="0.25">
      <c r="A155" s="134" t="s">
        <v>8581</v>
      </c>
      <c r="B155" s="134" t="s">
        <v>8587</v>
      </c>
      <c r="C155" s="134" t="s">
        <v>8586</v>
      </c>
      <c r="D155" s="134" t="s">
        <v>5396</v>
      </c>
      <c r="E155" s="139">
        <v>5.85</v>
      </c>
      <c r="F155" s="134" t="s">
        <v>5395</v>
      </c>
      <c r="G155" s="134" t="s">
        <v>3007</v>
      </c>
      <c r="H155" s="123">
        <v>3769</v>
      </c>
    </row>
    <row r="156" spans="1:8" x14ac:dyDescent="0.25">
      <c r="A156" s="134" t="s">
        <v>8581</v>
      </c>
      <c r="B156" s="134" t="s">
        <v>8585</v>
      </c>
      <c r="C156" s="134" t="s">
        <v>8584</v>
      </c>
      <c r="D156" s="134" t="s">
        <v>8583</v>
      </c>
      <c r="E156" s="139">
        <v>26.12</v>
      </c>
      <c r="F156" s="134" t="s">
        <v>8582</v>
      </c>
      <c r="G156" s="134" t="s">
        <v>3007</v>
      </c>
      <c r="H156" s="123">
        <v>3770</v>
      </c>
    </row>
    <row r="157" spans="1:8" x14ac:dyDescent="0.25">
      <c r="A157" s="134" t="s">
        <v>8581</v>
      </c>
      <c r="B157" s="134" t="s">
        <v>8580</v>
      </c>
      <c r="C157" s="134" t="s">
        <v>8579</v>
      </c>
      <c r="D157" s="134" t="s">
        <v>8578</v>
      </c>
      <c r="E157" s="139">
        <v>3.68</v>
      </c>
      <c r="F157" s="134" t="s">
        <v>8577</v>
      </c>
      <c r="G157" s="134" t="s">
        <v>3007</v>
      </c>
      <c r="H157" s="123">
        <v>3771</v>
      </c>
    </row>
    <row r="158" spans="1:8" x14ac:dyDescent="0.25">
      <c r="A158" s="134" t="s">
        <v>8493</v>
      </c>
      <c r="B158" s="134" t="s">
        <v>8576</v>
      </c>
      <c r="C158" s="134" t="s">
        <v>8575</v>
      </c>
      <c r="D158" s="134" t="s">
        <v>8574</v>
      </c>
      <c r="E158" s="139">
        <v>26.47</v>
      </c>
      <c r="F158" s="134" t="s">
        <v>8573</v>
      </c>
      <c r="G158" s="134" t="s">
        <v>3007</v>
      </c>
      <c r="H158" s="123">
        <v>3835</v>
      </c>
    </row>
    <row r="159" spans="1:8" x14ac:dyDescent="0.25">
      <c r="A159" s="134" t="s">
        <v>8493</v>
      </c>
      <c r="B159" s="134" t="s">
        <v>8572</v>
      </c>
      <c r="C159" s="134" t="s">
        <v>8571</v>
      </c>
      <c r="D159" s="134" t="s">
        <v>8570</v>
      </c>
      <c r="E159" s="139">
        <v>8.34</v>
      </c>
      <c r="F159" s="134" t="s">
        <v>8569</v>
      </c>
      <c r="G159" s="134" t="s">
        <v>3007</v>
      </c>
      <c r="H159" s="123">
        <v>3836</v>
      </c>
    </row>
    <row r="160" spans="1:8" ht="31.5" x14ac:dyDescent="0.25">
      <c r="A160" s="134" t="s">
        <v>8493</v>
      </c>
      <c r="B160" s="134" t="s">
        <v>8568</v>
      </c>
      <c r="C160" s="134" t="s">
        <v>8567</v>
      </c>
      <c r="D160" s="134" t="s">
        <v>4729</v>
      </c>
      <c r="E160" s="139">
        <v>1.9</v>
      </c>
      <c r="F160" s="134" t="s">
        <v>4728</v>
      </c>
      <c r="G160" s="134" t="s">
        <v>3007</v>
      </c>
      <c r="H160" s="123">
        <v>3837</v>
      </c>
    </row>
    <row r="161" spans="1:8" x14ac:dyDescent="0.25">
      <c r="A161" s="134" t="s">
        <v>8493</v>
      </c>
      <c r="B161" s="134" t="s">
        <v>8566</v>
      </c>
      <c r="C161" s="134" t="s">
        <v>8565</v>
      </c>
      <c r="D161" s="134" t="s">
        <v>8564</v>
      </c>
      <c r="E161" s="139">
        <v>28.14</v>
      </c>
      <c r="F161" s="134" t="s">
        <v>8563</v>
      </c>
      <c r="G161" s="134" t="s">
        <v>3007</v>
      </c>
      <c r="H161" s="123">
        <v>3838</v>
      </c>
    </row>
    <row r="162" spans="1:8" x14ac:dyDescent="0.25">
      <c r="A162" s="134" t="s">
        <v>8493</v>
      </c>
      <c r="B162" s="134" t="s">
        <v>8562</v>
      </c>
      <c r="C162" s="134" t="s">
        <v>8561</v>
      </c>
      <c r="D162" s="134" t="s">
        <v>8560</v>
      </c>
      <c r="E162" s="139">
        <v>6.62</v>
      </c>
      <c r="F162" s="134" t="s">
        <v>8559</v>
      </c>
      <c r="G162" s="134" t="s">
        <v>3007</v>
      </c>
      <c r="H162" s="123">
        <v>3839</v>
      </c>
    </row>
    <row r="163" spans="1:8" ht="31.5" x14ac:dyDescent="0.25">
      <c r="A163" s="134" t="s">
        <v>8493</v>
      </c>
      <c r="B163" s="134" t="s">
        <v>8558</v>
      </c>
      <c r="C163" s="134" t="s">
        <v>8557</v>
      </c>
      <c r="D163" s="134" t="s">
        <v>5423</v>
      </c>
      <c r="E163" s="139">
        <v>3.09</v>
      </c>
      <c r="F163" s="134" t="s">
        <v>5422</v>
      </c>
      <c r="G163" s="134" t="s">
        <v>3007</v>
      </c>
      <c r="H163" s="123">
        <v>3840</v>
      </c>
    </row>
    <row r="164" spans="1:8" x14ac:dyDescent="0.25">
      <c r="A164" s="134" t="s">
        <v>8493</v>
      </c>
      <c r="B164" s="134" t="s">
        <v>8556</v>
      </c>
      <c r="C164" s="134" t="s">
        <v>8555</v>
      </c>
      <c r="D164" s="134" t="s">
        <v>7066</v>
      </c>
      <c r="E164" s="139">
        <v>5.54</v>
      </c>
      <c r="F164" s="134" t="s">
        <v>7065</v>
      </c>
      <c r="G164" s="134" t="s">
        <v>3007</v>
      </c>
      <c r="H164" s="123">
        <v>3842</v>
      </c>
    </row>
    <row r="165" spans="1:8" ht="31.5" x14ac:dyDescent="0.25">
      <c r="A165" s="134" t="s">
        <v>8493</v>
      </c>
      <c r="B165" s="134" t="s">
        <v>8554</v>
      </c>
      <c r="C165" s="134" t="s">
        <v>8553</v>
      </c>
      <c r="D165" s="134" t="s">
        <v>8552</v>
      </c>
      <c r="E165" s="139">
        <v>24.92</v>
      </c>
      <c r="F165" s="134" t="s">
        <v>8551</v>
      </c>
      <c r="G165" s="134" t="s">
        <v>3007</v>
      </c>
      <c r="H165" s="123">
        <v>3843</v>
      </c>
    </row>
    <row r="166" spans="1:8" x14ac:dyDescent="0.25">
      <c r="A166" s="134" t="s">
        <v>8493</v>
      </c>
      <c r="B166" s="134" t="s">
        <v>8550</v>
      </c>
      <c r="C166" s="134" t="s">
        <v>8549</v>
      </c>
      <c r="D166" s="134" t="s">
        <v>3796</v>
      </c>
      <c r="E166" s="139">
        <v>3.6</v>
      </c>
      <c r="F166" s="134" t="s">
        <v>3795</v>
      </c>
      <c r="G166" s="134" t="s">
        <v>3007</v>
      </c>
      <c r="H166" s="123">
        <v>3844</v>
      </c>
    </row>
    <row r="167" spans="1:8" x14ac:dyDescent="0.25">
      <c r="A167" s="134" t="s">
        <v>8493</v>
      </c>
      <c r="B167" s="134" t="s">
        <v>8548</v>
      </c>
      <c r="C167" s="134" t="s">
        <v>8547</v>
      </c>
      <c r="D167" s="134" t="s">
        <v>8546</v>
      </c>
      <c r="E167" s="139">
        <v>3.92</v>
      </c>
      <c r="F167" s="134" t="s">
        <v>8545</v>
      </c>
      <c r="G167" s="134" t="s">
        <v>3007</v>
      </c>
      <c r="H167" s="123">
        <v>3845</v>
      </c>
    </row>
    <row r="168" spans="1:8" x14ac:dyDescent="0.25">
      <c r="A168" s="134" t="s">
        <v>8493</v>
      </c>
      <c r="B168" s="134" t="s">
        <v>8544</v>
      </c>
      <c r="C168" s="134" t="s">
        <v>8543</v>
      </c>
      <c r="D168" s="134" t="s">
        <v>8542</v>
      </c>
      <c r="E168" s="139">
        <v>11.54</v>
      </c>
      <c r="F168" s="134" t="s">
        <v>8541</v>
      </c>
      <c r="G168" s="134" t="s">
        <v>3007</v>
      </c>
      <c r="H168" s="123">
        <v>3846</v>
      </c>
    </row>
    <row r="169" spans="1:8" x14ac:dyDescent="0.25">
      <c r="A169" s="134" t="s">
        <v>8493</v>
      </c>
      <c r="B169" s="134" t="s">
        <v>8540</v>
      </c>
      <c r="C169" s="134" t="s">
        <v>8539</v>
      </c>
      <c r="D169" s="134" t="s">
        <v>7011</v>
      </c>
      <c r="E169" s="139">
        <v>1.27</v>
      </c>
      <c r="F169" s="134" t="s">
        <v>7010</v>
      </c>
      <c r="G169" s="134" t="s">
        <v>3007</v>
      </c>
      <c r="H169" s="123">
        <v>3847</v>
      </c>
    </row>
    <row r="170" spans="1:8" x14ac:dyDescent="0.25">
      <c r="A170" s="134" t="s">
        <v>8493</v>
      </c>
      <c r="B170" s="134" t="s">
        <v>8538</v>
      </c>
      <c r="C170" s="134" t="s">
        <v>8537</v>
      </c>
      <c r="D170" s="134" t="s">
        <v>8536</v>
      </c>
      <c r="E170" s="139">
        <v>16.760000000000002</v>
      </c>
      <c r="F170" s="134" t="s">
        <v>8535</v>
      </c>
      <c r="G170" s="134" t="s">
        <v>3007</v>
      </c>
      <c r="H170" s="123">
        <v>3848</v>
      </c>
    </row>
    <row r="171" spans="1:8" ht="31.5" x14ac:dyDescent="0.25">
      <c r="A171" s="134" t="s">
        <v>8493</v>
      </c>
      <c r="B171" s="134" t="s">
        <v>8534</v>
      </c>
      <c r="C171" s="134" t="s">
        <v>8533</v>
      </c>
      <c r="D171" s="134" t="s">
        <v>5405</v>
      </c>
      <c r="E171" s="139">
        <v>2.41</v>
      </c>
      <c r="F171" s="134" t="s">
        <v>5404</v>
      </c>
      <c r="G171" s="134" t="s">
        <v>3007</v>
      </c>
      <c r="H171" s="123">
        <v>3849</v>
      </c>
    </row>
    <row r="172" spans="1:8" x14ac:dyDescent="0.25">
      <c r="A172" s="134" t="s">
        <v>8493</v>
      </c>
      <c r="B172" s="134" t="s">
        <v>8532</v>
      </c>
      <c r="C172" s="134" t="s">
        <v>8531</v>
      </c>
      <c r="D172" s="134" t="s">
        <v>3301</v>
      </c>
      <c r="E172" s="139">
        <v>8.5</v>
      </c>
      <c r="F172" s="134" t="s">
        <v>3300</v>
      </c>
      <c r="G172" s="134" t="s">
        <v>3007</v>
      </c>
      <c r="H172" s="123">
        <v>3850</v>
      </c>
    </row>
    <row r="173" spans="1:8" ht="31.5" x14ac:dyDescent="0.25">
      <c r="A173" s="134" t="s">
        <v>8493</v>
      </c>
      <c r="B173" s="134" t="s">
        <v>8530</v>
      </c>
      <c r="C173" s="134" t="s">
        <v>8529</v>
      </c>
      <c r="D173" s="134" t="s">
        <v>8528</v>
      </c>
      <c r="E173" s="139">
        <v>5.37</v>
      </c>
      <c r="F173" s="134" t="s">
        <v>8527</v>
      </c>
      <c r="G173" s="134" t="s">
        <v>3007</v>
      </c>
      <c r="H173" s="123">
        <v>3851</v>
      </c>
    </row>
    <row r="174" spans="1:8" x14ac:dyDescent="0.25">
      <c r="A174" s="134" t="s">
        <v>8493</v>
      </c>
      <c r="B174" s="134" t="s">
        <v>8526</v>
      </c>
      <c r="C174" s="134" t="s">
        <v>8525</v>
      </c>
      <c r="D174" s="134" t="s">
        <v>3583</v>
      </c>
      <c r="E174" s="139">
        <v>8.4600000000000009</v>
      </c>
      <c r="F174" s="134" t="s">
        <v>3582</v>
      </c>
      <c r="G174" s="134" t="s">
        <v>3007</v>
      </c>
      <c r="H174" s="123" t="s">
        <v>8524</v>
      </c>
    </row>
    <row r="175" spans="1:8" x14ac:dyDescent="0.25">
      <c r="A175" s="134" t="s">
        <v>8493</v>
      </c>
      <c r="B175" s="134" t="s">
        <v>8523</v>
      </c>
      <c r="C175" s="134" t="s">
        <v>8522</v>
      </c>
      <c r="D175" s="134" t="s">
        <v>7425</v>
      </c>
      <c r="E175" s="139">
        <v>17.850000000000001</v>
      </c>
      <c r="F175" s="134" t="s">
        <v>7424</v>
      </c>
      <c r="G175" s="134" t="s">
        <v>3007</v>
      </c>
      <c r="H175" s="123">
        <v>3852</v>
      </c>
    </row>
    <row r="176" spans="1:8" x14ac:dyDescent="0.25">
      <c r="A176" s="134" t="s">
        <v>8493</v>
      </c>
      <c r="B176" s="134" t="s">
        <v>8521</v>
      </c>
      <c r="C176" s="134" t="s">
        <v>8520</v>
      </c>
      <c r="D176" s="134" t="s">
        <v>4342</v>
      </c>
      <c r="E176" s="139">
        <v>2.44</v>
      </c>
      <c r="F176" s="134" t="s">
        <v>4341</v>
      </c>
      <c r="G176" s="134" t="s">
        <v>3007</v>
      </c>
      <c r="H176" s="123">
        <v>3853</v>
      </c>
    </row>
    <row r="177" spans="1:8" x14ac:dyDescent="0.25">
      <c r="A177" s="134" t="s">
        <v>8493</v>
      </c>
      <c r="B177" s="134" t="s">
        <v>8519</v>
      </c>
      <c r="C177" s="134" t="s">
        <v>8518</v>
      </c>
      <c r="D177" s="134" t="s">
        <v>6683</v>
      </c>
      <c r="E177" s="139">
        <v>4.12</v>
      </c>
      <c r="F177" s="134" t="s">
        <v>6682</v>
      </c>
      <c r="G177" s="134" t="s">
        <v>3007</v>
      </c>
      <c r="H177" s="123">
        <v>3854</v>
      </c>
    </row>
    <row r="178" spans="1:8" x14ac:dyDescent="0.25">
      <c r="A178" s="134" t="s">
        <v>8493</v>
      </c>
      <c r="B178" s="134" t="s">
        <v>8517</v>
      </c>
      <c r="C178" s="134" t="s">
        <v>8516</v>
      </c>
      <c r="D178" s="134" t="s">
        <v>5431</v>
      </c>
      <c r="E178" s="139">
        <v>14.9</v>
      </c>
      <c r="F178" s="134" t="s">
        <v>5430</v>
      </c>
      <c r="G178" s="134" t="s">
        <v>3007</v>
      </c>
      <c r="H178" s="123">
        <v>3855</v>
      </c>
    </row>
    <row r="179" spans="1:8" x14ac:dyDescent="0.25">
      <c r="A179" s="134" t="s">
        <v>8493</v>
      </c>
      <c r="B179" s="134" t="s">
        <v>8515</v>
      </c>
      <c r="C179" s="134" t="s">
        <v>8514</v>
      </c>
      <c r="D179" s="134" t="s">
        <v>8513</v>
      </c>
      <c r="E179" s="139">
        <v>22.13</v>
      </c>
      <c r="F179" s="134" t="s">
        <v>8512</v>
      </c>
      <c r="G179" s="134" t="s">
        <v>3007</v>
      </c>
      <c r="H179" s="123">
        <v>3856</v>
      </c>
    </row>
    <row r="180" spans="1:8" ht="31.5" x14ac:dyDescent="0.25">
      <c r="A180" s="134" t="s">
        <v>8493</v>
      </c>
      <c r="B180" s="134" t="s">
        <v>8511</v>
      </c>
      <c r="C180" s="134" t="s">
        <v>8510</v>
      </c>
      <c r="D180" s="134" t="s">
        <v>4661</v>
      </c>
      <c r="E180" s="139">
        <v>4.49</v>
      </c>
      <c r="F180" s="134" t="s">
        <v>4660</v>
      </c>
      <c r="G180" s="134" t="s">
        <v>3007</v>
      </c>
      <c r="H180" s="123">
        <v>3857</v>
      </c>
    </row>
    <row r="181" spans="1:8" ht="31.5" x14ac:dyDescent="0.25">
      <c r="A181" s="134" t="s">
        <v>8493</v>
      </c>
      <c r="B181" s="134" t="s">
        <v>8509</v>
      </c>
      <c r="C181" s="134" t="s">
        <v>8508</v>
      </c>
      <c r="D181" s="134" t="s">
        <v>6911</v>
      </c>
      <c r="E181" s="139">
        <v>3.95</v>
      </c>
      <c r="F181" s="134" t="s">
        <v>6910</v>
      </c>
      <c r="G181" s="134" t="s">
        <v>3007</v>
      </c>
      <c r="H181" s="123">
        <v>3858</v>
      </c>
    </row>
    <row r="182" spans="1:8" x14ac:dyDescent="0.25">
      <c r="A182" s="134" t="s">
        <v>8493</v>
      </c>
      <c r="B182" s="134" t="s">
        <v>8507</v>
      </c>
      <c r="C182" s="134" t="s">
        <v>8506</v>
      </c>
      <c r="D182" s="134" t="s">
        <v>3583</v>
      </c>
      <c r="E182" s="139">
        <v>8.4600000000000009</v>
      </c>
      <c r="F182" s="134" t="s">
        <v>3582</v>
      </c>
      <c r="G182" s="134" t="s">
        <v>3007</v>
      </c>
      <c r="H182" s="123" t="s">
        <v>8505</v>
      </c>
    </row>
    <row r="183" spans="1:8" x14ac:dyDescent="0.25">
      <c r="A183" s="134" t="s">
        <v>8493</v>
      </c>
      <c r="B183" s="134" t="s">
        <v>8504</v>
      </c>
      <c r="C183" s="134" t="s">
        <v>8503</v>
      </c>
      <c r="D183" s="134" t="s">
        <v>4610</v>
      </c>
      <c r="E183" s="139">
        <v>13.88</v>
      </c>
      <c r="F183" s="134" t="s">
        <v>4609</v>
      </c>
      <c r="G183" s="134" t="s">
        <v>3007</v>
      </c>
      <c r="H183" s="123">
        <v>3859</v>
      </c>
    </row>
    <row r="184" spans="1:8" x14ac:dyDescent="0.25">
      <c r="A184" s="134" t="s">
        <v>8493</v>
      </c>
      <c r="B184" s="134" t="s">
        <v>8502</v>
      </c>
      <c r="C184" s="134" t="s">
        <v>8501</v>
      </c>
      <c r="D184" s="134" t="s">
        <v>4921</v>
      </c>
      <c r="E184" s="139">
        <v>17.25</v>
      </c>
      <c r="F184" s="134" t="s">
        <v>4920</v>
      </c>
      <c r="G184" s="134" t="s">
        <v>3007</v>
      </c>
      <c r="H184" s="123">
        <v>3860</v>
      </c>
    </row>
    <row r="185" spans="1:8" x14ac:dyDescent="0.25">
      <c r="A185" s="134" t="s">
        <v>8493</v>
      </c>
      <c r="B185" s="134" t="s">
        <v>8500</v>
      </c>
      <c r="C185" s="134" t="s">
        <v>8499</v>
      </c>
      <c r="D185" s="134" t="s">
        <v>8498</v>
      </c>
      <c r="E185" s="139">
        <v>7.66</v>
      </c>
      <c r="F185" s="134" t="s">
        <v>3441</v>
      </c>
      <c r="G185" s="134" t="s">
        <v>3007</v>
      </c>
      <c r="H185" s="123">
        <v>3861</v>
      </c>
    </row>
    <row r="186" spans="1:8" x14ac:dyDescent="0.25">
      <c r="A186" s="134" t="s">
        <v>8493</v>
      </c>
      <c r="B186" s="134" t="s">
        <v>8497</v>
      </c>
      <c r="C186" s="134" t="s">
        <v>8496</v>
      </c>
      <c r="D186" s="134" t="s">
        <v>5170</v>
      </c>
      <c r="E186" s="139">
        <v>4.04</v>
      </c>
      <c r="F186" s="134" t="s">
        <v>5169</v>
      </c>
      <c r="G186" s="134" t="s">
        <v>3007</v>
      </c>
      <c r="H186" s="123">
        <v>3862</v>
      </c>
    </row>
    <row r="187" spans="1:8" x14ac:dyDescent="0.25">
      <c r="A187" s="134" t="s">
        <v>8493</v>
      </c>
      <c r="B187" s="134" t="s">
        <v>8495</v>
      </c>
      <c r="C187" s="134" t="s">
        <v>8494</v>
      </c>
      <c r="D187" s="134" t="s">
        <v>3442</v>
      </c>
      <c r="E187" s="139">
        <v>1.8</v>
      </c>
      <c r="F187" s="134" t="s">
        <v>3441</v>
      </c>
      <c r="G187" s="134" t="s">
        <v>3007</v>
      </c>
      <c r="H187" s="123">
        <v>3863</v>
      </c>
    </row>
    <row r="188" spans="1:8" x14ac:dyDescent="0.25">
      <c r="A188" s="134" t="s">
        <v>8493</v>
      </c>
      <c r="B188" s="134" t="s">
        <v>7721</v>
      </c>
      <c r="C188" s="134" t="s">
        <v>8492</v>
      </c>
      <c r="D188" s="134" t="s">
        <v>5056</v>
      </c>
      <c r="E188" s="139">
        <v>0.37</v>
      </c>
      <c r="F188" s="134" t="s">
        <v>5055</v>
      </c>
      <c r="G188" s="134" t="s">
        <v>3007</v>
      </c>
      <c r="H188" s="123">
        <v>3864</v>
      </c>
    </row>
    <row r="189" spans="1:8" s="200" customFormat="1" x14ac:dyDescent="0.25">
      <c r="A189" s="198"/>
      <c r="B189" s="198"/>
      <c r="C189" s="198" t="s">
        <v>5691</v>
      </c>
      <c r="D189" s="198" t="s">
        <v>14408</v>
      </c>
      <c r="E189" s="199">
        <f>SUM(E3:E188)</f>
        <v>1402.7500000000005</v>
      </c>
      <c r="F189" s="198"/>
      <c r="G189" s="198"/>
      <c r="H189" s="172"/>
    </row>
    <row r="190" spans="1:8" s="176" customFormat="1" x14ac:dyDescent="0.25">
      <c r="A190" s="177"/>
      <c r="B190" s="177"/>
      <c r="C190" s="177"/>
      <c r="D190" s="177"/>
      <c r="E190" s="181"/>
      <c r="F190" s="177"/>
      <c r="G190" s="177"/>
      <c r="H190" s="172"/>
    </row>
    <row r="191" spans="1:8" x14ac:dyDescent="0.25">
      <c r="A191" s="134" t="s">
        <v>8414</v>
      </c>
      <c r="B191" s="134" t="s">
        <v>8491</v>
      </c>
      <c r="C191" s="134" t="s">
        <v>8490</v>
      </c>
      <c r="D191" s="134" t="s">
        <v>8489</v>
      </c>
      <c r="E191" s="139">
        <v>4.05</v>
      </c>
      <c r="F191" s="134" t="s">
        <v>8488</v>
      </c>
      <c r="G191" s="134" t="s">
        <v>3007</v>
      </c>
      <c r="H191" s="123">
        <v>3904</v>
      </c>
    </row>
    <row r="192" spans="1:8" x14ac:dyDescent="0.25">
      <c r="A192" s="134" t="s">
        <v>8414</v>
      </c>
      <c r="B192" s="134" t="s">
        <v>8487</v>
      </c>
      <c r="C192" s="134" t="s">
        <v>8486</v>
      </c>
      <c r="D192" s="134" t="s">
        <v>7298</v>
      </c>
      <c r="E192" s="139">
        <v>13.91</v>
      </c>
      <c r="F192" s="134" t="s">
        <v>7297</v>
      </c>
      <c r="G192" s="134" t="s">
        <v>3007</v>
      </c>
      <c r="H192" s="123">
        <v>3905</v>
      </c>
    </row>
    <row r="193" spans="1:8" ht="31.5" x14ac:dyDescent="0.25">
      <c r="A193" s="134" t="s">
        <v>8414</v>
      </c>
      <c r="B193" s="134" t="s">
        <v>8485</v>
      </c>
      <c r="C193" s="134" t="s">
        <v>8484</v>
      </c>
      <c r="D193" s="134" t="s">
        <v>4136</v>
      </c>
      <c r="E193" s="139">
        <v>8.2200000000000006</v>
      </c>
      <c r="F193" s="134" t="s">
        <v>4135</v>
      </c>
      <c r="G193" s="134" t="s">
        <v>3007</v>
      </c>
      <c r="H193" s="123">
        <v>3906</v>
      </c>
    </row>
    <row r="194" spans="1:8" ht="31.5" x14ac:dyDescent="0.25">
      <c r="A194" s="134" t="s">
        <v>8414</v>
      </c>
      <c r="B194" s="134" t="s">
        <v>8483</v>
      </c>
      <c r="C194" s="134" t="s">
        <v>8482</v>
      </c>
      <c r="D194" s="134" t="s">
        <v>4139</v>
      </c>
      <c r="E194" s="139">
        <v>8.33</v>
      </c>
      <c r="F194" s="134" t="s">
        <v>4135</v>
      </c>
      <c r="G194" s="134" t="s">
        <v>3007</v>
      </c>
      <c r="H194" s="123">
        <v>3907</v>
      </c>
    </row>
    <row r="195" spans="1:8" x14ac:dyDescent="0.25">
      <c r="A195" s="134" t="s">
        <v>8414</v>
      </c>
      <c r="B195" s="134" t="s">
        <v>8481</v>
      </c>
      <c r="C195" s="134" t="s">
        <v>8480</v>
      </c>
      <c r="D195" s="134" t="s">
        <v>4488</v>
      </c>
      <c r="E195" s="139">
        <v>3.25</v>
      </c>
      <c r="F195" s="134" t="s">
        <v>4487</v>
      </c>
      <c r="G195" s="134" t="s">
        <v>3007</v>
      </c>
      <c r="H195" s="123">
        <v>3908</v>
      </c>
    </row>
    <row r="196" spans="1:8" x14ac:dyDescent="0.25">
      <c r="A196" s="134" t="s">
        <v>8414</v>
      </c>
      <c r="B196" s="134" t="s">
        <v>8479</v>
      </c>
      <c r="C196" s="134" t="s">
        <v>8478</v>
      </c>
      <c r="D196" s="134" t="s">
        <v>7657</v>
      </c>
      <c r="E196" s="139">
        <v>4.2</v>
      </c>
      <c r="F196" s="134" t="s">
        <v>7656</v>
      </c>
      <c r="G196" s="134" t="s">
        <v>3007</v>
      </c>
      <c r="H196" s="123">
        <v>3909</v>
      </c>
    </row>
    <row r="197" spans="1:8" x14ac:dyDescent="0.25">
      <c r="A197" s="134" t="s">
        <v>8414</v>
      </c>
      <c r="B197" s="134" t="s">
        <v>8477</v>
      </c>
      <c r="C197" s="134" t="s">
        <v>8476</v>
      </c>
      <c r="D197" s="134" t="s">
        <v>6986</v>
      </c>
      <c r="E197" s="139">
        <v>3.33</v>
      </c>
      <c r="F197" s="134" t="s">
        <v>6985</v>
      </c>
      <c r="G197" s="134" t="s">
        <v>3007</v>
      </c>
      <c r="H197" s="123">
        <v>3910</v>
      </c>
    </row>
    <row r="198" spans="1:8" x14ac:dyDescent="0.25">
      <c r="A198" s="134" t="s">
        <v>8414</v>
      </c>
      <c r="B198" s="134" t="s">
        <v>8475</v>
      </c>
      <c r="C198" s="134" t="s">
        <v>8474</v>
      </c>
      <c r="D198" s="134" t="s">
        <v>5518</v>
      </c>
      <c r="E198" s="139">
        <v>1.9</v>
      </c>
      <c r="F198" s="134" t="s">
        <v>5517</v>
      </c>
      <c r="G198" s="134" t="s">
        <v>3007</v>
      </c>
      <c r="H198" s="123">
        <v>3911</v>
      </c>
    </row>
    <row r="199" spans="1:8" x14ac:dyDescent="0.25">
      <c r="A199" s="134" t="s">
        <v>8414</v>
      </c>
      <c r="B199" s="134" t="s">
        <v>8473</v>
      </c>
      <c r="C199" s="134" t="s">
        <v>8472</v>
      </c>
      <c r="D199" s="134" t="s">
        <v>5584</v>
      </c>
      <c r="E199" s="139">
        <v>2.76</v>
      </c>
      <c r="F199" s="134" t="s">
        <v>5583</v>
      </c>
      <c r="G199" s="134" t="s">
        <v>3007</v>
      </c>
      <c r="H199" s="123">
        <v>3912</v>
      </c>
    </row>
    <row r="200" spans="1:8" x14ac:dyDescent="0.25">
      <c r="A200" s="134" t="s">
        <v>8414</v>
      </c>
      <c r="B200" s="134" t="s">
        <v>8471</v>
      </c>
      <c r="C200" s="134" t="s">
        <v>8470</v>
      </c>
      <c r="D200" s="134" t="s">
        <v>8469</v>
      </c>
      <c r="E200" s="139">
        <v>1.68</v>
      </c>
      <c r="F200" s="134" t="s">
        <v>8468</v>
      </c>
      <c r="G200" s="134" t="s">
        <v>3007</v>
      </c>
      <c r="H200" s="123">
        <v>3913</v>
      </c>
    </row>
    <row r="201" spans="1:8" x14ac:dyDescent="0.25">
      <c r="A201" s="134" t="s">
        <v>8414</v>
      </c>
      <c r="B201" s="134" t="s">
        <v>8467</v>
      </c>
      <c r="C201" s="134" t="s">
        <v>8466</v>
      </c>
      <c r="D201" s="134" t="s">
        <v>5342</v>
      </c>
      <c r="E201" s="139">
        <v>7.62</v>
      </c>
      <c r="F201" s="134" t="s">
        <v>5341</v>
      </c>
      <c r="G201" s="134" t="s">
        <v>3007</v>
      </c>
      <c r="H201" s="123">
        <v>3914</v>
      </c>
    </row>
    <row r="202" spans="1:8" x14ac:dyDescent="0.25">
      <c r="A202" s="134" t="s">
        <v>8414</v>
      </c>
      <c r="B202" s="134" t="s">
        <v>8465</v>
      </c>
      <c r="C202" s="134" t="s">
        <v>8464</v>
      </c>
      <c r="D202" s="134" t="s">
        <v>8463</v>
      </c>
      <c r="E202" s="139">
        <v>4.21</v>
      </c>
      <c r="F202" s="134" t="s">
        <v>8462</v>
      </c>
      <c r="G202" s="134" t="s">
        <v>3007</v>
      </c>
      <c r="H202" s="123">
        <v>3915</v>
      </c>
    </row>
    <row r="203" spans="1:8" ht="31.5" x14ac:dyDescent="0.25">
      <c r="A203" s="134" t="s">
        <v>8414</v>
      </c>
      <c r="B203" s="134" t="s">
        <v>8461</v>
      </c>
      <c r="C203" s="134" t="s">
        <v>8460</v>
      </c>
      <c r="D203" s="134" t="s">
        <v>5087</v>
      </c>
      <c r="E203" s="139">
        <v>2.23</v>
      </c>
      <c r="F203" s="134" t="s">
        <v>5086</v>
      </c>
      <c r="G203" s="134" t="s">
        <v>3007</v>
      </c>
      <c r="H203" s="123">
        <v>3916</v>
      </c>
    </row>
    <row r="204" spans="1:8" x14ac:dyDescent="0.25">
      <c r="A204" s="134" t="s">
        <v>8414</v>
      </c>
      <c r="B204" s="134" t="s">
        <v>8459</v>
      </c>
      <c r="C204" s="134" t="s">
        <v>8458</v>
      </c>
      <c r="D204" s="134" t="s">
        <v>8457</v>
      </c>
      <c r="E204" s="139">
        <v>0.71</v>
      </c>
      <c r="F204" s="134" t="s">
        <v>8456</v>
      </c>
      <c r="G204" s="134" t="s">
        <v>3007</v>
      </c>
      <c r="H204" s="123">
        <v>3917</v>
      </c>
    </row>
    <row r="205" spans="1:8" ht="31.5" x14ac:dyDescent="0.25">
      <c r="A205" s="134" t="s">
        <v>8414</v>
      </c>
      <c r="B205" s="134" t="s">
        <v>8455</v>
      </c>
      <c r="C205" s="134" t="s">
        <v>8454</v>
      </c>
      <c r="D205" s="134" t="s">
        <v>5218</v>
      </c>
      <c r="E205" s="139">
        <v>8.3800000000000008</v>
      </c>
      <c r="F205" s="134" t="s">
        <v>5217</v>
      </c>
      <c r="G205" s="134" t="s">
        <v>3007</v>
      </c>
      <c r="H205" s="123">
        <v>3918</v>
      </c>
    </row>
    <row r="206" spans="1:8" x14ac:dyDescent="0.25">
      <c r="A206" s="134" t="s">
        <v>8414</v>
      </c>
      <c r="B206" s="134" t="s">
        <v>8453</v>
      </c>
      <c r="C206" s="134" t="s">
        <v>8452</v>
      </c>
      <c r="D206" s="134" t="s">
        <v>5277</v>
      </c>
      <c r="E206" s="139">
        <v>0.09</v>
      </c>
      <c r="F206" s="134" t="s">
        <v>5276</v>
      </c>
      <c r="G206" s="134" t="s">
        <v>3007</v>
      </c>
      <c r="H206" s="123">
        <v>3919</v>
      </c>
    </row>
    <row r="207" spans="1:8" ht="31.5" x14ac:dyDescent="0.25">
      <c r="A207" s="134" t="s">
        <v>8414</v>
      </c>
      <c r="B207" s="134" t="s">
        <v>8451</v>
      </c>
      <c r="C207" s="134" t="s">
        <v>8450</v>
      </c>
      <c r="D207" s="134" t="s">
        <v>5273</v>
      </c>
      <c r="E207" s="139">
        <v>4.08</v>
      </c>
      <c r="F207" s="134" t="s">
        <v>5272</v>
      </c>
      <c r="G207" s="134" t="s">
        <v>3007</v>
      </c>
      <c r="H207" s="123" t="s">
        <v>8449</v>
      </c>
    </row>
    <row r="208" spans="1:8" x14ac:dyDescent="0.25">
      <c r="A208" s="134" t="s">
        <v>8414</v>
      </c>
      <c r="B208" s="134" t="s">
        <v>8448</v>
      </c>
      <c r="C208" s="134" t="s">
        <v>8447</v>
      </c>
      <c r="D208" s="134" t="s">
        <v>8446</v>
      </c>
      <c r="E208" s="139">
        <v>11.66</v>
      </c>
      <c r="F208" s="134" t="s">
        <v>8445</v>
      </c>
      <c r="G208" s="134" t="s">
        <v>3007</v>
      </c>
      <c r="H208" s="123">
        <v>3920</v>
      </c>
    </row>
    <row r="209" spans="1:8" x14ac:dyDescent="0.25">
      <c r="A209" s="134" t="s">
        <v>8414</v>
      </c>
      <c r="B209" s="134" t="s">
        <v>8444</v>
      </c>
      <c r="C209" s="134" t="s">
        <v>8443</v>
      </c>
      <c r="D209" s="134" t="s">
        <v>8442</v>
      </c>
      <c r="E209" s="139">
        <v>3.94</v>
      </c>
      <c r="F209" s="134" t="s">
        <v>8441</v>
      </c>
      <c r="G209" s="134" t="s">
        <v>3007</v>
      </c>
      <c r="H209" s="123">
        <v>3921</v>
      </c>
    </row>
    <row r="210" spans="1:8" x14ac:dyDescent="0.25">
      <c r="A210" s="134" t="s">
        <v>8414</v>
      </c>
      <c r="B210" s="134" t="s">
        <v>6730</v>
      </c>
      <c r="C210" s="134" t="s">
        <v>8440</v>
      </c>
      <c r="D210" s="134" t="s">
        <v>8439</v>
      </c>
      <c r="E210" s="139">
        <v>14.31</v>
      </c>
      <c r="F210" s="134" t="s">
        <v>8438</v>
      </c>
      <c r="G210" s="134" t="s">
        <v>3007</v>
      </c>
      <c r="H210" s="123">
        <v>3922</v>
      </c>
    </row>
    <row r="211" spans="1:8" ht="31.5" x14ac:dyDescent="0.25">
      <c r="A211" s="134" t="s">
        <v>8414</v>
      </c>
      <c r="B211" s="134" t="s">
        <v>8437</v>
      </c>
      <c r="C211" s="134" t="s">
        <v>8436</v>
      </c>
      <c r="D211" s="134" t="s">
        <v>4508</v>
      </c>
      <c r="E211" s="139">
        <v>6.06</v>
      </c>
      <c r="F211" s="134" t="s">
        <v>4507</v>
      </c>
      <c r="G211" s="134" t="s">
        <v>3007</v>
      </c>
      <c r="H211" s="123">
        <v>3923</v>
      </c>
    </row>
    <row r="212" spans="1:8" x14ac:dyDescent="0.25">
      <c r="A212" s="134" t="s">
        <v>8414</v>
      </c>
      <c r="B212" s="134" t="s">
        <v>8435</v>
      </c>
      <c r="C212" s="134" t="s">
        <v>8434</v>
      </c>
      <c r="D212" s="134" t="s">
        <v>3559</v>
      </c>
      <c r="E212" s="139">
        <v>1.76</v>
      </c>
      <c r="F212" s="134" t="s">
        <v>3558</v>
      </c>
      <c r="G212" s="134" t="s">
        <v>3007</v>
      </c>
      <c r="H212" s="123">
        <v>3924</v>
      </c>
    </row>
    <row r="213" spans="1:8" ht="31.5" x14ac:dyDescent="0.25">
      <c r="A213" s="134" t="s">
        <v>8414</v>
      </c>
      <c r="B213" s="134" t="s">
        <v>8433</v>
      </c>
      <c r="C213" s="134" t="s">
        <v>8432</v>
      </c>
      <c r="D213" s="134" t="s">
        <v>8431</v>
      </c>
      <c r="E213" s="139">
        <v>5.14</v>
      </c>
      <c r="F213" s="134" t="s">
        <v>8430</v>
      </c>
      <c r="G213" s="134" t="s">
        <v>3007</v>
      </c>
      <c r="H213" s="123">
        <v>3925</v>
      </c>
    </row>
    <row r="214" spans="1:8" x14ac:dyDescent="0.25">
      <c r="A214" s="134" t="s">
        <v>8414</v>
      </c>
      <c r="B214" s="134" t="s">
        <v>8429</v>
      </c>
      <c r="C214" s="134" t="s">
        <v>8428</v>
      </c>
      <c r="D214" s="134" t="s">
        <v>6996</v>
      </c>
      <c r="E214" s="139">
        <v>8.9499999999999993</v>
      </c>
      <c r="F214" s="134" t="s">
        <v>6995</v>
      </c>
      <c r="G214" s="134" t="s">
        <v>3007</v>
      </c>
      <c r="H214" s="123">
        <v>3926</v>
      </c>
    </row>
    <row r="215" spans="1:8" x14ac:dyDescent="0.25">
      <c r="A215" s="134" t="s">
        <v>8414</v>
      </c>
      <c r="B215" s="134" t="s">
        <v>8427</v>
      </c>
      <c r="C215" s="134" t="s">
        <v>8426</v>
      </c>
      <c r="D215" s="134" t="s">
        <v>3820</v>
      </c>
      <c r="E215" s="139">
        <v>5.36</v>
      </c>
      <c r="F215" s="134" t="s">
        <v>3819</v>
      </c>
      <c r="G215" s="134" t="s">
        <v>3007</v>
      </c>
      <c r="H215" s="123">
        <v>3927</v>
      </c>
    </row>
    <row r="216" spans="1:8" x14ac:dyDescent="0.25">
      <c r="A216" s="134" t="s">
        <v>8414</v>
      </c>
      <c r="B216" s="134" t="s">
        <v>4554</v>
      </c>
      <c r="C216" s="134" t="s">
        <v>8425</v>
      </c>
      <c r="D216" s="134" t="s">
        <v>4036</v>
      </c>
      <c r="E216" s="139">
        <v>4.04</v>
      </c>
      <c r="F216" s="134" t="s">
        <v>4035</v>
      </c>
      <c r="G216" s="134" t="s">
        <v>3007</v>
      </c>
      <c r="H216" s="123">
        <v>3928</v>
      </c>
    </row>
    <row r="217" spans="1:8" x14ac:dyDescent="0.25">
      <c r="A217" s="134" t="s">
        <v>8414</v>
      </c>
      <c r="B217" s="134" t="s">
        <v>8424</v>
      </c>
      <c r="C217" s="134" t="s">
        <v>8423</v>
      </c>
      <c r="D217" s="134" t="s">
        <v>3098</v>
      </c>
      <c r="E217" s="139">
        <v>13.48</v>
      </c>
      <c r="F217" s="134" t="s">
        <v>3097</v>
      </c>
      <c r="G217" s="134" t="s">
        <v>3007</v>
      </c>
      <c r="H217" s="123">
        <v>3929</v>
      </c>
    </row>
    <row r="218" spans="1:8" ht="31.5" x14ac:dyDescent="0.25">
      <c r="A218" s="134" t="s">
        <v>8414</v>
      </c>
      <c r="B218" s="134" t="s">
        <v>8422</v>
      </c>
      <c r="C218" s="134" t="s">
        <v>8421</v>
      </c>
      <c r="D218" s="134" t="s">
        <v>8420</v>
      </c>
      <c r="E218" s="139">
        <v>30.6</v>
      </c>
      <c r="F218" s="134" t="s">
        <v>8419</v>
      </c>
      <c r="G218" s="134" t="s">
        <v>3007</v>
      </c>
      <c r="H218" s="123">
        <v>3930</v>
      </c>
    </row>
    <row r="219" spans="1:8" x14ac:dyDescent="0.25">
      <c r="A219" s="134" t="s">
        <v>8414</v>
      </c>
      <c r="B219" s="134" t="s">
        <v>8418</v>
      </c>
      <c r="C219" s="134" t="s">
        <v>8417</v>
      </c>
      <c r="D219" s="134" t="s">
        <v>3438</v>
      </c>
      <c r="E219" s="139">
        <v>3.44</v>
      </c>
      <c r="F219" s="134" t="s">
        <v>3437</v>
      </c>
      <c r="G219" s="134" t="s">
        <v>3007</v>
      </c>
      <c r="H219" s="123">
        <v>3931</v>
      </c>
    </row>
    <row r="220" spans="1:8" x14ac:dyDescent="0.25">
      <c r="A220" s="134" t="s">
        <v>8414</v>
      </c>
      <c r="B220" s="134" t="s">
        <v>8416</v>
      </c>
      <c r="C220" s="134" t="s">
        <v>8415</v>
      </c>
      <c r="D220" s="134" t="s">
        <v>3660</v>
      </c>
      <c r="E220" s="139">
        <v>4.54</v>
      </c>
      <c r="F220" s="134" t="s">
        <v>3659</v>
      </c>
      <c r="G220" s="134" t="s">
        <v>3007</v>
      </c>
      <c r="H220" s="123">
        <v>3932</v>
      </c>
    </row>
    <row r="221" spans="1:8" x14ac:dyDescent="0.25">
      <c r="A221" s="134" t="s">
        <v>8414</v>
      </c>
      <c r="B221" s="134" t="s">
        <v>8413</v>
      </c>
      <c r="C221" s="134" t="s">
        <v>8412</v>
      </c>
      <c r="D221" s="134" t="s">
        <v>5020</v>
      </c>
      <c r="E221" s="139">
        <v>3.36</v>
      </c>
      <c r="F221" s="134" t="s">
        <v>5019</v>
      </c>
      <c r="G221" s="134" t="s">
        <v>3007</v>
      </c>
      <c r="H221" s="123">
        <v>3933</v>
      </c>
    </row>
    <row r="222" spans="1:8" x14ac:dyDescent="0.25">
      <c r="A222" s="134" t="s">
        <v>8349</v>
      </c>
      <c r="B222" s="134" t="s">
        <v>8411</v>
      </c>
      <c r="C222" s="134" t="s">
        <v>8410</v>
      </c>
      <c r="D222" s="134" t="s">
        <v>8409</v>
      </c>
      <c r="E222" s="139">
        <v>1.56</v>
      </c>
      <c r="F222" s="134" t="s">
        <v>8408</v>
      </c>
      <c r="G222" s="134" t="s">
        <v>3007</v>
      </c>
      <c r="H222" s="123">
        <v>3934</v>
      </c>
    </row>
    <row r="223" spans="1:8" ht="31.5" x14ac:dyDescent="0.25">
      <c r="A223" s="134" t="s">
        <v>8349</v>
      </c>
      <c r="B223" s="134" t="s">
        <v>8407</v>
      </c>
      <c r="C223" s="134" t="s">
        <v>8406</v>
      </c>
      <c r="D223" s="134" t="s">
        <v>5259</v>
      </c>
      <c r="E223" s="139">
        <v>3.34</v>
      </c>
      <c r="F223" s="134" t="s">
        <v>5258</v>
      </c>
      <c r="G223" s="134" t="s">
        <v>3007</v>
      </c>
      <c r="H223" s="123">
        <v>3935</v>
      </c>
    </row>
    <row r="224" spans="1:8" x14ac:dyDescent="0.25">
      <c r="A224" s="134" t="s">
        <v>8349</v>
      </c>
      <c r="B224" s="134" t="s">
        <v>8405</v>
      </c>
      <c r="C224" s="134" t="s">
        <v>8404</v>
      </c>
      <c r="D224" s="134" t="s">
        <v>8403</v>
      </c>
      <c r="E224" s="139">
        <v>9.27</v>
      </c>
      <c r="F224" s="134" t="s">
        <v>8402</v>
      </c>
      <c r="G224" s="134" t="s">
        <v>3007</v>
      </c>
      <c r="H224" s="123">
        <v>3936</v>
      </c>
    </row>
    <row r="225" spans="1:8" x14ac:dyDescent="0.25">
      <c r="A225" s="134" t="s">
        <v>8349</v>
      </c>
      <c r="B225" s="134" t="s">
        <v>8401</v>
      </c>
      <c r="C225" s="134" t="s">
        <v>8400</v>
      </c>
      <c r="D225" s="134" t="s">
        <v>8399</v>
      </c>
      <c r="E225" s="139">
        <v>7.16</v>
      </c>
      <c r="F225" s="134" t="s">
        <v>8398</v>
      </c>
      <c r="G225" s="134" t="s">
        <v>3007</v>
      </c>
      <c r="H225" s="123">
        <v>3937</v>
      </c>
    </row>
    <row r="226" spans="1:8" x14ac:dyDescent="0.25">
      <c r="A226" s="134" t="s">
        <v>8349</v>
      </c>
      <c r="B226" s="134" t="s">
        <v>8397</v>
      </c>
      <c r="C226" s="134" t="s">
        <v>8396</v>
      </c>
      <c r="D226" s="134" t="s">
        <v>8395</v>
      </c>
      <c r="E226" s="139">
        <v>7.61</v>
      </c>
      <c r="F226" s="134" t="s">
        <v>8394</v>
      </c>
      <c r="G226" s="134" t="s">
        <v>3007</v>
      </c>
      <c r="H226" s="123">
        <v>3938</v>
      </c>
    </row>
    <row r="227" spans="1:8" x14ac:dyDescent="0.25">
      <c r="A227" s="134" t="s">
        <v>8349</v>
      </c>
      <c r="B227" s="134" t="s">
        <v>8393</v>
      </c>
      <c r="C227" s="134" t="s">
        <v>8392</v>
      </c>
      <c r="D227" s="134" t="s">
        <v>5160</v>
      </c>
      <c r="E227" s="139">
        <v>1.68</v>
      </c>
      <c r="F227" s="134" t="s">
        <v>5159</v>
      </c>
      <c r="G227" s="134" t="s">
        <v>3007</v>
      </c>
      <c r="H227" s="123">
        <v>3939</v>
      </c>
    </row>
    <row r="228" spans="1:8" x14ac:dyDescent="0.25">
      <c r="A228" s="134" t="s">
        <v>8349</v>
      </c>
      <c r="B228" s="134" t="s">
        <v>8391</v>
      </c>
      <c r="C228" s="134" t="s">
        <v>8390</v>
      </c>
      <c r="D228" s="134" t="s">
        <v>4783</v>
      </c>
      <c r="E228" s="139">
        <v>2.6</v>
      </c>
      <c r="F228" s="134" t="s">
        <v>4782</v>
      </c>
      <c r="G228" s="134" t="s">
        <v>3007</v>
      </c>
      <c r="H228" s="123">
        <v>3940</v>
      </c>
    </row>
    <row r="229" spans="1:8" x14ac:dyDescent="0.25">
      <c r="A229" s="134" t="s">
        <v>8349</v>
      </c>
      <c r="B229" s="134" t="s">
        <v>8389</v>
      </c>
      <c r="C229" s="134" t="s">
        <v>8388</v>
      </c>
      <c r="D229" s="134" t="s">
        <v>4933</v>
      </c>
      <c r="E229" s="139">
        <v>1.71</v>
      </c>
      <c r="F229" s="134" t="s">
        <v>4932</v>
      </c>
      <c r="G229" s="134" t="s">
        <v>3007</v>
      </c>
      <c r="H229" s="123">
        <v>3941</v>
      </c>
    </row>
    <row r="230" spans="1:8" x14ac:dyDescent="0.25">
      <c r="A230" s="134" t="s">
        <v>8349</v>
      </c>
      <c r="B230" s="134" t="s">
        <v>8387</v>
      </c>
      <c r="C230" s="134" t="s">
        <v>8386</v>
      </c>
      <c r="D230" s="134" t="s">
        <v>8385</v>
      </c>
      <c r="E230" s="139">
        <v>5.52</v>
      </c>
      <c r="F230" s="134" t="s">
        <v>8384</v>
      </c>
      <c r="G230" s="134" t="s">
        <v>3007</v>
      </c>
      <c r="H230" s="123">
        <v>3942</v>
      </c>
    </row>
    <row r="231" spans="1:8" x14ac:dyDescent="0.25">
      <c r="A231" s="134" t="s">
        <v>8349</v>
      </c>
      <c r="B231" s="134" t="s">
        <v>8383</v>
      </c>
      <c r="C231" s="134" t="s">
        <v>8382</v>
      </c>
      <c r="D231" s="134" t="s">
        <v>8381</v>
      </c>
      <c r="E231" s="139">
        <v>5.17</v>
      </c>
      <c r="F231" s="134" t="s">
        <v>8380</v>
      </c>
      <c r="G231" s="134" t="s">
        <v>3007</v>
      </c>
      <c r="H231" s="123">
        <v>3943</v>
      </c>
    </row>
    <row r="232" spans="1:8" x14ac:dyDescent="0.25">
      <c r="A232" s="134" t="s">
        <v>8349</v>
      </c>
      <c r="B232" s="134" t="s">
        <v>8379</v>
      </c>
      <c r="C232" s="134" t="s">
        <v>8378</v>
      </c>
      <c r="D232" s="134" t="s">
        <v>8377</v>
      </c>
      <c r="E232" s="139">
        <v>6.22</v>
      </c>
      <c r="F232" s="134" t="s">
        <v>8376</v>
      </c>
      <c r="G232" s="134" t="s">
        <v>3007</v>
      </c>
      <c r="H232" s="123">
        <v>3944</v>
      </c>
    </row>
    <row r="233" spans="1:8" x14ac:dyDescent="0.25">
      <c r="A233" s="134" t="s">
        <v>8349</v>
      </c>
      <c r="B233" s="134" t="s">
        <v>8375</v>
      </c>
      <c r="C233" s="134" t="s">
        <v>8374</v>
      </c>
      <c r="D233" s="134" t="s">
        <v>5329</v>
      </c>
      <c r="E233" s="139">
        <v>11.19</v>
      </c>
      <c r="F233" s="134" t="s">
        <v>5328</v>
      </c>
      <c r="G233" s="134" t="s">
        <v>3007</v>
      </c>
      <c r="H233" s="123">
        <v>3945</v>
      </c>
    </row>
    <row r="234" spans="1:8" x14ac:dyDescent="0.25">
      <c r="A234" s="134" t="s">
        <v>8349</v>
      </c>
      <c r="B234" s="134" t="s">
        <v>8373</v>
      </c>
      <c r="C234" s="134" t="s">
        <v>8372</v>
      </c>
      <c r="D234" s="134" t="s">
        <v>5413</v>
      </c>
      <c r="E234" s="139">
        <v>6.55</v>
      </c>
      <c r="F234" s="134" t="s">
        <v>5412</v>
      </c>
      <c r="G234" s="134" t="s">
        <v>3007</v>
      </c>
      <c r="H234" s="123">
        <v>3946</v>
      </c>
    </row>
    <row r="235" spans="1:8" x14ac:dyDescent="0.25">
      <c r="A235" s="134" t="s">
        <v>8349</v>
      </c>
      <c r="B235" s="134" t="s">
        <v>8371</v>
      </c>
      <c r="C235" s="134" t="s">
        <v>8370</v>
      </c>
      <c r="D235" s="134" t="s">
        <v>4787</v>
      </c>
      <c r="E235" s="139">
        <v>5.23</v>
      </c>
      <c r="F235" s="134" t="s">
        <v>4786</v>
      </c>
      <c r="G235" s="134" t="s">
        <v>3007</v>
      </c>
      <c r="H235" s="123">
        <v>3947</v>
      </c>
    </row>
    <row r="236" spans="1:8" x14ac:dyDescent="0.25">
      <c r="A236" s="134" t="s">
        <v>8349</v>
      </c>
      <c r="B236" s="134" t="s">
        <v>8369</v>
      </c>
      <c r="C236" s="134" t="s">
        <v>8368</v>
      </c>
      <c r="D236" s="134" t="s">
        <v>8367</v>
      </c>
      <c r="E236" s="139">
        <v>0.34</v>
      </c>
      <c r="F236" s="134" t="s">
        <v>8366</v>
      </c>
      <c r="G236" s="134" t="s">
        <v>3007</v>
      </c>
      <c r="H236" s="123">
        <v>3948</v>
      </c>
    </row>
    <row r="237" spans="1:8" x14ac:dyDescent="0.25">
      <c r="A237" s="134" t="s">
        <v>8349</v>
      </c>
      <c r="B237" s="134" t="s">
        <v>8365</v>
      </c>
      <c r="C237" s="134" t="s">
        <v>8364</v>
      </c>
      <c r="D237" s="134" t="s">
        <v>8363</v>
      </c>
      <c r="E237" s="139">
        <v>17.399999999999999</v>
      </c>
      <c r="F237" s="134" t="s">
        <v>8362</v>
      </c>
      <c r="G237" s="134" t="s">
        <v>3007</v>
      </c>
      <c r="H237" s="123">
        <v>3949</v>
      </c>
    </row>
    <row r="238" spans="1:8" ht="31.5" x14ac:dyDescent="0.25">
      <c r="A238" s="134" t="s">
        <v>8349</v>
      </c>
      <c r="B238" s="134" t="s">
        <v>8361</v>
      </c>
      <c r="C238" s="134" t="s">
        <v>8360</v>
      </c>
      <c r="D238" s="134" t="s">
        <v>3961</v>
      </c>
      <c r="E238" s="139">
        <v>13.4</v>
      </c>
      <c r="F238" s="134" t="s">
        <v>3960</v>
      </c>
      <c r="G238" s="134" t="s">
        <v>3007</v>
      </c>
      <c r="H238" s="123">
        <v>3950</v>
      </c>
    </row>
    <row r="239" spans="1:8" x14ac:dyDescent="0.25">
      <c r="A239" s="134" t="s">
        <v>8349</v>
      </c>
      <c r="B239" s="134" t="s">
        <v>8359</v>
      </c>
      <c r="C239" s="134" t="s">
        <v>8358</v>
      </c>
      <c r="D239" s="134" t="s">
        <v>5535</v>
      </c>
      <c r="E239" s="139">
        <v>4.3</v>
      </c>
      <c r="F239" s="134" t="s">
        <v>5534</v>
      </c>
      <c r="G239" s="134" t="s">
        <v>3007</v>
      </c>
      <c r="H239" s="123">
        <v>3952</v>
      </c>
    </row>
    <row r="240" spans="1:8" ht="31.5" x14ac:dyDescent="0.25">
      <c r="A240" s="134" t="s">
        <v>8349</v>
      </c>
      <c r="B240" s="134" t="s">
        <v>8357</v>
      </c>
      <c r="C240" s="134" t="s">
        <v>8356</v>
      </c>
      <c r="D240" s="134" t="s">
        <v>8355</v>
      </c>
      <c r="E240" s="139">
        <v>4.45</v>
      </c>
      <c r="F240" s="134" t="s">
        <v>8354</v>
      </c>
      <c r="G240" s="134" t="s">
        <v>3007</v>
      </c>
      <c r="H240" s="123">
        <v>3953</v>
      </c>
    </row>
    <row r="241" spans="1:8" x14ac:dyDescent="0.25">
      <c r="A241" s="134" t="s">
        <v>8349</v>
      </c>
      <c r="B241" s="134" t="s">
        <v>8353</v>
      </c>
      <c r="C241" s="134" t="s">
        <v>8352</v>
      </c>
      <c r="D241" s="134" t="s">
        <v>4548</v>
      </c>
      <c r="E241" s="139">
        <v>18.809999999999999</v>
      </c>
      <c r="F241" s="134" t="s">
        <v>4547</v>
      </c>
      <c r="G241" s="134" t="s">
        <v>3007</v>
      </c>
      <c r="H241" s="123">
        <v>3954</v>
      </c>
    </row>
    <row r="242" spans="1:8" x14ac:dyDescent="0.25">
      <c r="A242" s="134" t="s">
        <v>8349</v>
      </c>
      <c r="B242" s="134" t="s">
        <v>8351</v>
      </c>
      <c r="C242" s="134" t="s">
        <v>8350</v>
      </c>
      <c r="D242" s="134" t="s">
        <v>4480</v>
      </c>
      <c r="E242" s="139">
        <v>5.6</v>
      </c>
      <c r="F242" s="134" t="s">
        <v>4476</v>
      </c>
      <c r="G242" s="134" t="s">
        <v>3007</v>
      </c>
      <c r="H242" s="123">
        <v>3955</v>
      </c>
    </row>
    <row r="243" spans="1:8" x14ac:dyDescent="0.25">
      <c r="A243" s="134" t="s">
        <v>8349</v>
      </c>
      <c r="B243" s="134" t="s">
        <v>8348</v>
      </c>
      <c r="C243" s="134" t="s">
        <v>8347</v>
      </c>
      <c r="D243" s="134" t="s">
        <v>3945</v>
      </c>
      <c r="E243" s="139">
        <v>4.7699999999999996</v>
      </c>
      <c r="F243" s="134" t="s">
        <v>3944</v>
      </c>
      <c r="G243" s="134" t="s">
        <v>3007</v>
      </c>
      <c r="H243" s="123">
        <v>3956</v>
      </c>
    </row>
    <row r="244" spans="1:8" ht="31.5" x14ac:dyDescent="0.25">
      <c r="A244" s="134" t="s">
        <v>8316</v>
      </c>
      <c r="B244" s="134" t="s">
        <v>8346</v>
      </c>
      <c r="C244" s="134" t="s">
        <v>8345</v>
      </c>
      <c r="D244" s="134" t="s">
        <v>3542</v>
      </c>
      <c r="E244" s="139">
        <v>1.68</v>
      </c>
      <c r="F244" s="134" t="s">
        <v>3541</v>
      </c>
      <c r="G244" s="134" t="s">
        <v>3007</v>
      </c>
      <c r="H244" s="123">
        <v>3957</v>
      </c>
    </row>
    <row r="245" spans="1:8" x14ac:dyDescent="0.25">
      <c r="A245" s="134" t="s">
        <v>8316</v>
      </c>
      <c r="B245" s="134" t="s">
        <v>8344</v>
      </c>
      <c r="C245" s="134" t="s">
        <v>8343</v>
      </c>
      <c r="D245" s="134" t="s">
        <v>4108</v>
      </c>
      <c r="E245" s="139">
        <v>4.41</v>
      </c>
      <c r="F245" s="134" t="s">
        <v>4107</v>
      </c>
      <c r="G245" s="134" t="s">
        <v>3007</v>
      </c>
      <c r="H245" s="123">
        <v>3959</v>
      </c>
    </row>
    <row r="246" spans="1:8" ht="31.5" x14ac:dyDescent="0.25">
      <c r="A246" s="134" t="s">
        <v>8316</v>
      </c>
      <c r="B246" s="134" t="s">
        <v>8342</v>
      </c>
      <c r="C246" s="134" t="s">
        <v>8341</v>
      </c>
      <c r="D246" s="134" t="s">
        <v>7046</v>
      </c>
      <c r="E246" s="139">
        <v>1.68</v>
      </c>
      <c r="F246" s="134" t="s">
        <v>7045</v>
      </c>
      <c r="G246" s="134" t="s">
        <v>3007</v>
      </c>
      <c r="H246" s="123">
        <v>3960</v>
      </c>
    </row>
    <row r="247" spans="1:8" x14ac:dyDescent="0.25">
      <c r="A247" s="134" t="s">
        <v>8316</v>
      </c>
      <c r="B247" s="134" t="s">
        <v>8340</v>
      </c>
      <c r="C247" s="134" t="s">
        <v>8339</v>
      </c>
      <c r="D247" s="134" t="s">
        <v>4673</v>
      </c>
      <c r="E247" s="139">
        <v>5.91</v>
      </c>
      <c r="F247" s="134" t="s">
        <v>4672</v>
      </c>
      <c r="G247" s="134" t="s">
        <v>3007</v>
      </c>
      <c r="H247" s="123">
        <v>3961</v>
      </c>
    </row>
    <row r="248" spans="1:8" x14ac:dyDescent="0.25">
      <c r="A248" s="134" t="s">
        <v>8316</v>
      </c>
      <c r="B248" s="134" t="s">
        <v>8338</v>
      </c>
      <c r="C248" s="134" t="s">
        <v>8337</v>
      </c>
      <c r="D248" s="134" t="s">
        <v>4614</v>
      </c>
      <c r="E248" s="139">
        <v>3.38</v>
      </c>
      <c r="F248" s="134" t="s">
        <v>4613</v>
      </c>
      <c r="G248" s="134" t="s">
        <v>3007</v>
      </c>
      <c r="H248" s="123">
        <v>3962</v>
      </c>
    </row>
    <row r="249" spans="1:8" x14ac:dyDescent="0.25">
      <c r="A249" s="134" t="s">
        <v>8316</v>
      </c>
      <c r="B249" s="134" t="s">
        <v>8336</v>
      </c>
      <c r="C249" s="134" t="s">
        <v>8335</v>
      </c>
      <c r="D249" s="134" t="s">
        <v>5174</v>
      </c>
      <c r="E249" s="139">
        <v>15.83</v>
      </c>
      <c r="F249" s="134" t="s">
        <v>5173</v>
      </c>
      <c r="G249" s="134" t="s">
        <v>3007</v>
      </c>
      <c r="H249" s="123">
        <v>3963</v>
      </c>
    </row>
    <row r="250" spans="1:8" x14ac:dyDescent="0.25">
      <c r="A250" s="134" t="s">
        <v>8316</v>
      </c>
      <c r="B250" s="134" t="s">
        <v>8334</v>
      </c>
      <c r="C250" s="134" t="s">
        <v>8333</v>
      </c>
      <c r="D250" s="134" t="s">
        <v>3932</v>
      </c>
      <c r="E250" s="139">
        <v>3.76</v>
      </c>
      <c r="F250" s="134" t="s">
        <v>3931</v>
      </c>
      <c r="G250" s="134" t="s">
        <v>3007</v>
      </c>
      <c r="H250" s="123">
        <v>3964</v>
      </c>
    </row>
    <row r="251" spans="1:8" x14ac:dyDescent="0.25">
      <c r="A251" s="134" t="s">
        <v>8316</v>
      </c>
      <c r="B251" s="134" t="s">
        <v>8332</v>
      </c>
      <c r="C251" s="134" t="s">
        <v>8331</v>
      </c>
      <c r="D251" s="134" t="s">
        <v>5016</v>
      </c>
      <c r="E251" s="139">
        <v>3.65</v>
      </c>
      <c r="F251" s="134" t="s">
        <v>5015</v>
      </c>
      <c r="G251" s="134" t="s">
        <v>3007</v>
      </c>
      <c r="H251" s="123">
        <v>3965</v>
      </c>
    </row>
    <row r="252" spans="1:8" ht="31.5" x14ac:dyDescent="0.25">
      <c r="A252" s="134" t="s">
        <v>8316</v>
      </c>
      <c r="B252" s="134" t="s">
        <v>8330</v>
      </c>
      <c r="C252" s="134" t="s">
        <v>8329</v>
      </c>
      <c r="D252" s="134" t="s">
        <v>8328</v>
      </c>
      <c r="E252" s="139">
        <v>5.96</v>
      </c>
      <c r="F252" s="134" t="s">
        <v>8327</v>
      </c>
      <c r="G252" s="134" t="s">
        <v>3007</v>
      </c>
      <c r="H252" s="123">
        <v>3968</v>
      </c>
    </row>
    <row r="253" spans="1:8" ht="31.5" x14ac:dyDescent="0.25">
      <c r="A253" s="134" t="s">
        <v>8316</v>
      </c>
      <c r="B253" s="134" t="s">
        <v>8326</v>
      </c>
      <c r="C253" s="134" t="s">
        <v>8325</v>
      </c>
      <c r="D253" s="134" t="s">
        <v>8324</v>
      </c>
      <c r="E253" s="139">
        <v>5.2</v>
      </c>
      <c r="F253" s="134" t="s">
        <v>8323</v>
      </c>
      <c r="G253" s="134" t="s">
        <v>3007</v>
      </c>
      <c r="H253" s="123">
        <v>3969</v>
      </c>
    </row>
    <row r="254" spans="1:8" x14ac:dyDescent="0.25">
      <c r="A254" s="134" t="s">
        <v>8316</v>
      </c>
      <c r="B254" s="134" t="s">
        <v>8322</v>
      </c>
      <c r="C254" s="134" t="s">
        <v>8321</v>
      </c>
      <c r="D254" s="134" t="s">
        <v>3515</v>
      </c>
      <c r="E254" s="139">
        <v>3.71</v>
      </c>
      <c r="F254" s="134" t="s">
        <v>3514</v>
      </c>
      <c r="G254" s="134" t="s">
        <v>3007</v>
      </c>
      <c r="H254" s="123">
        <v>3970</v>
      </c>
    </row>
    <row r="255" spans="1:8" x14ac:dyDescent="0.25">
      <c r="A255" s="134" t="s">
        <v>8316</v>
      </c>
      <c r="B255" s="134" t="s">
        <v>8320</v>
      </c>
      <c r="C255" s="134" t="s">
        <v>8319</v>
      </c>
      <c r="D255" s="134" t="s">
        <v>3940</v>
      </c>
      <c r="E255" s="139">
        <v>2.36</v>
      </c>
      <c r="F255" s="134" t="s">
        <v>3939</v>
      </c>
      <c r="G255" s="134" t="s">
        <v>3007</v>
      </c>
      <c r="H255" s="123">
        <v>3971</v>
      </c>
    </row>
    <row r="256" spans="1:8" x14ac:dyDescent="0.25">
      <c r="A256" s="134" t="s">
        <v>8316</v>
      </c>
      <c r="B256" s="134" t="s">
        <v>8318</v>
      </c>
      <c r="C256" s="134" t="s">
        <v>8317</v>
      </c>
      <c r="D256" s="134" t="s">
        <v>4681</v>
      </c>
      <c r="E256" s="139">
        <v>10.45</v>
      </c>
      <c r="F256" s="134" t="s">
        <v>4680</v>
      </c>
      <c r="G256" s="134" t="s">
        <v>3007</v>
      </c>
      <c r="H256" s="123">
        <v>3972</v>
      </c>
    </row>
    <row r="257" spans="1:8" x14ac:dyDescent="0.25">
      <c r="A257" s="134" t="s">
        <v>8316</v>
      </c>
      <c r="B257" s="134" t="s">
        <v>8315</v>
      </c>
      <c r="C257" s="134" t="s">
        <v>8314</v>
      </c>
      <c r="D257" s="134" t="s">
        <v>4867</v>
      </c>
      <c r="E257" s="139">
        <v>5.93</v>
      </c>
      <c r="F257" s="134" t="s">
        <v>4866</v>
      </c>
      <c r="G257" s="134" t="s">
        <v>3007</v>
      </c>
      <c r="H257" s="123">
        <v>3973</v>
      </c>
    </row>
    <row r="258" spans="1:8" x14ac:dyDescent="0.25">
      <c r="A258" s="134" t="s">
        <v>8248</v>
      </c>
      <c r="B258" s="134" t="s">
        <v>8313</v>
      </c>
      <c r="C258" s="134" t="s">
        <v>8312</v>
      </c>
      <c r="D258" s="134" t="s">
        <v>8311</v>
      </c>
      <c r="E258" s="139">
        <v>11.39</v>
      </c>
      <c r="F258" s="134" t="s">
        <v>8310</v>
      </c>
      <c r="G258" s="134" t="s">
        <v>3007</v>
      </c>
      <c r="H258" s="123">
        <v>4020</v>
      </c>
    </row>
    <row r="259" spans="1:8" x14ac:dyDescent="0.25">
      <c r="A259" s="134" t="s">
        <v>8248</v>
      </c>
      <c r="B259" s="134" t="s">
        <v>8309</v>
      </c>
      <c r="C259" s="134" t="s">
        <v>8308</v>
      </c>
      <c r="D259" s="134" t="s">
        <v>8307</v>
      </c>
      <c r="E259" s="139">
        <v>5.12</v>
      </c>
      <c r="F259" s="134" t="s">
        <v>8306</v>
      </c>
      <c r="G259" s="134" t="s">
        <v>3007</v>
      </c>
      <c r="H259" s="123">
        <v>4021</v>
      </c>
    </row>
    <row r="260" spans="1:8" ht="31.5" x14ac:dyDescent="0.25">
      <c r="A260" s="134" t="s">
        <v>8248</v>
      </c>
      <c r="B260" s="134" t="s">
        <v>8305</v>
      </c>
      <c r="C260" s="134" t="s">
        <v>8304</v>
      </c>
      <c r="D260" s="134" t="s">
        <v>5143</v>
      </c>
      <c r="E260" s="139">
        <v>4.29</v>
      </c>
      <c r="F260" s="134" t="s">
        <v>5142</v>
      </c>
      <c r="G260" s="134" t="s">
        <v>3007</v>
      </c>
      <c r="H260" s="123">
        <v>4022</v>
      </c>
    </row>
    <row r="261" spans="1:8" x14ac:dyDescent="0.25">
      <c r="A261" s="134" t="s">
        <v>8248</v>
      </c>
      <c r="B261" s="134" t="s">
        <v>8303</v>
      </c>
      <c r="C261" s="134" t="s">
        <v>8302</v>
      </c>
      <c r="D261" s="134" t="s">
        <v>5246</v>
      </c>
      <c r="E261" s="139">
        <v>13.13</v>
      </c>
      <c r="F261" s="134" t="s">
        <v>5245</v>
      </c>
      <c r="G261" s="134" t="s">
        <v>3007</v>
      </c>
      <c r="H261" s="123">
        <v>4023</v>
      </c>
    </row>
    <row r="262" spans="1:8" x14ac:dyDescent="0.25">
      <c r="A262" s="134" t="s">
        <v>8248</v>
      </c>
      <c r="B262" s="134" t="s">
        <v>8301</v>
      </c>
      <c r="C262" s="134" t="s">
        <v>8300</v>
      </c>
      <c r="D262" s="134" t="s">
        <v>8299</v>
      </c>
      <c r="E262" s="139">
        <v>25.14</v>
      </c>
      <c r="F262" s="134" t="s">
        <v>8298</v>
      </c>
      <c r="G262" s="134" t="s">
        <v>3007</v>
      </c>
      <c r="H262" s="123">
        <v>4024</v>
      </c>
    </row>
    <row r="263" spans="1:8" x14ac:dyDescent="0.25">
      <c r="A263" s="134" t="s">
        <v>8248</v>
      </c>
      <c r="B263" s="134" t="s">
        <v>8297</v>
      </c>
      <c r="C263" s="134" t="s">
        <v>8296</v>
      </c>
      <c r="D263" s="134" t="s">
        <v>4536</v>
      </c>
      <c r="E263" s="139">
        <v>3.33</v>
      </c>
      <c r="F263" s="134" t="s">
        <v>4535</v>
      </c>
      <c r="G263" s="134" t="s">
        <v>3007</v>
      </c>
      <c r="H263" s="123">
        <v>4025</v>
      </c>
    </row>
    <row r="264" spans="1:8" x14ac:dyDescent="0.25">
      <c r="A264" s="134" t="s">
        <v>8248</v>
      </c>
      <c r="B264" s="134" t="s">
        <v>8295</v>
      </c>
      <c r="C264" s="134" t="s">
        <v>8294</v>
      </c>
      <c r="D264" s="134" t="s">
        <v>8293</v>
      </c>
      <c r="E264" s="139">
        <v>3.77</v>
      </c>
      <c r="F264" s="134" t="s">
        <v>8292</v>
      </c>
      <c r="G264" s="134" t="s">
        <v>3007</v>
      </c>
      <c r="H264" s="123">
        <v>4026</v>
      </c>
    </row>
    <row r="265" spans="1:8" x14ac:dyDescent="0.25">
      <c r="A265" s="134" t="s">
        <v>8248</v>
      </c>
      <c r="B265" s="134" t="s">
        <v>8291</v>
      </c>
      <c r="C265" s="134" t="s">
        <v>8290</v>
      </c>
      <c r="D265" s="134" t="s">
        <v>4237</v>
      </c>
      <c r="E265" s="139">
        <v>8.18</v>
      </c>
      <c r="F265" s="134" t="s">
        <v>4236</v>
      </c>
      <c r="G265" s="134" t="s">
        <v>3007</v>
      </c>
      <c r="H265" s="123">
        <v>4027</v>
      </c>
    </row>
    <row r="266" spans="1:8" x14ac:dyDescent="0.25">
      <c r="A266" s="134" t="s">
        <v>8248</v>
      </c>
      <c r="B266" s="134" t="s">
        <v>8289</v>
      </c>
      <c r="C266" s="134" t="s">
        <v>8288</v>
      </c>
      <c r="D266" s="134" t="s">
        <v>5222</v>
      </c>
      <c r="E266" s="139">
        <v>3.49</v>
      </c>
      <c r="F266" s="134" t="s">
        <v>5221</v>
      </c>
      <c r="G266" s="134" t="s">
        <v>3007</v>
      </c>
      <c r="H266" s="123">
        <v>4028</v>
      </c>
    </row>
    <row r="267" spans="1:8" x14ac:dyDescent="0.25">
      <c r="A267" s="134" t="s">
        <v>8248</v>
      </c>
      <c r="B267" s="134" t="s">
        <v>8287</v>
      </c>
      <c r="C267" s="134" t="s">
        <v>8286</v>
      </c>
      <c r="D267" s="134" t="s">
        <v>8285</v>
      </c>
      <c r="E267" s="139">
        <v>3.45</v>
      </c>
      <c r="F267" s="134" t="s">
        <v>8284</v>
      </c>
      <c r="G267" s="134" t="s">
        <v>3007</v>
      </c>
      <c r="H267" s="123">
        <v>4029</v>
      </c>
    </row>
    <row r="268" spans="1:8" x14ac:dyDescent="0.25">
      <c r="A268" s="134" t="s">
        <v>8248</v>
      </c>
      <c r="B268" s="134" t="s">
        <v>8283</v>
      </c>
      <c r="C268" s="134" t="s">
        <v>8282</v>
      </c>
      <c r="D268" s="134" t="s">
        <v>8281</v>
      </c>
      <c r="E268" s="139">
        <v>39.96</v>
      </c>
      <c r="F268" s="134" t="s">
        <v>8280</v>
      </c>
      <c r="G268" s="134" t="s">
        <v>3007</v>
      </c>
      <c r="H268" s="123">
        <v>4030</v>
      </c>
    </row>
    <row r="269" spans="1:8" x14ac:dyDescent="0.25">
      <c r="A269" s="134" t="s">
        <v>8248</v>
      </c>
      <c r="B269" s="134" t="s">
        <v>8279</v>
      </c>
      <c r="C269" s="134" t="s">
        <v>8278</v>
      </c>
      <c r="D269" s="134" t="s">
        <v>8277</v>
      </c>
      <c r="E269" s="139">
        <v>5.69</v>
      </c>
      <c r="F269" s="134" t="s">
        <v>8276</v>
      </c>
      <c r="G269" s="134" t="s">
        <v>3007</v>
      </c>
      <c r="H269" s="123">
        <v>4031</v>
      </c>
    </row>
    <row r="270" spans="1:8" x14ac:dyDescent="0.25">
      <c r="A270" s="134" t="s">
        <v>8248</v>
      </c>
      <c r="B270" s="134" t="s">
        <v>5097</v>
      </c>
      <c r="C270" s="134" t="s">
        <v>8275</v>
      </c>
      <c r="D270" s="134" t="s">
        <v>8274</v>
      </c>
      <c r="E270" s="139">
        <v>5.66</v>
      </c>
      <c r="F270" s="134" t="s">
        <v>8273</v>
      </c>
      <c r="G270" s="134" t="s">
        <v>3007</v>
      </c>
      <c r="H270" s="123">
        <v>4032</v>
      </c>
    </row>
    <row r="271" spans="1:8" ht="31.5" x14ac:dyDescent="0.25">
      <c r="A271" s="134" t="s">
        <v>8248</v>
      </c>
      <c r="B271" s="134" t="s">
        <v>8272</v>
      </c>
      <c r="C271" s="134" t="s">
        <v>8271</v>
      </c>
      <c r="D271" s="134" t="s">
        <v>8270</v>
      </c>
      <c r="E271" s="139">
        <v>8.51</v>
      </c>
      <c r="F271" s="134" t="s">
        <v>8269</v>
      </c>
      <c r="G271" s="134" t="s">
        <v>3007</v>
      </c>
      <c r="H271" s="123">
        <v>4033</v>
      </c>
    </row>
    <row r="272" spans="1:8" x14ac:dyDescent="0.25">
      <c r="A272" s="134" t="s">
        <v>8248</v>
      </c>
      <c r="B272" s="134" t="s">
        <v>8268</v>
      </c>
      <c r="C272" s="134" t="s">
        <v>8267</v>
      </c>
      <c r="D272" s="134" t="s">
        <v>4566</v>
      </c>
      <c r="E272" s="139">
        <v>1.96</v>
      </c>
      <c r="F272" s="134" t="s">
        <v>4565</v>
      </c>
      <c r="G272" s="134" t="s">
        <v>3007</v>
      </c>
      <c r="H272" s="123">
        <v>4034</v>
      </c>
    </row>
    <row r="273" spans="1:8" x14ac:dyDescent="0.25">
      <c r="A273" s="134" t="s">
        <v>8248</v>
      </c>
      <c r="B273" s="134" t="s">
        <v>8266</v>
      </c>
      <c r="C273" s="134" t="s">
        <v>8265</v>
      </c>
      <c r="D273" s="134" t="s">
        <v>8264</v>
      </c>
      <c r="E273" s="139">
        <v>7.06</v>
      </c>
      <c r="F273" s="134" t="s">
        <v>8263</v>
      </c>
      <c r="G273" s="134" t="s">
        <v>3007</v>
      </c>
      <c r="H273" s="123">
        <v>4035</v>
      </c>
    </row>
    <row r="274" spans="1:8" ht="31.5" x14ac:dyDescent="0.25">
      <c r="A274" s="134" t="s">
        <v>8248</v>
      </c>
      <c r="B274" s="134" t="s">
        <v>8262</v>
      </c>
      <c r="C274" s="134" t="s">
        <v>8261</v>
      </c>
      <c r="D274" s="134" t="s">
        <v>4983</v>
      </c>
      <c r="E274" s="139">
        <v>14.97</v>
      </c>
      <c r="F274" s="134" t="s">
        <v>4982</v>
      </c>
      <c r="G274" s="134" t="s">
        <v>3007</v>
      </c>
      <c r="H274" s="123">
        <v>4036</v>
      </c>
    </row>
    <row r="275" spans="1:8" ht="31.5" x14ac:dyDescent="0.25">
      <c r="A275" s="134" t="s">
        <v>8248</v>
      </c>
      <c r="B275" s="134" t="s">
        <v>8260</v>
      </c>
      <c r="C275" s="134" t="s">
        <v>8259</v>
      </c>
      <c r="D275" s="134" t="s">
        <v>3791</v>
      </c>
      <c r="E275" s="139">
        <v>3.36</v>
      </c>
      <c r="F275" s="134" t="s">
        <v>3790</v>
      </c>
      <c r="G275" s="134" t="s">
        <v>3007</v>
      </c>
      <c r="H275" s="123">
        <v>4037</v>
      </c>
    </row>
    <row r="276" spans="1:8" x14ac:dyDescent="0.25">
      <c r="A276" s="134" t="s">
        <v>8248</v>
      </c>
      <c r="B276" s="134" t="s">
        <v>8258</v>
      </c>
      <c r="C276" s="134" t="s">
        <v>8257</v>
      </c>
      <c r="D276" s="134" t="s">
        <v>5570</v>
      </c>
      <c r="E276" s="139">
        <v>2.06</v>
      </c>
      <c r="F276" s="134" t="s">
        <v>5569</v>
      </c>
      <c r="G276" s="134" t="s">
        <v>3007</v>
      </c>
      <c r="H276" s="123">
        <v>4038</v>
      </c>
    </row>
    <row r="277" spans="1:8" x14ac:dyDescent="0.25">
      <c r="A277" s="134" t="s">
        <v>8248</v>
      </c>
      <c r="B277" s="134" t="s">
        <v>8256</v>
      </c>
      <c r="C277" s="134" t="s">
        <v>8255</v>
      </c>
      <c r="D277" s="134" t="s">
        <v>5024</v>
      </c>
      <c r="E277" s="139">
        <v>8.9600000000000009</v>
      </c>
      <c r="F277" s="134" t="s">
        <v>5023</v>
      </c>
      <c r="G277" s="134" t="s">
        <v>3007</v>
      </c>
      <c r="H277" s="123">
        <v>4039</v>
      </c>
    </row>
    <row r="278" spans="1:8" ht="31.5" x14ac:dyDescent="0.25">
      <c r="A278" s="134" t="s">
        <v>8248</v>
      </c>
      <c r="B278" s="134" t="s">
        <v>8254</v>
      </c>
      <c r="C278" s="134" t="s">
        <v>8253</v>
      </c>
      <c r="D278" s="134" t="s">
        <v>4437</v>
      </c>
      <c r="E278" s="139">
        <v>23</v>
      </c>
      <c r="F278" s="134" t="s">
        <v>4436</v>
      </c>
      <c r="G278" s="134" t="s">
        <v>3007</v>
      </c>
      <c r="H278" s="123">
        <v>4040</v>
      </c>
    </row>
    <row r="279" spans="1:8" x14ac:dyDescent="0.25">
      <c r="A279" s="134" t="s">
        <v>8248</v>
      </c>
      <c r="B279" s="134" t="s">
        <v>8252</v>
      </c>
      <c r="C279" s="134" t="s">
        <v>8251</v>
      </c>
      <c r="D279" s="134" t="s">
        <v>8250</v>
      </c>
      <c r="E279" s="139">
        <v>8.3800000000000008</v>
      </c>
      <c r="F279" s="134" t="s">
        <v>8249</v>
      </c>
      <c r="G279" s="134" t="s">
        <v>3007</v>
      </c>
      <c r="H279" s="123">
        <v>4041</v>
      </c>
    </row>
    <row r="280" spans="1:8" x14ac:dyDescent="0.25">
      <c r="A280" s="134" t="s">
        <v>8248</v>
      </c>
      <c r="B280" s="134" t="s">
        <v>8247</v>
      </c>
      <c r="C280" s="134" t="s">
        <v>8246</v>
      </c>
      <c r="D280" s="134" t="s">
        <v>4779</v>
      </c>
      <c r="E280" s="139">
        <v>3.45</v>
      </c>
      <c r="F280" s="134" t="s">
        <v>4778</v>
      </c>
      <c r="G280" s="134" t="s">
        <v>3007</v>
      </c>
      <c r="H280" s="123">
        <v>4042</v>
      </c>
    </row>
    <row r="281" spans="1:8" x14ac:dyDescent="0.25">
      <c r="A281" s="134" t="s">
        <v>8177</v>
      </c>
      <c r="B281" s="134" t="s">
        <v>8245</v>
      </c>
      <c r="C281" s="134" t="s">
        <v>8244</v>
      </c>
      <c r="D281" s="134" t="s">
        <v>3591</v>
      </c>
      <c r="E281" s="139">
        <v>3.26</v>
      </c>
      <c r="F281" s="134" t="s">
        <v>3590</v>
      </c>
      <c r="G281" s="134" t="s">
        <v>3007</v>
      </c>
      <c r="H281" s="123">
        <v>4061</v>
      </c>
    </row>
    <row r="282" spans="1:8" ht="31.5" x14ac:dyDescent="0.25">
      <c r="A282" s="134" t="s">
        <v>8177</v>
      </c>
      <c r="B282" s="134" t="s">
        <v>8243</v>
      </c>
      <c r="C282" s="134" t="s">
        <v>8242</v>
      </c>
      <c r="D282" s="134" t="s">
        <v>3115</v>
      </c>
      <c r="E282" s="139">
        <v>66.63</v>
      </c>
      <c r="F282" s="134" t="s">
        <v>3114</v>
      </c>
      <c r="G282" s="134" t="s">
        <v>3007</v>
      </c>
      <c r="H282" s="123">
        <v>4062</v>
      </c>
    </row>
    <row r="283" spans="1:8" x14ac:dyDescent="0.25">
      <c r="A283" s="134" t="s">
        <v>8177</v>
      </c>
      <c r="B283" s="134" t="s">
        <v>8241</v>
      </c>
      <c r="C283" s="134" t="s">
        <v>8240</v>
      </c>
      <c r="D283" s="134" t="s">
        <v>8239</v>
      </c>
      <c r="E283" s="139">
        <v>5.04</v>
      </c>
      <c r="F283" s="134" t="s">
        <v>8238</v>
      </c>
      <c r="G283" s="134" t="s">
        <v>3007</v>
      </c>
      <c r="H283" s="123">
        <v>4063</v>
      </c>
    </row>
    <row r="284" spans="1:8" x14ac:dyDescent="0.25">
      <c r="A284" s="134" t="s">
        <v>8177</v>
      </c>
      <c r="B284" s="134" t="s">
        <v>8237</v>
      </c>
      <c r="C284" s="134" t="s">
        <v>8236</v>
      </c>
      <c r="D284" s="134" t="s">
        <v>5652</v>
      </c>
      <c r="E284" s="139">
        <v>7.6</v>
      </c>
      <c r="F284" s="134" t="s">
        <v>5651</v>
      </c>
      <c r="G284" s="134" t="s">
        <v>3007</v>
      </c>
      <c r="H284" s="123">
        <v>4064</v>
      </c>
    </row>
    <row r="285" spans="1:8" x14ac:dyDescent="0.25">
      <c r="A285" s="134" t="s">
        <v>8177</v>
      </c>
      <c r="B285" s="134" t="s">
        <v>8235</v>
      </c>
      <c r="C285" s="134" t="s">
        <v>8234</v>
      </c>
      <c r="D285" s="134" t="s">
        <v>5678</v>
      </c>
      <c r="E285" s="139">
        <v>2.54</v>
      </c>
      <c r="F285" s="134" t="s">
        <v>5677</v>
      </c>
      <c r="G285" s="134" t="s">
        <v>3007</v>
      </c>
      <c r="H285" s="123">
        <v>4065</v>
      </c>
    </row>
    <row r="286" spans="1:8" x14ac:dyDescent="0.25">
      <c r="A286" s="134" t="s">
        <v>8177</v>
      </c>
      <c r="B286" s="134" t="s">
        <v>8233</v>
      </c>
      <c r="C286" s="134" t="s">
        <v>8232</v>
      </c>
      <c r="D286" s="134" t="s">
        <v>4685</v>
      </c>
      <c r="E286" s="139">
        <v>4.59</v>
      </c>
      <c r="F286" s="134" t="s">
        <v>4684</v>
      </c>
      <c r="G286" s="134" t="s">
        <v>3007</v>
      </c>
      <c r="H286" s="123">
        <v>4066</v>
      </c>
    </row>
    <row r="287" spans="1:8" x14ac:dyDescent="0.25">
      <c r="A287" s="134" t="s">
        <v>8177</v>
      </c>
      <c r="B287" s="134" t="s">
        <v>8231</v>
      </c>
      <c r="C287" s="134" t="s">
        <v>8230</v>
      </c>
      <c r="D287" s="134" t="s">
        <v>7181</v>
      </c>
      <c r="E287" s="139">
        <v>4.8600000000000003</v>
      </c>
      <c r="F287" s="134" t="s">
        <v>7180</v>
      </c>
      <c r="G287" s="134" t="s">
        <v>3007</v>
      </c>
      <c r="H287" s="123">
        <v>4067</v>
      </c>
    </row>
    <row r="288" spans="1:8" ht="31.5" x14ac:dyDescent="0.25">
      <c r="A288" s="134" t="s">
        <v>8177</v>
      </c>
      <c r="B288" s="134" t="s">
        <v>8229</v>
      </c>
      <c r="C288" s="134" t="s">
        <v>8228</v>
      </c>
      <c r="D288" s="134" t="s">
        <v>8227</v>
      </c>
      <c r="E288" s="139">
        <v>16.399999999999999</v>
      </c>
      <c r="F288" s="134" t="s">
        <v>8226</v>
      </c>
      <c r="G288" s="134" t="s">
        <v>3007</v>
      </c>
      <c r="H288" s="123">
        <v>4068</v>
      </c>
    </row>
    <row r="289" spans="1:8" x14ac:dyDescent="0.25">
      <c r="A289" s="134" t="s">
        <v>8177</v>
      </c>
      <c r="B289" s="134" t="s">
        <v>8225</v>
      </c>
      <c r="C289" s="134" t="s">
        <v>8224</v>
      </c>
      <c r="D289" s="134" t="s">
        <v>5032</v>
      </c>
      <c r="E289" s="139">
        <v>1.75</v>
      </c>
      <c r="F289" s="134" t="s">
        <v>5031</v>
      </c>
      <c r="G289" s="134" t="s">
        <v>3007</v>
      </c>
      <c r="H289" s="123">
        <v>4069</v>
      </c>
    </row>
    <row r="290" spans="1:8" x14ac:dyDescent="0.25">
      <c r="A290" s="134" t="s">
        <v>8177</v>
      </c>
      <c r="B290" s="134" t="s">
        <v>8223</v>
      </c>
      <c r="C290" s="134" t="s">
        <v>8222</v>
      </c>
      <c r="D290" s="134" t="s">
        <v>8221</v>
      </c>
      <c r="E290" s="139">
        <v>14.62</v>
      </c>
      <c r="F290" s="134" t="s">
        <v>8220</v>
      </c>
      <c r="G290" s="134" t="s">
        <v>3007</v>
      </c>
      <c r="H290" s="123">
        <v>4070</v>
      </c>
    </row>
    <row r="291" spans="1:8" x14ac:dyDescent="0.25">
      <c r="A291" s="134" t="s">
        <v>8177</v>
      </c>
      <c r="B291" s="134" t="s">
        <v>8219</v>
      </c>
      <c r="C291" s="134" t="s">
        <v>8218</v>
      </c>
      <c r="D291" s="134" t="s">
        <v>7333</v>
      </c>
      <c r="E291" s="139">
        <v>6.96</v>
      </c>
      <c r="F291" s="134" t="s">
        <v>7332</v>
      </c>
      <c r="G291" s="134" t="s">
        <v>3007</v>
      </c>
      <c r="H291" s="123">
        <v>4071</v>
      </c>
    </row>
    <row r="292" spans="1:8" x14ac:dyDescent="0.25">
      <c r="A292" s="134" t="s">
        <v>8177</v>
      </c>
      <c r="B292" s="134" t="s">
        <v>8217</v>
      </c>
      <c r="C292" s="134" t="s">
        <v>8216</v>
      </c>
      <c r="D292" s="134" t="s">
        <v>3800</v>
      </c>
      <c r="E292" s="139">
        <v>8.5500000000000007</v>
      </c>
      <c r="F292" s="134" t="s">
        <v>3799</v>
      </c>
      <c r="G292" s="134" t="s">
        <v>3007</v>
      </c>
      <c r="H292" s="123">
        <v>4072</v>
      </c>
    </row>
    <row r="293" spans="1:8" ht="31.5" x14ac:dyDescent="0.25">
      <c r="A293" s="134" t="s">
        <v>8177</v>
      </c>
      <c r="B293" s="134" t="s">
        <v>8215</v>
      </c>
      <c r="C293" s="134" t="s">
        <v>8214</v>
      </c>
      <c r="D293" s="134" t="s">
        <v>3739</v>
      </c>
      <c r="E293" s="139">
        <v>2.4900000000000002</v>
      </c>
      <c r="F293" s="134" t="s">
        <v>3738</v>
      </c>
      <c r="G293" s="134" t="s">
        <v>3007</v>
      </c>
      <c r="H293" s="123">
        <v>4073</v>
      </c>
    </row>
    <row r="294" spans="1:8" x14ac:dyDescent="0.25">
      <c r="A294" s="134" t="s">
        <v>8177</v>
      </c>
      <c r="B294" s="134" t="s">
        <v>8213</v>
      </c>
      <c r="C294" s="134" t="s">
        <v>8212</v>
      </c>
      <c r="D294" s="134" t="s">
        <v>8211</v>
      </c>
      <c r="E294" s="139">
        <v>9.42</v>
      </c>
      <c r="F294" s="134" t="s">
        <v>8210</v>
      </c>
      <c r="G294" s="134" t="s">
        <v>3007</v>
      </c>
      <c r="H294" s="123">
        <v>4074</v>
      </c>
    </row>
    <row r="295" spans="1:8" ht="31.5" x14ac:dyDescent="0.25">
      <c r="A295" s="134" t="s">
        <v>8177</v>
      </c>
      <c r="B295" s="134" t="s">
        <v>8209</v>
      </c>
      <c r="C295" s="134" t="s">
        <v>8208</v>
      </c>
      <c r="D295" s="134" t="s">
        <v>7329</v>
      </c>
      <c r="E295" s="139">
        <v>14.38</v>
      </c>
      <c r="F295" s="134" t="s">
        <v>7325</v>
      </c>
      <c r="G295" s="134" t="s">
        <v>3007</v>
      </c>
      <c r="H295" s="123">
        <v>4075</v>
      </c>
    </row>
    <row r="296" spans="1:8" ht="31.5" x14ac:dyDescent="0.25">
      <c r="A296" s="134" t="s">
        <v>8177</v>
      </c>
      <c r="B296" s="134" t="s">
        <v>8207</v>
      </c>
      <c r="C296" s="134" t="s">
        <v>8206</v>
      </c>
      <c r="D296" s="134" t="s">
        <v>7326</v>
      </c>
      <c r="E296" s="139">
        <v>16.88</v>
      </c>
      <c r="F296" s="134" t="s">
        <v>7325</v>
      </c>
      <c r="G296" s="134" t="s">
        <v>3007</v>
      </c>
      <c r="H296" s="123">
        <v>4076</v>
      </c>
    </row>
    <row r="297" spans="1:8" x14ac:dyDescent="0.25">
      <c r="A297" s="134" t="s">
        <v>8177</v>
      </c>
      <c r="B297" s="134" t="s">
        <v>8205</v>
      </c>
      <c r="C297" s="134" t="s">
        <v>8204</v>
      </c>
      <c r="D297" s="134" t="s">
        <v>4069</v>
      </c>
      <c r="E297" s="139">
        <v>5.64</v>
      </c>
      <c r="F297" s="134" t="s">
        <v>4068</v>
      </c>
      <c r="G297" s="134" t="s">
        <v>3007</v>
      </c>
      <c r="H297" s="123">
        <v>4077</v>
      </c>
    </row>
    <row r="298" spans="1:8" x14ac:dyDescent="0.25">
      <c r="A298" s="134" t="s">
        <v>8177</v>
      </c>
      <c r="B298" s="134" t="s">
        <v>8203</v>
      </c>
      <c r="C298" s="134" t="s">
        <v>8202</v>
      </c>
      <c r="D298" s="134" t="s">
        <v>7377</v>
      </c>
      <c r="E298" s="139">
        <v>7.45</v>
      </c>
      <c r="F298" s="134" t="s">
        <v>7376</v>
      </c>
      <c r="G298" s="134" t="s">
        <v>3007</v>
      </c>
      <c r="H298" s="123">
        <v>4078</v>
      </c>
    </row>
    <row r="299" spans="1:8" x14ac:dyDescent="0.25">
      <c r="A299" s="134" t="s">
        <v>8177</v>
      </c>
      <c r="B299" s="134" t="s">
        <v>8201</v>
      </c>
      <c r="C299" s="134" t="s">
        <v>8200</v>
      </c>
      <c r="D299" s="134" t="s">
        <v>5630</v>
      </c>
      <c r="E299" s="139">
        <v>7.85</v>
      </c>
      <c r="F299" s="134" t="s">
        <v>5629</v>
      </c>
      <c r="G299" s="134" t="s">
        <v>3007</v>
      </c>
      <c r="H299" s="123">
        <v>4079</v>
      </c>
    </row>
    <row r="300" spans="1:8" x14ac:dyDescent="0.25">
      <c r="A300" s="134" t="s">
        <v>8177</v>
      </c>
      <c r="B300" s="134" t="s">
        <v>8199</v>
      </c>
      <c r="C300" s="134" t="s">
        <v>8198</v>
      </c>
      <c r="D300" s="134" t="s">
        <v>8197</v>
      </c>
      <c r="E300" s="139">
        <v>5.96</v>
      </c>
      <c r="F300" s="134" t="s">
        <v>8196</v>
      </c>
      <c r="G300" s="134" t="s">
        <v>3007</v>
      </c>
      <c r="H300" s="123">
        <v>4080</v>
      </c>
    </row>
    <row r="301" spans="1:8" x14ac:dyDescent="0.25">
      <c r="A301" s="134" t="s">
        <v>8177</v>
      </c>
      <c r="B301" s="134" t="s">
        <v>8195</v>
      </c>
      <c r="C301" s="134" t="s">
        <v>8194</v>
      </c>
      <c r="D301" s="134" t="s">
        <v>5358</v>
      </c>
      <c r="E301" s="139">
        <v>7.24</v>
      </c>
      <c r="F301" s="134" t="s">
        <v>5357</v>
      </c>
      <c r="G301" s="134" t="s">
        <v>3007</v>
      </c>
      <c r="H301" s="123">
        <v>4081</v>
      </c>
    </row>
    <row r="302" spans="1:8" x14ac:dyDescent="0.25">
      <c r="A302" s="134" t="s">
        <v>8177</v>
      </c>
      <c r="B302" s="134" t="s">
        <v>8193</v>
      </c>
      <c r="C302" s="134" t="s">
        <v>8192</v>
      </c>
      <c r="D302" s="134" t="s">
        <v>3385</v>
      </c>
      <c r="E302" s="139">
        <v>6.94</v>
      </c>
      <c r="F302" s="134" t="s">
        <v>3384</v>
      </c>
      <c r="G302" s="134" t="s">
        <v>3007</v>
      </c>
      <c r="H302" s="123">
        <v>4082</v>
      </c>
    </row>
    <row r="303" spans="1:8" x14ac:dyDescent="0.25">
      <c r="A303" s="134" t="s">
        <v>8177</v>
      </c>
      <c r="B303" s="134" t="s">
        <v>8191</v>
      </c>
      <c r="C303" s="134" t="s">
        <v>8190</v>
      </c>
      <c r="D303" s="134" t="s">
        <v>5091</v>
      </c>
      <c r="E303" s="139">
        <v>1.56</v>
      </c>
      <c r="F303" s="134" t="s">
        <v>5090</v>
      </c>
      <c r="G303" s="134" t="s">
        <v>3007</v>
      </c>
      <c r="H303" s="123">
        <v>4083</v>
      </c>
    </row>
    <row r="304" spans="1:8" x14ac:dyDescent="0.25">
      <c r="A304" s="134" t="s">
        <v>8177</v>
      </c>
      <c r="B304" s="134" t="s">
        <v>8189</v>
      </c>
      <c r="C304" s="134" t="s">
        <v>8188</v>
      </c>
      <c r="D304" s="134" t="s">
        <v>5206</v>
      </c>
      <c r="E304" s="139">
        <v>20.83</v>
      </c>
      <c r="F304" s="134" t="s">
        <v>5205</v>
      </c>
      <c r="G304" s="134" t="s">
        <v>3007</v>
      </c>
      <c r="H304" s="123">
        <v>4084</v>
      </c>
    </row>
    <row r="305" spans="1:8" x14ac:dyDescent="0.25">
      <c r="A305" s="134" t="s">
        <v>8177</v>
      </c>
      <c r="B305" s="134" t="s">
        <v>8187</v>
      </c>
      <c r="C305" s="134" t="s">
        <v>8186</v>
      </c>
      <c r="D305" s="134" t="s">
        <v>7589</v>
      </c>
      <c r="E305" s="139">
        <v>1.68</v>
      </c>
      <c r="F305" s="134" t="s">
        <v>7588</v>
      </c>
      <c r="G305" s="134" t="s">
        <v>3007</v>
      </c>
      <c r="H305" s="123">
        <v>4085</v>
      </c>
    </row>
    <row r="306" spans="1:8" x14ac:dyDescent="0.25">
      <c r="A306" s="134" t="s">
        <v>8177</v>
      </c>
      <c r="B306" s="134" t="s">
        <v>8185</v>
      </c>
      <c r="C306" s="134" t="s">
        <v>8184</v>
      </c>
      <c r="D306" s="134" t="s">
        <v>7592</v>
      </c>
      <c r="E306" s="139">
        <v>4.76</v>
      </c>
      <c r="F306" s="134" t="s">
        <v>7588</v>
      </c>
      <c r="G306" s="134" t="s">
        <v>3007</v>
      </c>
      <c r="H306" s="123">
        <v>4086</v>
      </c>
    </row>
    <row r="307" spans="1:8" x14ac:dyDescent="0.25">
      <c r="A307" s="134" t="s">
        <v>8177</v>
      </c>
      <c r="B307" s="134" t="s">
        <v>8183</v>
      </c>
      <c r="C307" s="134" t="s">
        <v>8182</v>
      </c>
      <c r="D307" s="134" t="s">
        <v>5234</v>
      </c>
      <c r="E307" s="139">
        <v>3.33</v>
      </c>
      <c r="F307" s="134" t="s">
        <v>5233</v>
      </c>
      <c r="G307" s="134" t="s">
        <v>3007</v>
      </c>
      <c r="H307" s="124">
        <v>4087</v>
      </c>
    </row>
    <row r="308" spans="1:8" x14ac:dyDescent="0.25">
      <c r="A308" s="134" t="s">
        <v>8177</v>
      </c>
      <c r="B308" s="134" t="s">
        <v>8181</v>
      </c>
      <c r="C308" s="134" t="s">
        <v>8180</v>
      </c>
      <c r="D308" s="134" t="s">
        <v>4741</v>
      </c>
      <c r="E308" s="139">
        <v>6.45</v>
      </c>
      <c r="F308" s="134" t="s">
        <v>4740</v>
      </c>
      <c r="G308" s="134" t="s">
        <v>3007</v>
      </c>
      <c r="H308" s="123">
        <v>4088</v>
      </c>
    </row>
    <row r="309" spans="1:8" x14ac:dyDescent="0.25">
      <c r="A309" s="134" t="s">
        <v>8177</v>
      </c>
      <c r="B309" s="134" t="s">
        <v>8179</v>
      </c>
      <c r="C309" s="134" t="s">
        <v>8178</v>
      </c>
      <c r="D309" s="134" t="s">
        <v>4937</v>
      </c>
      <c r="E309" s="139">
        <v>2.81</v>
      </c>
      <c r="F309" s="134" t="s">
        <v>4936</v>
      </c>
      <c r="G309" s="134" t="s">
        <v>3007</v>
      </c>
      <c r="H309" s="123">
        <v>4089</v>
      </c>
    </row>
    <row r="310" spans="1:8" ht="31.5" x14ac:dyDescent="0.25">
      <c r="A310" s="134" t="s">
        <v>8177</v>
      </c>
      <c r="B310" s="134" t="s">
        <v>8176</v>
      </c>
      <c r="C310" s="134" t="s">
        <v>8175</v>
      </c>
      <c r="D310" s="134" t="s">
        <v>8174</v>
      </c>
      <c r="E310" s="139">
        <v>25.69</v>
      </c>
      <c r="F310" s="134" t="s">
        <v>8173</v>
      </c>
      <c r="G310" s="134" t="s">
        <v>3007</v>
      </c>
      <c r="H310" s="123">
        <v>4090</v>
      </c>
    </row>
    <row r="311" spans="1:8" x14ac:dyDescent="0.25">
      <c r="A311" s="134" t="s">
        <v>8114</v>
      </c>
      <c r="B311" s="134" t="s">
        <v>8172</v>
      </c>
      <c r="C311" s="134" t="s">
        <v>8171</v>
      </c>
      <c r="D311" s="134" t="s">
        <v>4893</v>
      </c>
      <c r="E311" s="139">
        <v>14.11</v>
      </c>
      <c r="F311" s="134" t="s">
        <v>4892</v>
      </c>
      <c r="G311" s="134" t="s">
        <v>3007</v>
      </c>
      <c r="H311" s="123">
        <v>4110</v>
      </c>
    </row>
    <row r="312" spans="1:8" x14ac:dyDescent="0.25">
      <c r="A312" s="134" t="s">
        <v>8114</v>
      </c>
      <c r="B312" s="134" t="s">
        <v>8170</v>
      </c>
      <c r="C312" s="134" t="s">
        <v>8169</v>
      </c>
      <c r="D312" s="134" t="s">
        <v>8168</v>
      </c>
      <c r="E312" s="139">
        <v>4.84</v>
      </c>
      <c r="F312" s="134" t="s">
        <v>8167</v>
      </c>
      <c r="G312" s="134" t="s">
        <v>3007</v>
      </c>
      <c r="H312" s="123">
        <v>4111</v>
      </c>
    </row>
    <row r="313" spans="1:8" ht="31.5" x14ac:dyDescent="0.25">
      <c r="A313" s="134" t="s">
        <v>8114</v>
      </c>
      <c r="B313" s="134" t="s">
        <v>8166</v>
      </c>
      <c r="C313" s="134" t="s">
        <v>8165</v>
      </c>
      <c r="D313" s="134" t="s">
        <v>4971</v>
      </c>
      <c r="E313" s="139">
        <v>3.48</v>
      </c>
      <c r="F313" s="134" t="s">
        <v>4970</v>
      </c>
      <c r="G313" s="134" t="s">
        <v>3007</v>
      </c>
      <c r="H313" s="123">
        <v>4112</v>
      </c>
    </row>
    <row r="314" spans="1:8" ht="31.5" x14ac:dyDescent="0.25">
      <c r="A314" s="134" t="s">
        <v>8114</v>
      </c>
      <c r="B314" s="134" t="s">
        <v>8164</v>
      </c>
      <c r="C314" s="134" t="s">
        <v>8163</v>
      </c>
      <c r="D314" s="134" t="s">
        <v>3143</v>
      </c>
      <c r="E314" s="139">
        <v>3.88</v>
      </c>
      <c r="F314" s="134" t="s">
        <v>3142</v>
      </c>
      <c r="G314" s="134" t="s">
        <v>3007</v>
      </c>
      <c r="H314" s="123">
        <v>4113</v>
      </c>
    </row>
    <row r="315" spans="1:8" ht="31.5" x14ac:dyDescent="0.25">
      <c r="A315" s="134" t="s">
        <v>8114</v>
      </c>
      <c r="B315" s="134" t="s">
        <v>8162</v>
      </c>
      <c r="C315" s="134" t="s">
        <v>8161</v>
      </c>
      <c r="D315" s="134" t="s">
        <v>3146</v>
      </c>
      <c r="E315" s="139">
        <v>4.09</v>
      </c>
      <c r="F315" s="134" t="s">
        <v>3142</v>
      </c>
      <c r="G315" s="134" t="s">
        <v>3007</v>
      </c>
      <c r="H315" s="123">
        <v>4114</v>
      </c>
    </row>
    <row r="316" spans="1:8" ht="31.5" x14ac:dyDescent="0.25">
      <c r="A316" s="134" t="s">
        <v>8114</v>
      </c>
      <c r="B316" s="134" t="s">
        <v>8160</v>
      </c>
      <c r="C316" s="134" t="s">
        <v>8159</v>
      </c>
      <c r="D316" s="134" t="s">
        <v>7169</v>
      </c>
      <c r="E316" s="139">
        <v>1.75</v>
      </c>
      <c r="F316" s="134" t="s">
        <v>7168</v>
      </c>
      <c r="G316" s="134" t="s">
        <v>3007</v>
      </c>
      <c r="H316" s="123">
        <v>4115</v>
      </c>
    </row>
    <row r="317" spans="1:8" x14ac:dyDescent="0.25">
      <c r="A317" s="134" t="s">
        <v>8114</v>
      </c>
      <c r="B317" s="134" t="s">
        <v>8158</v>
      </c>
      <c r="C317" s="134" t="s">
        <v>8157</v>
      </c>
      <c r="D317" s="134" t="s">
        <v>8156</v>
      </c>
      <c r="E317" s="139">
        <v>42.25</v>
      </c>
      <c r="F317" s="134" t="s">
        <v>8155</v>
      </c>
      <c r="G317" s="134" t="s">
        <v>3007</v>
      </c>
      <c r="H317" s="123">
        <v>4116</v>
      </c>
    </row>
    <row r="318" spans="1:8" x14ac:dyDescent="0.25">
      <c r="A318" s="134" t="s">
        <v>8114</v>
      </c>
      <c r="B318" s="134" t="s">
        <v>3765</v>
      </c>
      <c r="C318" s="134" t="s">
        <v>8154</v>
      </c>
      <c r="D318" s="134" t="s">
        <v>8153</v>
      </c>
      <c r="E318" s="139">
        <v>17.5</v>
      </c>
      <c r="F318" s="134" t="s">
        <v>8152</v>
      </c>
      <c r="G318" s="134" t="s">
        <v>3007</v>
      </c>
      <c r="H318" s="123">
        <v>4117</v>
      </c>
    </row>
    <row r="319" spans="1:8" x14ac:dyDescent="0.25">
      <c r="A319" s="134" t="s">
        <v>8114</v>
      </c>
      <c r="B319" s="134" t="s">
        <v>8151</v>
      </c>
      <c r="C319" s="134" t="s">
        <v>8150</v>
      </c>
      <c r="D319" s="134" t="s">
        <v>4712</v>
      </c>
      <c r="E319" s="139">
        <v>2.68</v>
      </c>
      <c r="F319" s="134" t="s">
        <v>4711</v>
      </c>
      <c r="G319" s="134" t="s">
        <v>3007</v>
      </c>
      <c r="H319" s="123">
        <v>4118</v>
      </c>
    </row>
    <row r="320" spans="1:8" x14ac:dyDescent="0.25">
      <c r="A320" s="134" t="s">
        <v>8114</v>
      </c>
      <c r="B320" s="134" t="s">
        <v>8149</v>
      </c>
      <c r="C320" s="134" t="s">
        <v>8148</v>
      </c>
      <c r="D320" s="134" t="s">
        <v>3495</v>
      </c>
      <c r="E320" s="139">
        <v>4.16</v>
      </c>
      <c r="F320" s="134" t="s">
        <v>3494</v>
      </c>
      <c r="G320" s="134" t="s">
        <v>3007</v>
      </c>
      <c r="H320" s="123">
        <v>4119</v>
      </c>
    </row>
    <row r="321" spans="1:8" x14ac:dyDescent="0.25">
      <c r="A321" s="134" t="s">
        <v>8114</v>
      </c>
      <c r="B321" s="134" t="s">
        <v>8147</v>
      </c>
      <c r="C321" s="134" t="s">
        <v>8146</v>
      </c>
      <c r="D321" s="134" t="s">
        <v>8145</v>
      </c>
      <c r="E321" s="139">
        <v>5.04</v>
      </c>
      <c r="F321" s="134" t="s">
        <v>8144</v>
      </c>
      <c r="G321" s="134" t="s">
        <v>3007</v>
      </c>
      <c r="H321" s="123">
        <v>4120</v>
      </c>
    </row>
    <row r="322" spans="1:8" x14ac:dyDescent="0.25">
      <c r="A322" s="134" t="s">
        <v>8114</v>
      </c>
      <c r="B322" s="134" t="s">
        <v>8143</v>
      </c>
      <c r="C322" s="134" t="s">
        <v>8142</v>
      </c>
      <c r="D322" s="134" t="s">
        <v>4799</v>
      </c>
      <c r="E322" s="139">
        <v>3.36</v>
      </c>
      <c r="F322" s="134" t="s">
        <v>4798</v>
      </c>
      <c r="G322" s="134" t="s">
        <v>3007</v>
      </c>
      <c r="H322" s="123">
        <v>4121</v>
      </c>
    </row>
    <row r="323" spans="1:8" x14ac:dyDescent="0.25">
      <c r="A323" s="134" t="s">
        <v>8114</v>
      </c>
      <c r="B323" s="134" t="s">
        <v>8141</v>
      </c>
      <c r="C323" s="134" t="s">
        <v>8140</v>
      </c>
      <c r="D323" s="134" t="s">
        <v>5178</v>
      </c>
      <c r="E323" s="139">
        <v>12.04</v>
      </c>
      <c r="F323" s="134" t="s">
        <v>5177</v>
      </c>
      <c r="G323" s="134" t="s">
        <v>3007</v>
      </c>
      <c r="H323" s="123">
        <v>4122</v>
      </c>
    </row>
    <row r="324" spans="1:8" x14ac:dyDescent="0.25">
      <c r="A324" s="134" t="s">
        <v>8114</v>
      </c>
      <c r="B324" s="134" t="s">
        <v>8139</v>
      </c>
      <c r="C324" s="134" t="s">
        <v>8138</v>
      </c>
      <c r="D324" s="134" t="s">
        <v>8137</v>
      </c>
      <c r="E324" s="139">
        <v>50.68</v>
      </c>
      <c r="F324" s="134" t="s">
        <v>8136</v>
      </c>
      <c r="G324" s="134" t="s">
        <v>3007</v>
      </c>
      <c r="H324" s="123">
        <v>4123</v>
      </c>
    </row>
    <row r="325" spans="1:8" x14ac:dyDescent="0.25">
      <c r="A325" s="134" t="s">
        <v>8114</v>
      </c>
      <c r="B325" s="134" t="s">
        <v>8135</v>
      </c>
      <c r="C325" s="134" t="s">
        <v>8134</v>
      </c>
      <c r="D325" s="134" t="s">
        <v>7733</v>
      </c>
      <c r="E325" s="139">
        <v>1.82</v>
      </c>
      <c r="F325" s="134" t="s">
        <v>7732</v>
      </c>
      <c r="G325" s="134" t="s">
        <v>3007</v>
      </c>
      <c r="H325" s="123">
        <v>4124</v>
      </c>
    </row>
    <row r="326" spans="1:8" x14ac:dyDescent="0.25">
      <c r="A326" s="134" t="s">
        <v>8114</v>
      </c>
      <c r="B326" s="134" t="s">
        <v>8133</v>
      </c>
      <c r="C326" s="134" t="s">
        <v>8132</v>
      </c>
      <c r="D326" s="134" t="s">
        <v>3993</v>
      </c>
      <c r="E326" s="139">
        <v>9.18</v>
      </c>
      <c r="F326" s="134" t="s">
        <v>3992</v>
      </c>
      <c r="G326" s="134" t="s">
        <v>3007</v>
      </c>
      <c r="H326" s="123">
        <v>4129</v>
      </c>
    </row>
    <row r="327" spans="1:8" x14ac:dyDescent="0.25">
      <c r="A327" s="134" t="s">
        <v>8114</v>
      </c>
      <c r="B327" s="134" t="s">
        <v>8131</v>
      </c>
      <c r="C327" s="134" t="s">
        <v>8130</v>
      </c>
      <c r="D327" s="134" t="s">
        <v>5072</v>
      </c>
      <c r="E327" s="139">
        <v>2.82</v>
      </c>
      <c r="F327" s="134" t="s">
        <v>5071</v>
      </c>
      <c r="G327" s="134" t="s">
        <v>3007</v>
      </c>
      <c r="H327" s="123">
        <v>4130</v>
      </c>
    </row>
    <row r="328" spans="1:8" x14ac:dyDescent="0.25">
      <c r="A328" s="134" t="s">
        <v>8114</v>
      </c>
      <c r="B328" s="134" t="s">
        <v>8129</v>
      </c>
      <c r="C328" s="134" t="s">
        <v>8128</v>
      </c>
      <c r="D328" s="134" t="s">
        <v>5717</v>
      </c>
      <c r="E328" s="139">
        <v>4.1900000000000004</v>
      </c>
      <c r="F328" s="134" t="s">
        <v>8125</v>
      </c>
      <c r="G328" s="134" t="s">
        <v>3007</v>
      </c>
      <c r="H328" s="123">
        <v>4132</v>
      </c>
    </row>
    <row r="329" spans="1:8" x14ac:dyDescent="0.25">
      <c r="A329" s="134" t="s">
        <v>8114</v>
      </c>
      <c r="B329" s="134" t="s">
        <v>8127</v>
      </c>
      <c r="C329" s="134" t="s">
        <v>8126</v>
      </c>
      <c r="D329" s="134" t="s">
        <v>5718</v>
      </c>
      <c r="E329" s="139">
        <v>4.1900000000000004</v>
      </c>
      <c r="F329" s="134" t="s">
        <v>8125</v>
      </c>
      <c r="G329" s="134" t="s">
        <v>3007</v>
      </c>
      <c r="H329" s="123">
        <v>4152</v>
      </c>
    </row>
    <row r="330" spans="1:8" x14ac:dyDescent="0.25">
      <c r="A330" s="134" t="s">
        <v>8114</v>
      </c>
      <c r="B330" s="134" t="s">
        <v>8124</v>
      </c>
      <c r="C330" s="134" t="s">
        <v>8123</v>
      </c>
      <c r="D330" s="134" t="s">
        <v>4835</v>
      </c>
      <c r="E330" s="139">
        <v>6.45</v>
      </c>
      <c r="F330" s="134" t="s">
        <v>4834</v>
      </c>
      <c r="G330" s="134" t="s">
        <v>3007</v>
      </c>
      <c r="H330" s="123">
        <v>4154</v>
      </c>
    </row>
    <row r="331" spans="1:8" x14ac:dyDescent="0.25">
      <c r="A331" s="134" t="s">
        <v>8114</v>
      </c>
      <c r="B331" s="134" t="s">
        <v>8122</v>
      </c>
      <c r="C331" s="134" t="s">
        <v>8121</v>
      </c>
      <c r="D331" s="134" t="s">
        <v>8120</v>
      </c>
      <c r="E331" s="139">
        <v>1</v>
      </c>
      <c r="F331" s="134" t="s">
        <v>8119</v>
      </c>
      <c r="G331" s="134" t="s">
        <v>3007</v>
      </c>
      <c r="H331" s="123">
        <v>4155</v>
      </c>
    </row>
    <row r="332" spans="1:8" x14ac:dyDescent="0.25">
      <c r="A332" s="134" t="s">
        <v>8114</v>
      </c>
      <c r="B332" s="134" t="s">
        <v>8118</v>
      </c>
      <c r="C332" s="134" t="s">
        <v>8117</v>
      </c>
      <c r="D332" s="134" t="s">
        <v>8116</v>
      </c>
      <c r="E332" s="139">
        <v>2.95</v>
      </c>
      <c r="F332" s="134" t="s">
        <v>8115</v>
      </c>
      <c r="G332" s="134" t="s">
        <v>3007</v>
      </c>
      <c r="H332" s="123">
        <v>4156</v>
      </c>
    </row>
    <row r="333" spans="1:8" ht="31.5" x14ac:dyDescent="0.25">
      <c r="A333" s="134" t="s">
        <v>8114</v>
      </c>
      <c r="B333" s="134" t="s">
        <v>8113</v>
      </c>
      <c r="C333" s="134" t="s">
        <v>8112</v>
      </c>
      <c r="D333" s="134" t="s">
        <v>5044</v>
      </c>
      <c r="E333" s="139">
        <v>10.45</v>
      </c>
      <c r="F333" s="134" t="s">
        <v>5043</v>
      </c>
      <c r="G333" s="134" t="s">
        <v>3007</v>
      </c>
      <c r="H333" s="123">
        <v>4157</v>
      </c>
    </row>
    <row r="334" spans="1:8" x14ac:dyDescent="0.25">
      <c r="A334" s="134" t="s">
        <v>8040</v>
      </c>
      <c r="B334" s="134" t="s">
        <v>8111</v>
      </c>
      <c r="C334" s="134" t="s">
        <v>8110</v>
      </c>
      <c r="D334" s="134" t="s">
        <v>4627</v>
      </c>
      <c r="E334" s="139">
        <v>1.71</v>
      </c>
      <c r="F334" s="134" t="s">
        <v>4626</v>
      </c>
      <c r="G334" s="134" t="s">
        <v>3007</v>
      </c>
      <c r="H334" s="123">
        <v>4184</v>
      </c>
    </row>
    <row r="335" spans="1:8" ht="31.5" x14ac:dyDescent="0.25">
      <c r="A335" s="134" t="s">
        <v>8040</v>
      </c>
      <c r="B335" s="134" t="s">
        <v>8109</v>
      </c>
      <c r="C335" s="134" t="s">
        <v>8108</v>
      </c>
      <c r="D335" s="134" t="s">
        <v>8107</v>
      </c>
      <c r="E335" s="139">
        <v>20.47</v>
      </c>
      <c r="F335" s="134" t="s">
        <v>8106</v>
      </c>
      <c r="G335" s="134" t="s">
        <v>3007</v>
      </c>
      <c r="H335" s="123">
        <v>4185</v>
      </c>
    </row>
    <row r="336" spans="1:8" x14ac:dyDescent="0.25">
      <c r="A336" s="134" t="s">
        <v>8040</v>
      </c>
      <c r="B336" s="134" t="s">
        <v>8105</v>
      </c>
      <c r="C336" s="134" t="s">
        <v>8104</v>
      </c>
      <c r="D336" s="134" t="s">
        <v>8103</v>
      </c>
      <c r="E336" s="139">
        <v>17.21</v>
      </c>
      <c r="F336" s="134" t="s">
        <v>8102</v>
      </c>
      <c r="G336" s="134" t="s">
        <v>3007</v>
      </c>
      <c r="H336" s="123">
        <v>4186</v>
      </c>
    </row>
    <row r="337" spans="1:8" x14ac:dyDescent="0.25">
      <c r="A337" s="134" t="s">
        <v>8040</v>
      </c>
      <c r="B337" s="134" t="s">
        <v>8101</v>
      </c>
      <c r="C337" s="134" t="s">
        <v>8100</v>
      </c>
      <c r="D337" s="134" t="s">
        <v>8099</v>
      </c>
      <c r="E337" s="139">
        <v>9.6300000000000008</v>
      </c>
      <c r="F337" s="134" t="s">
        <v>8098</v>
      </c>
      <c r="G337" s="134" t="s">
        <v>3007</v>
      </c>
      <c r="H337" s="123">
        <v>4187</v>
      </c>
    </row>
    <row r="338" spans="1:8" x14ac:dyDescent="0.25">
      <c r="A338" s="134" t="s">
        <v>8040</v>
      </c>
      <c r="B338" s="134" t="s">
        <v>8097</v>
      </c>
      <c r="C338" s="134" t="s">
        <v>8096</v>
      </c>
      <c r="D338" s="134" t="s">
        <v>8095</v>
      </c>
      <c r="E338" s="139">
        <v>0.21</v>
      </c>
      <c r="F338" s="134" t="s">
        <v>8094</v>
      </c>
      <c r="G338" s="134" t="s">
        <v>3007</v>
      </c>
      <c r="H338" s="123">
        <v>4188</v>
      </c>
    </row>
    <row r="339" spans="1:8" x14ac:dyDescent="0.25">
      <c r="A339" s="134" t="s">
        <v>8040</v>
      </c>
      <c r="B339" s="134" t="s">
        <v>8093</v>
      </c>
      <c r="C339" s="134" t="s">
        <v>8092</v>
      </c>
      <c r="D339" s="134" t="s">
        <v>5478</v>
      </c>
      <c r="E339" s="139">
        <v>2.64</v>
      </c>
      <c r="F339" s="134" t="s">
        <v>5477</v>
      </c>
      <c r="G339" s="134" t="s">
        <v>3007</v>
      </c>
      <c r="H339" s="123">
        <v>4189</v>
      </c>
    </row>
    <row r="340" spans="1:8" x14ac:dyDescent="0.25">
      <c r="A340" s="134" t="s">
        <v>8040</v>
      </c>
      <c r="B340" s="134" t="s">
        <v>8091</v>
      </c>
      <c r="C340" s="134" t="s">
        <v>8090</v>
      </c>
      <c r="D340" s="134" t="s">
        <v>8089</v>
      </c>
      <c r="E340" s="139">
        <v>5.04</v>
      </c>
      <c r="F340" s="134" t="s">
        <v>8088</v>
      </c>
      <c r="G340" s="134" t="s">
        <v>3007</v>
      </c>
      <c r="H340" s="123">
        <v>4190</v>
      </c>
    </row>
    <row r="341" spans="1:8" x14ac:dyDescent="0.25">
      <c r="A341" s="134" t="s">
        <v>8040</v>
      </c>
      <c r="B341" s="134" t="s">
        <v>8087</v>
      </c>
      <c r="C341" s="134" t="s">
        <v>8086</v>
      </c>
      <c r="D341" s="134" t="s">
        <v>3779</v>
      </c>
      <c r="E341" s="139">
        <v>4.93</v>
      </c>
      <c r="F341" s="134" t="s">
        <v>3778</v>
      </c>
      <c r="G341" s="134" t="s">
        <v>3007</v>
      </c>
      <c r="H341" s="123">
        <v>4191</v>
      </c>
    </row>
    <row r="342" spans="1:8" ht="31.5" x14ac:dyDescent="0.25">
      <c r="A342" s="134" t="s">
        <v>8040</v>
      </c>
      <c r="B342" s="134" t="s">
        <v>6063</v>
      </c>
      <c r="C342" s="134" t="s">
        <v>8085</v>
      </c>
      <c r="D342" s="134" t="s">
        <v>3900</v>
      </c>
      <c r="E342" s="139">
        <v>4.1900000000000004</v>
      </c>
      <c r="F342" s="134" t="s">
        <v>3899</v>
      </c>
      <c r="G342" s="134" t="s">
        <v>3007</v>
      </c>
      <c r="H342" s="123">
        <v>4192</v>
      </c>
    </row>
    <row r="343" spans="1:8" x14ac:dyDescent="0.25">
      <c r="A343" s="134" t="s">
        <v>8040</v>
      </c>
      <c r="B343" s="134" t="s">
        <v>8084</v>
      </c>
      <c r="C343" s="134" t="s">
        <v>8083</v>
      </c>
      <c r="D343" s="134" t="s">
        <v>5444</v>
      </c>
      <c r="E343" s="139">
        <v>3.39</v>
      </c>
      <c r="F343" s="134" t="s">
        <v>5443</v>
      </c>
      <c r="G343" s="134" t="s">
        <v>3007</v>
      </c>
      <c r="H343" s="123">
        <v>4193</v>
      </c>
    </row>
    <row r="344" spans="1:8" ht="31.5" x14ac:dyDescent="0.25">
      <c r="A344" s="134" t="s">
        <v>8040</v>
      </c>
      <c r="B344" s="134" t="s">
        <v>8082</v>
      </c>
      <c r="C344" s="134" t="s">
        <v>8081</v>
      </c>
      <c r="D344" s="134" t="s">
        <v>4457</v>
      </c>
      <c r="E344" s="139">
        <v>7.21</v>
      </c>
      <c r="F344" s="134" t="s">
        <v>4456</v>
      </c>
      <c r="G344" s="134" t="s">
        <v>3007</v>
      </c>
      <c r="H344" s="123">
        <v>4194</v>
      </c>
    </row>
    <row r="345" spans="1:8" ht="31.5" x14ac:dyDescent="0.25">
      <c r="A345" s="134" t="s">
        <v>8040</v>
      </c>
      <c r="B345" s="134" t="s">
        <v>8080</v>
      </c>
      <c r="C345" s="134" t="s">
        <v>8079</v>
      </c>
      <c r="D345" s="134" t="s">
        <v>8078</v>
      </c>
      <c r="E345" s="139">
        <v>5.05</v>
      </c>
      <c r="F345" s="134" t="s">
        <v>8077</v>
      </c>
      <c r="G345" s="134" t="s">
        <v>3007</v>
      </c>
      <c r="H345" s="123">
        <v>4195</v>
      </c>
    </row>
    <row r="346" spans="1:8" x14ac:dyDescent="0.25">
      <c r="A346" s="134" t="s">
        <v>8040</v>
      </c>
      <c r="B346" s="134" t="s">
        <v>8076</v>
      </c>
      <c r="C346" s="134" t="s">
        <v>8075</v>
      </c>
      <c r="D346" s="134" t="s">
        <v>3603</v>
      </c>
      <c r="E346" s="139">
        <v>6.53</v>
      </c>
      <c r="F346" s="134" t="s">
        <v>3602</v>
      </c>
      <c r="G346" s="134" t="s">
        <v>3007</v>
      </c>
      <c r="H346" s="123">
        <v>4196</v>
      </c>
    </row>
    <row r="347" spans="1:8" x14ac:dyDescent="0.25">
      <c r="A347" s="134" t="s">
        <v>8040</v>
      </c>
      <c r="B347" s="134" t="s">
        <v>8074</v>
      </c>
      <c r="C347" s="134" t="s">
        <v>8073</v>
      </c>
      <c r="D347" s="134" t="s">
        <v>6798</v>
      </c>
      <c r="E347" s="139">
        <v>6.41</v>
      </c>
      <c r="F347" s="134" t="s">
        <v>6797</v>
      </c>
      <c r="G347" s="134" t="s">
        <v>3007</v>
      </c>
      <c r="H347" s="123">
        <v>4197</v>
      </c>
    </row>
    <row r="348" spans="1:8" x14ac:dyDescent="0.25">
      <c r="A348" s="134" t="s">
        <v>8040</v>
      </c>
      <c r="B348" s="134" t="s">
        <v>8072</v>
      </c>
      <c r="C348" s="134" t="s">
        <v>8071</v>
      </c>
      <c r="D348" s="134" t="s">
        <v>8070</v>
      </c>
      <c r="E348" s="139">
        <v>8.36</v>
      </c>
      <c r="F348" s="134" t="s">
        <v>8069</v>
      </c>
      <c r="G348" s="134" t="s">
        <v>3007</v>
      </c>
      <c r="H348" s="123">
        <v>4198</v>
      </c>
    </row>
    <row r="349" spans="1:8" x14ac:dyDescent="0.25">
      <c r="A349" s="134" t="s">
        <v>8040</v>
      </c>
      <c r="B349" s="134" t="s">
        <v>8068</v>
      </c>
      <c r="C349" s="134" t="s">
        <v>8067</v>
      </c>
      <c r="D349" s="134" t="s">
        <v>8066</v>
      </c>
      <c r="E349" s="139">
        <v>25.23</v>
      </c>
      <c r="F349" s="134" t="s">
        <v>8065</v>
      </c>
      <c r="G349" s="134" t="s">
        <v>3007</v>
      </c>
      <c r="H349" s="123">
        <v>4199</v>
      </c>
    </row>
    <row r="350" spans="1:8" x14ac:dyDescent="0.25">
      <c r="A350" s="134" t="s">
        <v>8040</v>
      </c>
      <c r="B350" s="134" t="s">
        <v>8064</v>
      </c>
      <c r="C350" s="134" t="s">
        <v>8063</v>
      </c>
      <c r="D350" s="134" t="s">
        <v>5242</v>
      </c>
      <c r="E350" s="139">
        <v>6.09</v>
      </c>
      <c r="F350" s="134" t="s">
        <v>5241</v>
      </c>
      <c r="G350" s="134" t="s">
        <v>3007</v>
      </c>
      <c r="H350" s="123">
        <v>4200</v>
      </c>
    </row>
    <row r="351" spans="1:8" x14ac:dyDescent="0.25">
      <c r="A351" s="134" t="s">
        <v>8040</v>
      </c>
      <c r="B351" s="134" t="s">
        <v>3741</v>
      </c>
      <c r="C351" s="134" t="s">
        <v>8062</v>
      </c>
      <c r="D351" s="134" t="s">
        <v>4807</v>
      </c>
      <c r="E351" s="139">
        <v>10.9</v>
      </c>
      <c r="F351" s="134" t="s">
        <v>4806</v>
      </c>
      <c r="G351" s="134" t="s">
        <v>3007</v>
      </c>
      <c r="H351" s="123">
        <v>4201</v>
      </c>
    </row>
    <row r="352" spans="1:8" x14ac:dyDescent="0.25">
      <c r="A352" s="134" t="s">
        <v>8040</v>
      </c>
      <c r="B352" s="134" t="s">
        <v>8061</v>
      </c>
      <c r="C352" s="134" t="s">
        <v>8060</v>
      </c>
      <c r="D352" s="134" t="s">
        <v>6326</v>
      </c>
      <c r="E352" s="139">
        <v>3.08</v>
      </c>
      <c r="F352" s="134" t="s">
        <v>6325</v>
      </c>
      <c r="G352" s="134" t="s">
        <v>3007</v>
      </c>
      <c r="H352" s="123">
        <v>4202</v>
      </c>
    </row>
    <row r="353" spans="1:8" x14ac:dyDescent="0.25">
      <c r="A353" s="134" t="s">
        <v>8040</v>
      </c>
      <c r="B353" s="134" t="s">
        <v>8059</v>
      </c>
      <c r="C353" s="134" t="s">
        <v>8058</v>
      </c>
      <c r="D353" s="134" t="s">
        <v>8057</v>
      </c>
      <c r="E353" s="139">
        <v>13.45</v>
      </c>
      <c r="F353" s="134" t="s">
        <v>8056</v>
      </c>
      <c r="G353" s="134" t="s">
        <v>3007</v>
      </c>
      <c r="H353" s="123">
        <v>4203</v>
      </c>
    </row>
    <row r="354" spans="1:8" x14ac:dyDescent="0.25">
      <c r="A354" s="134" t="s">
        <v>8040</v>
      </c>
      <c r="B354" s="134" t="s">
        <v>8055</v>
      </c>
      <c r="C354" s="134" t="s">
        <v>8054</v>
      </c>
      <c r="D354" s="134" t="s">
        <v>4465</v>
      </c>
      <c r="E354" s="139">
        <v>2.67</v>
      </c>
      <c r="F354" s="134" t="s">
        <v>4464</v>
      </c>
      <c r="G354" s="134" t="s">
        <v>3007</v>
      </c>
      <c r="H354" s="123">
        <v>4204</v>
      </c>
    </row>
    <row r="355" spans="1:8" x14ac:dyDescent="0.25">
      <c r="A355" s="134" t="s">
        <v>8040</v>
      </c>
      <c r="B355" s="134" t="s">
        <v>8053</v>
      </c>
      <c r="C355" s="134" t="s">
        <v>8052</v>
      </c>
      <c r="D355" s="134" t="s">
        <v>4504</v>
      </c>
      <c r="E355" s="139">
        <v>0.6</v>
      </c>
      <c r="F355" s="134" t="s">
        <v>8051</v>
      </c>
      <c r="G355" s="134" t="s">
        <v>3007</v>
      </c>
      <c r="H355" s="123">
        <v>4205</v>
      </c>
    </row>
    <row r="356" spans="1:8" x14ac:dyDescent="0.25">
      <c r="A356" s="134" t="s">
        <v>8040</v>
      </c>
      <c r="B356" s="134" t="s">
        <v>8050</v>
      </c>
      <c r="C356" s="134" t="s">
        <v>8049</v>
      </c>
      <c r="D356" s="134" t="s">
        <v>5214</v>
      </c>
      <c r="E356" s="139">
        <v>6.94</v>
      </c>
      <c r="F356" s="134" t="s">
        <v>5213</v>
      </c>
      <c r="G356" s="134" t="s">
        <v>3007</v>
      </c>
      <c r="H356" s="123">
        <v>4206</v>
      </c>
    </row>
    <row r="357" spans="1:8" x14ac:dyDescent="0.25">
      <c r="A357" s="134" t="s">
        <v>8040</v>
      </c>
      <c r="B357" s="134" t="s">
        <v>8048</v>
      </c>
      <c r="C357" s="134" t="s">
        <v>8047</v>
      </c>
      <c r="D357" s="134" t="s">
        <v>3723</v>
      </c>
      <c r="E357" s="139">
        <v>8.3800000000000008</v>
      </c>
      <c r="F357" s="134" t="s">
        <v>3722</v>
      </c>
      <c r="G357" s="134" t="s">
        <v>3007</v>
      </c>
      <c r="H357" s="123">
        <v>4207</v>
      </c>
    </row>
    <row r="358" spans="1:8" ht="31.5" x14ac:dyDescent="0.25">
      <c r="A358" s="134" t="s">
        <v>8040</v>
      </c>
      <c r="B358" s="134" t="s">
        <v>8046</v>
      </c>
      <c r="C358" s="134" t="s">
        <v>8045</v>
      </c>
      <c r="D358" s="134" t="s">
        <v>5562</v>
      </c>
      <c r="E358" s="139">
        <v>4.18</v>
      </c>
      <c r="F358" s="134" t="s">
        <v>5561</v>
      </c>
      <c r="G358" s="134" t="s">
        <v>3007</v>
      </c>
      <c r="H358" s="123">
        <v>4208</v>
      </c>
    </row>
    <row r="359" spans="1:8" x14ac:dyDescent="0.25">
      <c r="A359" s="134" t="s">
        <v>8040</v>
      </c>
      <c r="B359" s="134" t="s">
        <v>8044</v>
      </c>
      <c r="C359" s="134" t="s">
        <v>8043</v>
      </c>
      <c r="D359" s="134" t="s">
        <v>5226</v>
      </c>
      <c r="E359" s="139">
        <v>3.6</v>
      </c>
      <c r="F359" s="134" t="s">
        <v>5225</v>
      </c>
      <c r="G359" s="134" t="s">
        <v>3007</v>
      </c>
      <c r="H359" s="123">
        <v>4209</v>
      </c>
    </row>
    <row r="360" spans="1:8" x14ac:dyDescent="0.25">
      <c r="A360" s="134" t="s">
        <v>8040</v>
      </c>
      <c r="B360" s="134" t="s">
        <v>8042</v>
      </c>
      <c r="C360" s="134" t="s">
        <v>8041</v>
      </c>
      <c r="D360" s="134" t="s">
        <v>3207</v>
      </c>
      <c r="E360" s="139">
        <v>1.9</v>
      </c>
      <c r="F360" s="134" t="s">
        <v>3206</v>
      </c>
      <c r="G360" s="134" t="s">
        <v>3007</v>
      </c>
      <c r="H360" s="123">
        <v>4210</v>
      </c>
    </row>
    <row r="361" spans="1:8" x14ac:dyDescent="0.25">
      <c r="A361" s="134" t="s">
        <v>8040</v>
      </c>
      <c r="B361" s="134" t="s">
        <v>8039</v>
      </c>
      <c r="C361" s="134" t="s">
        <v>8038</v>
      </c>
      <c r="D361" s="134" t="s">
        <v>8037</v>
      </c>
      <c r="E361" s="139">
        <v>10.130000000000001</v>
      </c>
      <c r="F361" s="134" t="s">
        <v>8036</v>
      </c>
      <c r="G361" s="134" t="s">
        <v>3007</v>
      </c>
      <c r="H361" s="123">
        <v>4211</v>
      </c>
    </row>
    <row r="362" spans="1:8" s="200" customFormat="1" x14ac:dyDescent="0.25">
      <c r="A362" s="198"/>
      <c r="B362" s="198"/>
      <c r="C362" s="198" t="s">
        <v>5691</v>
      </c>
      <c r="D362" s="198" t="s">
        <v>14409</v>
      </c>
      <c r="E362" s="199">
        <f>SUM(E191:E361)</f>
        <v>1334.890000000001</v>
      </c>
      <c r="F362" s="198"/>
      <c r="G362" s="198"/>
      <c r="H362" s="172"/>
    </row>
    <row r="363" spans="1:8" s="176" customFormat="1" x14ac:dyDescent="0.25">
      <c r="A363" s="177"/>
      <c r="B363" s="177"/>
      <c r="C363" s="177"/>
      <c r="D363" s="177"/>
      <c r="E363" s="181"/>
      <c r="F363" s="177"/>
      <c r="G363" s="177"/>
      <c r="H363" s="172"/>
    </row>
    <row r="364" spans="1:8" x14ac:dyDescent="0.25">
      <c r="A364" s="134" t="s">
        <v>7944</v>
      </c>
      <c r="B364" s="134" t="s">
        <v>8035</v>
      </c>
      <c r="C364" s="134" t="s">
        <v>8034</v>
      </c>
      <c r="D364" s="134" t="s">
        <v>8033</v>
      </c>
      <c r="E364" s="139">
        <v>15.68</v>
      </c>
      <c r="F364" s="134" t="s">
        <v>8032</v>
      </c>
      <c r="G364" s="134" t="s">
        <v>3007</v>
      </c>
      <c r="H364" s="123">
        <v>4250</v>
      </c>
    </row>
    <row r="365" spans="1:8" x14ac:dyDescent="0.25">
      <c r="A365" s="134" t="s">
        <v>7944</v>
      </c>
      <c r="B365" s="134" t="s">
        <v>8031</v>
      </c>
      <c r="C365" s="134" t="s">
        <v>8030</v>
      </c>
      <c r="D365" s="134" t="s">
        <v>5147</v>
      </c>
      <c r="E365" s="139">
        <v>5.51</v>
      </c>
      <c r="F365" s="134" t="s">
        <v>5146</v>
      </c>
      <c r="G365" s="134" t="s">
        <v>3007</v>
      </c>
      <c r="H365" s="123">
        <v>4251</v>
      </c>
    </row>
    <row r="366" spans="1:8" ht="31.5" x14ac:dyDescent="0.25">
      <c r="A366" s="134" t="s">
        <v>7944</v>
      </c>
      <c r="B366" s="134" t="s">
        <v>8029</v>
      </c>
      <c r="C366" s="134" t="s">
        <v>8028</v>
      </c>
      <c r="D366" s="134" t="s">
        <v>8027</v>
      </c>
      <c r="E366" s="139">
        <v>12.96</v>
      </c>
      <c r="F366" s="134" t="s">
        <v>8026</v>
      </c>
      <c r="G366" s="134" t="s">
        <v>3007</v>
      </c>
      <c r="H366" s="123">
        <v>4252</v>
      </c>
    </row>
    <row r="367" spans="1:8" x14ac:dyDescent="0.25">
      <c r="A367" s="134" t="s">
        <v>7944</v>
      </c>
      <c r="B367" s="134" t="s">
        <v>8025</v>
      </c>
      <c r="C367" s="134" t="s">
        <v>8024</v>
      </c>
      <c r="D367" s="134" t="s">
        <v>8023</v>
      </c>
      <c r="E367" s="139">
        <v>9.2100000000000009</v>
      </c>
      <c r="F367" s="134" t="s">
        <v>8022</v>
      </c>
      <c r="G367" s="134" t="s">
        <v>3007</v>
      </c>
      <c r="H367" s="123">
        <v>4253</v>
      </c>
    </row>
    <row r="368" spans="1:8" x14ac:dyDescent="0.25">
      <c r="A368" s="134" t="s">
        <v>7944</v>
      </c>
      <c r="B368" s="134" t="s">
        <v>8021</v>
      </c>
      <c r="C368" s="134" t="s">
        <v>8020</v>
      </c>
      <c r="D368" s="134" t="s">
        <v>3074</v>
      </c>
      <c r="E368" s="139">
        <v>3.55</v>
      </c>
      <c r="F368" s="134" t="s">
        <v>3073</v>
      </c>
      <c r="G368" s="134" t="s">
        <v>3007</v>
      </c>
      <c r="H368" s="123">
        <v>4254</v>
      </c>
    </row>
    <row r="369" spans="1:8" ht="31.5" x14ac:dyDescent="0.25">
      <c r="A369" s="134" t="s">
        <v>7944</v>
      </c>
      <c r="B369" s="134" t="s">
        <v>8019</v>
      </c>
      <c r="C369" s="134" t="s">
        <v>8018</v>
      </c>
      <c r="D369" s="134" t="s">
        <v>4233</v>
      </c>
      <c r="E369" s="139">
        <v>3.36</v>
      </c>
      <c r="F369" s="134" t="s">
        <v>4232</v>
      </c>
      <c r="G369" s="134" t="s">
        <v>3007</v>
      </c>
      <c r="H369" s="123">
        <v>4255</v>
      </c>
    </row>
    <row r="370" spans="1:8" x14ac:dyDescent="0.25">
      <c r="A370" s="134" t="s">
        <v>7944</v>
      </c>
      <c r="B370" s="134" t="s">
        <v>8017</v>
      </c>
      <c r="C370" s="134" t="s">
        <v>8016</v>
      </c>
      <c r="D370" s="134" t="s">
        <v>3623</v>
      </c>
      <c r="E370" s="139">
        <v>8.5</v>
      </c>
      <c r="F370" s="134" t="s">
        <v>3622</v>
      </c>
      <c r="G370" s="134" t="s">
        <v>3007</v>
      </c>
      <c r="H370" s="123">
        <v>4256</v>
      </c>
    </row>
    <row r="371" spans="1:8" ht="31.5" x14ac:dyDescent="0.25">
      <c r="A371" s="134" t="s">
        <v>7944</v>
      </c>
      <c r="B371" s="134" t="s">
        <v>8015</v>
      </c>
      <c r="C371" s="134" t="s">
        <v>8014</v>
      </c>
      <c r="D371" s="134" t="s">
        <v>7133</v>
      </c>
      <c r="E371" s="139">
        <v>2.81</v>
      </c>
      <c r="F371" s="134" t="s">
        <v>7132</v>
      </c>
      <c r="G371" s="134" t="s">
        <v>3007</v>
      </c>
      <c r="H371" s="123">
        <v>4257</v>
      </c>
    </row>
    <row r="372" spans="1:8" ht="31.5" x14ac:dyDescent="0.25">
      <c r="A372" s="134" t="s">
        <v>7944</v>
      </c>
      <c r="B372" s="134" t="s">
        <v>8013</v>
      </c>
      <c r="C372" s="134" t="s">
        <v>8012</v>
      </c>
      <c r="D372" s="134" t="s">
        <v>8011</v>
      </c>
      <c r="E372" s="139">
        <v>6.96</v>
      </c>
      <c r="F372" s="134" t="s">
        <v>8010</v>
      </c>
      <c r="G372" s="134" t="s">
        <v>3007</v>
      </c>
      <c r="H372" s="123">
        <v>4258</v>
      </c>
    </row>
    <row r="373" spans="1:8" x14ac:dyDescent="0.25">
      <c r="A373" s="134" t="s">
        <v>7944</v>
      </c>
      <c r="B373" s="134" t="s">
        <v>8009</v>
      </c>
      <c r="C373" s="134" t="s">
        <v>8008</v>
      </c>
      <c r="D373" s="134" t="s">
        <v>8007</v>
      </c>
      <c r="E373" s="139">
        <v>2.54</v>
      </c>
      <c r="F373" s="134" t="s">
        <v>8006</v>
      </c>
      <c r="G373" s="134" t="s">
        <v>3007</v>
      </c>
      <c r="H373" s="123">
        <v>4259</v>
      </c>
    </row>
    <row r="374" spans="1:8" x14ac:dyDescent="0.25">
      <c r="A374" s="134" t="s">
        <v>7944</v>
      </c>
      <c r="B374" s="134" t="s">
        <v>5120</v>
      </c>
      <c r="C374" s="134" t="s">
        <v>8005</v>
      </c>
      <c r="D374" s="134" t="s">
        <v>5638</v>
      </c>
      <c r="E374" s="139">
        <v>3.62</v>
      </c>
      <c r="F374" s="134" t="s">
        <v>5637</v>
      </c>
      <c r="G374" s="134" t="s">
        <v>3007</v>
      </c>
      <c r="H374" s="123">
        <v>4260</v>
      </c>
    </row>
    <row r="375" spans="1:8" x14ac:dyDescent="0.25">
      <c r="A375" s="134" t="s">
        <v>7944</v>
      </c>
      <c r="B375" s="134" t="s">
        <v>8004</v>
      </c>
      <c r="C375" s="134" t="s">
        <v>8003</v>
      </c>
      <c r="D375" s="134" t="s">
        <v>4184</v>
      </c>
      <c r="E375" s="139">
        <v>6.09</v>
      </c>
      <c r="F375" s="134" t="s">
        <v>4183</v>
      </c>
      <c r="G375" s="134" t="s">
        <v>3007</v>
      </c>
      <c r="H375" s="123">
        <v>4261</v>
      </c>
    </row>
    <row r="376" spans="1:8" x14ac:dyDescent="0.25">
      <c r="A376" s="134" t="s">
        <v>7944</v>
      </c>
      <c r="B376" s="134" t="s">
        <v>8002</v>
      </c>
      <c r="C376" s="134" t="s">
        <v>8001</v>
      </c>
      <c r="D376" s="134" t="s">
        <v>5277</v>
      </c>
      <c r="E376" s="139">
        <v>0.09</v>
      </c>
      <c r="F376" s="134" t="s">
        <v>5276</v>
      </c>
      <c r="G376" s="134" t="s">
        <v>3007</v>
      </c>
      <c r="H376" s="123" t="s">
        <v>8000</v>
      </c>
    </row>
    <row r="377" spans="1:8" x14ac:dyDescent="0.25">
      <c r="A377" s="134" t="s">
        <v>7944</v>
      </c>
      <c r="B377" s="134" t="s">
        <v>7999</v>
      </c>
      <c r="C377" s="134" t="s">
        <v>7998</v>
      </c>
      <c r="D377" s="134" t="s">
        <v>7997</v>
      </c>
      <c r="E377" s="139">
        <v>1.68</v>
      </c>
      <c r="F377" s="134" t="s">
        <v>7996</v>
      </c>
      <c r="G377" s="134" t="s">
        <v>3007</v>
      </c>
      <c r="H377" s="123">
        <v>4262</v>
      </c>
    </row>
    <row r="378" spans="1:8" ht="31.5" x14ac:dyDescent="0.25">
      <c r="A378" s="134" t="s">
        <v>7944</v>
      </c>
      <c r="B378" s="134" t="s">
        <v>7995</v>
      </c>
      <c r="C378" s="134" t="s">
        <v>7994</v>
      </c>
      <c r="D378" s="134" t="s">
        <v>7993</v>
      </c>
      <c r="E378" s="139">
        <v>6.88</v>
      </c>
      <c r="F378" s="134" t="s">
        <v>7992</v>
      </c>
      <c r="G378" s="134" t="s">
        <v>3007</v>
      </c>
      <c r="H378" s="123">
        <v>4263</v>
      </c>
    </row>
    <row r="379" spans="1:8" x14ac:dyDescent="0.25">
      <c r="A379" s="134" t="s">
        <v>7944</v>
      </c>
      <c r="B379" s="134" t="s">
        <v>7991</v>
      </c>
      <c r="C379" s="134" t="s">
        <v>7990</v>
      </c>
      <c r="D379" s="134" t="s">
        <v>7989</v>
      </c>
      <c r="E379" s="139">
        <v>2.7</v>
      </c>
      <c r="F379" s="134" t="s">
        <v>7988</v>
      </c>
      <c r="G379" s="134" t="s">
        <v>3007</v>
      </c>
      <c r="H379" s="123">
        <v>4264</v>
      </c>
    </row>
    <row r="380" spans="1:8" ht="31.5" x14ac:dyDescent="0.25">
      <c r="A380" s="134" t="s">
        <v>7944</v>
      </c>
      <c r="B380" s="134" t="s">
        <v>7987</v>
      </c>
      <c r="C380" s="134" t="s">
        <v>7986</v>
      </c>
      <c r="D380" s="134" t="s">
        <v>7985</v>
      </c>
      <c r="E380" s="139">
        <v>9.1</v>
      </c>
      <c r="F380" s="134" t="s">
        <v>7984</v>
      </c>
      <c r="G380" s="134" t="s">
        <v>3007</v>
      </c>
      <c r="H380" s="123">
        <v>4265</v>
      </c>
    </row>
    <row r="381" spans="1:8" x14ac:dyDescent="0.25">
      <c r="A381" s="134" t="s">
        <v>7944</v>
      </c>
      <c r="B381" s="134" t="s">
        <v>7983</v>
      </c>
      <c r="C381" s="134" t="s">
        <v>7982</v>
      </c>
      <c r="D381" s="134" t="s">
        <v>3635</v>
      </c>
      <c r="E381" s="139">
        <v>6.94</v>
      </c>
      <c r="F381" s="134" t="s">
        <v>3634</v>
      </c>
      <c r="G381" s="134" t="s">
        <v>3007</v>
      </c>
      <c r="H381" s="123">
        <v>4266</v>
      </c>
    </row>
    <row r="382" spans="1:8" ht="31.5" x14ac:dyDescent="0.25">
      <c r="A382" s="134" t="s">
        <v>7944</v>
      </c>
      <c r="B382" s="134" t="s">
        <v>7981</v>
      </c>
      <c r="C382" s="134" t="s">
        <v>7980</v>
      </c>
      <c r="D382" s="134" t="s">
        <v>7979</v>
      </c>
      <c r="E382" s="139">
        <v>1.68</v>
      </c>
      <c r="F382" s="134" t="s">
        <v>7978</v>
      </c>
      <c r="G382" s="134" t="s">
        <v>3007</v>
      </c>
      <c r="H382" s="123">
        <v>4267</v>
      </c>
    </row>
    <row r="383" spans="1:8" x14ac:dyDescent="0.25">
      <c r="A383" s="134" t="s">
        <v>7944</v>
      </c>
      <c r="B383" s="134" t="s">
        <v>7977</v>
      </c>
      <c r="C383" s="134" t="s">
        <v>7976</v>
      </c>
      <c r="D383" s="134" t="s">
        <v>4631</v>
      </c>
      <c r="E383" s="139">
        <v>6.11</v>
      </c>
      <c r="F383" s="134" t="s">
        <v>4630</v>
      </c>
      <c r="G383" s="134" t="s">
        <v>3007</v>
      </c>
      <c r="H383" s="123">
        <v>4268</v>
      </c>
    </row>
    <row r="384" spans="1:8" x14ac:dyDescent="0.25">
      <c r="A384" s="134" t="s">
        <v>7944</v>
      </c>
      <c r="B384" s="134" t="s">
        <v>7351</v>
      </c>
      <c r="C384" s="134" t="s">
        <v>7975</v>
      </c>
      <c r="D384" s="134" t="s">
        <v>7974</v>
      </c>
      <c r="E384" s="139">
        <v>6.44</v>
      </c>
      <c r="F384" s="134" t="s">
        <v>7973</v>
      </c>
      <c r="G384" s="134" t="s">
        <v>3007</v>
      </c>
      <c r="H384" s="123">
        <v>4269</v>
      </c>
    </row>
    <row r="385" spans="1:8" x14ac:dyDescent="0.25">
      <c r="A385" s="134" t="s">
        <v>7944</v>
      </c>
      <c r="B385" s="134" t="s">
        <v>7972</v>
      </c>
      <c r="C385" s="134" t="s">
        <v>7971</v>
      </c>
      <c r="D385" s="134" t="s">
        <v>4979</v>
      </c>
      <c r="E385" s="139">
        <v>8.94</v>
      </c>
      <c r="F385" s="134" t="s">
        <v>4978</v>
      </c>
      <c r="G385" s="134" t="s">
        <v>3007</v>
      </c>
      <c r="H385" s="123">
        <v>4270</v>
      </c>
    </row>
    <row r="386" spans="1:8" x14ac:dyDescent="0.25">
      <c r="A386" s="134" t="s">
        <v>7944</v>
      </c>
      <c r="B386" s="134" t="s">
        <v>7970</v>
      </c>
      <c r="C386" s="134" t="s">
        <v>7969</v>
      </c>
      <c r="D386" s="134" t="s">
        <v>3337</v>
      </c>
      <c r="E386" s="139">
        <v>0.37</v>
      </c>
      <c r="F386" s="134" t="s">
        <v>3336</v>
      </c>
      <c r="G386" s="134" t="s">
        <v>3007</v>
      </c>
      <c r="H386" s="123">
        <v>4271</v>
      </c>
    </row>
    <row r="387" spans="1:8" x14ac:dyDescent="0.25">
      <c r="A387" s="134" t="s">
        <v>7944</v>
      </c>
      <c r="B387" s="134" t="s">
        <v>7968</v>
      </c>
      <c r="C387" s="134" t="s">
        <v>7967</v>
      </c>
      <c r="D387" s="134" t="s">
        <v>7966</v>
      </c>
      <c r="E387" s="139">
        <v>3.9</v>
      </c>
      <c r="F387" s="134" t="s">
        <v>7965</v>
      </c>
      <c r="G387" s="134" t="s">
        <v>3007</v>
      </c>
      <c r="H387" s="123">
        <v>4272</v>
      </c>
    </row>
    <row r="388" spans="1:8" x14ac:dyDescent="0.25">
      <c r="A388" s="134" t="s">
        <v>7944</v>
      </c>
      <c r="B388" s="134" t="s">
        <v>7964</v>
      </c>
      <c r="C388" s="134" t="s">
        <v>7963</v>
      </c>
      <c r="D388" s="134" t="s">
        <v>7962</v>
      </c>
      <c r="E388" s="139">
        <v>5.29</v>
      </c>
      <c r="F388" s="134" t="s">
        <v>7961</v>
      </c>
      <c r="G388" s="134" t="s">
        <v>3007</v>
      </c>
      <c r="H388" s="123">
        <v>4273</v>
      </c>
    </row>
    <row r="389" spans="1:8" x14ac:dyDescent="0.25">
      <c r="A389" s="134" t="s">
        <v>7944</v>
      </c>
      <c r="B389" s="134" t="s">
        <v>7960</v>
      </c>
      <c r="C389" s="134" t="s">
        <v>7959</v>
      </c>
      <c r="D389" s="134" t="s">
        <v>7316</v>
      </c>
      <c r="E389" s="139">
        <v>4.1100000000000003</v>
      </c>
      <c r="F389" s="134" t="s">
        <v>7315</v>
      </c>
      <c r="G389" s="134" t="s">
        <v>3007</v>
      </c>
      <c r="H389" s="123">
        <v>4274</v>
      </c>
    </row>
    <row r="390" spans="1:8" x14ac:dyDescent="0.25">
      <c r="A390" s="134" t="s">
        <v>7944</v>
      </c>
      <c r="B390" s="134" t="s">
        <v>7958</v>
      </c>
      <c r="C390" s="134" t="s">
        <v>7957</v>
      </c>
      <c r="D390" s="134" t="s">
        <v>7956</v>
      </c>
      <c r="E390" s="139">
        <v>2.34</v>
      </c>
      <c r="F390" s="134" t="s">
        <v>7955</v>
      </c>
      <c r="G390" s="134" t="s">
        <v>3007</v>
      </c>
      <c r="H390" s="123">
        <v>4275</v>
      </c>
    </row>
    <row r="391" spans="1:8" ht="31.5" x14ac:dyDescent="0.25">
      <c r="A391" s="134" t="s">
        <v>7944</v>
      </c>
      <c r="B391" s="134" t="s">
        <v>7954</v>
      </c>
      <c r="C391" s="134" t="s">
        <v>7953</v>
      </c>
      <c r="D391" s="134" t="s">
        <v>4716</v>
      </c>
      <c r="E391" s="139">
        <v>3.41</v>
      </c>
      <c r="F391" s="134" t="s">
        <v>4715</v>
      </c>
      <c r="G391" s="134" t="s">
        <v>3007</v>
      </c>
      <c r="H391" s="123">
        <v>4276</v>
      </c>
    </row>
    <row r="392" spans="1:8" ht="31.5" x14ac:dyDescent="0.25">
      <c r="A392" s="134" t="s">
        <v>7944</v>
      </c>
      <c r="B392" s="134" t="s">
        <v>7952</v>
      </c>
      <c r="C392" s="134" t="s">
        <v>7951</v>
      </c>
      <c r="D392" s="134" t="s">
        <v>5265</v>
      </c>
      <c r="E392" s="139">
        <v>5.89</v>
      </c>
      <c r="F392" s="134" t="s">
        <v>5264</v>
      </c>
      <c r="G392" s="134" t="s">
        <v>3007</v>
      </c>
      <c r="H392" s="123">
        <v>4277</v>
      </c>
    </row>
    <row r="393" spans="1:8" x14ac:dyDescent="0.25">
      <c r="A393" s="134" t="s">
        <v>7944</v>
      </c>
      <c r="B393" s="134" t="s">
        <v>7950</v>
      </c>
      <c r="C393" s="134" t="s">
        <v>7949</v>
      </c>
      <c r="D393" s="134" t="s">
        <v>4372</v>
      </c>
      <c r="E393" s="139">
        <v>4.1900000000000004</v>
      </c>
      <c r="F393" s="134" t="s">
        <v>4371</v>
      </c>
      <c r="G393" s="134" t="s">
        <v>3007</v>
      </c>
      <c r="H393" s="123">
        <v>4278</v>
      </c>
    </row>
    <row r="394" spans="1:8" x14ac:dyDescent="0.25">
      <c r="A394" s="134" t="s">
        <v>7944</v>
      </c>
      <c r="B394" s="134" t="s">
        <v>7948</v>
      </c>
      <c r="C394" s="134" t="s">
        <v>7947</v>
      </c>
      <c r="D394" s="134" t="s">
        <v>3353</v>
      </c>
      <c r="E394" s="139">
        <v>12.44</v>
      </c>
      <c r="F394" s="134" t="s">
        <v>3352</v>
      </c>
      <c r="G394" s="134" t="s">
        <v>3007</v>
      </c>
      <c r="H394" s="123">
        <v>4279</v>
      </c>
    </row>
    <row r="395" spans="1:8" x14ac:dyDescent="0.25">
      <c r="A395" s="134" t="s">
        <v>7944</v>
      </c>
      <c r="B395" s="134" t="s">
        <v>7946</v>
      </c>
      <c r="C395" s="134" t="s">
        <v>7945</v>
      </c>
      <c r="D395" s="134" t="s">
        <v>3086</v>
      </c>
      <c r="E395" s="139">
        <v>2.02</v>
      </c>
      <c r="F395" s="134" t="s">
        <v>3085</v>
      </c>
      <c r="G395" s="134" t="s">
        <v>3007</v>
      </c>
      <c r="H395" s="123">
        <v>4280</v>
      </c>
    </row>
    <row r="396" spans="1:8" x14ac:dyDescent="0.25">
      <c r="A396" s="134" t="s">
        <v>7944</v>
      </c>
      <c r="B396" s="134" t="s">
        <v>7943</v>
      </c>
      <c r="C396" s="134" t="s">
        <v>7942</v>
      </c>
      <c r="D396" s="134" t="s">
        <v>5277</v>
      </c>
      <c r="E396" s="139">
        <v>0.09</v>
      </c>
      <c r="F396" s="134" t="s">
        <v>5276</v>
      </c>
      <c r="G396" s="134" t="s">
        <v>3007</v>
      </c>
      <c r="H396" s="123" t="s">
        <v>7941</v>
      </c>
    </row>
    <row r="397" spans="1:8" ht="31.5" x14ac:dyDescent="0.25">
      <c r="A397" s="134" t="s">
        <v>7917</v>
      </c>
      <c r="B397" s="134" t="s">
        <v>7940</v>
      </c>
      <c r="C397" s="134" t="s">
        <v>7939</v>
      </c>
      <c r="D397" s="134" t="s">
        <v>4220</v>
      </c>
      <c r="E397" s="139">
        <v>8.2799999999999994</v>
      </c>
      <c r="F397" s="134" t="s">
        <v>4219</v>
      </c>
      <c r="G397" s="134" t="s">
        <v>3007</v>
      </c>
      <c r="H397" s="123" t="s">
        <v>7938</v>
      </c>
    </row>
    <row r="398" spans="1:8" x14ac:dyDescent="0.25">
      <c r="A398" s="134" t="s">
        <v>7917</v>
      </c>
      <c r="B398" s="134" t="s">
        <v>7937</v>
      </c>
      <c r="C398" s="134" t="s">
        <v>7936</v>
      </c>
      <c r="D398" s="134" t="s">
        <v>4017</v>
      </c>
      <c r="E398" s="139">
        <v>1.47</v>
      </c>
      <c r="F398" s="134" t="s">
        <v>4016</v>
      </c>
      <c r="G398" s="134" t="s">
        <v>3007</v>
      </c>
      <c r="H398" s="123">
        <v>4281</v>
      </c>
    </row>
    <row r="399" spans="1:8" x14ac:dyDescent="0.25">
      <c r="A399" s="134" t="s">
        <v>7917</v>
      </c>
      <c r="B399" s="134" t="s">
        <v>7935</v>
      </c>
      <c r="C399" s="134" t="s">
        <v>7934</v>
      </c>
      <c r="D399" s="134" t="s">
        <v>6707</v>
      </c>
      <c r="E399" s="139">
        <v>4.33</v>
      </c>
      <c r="F399" s="134" t="s">
        <v>6706</v>
      </c>
      <c r="G399" s="134" t="s">
        <v>3007</v>
      </c>
      <c r="H399" s="123">
        <v>4282</v>
      </c>
    </row>
    <row r="400" spans="1:8" x14ac:dyDescent="0.25">
      <c r="A400" s="134" t="s">
        <v>7917</v>
      </c>
      <c r="B400" s="134" t="s">
        <v>7933</v>
      </c>
      <c r="C400" s="134" t="s">
        <v>7932</v>
      </c>
      <c r="D400" s="134" t="s">
        <v>3090</v>
      </c>
      <c r="E400" s="139">
        <v>1.68</v>
      </c>
      <c r="F400" s="134" t="s">
        <v>3089</v>
      </c>
      <c r="G400" s="134" t="s">
        <v>3007</v>
      </c>
      <c r="H400" s="123">
        <v>4283</v>
      </c>
    </row>
    <row r="401" spans="1:8" x14ac:dyDescent="0.25">
      <c r="A401" s="134" t="s">
        <v>7917</v>
      </c>
      <c r="B401" s="134" t="s">
        <v>7931</v>
      </c>
      <c r="C401" s="134" t="s">
        <v>7930</v>
      </c>
      <c r="D401" s="134" t="s">
        <v>7929</v>
      </c>
      <c r="E401" s="139">
        <v>5.1100000000000003</v>
      </c>
      <c r="F401" s="134" t="s">
        <v>7928</v>
      </c>
      <c r="G401" s="134" t="s">
        <v>3007</v>
      </c>
      <c r="H401" s="123">
        <v>4284</v>
      </c>
    </row>
    <row r="402" spans="1:8" x14ac:dyDescent="0.25">
      <c r="A402" s="134" t="s">
        <v>7917</v>
      </c>
      <c r="B402" s="134" t="s">
        <v>7927</v>
      </c>
      <c r="C402" s="134" t="s">
        <v>7926</v>
      </c>
      <c r="D402" s="134" t="s">
        <v>4112</v>
      </c>
      <c r="E402" s="139">
        <v>4.6399999999999997</v>
      </c>
      <c r="F402" s="134" t="s">
        <v>4111</v>
      </c>
      <c r="G402" s="134" t="s">
        <v>3007</v>
      </c>
      <c r="H402" s="123">
        <v>4285</v>
      </c>
    </row>
    <row r="403" spans="1:8" x14ac:dyDescent="0.25">
      <c r="A403" s="134" t="s">
        <v>7917</v>
      </c>
      <c r="B403" s="134" t="s">
        <v>7925</v>
      </c>
      <c r="C403" s="134" t="s">
        <v>7924</v>
      </c>
      <c r="D403" s="134" t="s">
        <v>6953</v>
      </c>
      <c r="E403" s="139">
        <v>2.7</v>
      </c>
      <c r="F403" s="134" t="s">
        <v>6952</v>
      </c>
      <c r="G403" s="134" t="s">
        <v>3007</v>
      </c>
      <c r="H403" s="123">
        <v>4286</v>
      </c>
    </row>
    <row r="404" spans="1:8" x14ac:dyDescent="0.25">
      <c r="A404" s="134" t="s">
        <v>7917</v>
      </c>
      <c r="B404" s="134" t="s">
        <v>7923</v>
      </c>
      <c r="C404" s="134" t="s">
        <v>7922</v>
      </c>
      <c r="D404" s="134" t="s">
        <v>7921</v>
      </c>
      <c r="E404" s="139">
        <v>3.37</v>
      </c>
      <c r="F404" s="134" t="s">
        <v>7920</v>
      </c>
      <c r="G404" s="134" t="s">
        <v>3007</v>
      </c>
      <c r="H404" s="123">
        <v>4287</v>
      </c>
    </row>
    <row r="405" spans="1:8" x14ac:dyDescent="0.25">
      <c r="A405" s="134" t="s">
        <v>7917</v>
      </c>
      <c r="B405" s="134" t="s">
        <v>7919</v>
      </c>
      <c r="C405" s="134" t="s">
        <v>7918</v>
      </c>
      <c r="D405" s="134" t="s">
        <v>6714</v>
      </c>
      <c r="E405" s="139">
        <v>1.88</v>
      </c>
      <c r="F405" s="134" t="s">
        <v>6713</v>
      </c>
      <c r="G405" s="134" t="s">
        <v>3007</v>
      </c>
      <c r="H405" s="123">
        <v>4288</v>
      </c>
    </row>
    <row r="406" spans="1:8" x14ac:dyDescent="0.25">
      <c r="A406" s="134" t="s">
        <v>7917</v>
      </c>
      <c r="B406" s="134" t="s">
        <v>7916</v>
      </c>
      <c r="C406" s="134" t="s">
        <v>7915</v>
      </c>
      <c r="D406" s="134" t="s">
        <v>3030</v>
      </c>
      <c r="E406" s="139">
        <v>4.18</v>
      </c>
      <c r="F406" s="134" t="s">
        <v>3029</v>
      </c>
      <c r="G406" s="134" t="s">
        <v>3007</v>
      </c>
      <c r="H406" s="123">
        <v>4289</v>
      </c>
    </row>
    <row r="407" spans="1:8" x14ac:dyDescent="0.25">
      <c r="A407" s="134" t="s">
        <v>7895</v>
      </c>
      <c r="B407" s="134" t="s">
        <v>7914</v>
      </c>
      <c r="C407" s="134" t="s">
        <v>7913</v>
      </c>
      <c r="D407" s="134" t="s">
        <v>7912</v>
      </c>
      <c r="E407" s="139">
        <v>0.05</v>
      </c>
      <c r="F407" s="134" t="s">
        <v>7911</v>
      </c>
      <c r="G407" s="134" t="s">
        <v>3007</v>
      </c>
      <c r="H407" s="123">
        <v>4290</v>
      </c>
    </row>
    <row r="408" spans="1:8" x14ac:dyDescent="0.25">
      <c r="A408" s="134" t="s">
        <v>7895</v>
      </c>
      <c r="B408" s="134" t="s">
        <v>7885</v>
      </c>
      <c r="C408" s="134" t="s">
        <v>7910</v>
      </c>
      <c r="D408" s="134" t="s">
        <v>7909</v>
      </c>
      <c r="E408" s="139">
        <v>5.35</v>
      </c>
      <c r="F408" s="134" t="s">
        <v>7908</v>
      </c>
      <c r="G408" s="134" t="s">
        <v>3007</v>
      </c>
      <c r="H408" s="123">
        <v>4291</v>
      </c>
    </row>
    <row r="409" spans="1:8" x14ac:dyDescent="0.25">
      <c r="A409" s="134" t="s">
        <v>7895</v>
      </c>
      <c r="B409" s="134" t="s">
        <v>7907</v>
      </c>
      <c r="C409" s="134" t="s">
        <v>7906</v>
      </c>
      <c r="D409" s="134" t="s">
        <v>5388</v>
      </c>
      <c r="E409" s="139">
        <v>1.96</v>
      </c>
      <c r="F409" s="134" t="s">
        <v>5387</v>
      </c>
      <c r="G409" s="134" t="s">
        <v>3007</v>
      </c>
      <c r="H409" s="123">
        <v>4292</v>
      </c>
    </row>
    <row r="410" spans="1:8" x14ac:dyDescent="0.25">
      <c r="A410" s="134" t="s">
        <v>7895</v>
      </c>
      <c r="B410" s="134" t="s">
        <v>7905</v>
      </c>
      <c r="C410" s="134" t="s">
        <v>7904</v>
      </c>
      <c r="D410" s="134" t="s">
        <v>5608</v>
      </c>
      <c r="E410" s="139">
        <v>4.6500000000000004</v>
      </c>
      <c r="F410" s="134" t="s">
        <v>5607</v>
      </c>
      <c r="G410" s="134" t="s">
        <v>3007</v>
      </c>
      <c r="H410" s="123">
        <v>4293</v>
      </c>
    </row>
    <row r="411" spans="1:8" ht="31.5" x14ac:dyDescent="0.25">
      <c r="A411" s="134" t="s">
        <v>7895</v>
      </c>
      <c r="B411" s="134" t="s">
        <v>7903</v>
      </c>
      <c r="C411" s="134" t="s">
        <v>7902</v>
      </c>
      <c r="D411" s="134" t="s">
        <v>4224</v>
      </c>
      <c r="E411" s="139">
        <v>10.38</v>
      </c>
      <c r="F411" s="134" t="s">
        <v>4223</v>
      </c>
      <c r="G411" s="134" t="s">
        <v>3007</v>
      </c>
      <c r="H411" s="123">
        <v>4294</v>
      </c>
    </row>
    <row r="412" spans="1:8" x14ac:dyDescent="0.25">
      <c r="A412" s="134" t="s">
        <v>7895</v>
      </c>
      <c r="B412" s="134" t="s">
        <v>7901</v>
      </c>
      <c r="C412" s="134" t="s">
        <v>7900</v>
      </c>
      <c r="D412" s="134" t="s">
        <v>5302</v>
      </c>
      <c r="E412" s="139">
        <v>4.53</v>
      </c>
      <c r="F412" s="134" t="s">
        <v>5301</v>
      </c>
      <c r="G412" s="134" t="s">
        <v>3007</v>
      </c>
      <c r="H412" s="123">
        <v>4295</v>
      </c>
    </row>
    <row r="413" spans="1:8" x14ac:dyDescent="0.25">
      <c r="A413" s="134" t="s">
        <v>7895</v>
      </c>
      <c r="B413" s="134" t="s">
        <v>7899</v>
      </c>
      <c r="C413" s="134" t="s">
        <v>7898</v>
      </c>
      <c r="D413" s="134" t="s">
        <v>5506</v>
      </c>
      <c r="E413" s="139">
        <v>3.36</v>
      </c>
      <c r="F413" s="134" t="s">
        <v>5505</v>
      </c>
      <c r="G413" s="134" t="s">
        <v>3007</v>
      </c>
      <c r="H413" s="123">
        <v>4296</v>
      </c>
    </row>
    <row r="414" spans="1:8" x14ac:dyDescent="0.25">
      <c r="A414" s="134" t="s">
        <v>7895</v>
      </c>
      <c r="B414" s="134" t="s">
        <v>7897</v>
      </c>
      <c r="C414" s="134" t="s">
        <v>7896</v>
      </c>
      <c r="D414" s="134" t="s">
        <v>4669</v>
      </c>
      <c r="E414" s="139">
        <v>4.6500000000000004</v>
      </c>
      <c r="F414" s="134" t="s">
        <v>4668</v>
      </c>
      <c r="G414" s="134" t="s">
        <v>3007</v>
      </c>
      <c r="H414" s="123">
        <v>4297</v>
      </c>
    </row>
    <row r="415" spans="1:8" x14ac:dyDescent="0.25">
      <c r="A415" s="134" t="s">
        <v>7895</v>
      </c>
      <c r="B415" s="134" t="s">
        <v>7894</v>
      </c>
      <c r="C415" s="134" t="s">
        <v>7893</v>
      </c>
      <c r="D415" s="134" t="s">
        <v>4229</v>
      </c>
      <c r="E415" s="139">
        <v>1.69</v>
      </c>
      <c r="F415" s="134" t="s">
        <v>4228</v>
      </c>
      <c r="G415" s="134" t="s">
        <v>3007</v>
      </c>
      <c r="H415" s="123">
        <v>4298</v>
      </c>
    </row>
    <row r="416" spans="1:8" x14ac:dyDescent="0.25">
      <c r="A416" s="134" t="s">
        <v>7827</v>
      </c>
      <c r="B416" s="134" t="s">
        <v>7892</v>
      </c>
      <c r="C416" s="134" t="s">
        <v>7891</v>
      </c>
      <c r="D416" s="134" t="s">
        <v>3373</v>
      </c>
      <c r="E416" s="139">
        <v>3.11</v>
      </c>
      <c r="F416" s="134" t="s">
        <v>3372</v>
      </c>
      <c r="G416" s="134" t="s">
        <v>3007</v>
      </c>
      <c r="H416" s="123">
        <v>4299</v>
      </c>
    </row>
    <row r="417" spans="1:8" x14ac:dyDescent="0.25">
      <c r="A417" s="134" t="s">
        <v>7827</v>
      </c>
      <c r="B417" s="134" t="s">
        <v>7890</v>
      </c>
      <c r="C417" s="134" t="s">
        <v>7889</v>
      </c>
      <c r="D417" s="134" t="s">
        <v>7498</v>
      </c>
      <c r="E417" s="139">
        <v>8.3800000000000008</v>
      </c>
      <c r="F417" s="134" t="s">
        <v>7497</v>
      </c>
      <c r="G417" s="134" t="s">
        <v>3007</v>
      </c>
      <c r="H417" s="123" t="s">
        <v>7888</v>
      </c>
    </row>
    <row r="418" spans="1:8" ht="31.5" x14ac:dyDescent="0.25">
      <c r="A418" s="134" t="s">
        <v>7827</v>
      </c>
      <c r="B418" s="134" t="s">
        <v>7887</v>
      </c>
      <c r="C418" s="134" t="s">
        <v>7886</v>
      </c>
      <c r="D418" s="134" t="s">
        <v>4021</v>
      </c>
      <c r="E418" s="139">
        <v>7</v>
      </c>
      <c r="F418" s="134" t="s">
        <v>4020</v>
      </c>
      <c r="G418" s="134" t="s">
        <v>3007</v>
      </c>
      <c r="H418" s="123">
        <v>4300</v>
      </c>
    </row>
    <row r="419" spans="1:8" x14ac:dyDescent="0.25">
      <c r="A419" s="134" t="s">
        <v>7827</v>
      </c>
      <c r="B419" s="134" t="s">
        <v>7885</v>
      </c>
      <c r="C419" s="134" t="s">
        <v>7884</v>
      </c>
      <c r="D419" s="134" t="s">
        <v>7883</v>
      </c>
      <c r="E419" s="139">
        <v>20.82</v>
      </c>
      <c r="F419" s="134" t="s">
        <v>7882</v>
      </c>
      <c r="G419" s="134" t="s">
        <v>3007</v>
      </c>
      <c r="H419" s="123">
        <v>4301</v>
      </c>
    </row>
    <row r="420" spans="1:8" x14ac:dyDescent="0.25">
      <c r="A420" s="134" t="s">
        <v>7827</v>
      </c>
      <c r="B420" s="134" t="s">
        <v>7881</v>
      </c>
      <c r="C420" s="134" t="s">
        <v>7880</v>
      </c>
      <c r="D420" s="134" t="s">
        <v>4552</v>
      </c>
      <c r="E420" s="139">
        <v>17.98</v>
      </c>
      <c r="F420" s="134" t="s">
        <v>4551</v>
      </c>
      <c r="G420" s="134" t="s">
        <v>3007</v>
      </c>
      <c r="H420" s="123">
        <v>4302</v>
      </c>
    </row>
    <row r="421" spans="1:8" x14ac:dyDescent="0.25">
      <c r="A421" s="134" t="s">
        <v>7827</v>
      </c>
      <c r="B421" s="134" t="s">
        <v>7879</v>
      </c>
      <c r="C421" s="134" t="s">
        <v>7878</v>
      </c>
      <c r="D421" s="134" t="s">
        <v>4366</v>
      </c>
      <c r="E421" s="139">
        <v>2.74</v>
      </c>
      <c r="F421" s="134" t="s">
        <v>4365</v>
      </c>
      <c r="G421" s="134" t="s">
        <v>3007</v>
      </c>
      <c r="H421" s="123">
        <v>4303</v>
      </c>
    </row>
    <row r="422" spans="1:8" x14ac:dyDescent="0.25">
      <c r="A422" s="134" t="s">
        <v>7827</v>
      </c>
      <c r="B422" s="134" t="s">
        <v>7877</v>
      </c>
      <c r="C422" s="134" t="s">
        <v>7876</v>
      </c>
      <c r="D422" s="134" t="s">
        <v>7875</v>
      </c>
      <c r="E422" s="139">
        <v>26.37</v>
      </c>
      <c r="F422" s="134" t="s">
        <v>7874</v>
      </c>
      <c r="G422" s="134" t="s">
        <v>3007</v>
      </c>
      <c r="H422" s="123">
        <v>4304</v>
      </c>
    </row>
    <row r="423" spans="1:8" x14ac:dyDescent="0.25">
      <c r="A423" s="134" t="s">
        <v>7827</v>
      </c>
      <c r="B423" s="134" t="s">
        <v>7873</v>
      </c>
      <c r="C423" s="134" t="s">
        <v>7872</v>
      </c>
      <c r="D423" s="134" t="s">
        <v>4099</v>
      </c>
      <c r="E423" s="139">
        <v>9.2200000000000006</v>
      </c>
      <c r="F423" s="134" t="s">
        <v>4098</v>
      </c>
      <c r="G423" s="134" t="s">
        <v>3007</v>
      </c>
      <c r="H423" s="123">
        <v>4305</v>
      </c>
    </row>
    <row r="424" spans="1:8" x14ac:dyDescent="0.25">
      <c r="A424" s="134" t="s">
        <v>7827</v>
      </c>
      <c r="B424" s="134" t="s">
        <v>7871</v>
      </c>
      <c r="C424" s="134" t="s">
        <v>7870</v>
      </c>
      <c r="D424" s="134" t="s">
        <v>4953</v>
      </c>
      <c r="E424" s="139">
        <v>2.27</v>
      </c>
      <c r="F424" s="134" t="s">
        <v>4952</v>
      </c>
      <c r="G424" s="134" t="s">
        <v>3007</v>
      </c>
      <c r="H424" s="123">
        <v>4306</v>
      </c>
    </row>
    <row r="425" spans="1:8" x14ac:dyDescent="0.25">
      <c r="A425" s="134" t="s">
        <v>7827</v>
      </c>
      <c r="B425" s="134" t="s">
        <v>7869</v>
      </c>
      <c r="C425" s="134" t="s">
        <v>7868</v>
      </c>
      <c r="D425" s="134" t="s">
        <v>3871</v>
      </c>
      <c r="E425" s="139">
        <v>10.74</v>
      </c>
      <c r="F425" s="134" t="s">
        <v>3870</v>
      </c>
      <c r="G425" s="134" t="s">
        <v>3007</v>
      </c>
      <c r="H425" s="123">
        <v>4307</v>
      </c>
    </row>
    <row r="426" spans="1:8" x14ac:dyDescent="0.25">
      <c r="A426" s="134" t="s">
        <v>7827</v>
      </c>
      <c r="B426" s="134" t="s">
        <v>7867</v>
      </c>
      <c r="C426" s="134" t="s">
        <v>7866</v>
      </c>
      <c r="D426" s="134" t="s">
        <v>7865</v>
      </c>
      <c r="E426" s="139">
        <v>5.18</v>
      </c>
      <c r="F426" s="134" t="s">
        <v>7864</v>
      </c>
      <c r="G426" s="134" t="s">
        <v>3007</v>
      </c>
      <c r="H426" s="123">
        <v>4308</v>
      </c>
    </row>
    <row r="427" spans="1:8" x14ac:dyDescent="0.25">
      <c r="A427" s="134" t="s">
        <v>7827</v>
      </c>
      <c r="B427" s="134" t="s">
        <v>7863</v>
      </c>
      <c r="C427" s="134" t="s">
        <v>7862</v>
      </c>
      <c r="D427" s="134" t="s">
        <v>7267</v>
      </c>
      <c r="E427" s="139">
        <v>3.88</v>
      </c>
      <c r="F427" s="134" t="s">
        <v>7266</v>
      </c>
      <c r="G427" s="134" t="s">
        <v>3007</v>
      </c>
      <c r="H427" s="124">
        <v>4309</v>
      </c>
    </row>
    <row r="428" spans="1:8" ht="31.5" x14ac:dyDescent="0.25">
      <c r="A428" s="134" t="s">
        <v>7827</v>
      </c>
      <c r="B428" s="134" t="s">
        <v>7861</v>
      </c>
      <c r="C428" s="134" t="s">
        <v>7860</v>
      </c>
      <c r="D428" s="134" t="s">
        <v>7859</v>
      </c>
      <c r="E428" s="139">
        <v>16.760000000000002</v>
      </c>
      <c r="F428" s="134" t="s">
        <v>7858</v>
      </c>
      <c r="G428" s="134" t="s">
        <v>3007</v>
      </c>
      <c r="H428" s="123">
        <v>4310</v>
      </c>
    </row>
    <row r="429" spans="1:8" x14ac:dyDescent="0.25">
      <c r="A429" s="134" t="s">
        <v>7827</v>
      </c>
      <c r="B429" s="134" t="s">
        <v>7857</v>
      </c>
      <c r="C429" s="134" t="s">
        <v>7856</v>
      </c>
      <c r="D429" s="134" t="s">
        <v>3223</v>
      </c>
      <c r="E429" s="139">
        <v>1.68</v>
      </c>
      <c r="F429" s="134" t="s">
        <v>3222</v>
      </c>
      <c r="G429" s="134" t="s">
        <v>3007</v>
      </c>
      <c r="H429" s="123">
        <v>4311</v>
      </c>
    </row>
    <row r="430" spans="1:8" x14ac:dyDescent="0.25">
      <c r="A430" s="134" t="s">
        <v>7827</v>
      </c>
      <c r="B430" s="134" t="s">
        <v>7855</v>
      </c>
      <c r="C430" s="134" t="s">
        <v>7854</v>
      </c>
      <c r="D430" s="134" t="s">
        <v>4261</v>
      </c>
      <c r="E430" s="139">
        <v>8.3800000000000008</v>
      </c>
      <c r="F430" s="134" t="s">
        <v>4260</v>
      </c>
      <c r="G430" s="134" t="s">
        <v>3007</v>
      </c>
      <c r="H430" s="123">
        <v>4312</v>
      </c>
    </row>
    <row r="431" spans="1:8" ht="31.5" x14ac:dyDescent="0.25">
      <c r="A431" s="134" t="s">
        <v>7827</v>
      </c>
      <c r="B431" s="134" t="s">
        <v>7853</v>
      </c>
      <c r="C431" s="134" t="s">
        <v>7852</v>
      </c>
      <c r="D431" s="134" t="s">
        <v>7156</v>
      </c>
      <c r="E431" s="139">
        <v>1.68</v>
      </c>
      <c r="F431" s="134" t="s">
        <v>7155</v>
      </c>
      <c r="G431" s="134" t="s">
        <v>3007</v>
      </c>
      <c r="H431" s="123">
        <v>4313</v>
      </c>
    </row>
    <row r="432" spans="1:8" ht="31.5" x14ac:dyDescent="0.25">
      <c r="A432" s="134" t="s">
        <v>7827</v>
      </c>
      <c r="B432" s="134" t="s">
        <v>7851</v>
      </c>
      <c r="C432" s="134" t="s">
        <v>7850</v>
      </c>
      <c r="D432" s="134" t="s">
        <v>7160</v>
      </c>
      <c r="E432" s="139">
        <v>1.39</v>
      </c>
      <c r="F432" s="134" t="s">
        <v>7159</v>
      </c>
      <c r="G432" s="134" t="s">
        <v>3007</v>
      </c>
      <c r="H432" s="123">
        <v>4314</v>
      </c>
    </row>
    <row r="433" spans="1:8" ht="31.5" x14ac:dyDescent="0.25">
      <c r="A433" s="134" t="s">
        <v>7827</v>
      </c>
      <c r="B433" s="134" t="s">
        <v>7849</v>
      </c>
      <c r="C433" s="134" t="s">
        <v>7848</v>
      </c>
      <c r="D433" s="134" t="s">
        <v>6592</v>
      </c>
      <c r="E433" s="139">
        <v>1.68</v>
      </c>
      <c r="F433" s="134" t="s">
        <v>6591</v>
      </c>
      <c r="G433" s="134" t="s">
        <v>3007</v>
      </c>
      <c r="H433" s="123">
        <v>4315</v>
      </c>
    </row>
    <row r="434" spans="1:8" ht="31.5" x14ac:dyDescent="0.25">
      <c r="A434" s="134" t="s">
        <v>7827</v>
      </c>
      <c r="B434" s="134" t="s">
        <v>7847</v>
      </c>
      <c r="C434" s="134" t="s">
        <v>7846</v>
      </c>
      <c r="D434" s="134" t="s">
        <v>6595</v>
      </c>
      <c r="E434" s="139">
        <v>1.68</v>
      </c>
      <c r="F434" s="134" t="s">
        <v>6591</v>
      </c>
      <c r="G434" s="134" t="s">
        <v>3007</v>
      </c>
      <c r="H434" s="123">
        <v>4316</v>
      </c>
    </row>
    <row r="435" spans="1:8" x14ac:dyDescent="0.25">
      <c r="A435" s="134" t="s">
        <v>7827</v>
      </c>
      <c r="B435" s="134" t="s">
        <v>7845</v>
      </c>
      <c r="C435" s="134" t="s">
        <v>7844</v>
      </c>
      <c r="D435" s="134" t="s">
        <v>7843</v>
      </c>
      <c r="E435" s="139">
        <v>12.02</v>
      </c>
      <c r="F435" s="134" t="s">
        <v>7842</v>
      </c>
      <c r="G435" s="134" t="s">
        <v>3007</v>
      </c>
      <c r="H435" s="123">
        <v>4317</v>
      </c>
    </row>
    <row r="436" spans="1:8" x14ac:dyDescent="0.25">
      <c r="A436" s="134" t="s">
        <v>7827</v>
      </c>
      <c r="B436" s="134" t="s">
        <v>7841</v>
      </c>
      <c r="C436" s="134" t="s">
        <v>7840</v>
      </c>
      <c r="D436" s="134" t="s">
        <v>7258</v>
      </c>
      <c r="E436" s="139">
        <v>8.18</v>
      </c>
      <c r="F436" s="134" t="s">
        <v>7257</v>
      </c>
      <c r="G436" s="134" t="s">
        <v>3007</v>
      </c>
      <c r="H436" s="123">
        <v>4318</v>
      </c>
    </row>
    <row r="437" spans="1:8" x14ac:dyDescent="0.25">
      <c r="A437" s="134" t="s">
        <v>7827</v>
      </c>
      <c r="B437" s="134" t="s">
        <v>7839</v>
      </c>
      <c r="C437" s="134" t="s">
        <v>7838</v>
      </c>
      <c r="D437" s="134" t="s">
        <v>4540</v>
      </c>
      <c r="E437" s="139">
        <v>37.89</v>
      </c>
      <c r="F437" s="134" t="s">
        <v>4539</v>
      </c>
      <c r="G437" s="134" t="s">
        <v>3007</v>
      </c>
      <c r="H437" s="123">
        <v>4319</v>
      </c>
    </row>
    <row r="438" spans="1:8" x14ac:dyDescent="0.25">
      <c r="A438" s="134" t="s">
        <v>7827</v>
      </c>
      <c r="B438" s="134" t="s">
        <v>7837</v>
      </c>
      <c r="C438" s="134" t="s">
        <v>7836</v>
      </c>
      <c r="D438" s="134" t="s">
        <v>4421</v>
      </c>
      <c r="E438" s="139">
        <v>1.81</v>
      </c>
      <c r="F438" s="134" t="s">
        <v>4420</v>
      </c>
      <c r="G438" s="134" t="s">
        <v>3007</v>
      </c>
      <c r="H438" s="123">
        <v>4320</v>
      </c>
    </row>
    <row r="439" spans="1:8" x14ac:dyDescent="0.25">
      <c r="A439" s="134" t="s">
        <v>7827</v>
      </c>
      <c r="B439" s="134" t="s">
        <v>7835</v>
      </c>
      <c r="C439" s="134" t="s">
        <v>7834</v>
      </c>
      <c r="D439" s="134" t="s">
        <v>7833</v>
      </c>
      <c r="E439" s="139">
        <v>4.9400000000000004</v>
      </c>
      <c r="F439" s="134" t="s">
        <v>7832</v>
      </c>
      <c r="G439" s="134" t="s">
        <v>3007</v>
      </c>
      <c r="H439" s="123">
        <v>4321</v>
      </c>
    </row>
    <row r="440" spans="1:8" ht="31.5" x14ac:dyDescent="0.25">
      <c r="A440" s="134" t="s">
        <v>7827</v>
      </c>
      <c r="B440" s="134" t="s">
        <v>7831</v>
      </c>
      <c r="C440" s="134" t="s">
        <v>7830</v>
      </c>
      <c r="D440" s="134" t="s">
        <v>7829</v>
      </c>
      <c r="E440" s="139">
        <v>5.49</v>
      </c>
      <c r="F440" s="134" t="s">
        <v>7828</v>
      </c>
      <c r="G440" s="134" t="s">
        <v>3007</v>
      </c>
      <c r="H440" s="123">
        <v>4322</v>
      </c>
    </row>
    <row r="441" spans="1:8" x14ac:dyDescent="0.25">
      <c r="A441" s="134" t="s">
        <v>7827</v>
      </c>
      <c r="B441" s="134" t="s">
        <v>7826</v>
      </c>
      <c r="C441" s="134" t="s">
        <v>7825</v>
      </c>
      <c r="D441" s="134" t="s">
        <v>4321</v>
      </c>
      <c r="E441" s="139">
        <v>1.68</v>
      </c>
      <c r="F441" s="134" t="s">
        <v>4320</v>
      </c>
      <c r="G441" s="134" t="s">
        <v>3007</v>
      </c>
      <c r="H441" s="123">
        <v>4323</v>
      </c>
    </row>
    <row r="442" spans="1:8" x14ac:dyDescent="0.25">
      <c r="A442" s="134" t="s">
        <v>7802</v>
      </c>
      <c r="B442" s="134" t="s">
        <v>7824</v>
      </c>
      <c r="C442" s="134" t="s">
        <v>7823</v>
      </c>
      <c r="D442" s="134" t="s">
        <v>6378</v>
      </c>
      <c r="E442" s="139">
        <v>8.3800000000000008</v>
      </c>
      <c r="F442" s="134" t="s">
        <v>6377</v>
      </c>
      <c r="G442" s="134" t="s">
        <v>3007</v>
      </c>
      <c r="H442" s="123">
        <v>4324</v>
      </c>
    </row>
    <row r="443" spans="1:8" x14ac:dyDescent="0.25">
      <c r="A443" s="134" t="s">
        <v>7802</v>
      </c>
      <c r="B443" s="134" t="s">
        <v>7822</v>
      </c>
      <c r="C443" s="134" t="s">
        <v>7821</v>
      </c>
      <c r="D443" s="134" t="s">
        <v>4309</v>
      </c>
      <c r="E443" s="139">
        <v>4.1900000000000004</v>
      </c>
      <c r="F443" s="134" t="s">
        <v>4308</v>
      </c>
      <c r="G443" s="134" t="s">
        <v>3007</v>
      </c>
      <c r="H443" s="123">
        <v>4325</v>
      </c>
    </row>
    <row r="444" spans="1:8" x14ac:dyDescent="0.25">
      <c r="A444" s="134" t="s">
        <v>7802</v>
      </c>
      <c r="B444" s="134" t="s">
        <v>7820</v>
      </c>
      <c r="C444" s="134" t="s">
        <v>7819</v>
      </c>
      <c r="D444" s="134" t="s">
        <v>4562</v>
      </c>
      <c r="E444" s="139">
        <v>6.89</v>
      </c>
      <c r="F444" s="134" t="s">
        <v>4561</v>
      </c>
      <c r="G444" s="134" t="s">
        <v>3007</v>
      </c>
      <c r="H444" s="123">
        <v>4326</v>
      </c>
    </row>
    <row r="445" spans="1:8" x14ac:dyDescent="0.25">
      <c r="A445" s="134" t="s">
        <v>7802</v>
      </c>
      <c r="B445" s="134" t="s">
        <v>7818</v>
      </c>
      <c r="C445" s="134" t="s">
        <v>7817</v>
      </c>
      <c r="D445" s="134" t="s">
        <v>6967</v>
      </c>
      <c r="E445" s="139">
        <v>2.61</v>
      </c>
      <c r="F445" s="134" t="s">
        <v>6966</v>
      </c>
      <c r="G445" s="134" t="s">
        <v>3007</v>
      </c>
      <c r="H445" s="123">
        <v>4327</v>
      </c>
    </row>
    <row r="446" spans="1:8" ht="31.5" x14ac:dyDescent="0.25">
      <c r="A446" s="134" t="s">
        <v>7802</v>
      </c>
      <c r="B446" s="134" t="s">
        <v>7816</v>
      </c>
      <c r="C446" s="134" t="s">
        <v>7815</v>
      </c>
      <c r="D446" s="134" t="s">
        <v>7814</v>
      </c>
      <c r="E446" s="139">
        <v>30.6</v>
      </c>
      <c r="F446" s="134" t="s">
        <v>7813</v>
      </c>
      <c r="G446" s="134" t="s">
        <v>3007</v>
      </c>
      <c r="H446" s="123">
        <v>4328</v>
      </c>
    </row>
    <row r="447" spans="1:8" ht="31.5" x14ac:dyDescent="0.25">
      <c r="A447" s="134" t="s">
        <v>7802</v>
      </c>
      <c r="B447" s="134" t="s">
        <v>7812</v>
      </c>
      <c r="C447" s="134" t="s">
        <v>7811</v>
      </c>
      <c r="D447" s="134" t="s">
        <v>4060</v>
      </c>
      <c r="E447" s="139">
        <v>3.64</v>
      </c>
      <c r="F447" s="134" t="s">
        <v>4059</v>
      </c>
      <c r="G447" s="134" t="s">
        <v>3007</v>
      </c>
      <c r="H447" s="123">
        <v>4329</v>
      </c>
    </row>
    <row r="448" spans="1:8" ht="31.5" x14ac:dyDescent="0.25">
      <c r="A448" s="134" t="s">
        <v>7802</v>
      </c>
      <c r="B448" s="134" t="s">
        <v>7810</v>
      </c>
      <c r="C448" s="134" t="s">
        <v>7809</v>
      </c>
      <c r="D448" s="134" t="s">
        <v>7808</v>
      </c>
      <c r="E448" s="139">
        <v>0.38</v>
      </c>
      <c r="F448" s="134" t="s">
        <v>7807</v>
      </c>
      <c r="G448" s="134" t="s">
        <v>3007</v>
      </c>
      <c r="H448" s="123">
        <v>4330</v>
      </c>
    </row>
    <row r="449" spans="1:8" x14ac:dyDescent="0.25">
      <c r="A449" s="134" t="s">
        <v>7802</v>
      </c>
      <c r="B449" s="134" t="s">
        <v>7806</v>
      </c>
      <c r="C449" s="134" t="s">
        <v>7805</v>
      </c>
      <c r="D449" s="134" t="s">
        <v>3759</v>
      </c>
      <c r="E449" s="139">
        <v>4.9400000000000004</v>
      </c>
      <c r="F449" s="134" t="s">
        <v>3758</v>
      </c>
      <c r="G449" s="134" t="s">
        <v>3007</v>
      </c>
      <c r="H449" s="123">
        <v>4331</v>
      </c>
    </row>
    <row r="450" spans="1:8" x14ac:dyDescent="0.25">
      <c r="A450" s="134" t="s">
        <v>7802</v>
      </c>
      <c r="B450" s="134" t="s">
        <v>7804</v>
      </c>
      <c r="C450" s="134" t="s">
        <v>7803</v>
      </c>
      <c r="D450" s="134" t="s">
        <v>3158</v>
      </c>
      <c r="E450" s="139">
        <v>4.29</v>
      </c>
      <c r="F450" s="134" t="s">
        <v>3157</v>
      </c>
      <c r="G450" s="134" t="s">
        <v>3007</v>
      </c>
      <c r="H450" s="123">
        <v>4332</v>
      </c>
    </row>
    <row r="451" spans="1:8" x14ac:dyDescent="0.25">
      <c r="A451" s="134" t="s">
        <v>7802</v>
      </c>
      <c r="B451" s="134" t="s">
        <v>7801</v>
      </c>
      <c r="C451" s="134" t="s">
        <v>7800</v>
      </c>
      <c r="D451" s="134" t="s">
        <v>3775</v>
      </c>
      <c r="E451" s="139">
        <v>1.68</v>
      </c>
      <c r="F451" s="134" t="s">
        <v>3774</v>
      </c>
      <c r="G451" s="134" t="s">
        <v>3007</v>
      </c>
      <c r="H451" s="123">
        <v>4333</v>
      </c>
    </row>
    <row r="452" spans="1:8" x14ac:dyDescent="0.25">
      <c r="A452" s="134" t="s">
        <v>7791</v>
      </c>
      <c r="B452" s="134" t="s">
        <v>7799</v>
      </c>
      <c r="C452" s="134" t="s">
        <v>7798</v>
      </c>
      <c r="D452" s="134" t="s">
        <v>7138</v>
      </c>
      <c r="E452" s="139">
        <v>3.01</v>
      </c>
      <c r="F452" s="134" t="s">
        <v>7137</v>
      </c>
      <c r="G452" s="134" t="s">
        <v>3007</v>
      </c>
      <c r="H452" s="123">
        <v>4334</v>
      </c>
    </row>
    <row r="453" spans="1:8" x14ac:dyDescent="0.25">
      <c r="A453" s="134" t="s">
        <v>7791</v>
      </c>
      <c r="B453" s="134" t="s">
        <v>7797</v>
      </c>
      <c r="C453" s="134" t="s">
        <v>7796</v>
      </c>
      <c r="D453" s="134" t="s">
        <v>4843</v>
      </c>
      <c r="E453" s="139">
        <v>8.1</v>
      </c>
      <c r="F453" s="134" t="s">
        <v>4842</v>
      </c>
      <c r="G453" s="134" t="s">
        <v>3007</v>
      </c>
      <c r="H453" s="123">
        <v>4335</v>
      </c>
    </row>
    <row r="454" spans="1:8" x14ac:dyDescent="0.25">
      <c r="A454" s="134" t="s">
        <v>7791</v>
      </c>
      <c r="B454" s="134" t="s">
        <v>7795</v>
      </c>
      <c r="C454" s="134" t="s">
        <v>7794</v>
      </c>
      <c r="D454" s="134" t="s">
        <v>3119</v>
      </c>
      <c r="E454" s="139">
        <v>1.95</v>
      </c>
      <c r="F454" s="134" t="s">
        <v>3118</v>
      </c>
      <c r="G454" s="134" t="s">
        <v>3007</v>
      </c>
      <c r="H454" s="123">
        <v>4336</v>
      </c>
    </row>
    <row r="455" spans="1:8" x14ac:dyDescent="0.25">
      <c r="A455" s="134" t="s">
        <v>7791</v>
      </c>
      <c r="B455" s="134" t="s">
        <v>7793</v>
      </c>
      <c r="C455" s="134" t="s">
        <v>7792</v>
      </c>
      <c r="D455" s="134" t="s">
        <v>5294</v>
      </c>
      <c r="E455" s="139">
        <v>5.48</v>
      </c>
      <c r="F455" s="134" t="s">
        <v>5293</v>
      </c>
      <c r="G455" s="134" t="s">
        <v>3007</v>
      </c>
      <c r="H455" s="123">
        <v>4337</v>
      </c>
    </row>
    <row r="456" spans="1:8" x14ac:dyDescent="0.25">
      <c r="A456" s="134" t="s">
        <v>7791</v>
      </c>
      <c r="B456" s="134" t="s">
        <v>7790</v>
      </c>
      <c r="C456" s="134" t="s">
        <v>7789</v>
      </c>
      <c r="D456" s="134" t="s">
        <v>7788</v>
      </c>
      <c r="E456" s="139">
        <v>7.94</v>
      </c>
      <c r="F456" s="134" t="s">
        <v>7787</v>
      </c>
      <c r="G456" s="134" t="s">
        <v>3007</v>
      </c>
      <c r="H456" s="123">
        <v>4338</v>
      </c>
    </row>
    <row r="457" spans="1:8" x14ac:dyDescent="0.25">
      <c r="A457" s="134" t="s">
        <v>7774</v>
      </c>
      <c r="B457" s="134" t="s">
        <v>7786</v>
      </c>
      <c r="C457" s="134" t="s">
        <v>7785</v>
      </c>
      <c r="D457" s="134" t="s">
        <v>4392</v>
      </c>
      <c r="E457" s="139">
        <v>7.27</v>
      </c>
      <c r="F457" s="134" t="s">
        <v>4391</v>
      </c>
      <c r="G457" s="134" t="s">
        <v>3007</v>
      </c>
      <c r="H457" s="123">
        <v>4366</v>
      </c>
    </row>
    <row r="458" spans="1:8" x14ac:dyDescent="0.25">
      <c r="A458" s="134" t="s">
        <v>7774</v>
      </c>
      <c r="B458" s="134" t="s">
        <v>7784</v>
      </c>
      <c r="C458" s="134" t="s">
        <v>7783</v>
      </c>
      <c r="D458" s="134" t="s">
        <v>5490</v>
      </c>
      <c r="E458" s="139">
        <v>14.78</v>
      </c>
      <c r="F458" s="134" t="s">
        <v>5489</v>
      </c>
      <c r="G458" s="134" t="s">
        <v>3007</v>
      </c>
      <c r="H458" s="123">
        <v>4367</v>
      </c>
    </row>
    <row r="459" spans="1:8" x14ac:dyDescent="0.25">
      <c r="A459" s="134" t="s">
        <v>7774</v>
      </c>
      <c r="B459" s="134" t="s">
        <v>7782</v>
      </c>
      <c r="C459" s="134" t="s">
        <v>7781</v>
      </c>
      <c r="D459" s="134" t="s">
        <v>6943</v>
      </c>
      <c r="E459" s="139">
        <v>2.4900000000000002</v>
      </c>
      <c r="F459" s="134" t="s">
        <v>6942</v>
      </c>
      <c r="G459" s="134" t="s">
        <v>3007</v>
      </c>
      <c r="H459" s="123">
        <v>4368</v>
      </c>
    </row>
    <row r="460" spans="1:8" x14ac:dyDescent="0.25">
      <c r="A460" s="134" t="s">
        <v>7774</v>
      </c>
      <c r="B460" s="134" t="s">
        <v>7780</v>
      </c>
      <c r="C460" s="134" t="s">
        <v>7779</v>
      </c>
      <c r="D460" s="134" t="s">
        <v>7778</v>
      </c>
      <c r="E460" s="139">
        <v>6.53</v>
      </c>
      <c r="F460" s="134" t="s">
        <v>7777</v>
      </c>
      <c r="G460" s="134" t="s">
        <v>3007</v>
      </c>
      <c r="H460" s="123">
        <v>4369</v>
      </c>
    </row>
    <row r="461" spans="1:8" x14ac:dyDescent="0.25">
      <c r="A461" s="134" t="s">
        <v>7774</v>
      </c>
      <c r="B461" s="134" t="s">
        <v>7776</v>
      </c>
      <c r="C461" s="134" t="s">
        <v>7775</v>
      </c>
      <c r="D461" s="134" t="s">
        <v>5523</v>
      </c>
      <c r="E461" s="139">
        <v>0.79</v>
      </c>
      <c r="F461" s="134" t="s">
        <v>5522</v>
      </c>
      <c r="G461" s="134" t="s">
        <v>3007</v>
      </c>
      <c r="H461" s="123">
        <v>4370</v>
      </c>
    </row>
    <row r="462" spans="1:8" x14ac:dyDescent="0.25">
      <c r="A462" s="134" t="s">
        <v>7774</v>
      </c>
      <c r="B462" s="134" t="s">
        <v>7773</v>
      </c>
      <c r="C462" s="134" t="s">
        <v>7772</v>
      </c>
      <c r="D462" s="134" t="s">
        <v>7771</v>
      </c>
      <c r="E462" s="139">
        <v>8.11</v>
      </c>
      <c r="F462" s="134" t="s">
        <v>7770</v>
      </c>
      <c r="G462" s="134" t="s">
        <v>3007</v>
      </c>
      <c r="H462" s="123">
        <v>4371</v>
      </c>
    </row>
    <row r="463" spans="1:8" s="200" customFormat="1" x14ac:dyDescent="0.25">
      <c r="A463" s="198"/>
      <c r="B463" s="198"/>
      <c r="C463" s="198" t="s">
        <v>5691</v>
      </c>
      <c r="D463" s="198" t="s">
        <v>14412</v>
      </c>
      <c r="E463" s="199">
        <f>SUM(E364:E462)</f>
        <v>606.66000000000008</v>
      </c>
      <c r="F463" s="198"/>
      <c r="G463" s="198"/>
      <c r="H463" s="172"/>
    </row>
    <row r="464" spans="1:8" s="176" customFormat="1" x14ac:dyDescent="0.25">
      <c r="A464" s="177"/>
      <c r="B464" s="177"/>
      <c r="C464" s="177"/>
      <c r="D464" s="177"/>
      <c r="E464" s="181"/>
      <c r="F464" s="177"/>
      <c r="G464" s="177"/>
      <c r="H464" s="172"/>
    </row>
    <row r="465" spans="1:8" x14ac:dyDescent="0.25">
      <c r="A465" s="134" t="s">
        <v>7763</v>
      </c>
      <c r="B465" s="134" t="s">
        <v>7769</v>
      </c>
      <c r="C465" s="134" t="s">
        <v>7768</v>
      </c>
      <c r="D465" s="134" t="s">
        <v>7767</v>
      </c>
      <c r="E465" s="139">
        <v>1.79</v>
      </c>
      <c r="F465" s="134" t="s">
        <v>7766</v>
      </c>
      <c r="G465" s="134" t="s">
        <v>3007</v>
      </c>
      <c r="H465" s="123">
        <v>4407</v>
      </c>
    </row>
    <row r="466" spans="1:8" x14ac:dyDescent="0.25">
      <c r="A466" s="134" t="s">
        <v>7763</v>
      </c>
      <c r="B466" s="134" t="s">
        <v>7765</v>
      </c>
      <c r="C466" s="134" t="s">
        <v>7764</v>
      </c>
      <c r="D466" s="134" t="s">
        <v>4305</v>
      </c>
      <c r="E466" s="139">
        <v>20.36</v>
      </c>
      <c r="F466" s="134" t="s">
        <v>4304</v>
      </c>
      <c r="G466" s="134" t="s">
        <v>3007</v>
      </c>
      <c r="H466" s="123">
        <v>4408</v>
      </c>
    </row>
    <row r="467" spans="1:8" ht="31.5" x14ac:dyDescent="0.25">
      <c r="A467" s="134" t="s">
        <v>7763</v>
      </c>
      <c r="B467" s="134" t="s">
        <v>7762</v>
      </c>
      <c r="C467" s="134" t="s">
        <v>7761</v>
      </c>
      <c r="D467" s="134" t="s">
        <v>7760</v>
      </c>
      <c r="E467" s="139">
        <v>4.6900000000000004</v>
      </c>
      <c r="F467" s="134" t="s">
        <v>7759</v>
      </c>
      <c r="G467" s="134" t="s">
        <v>3007</v>
      </c>
      <c r="H467" s="123">
        <v>4409</v>
      </c>
    </row>
    <row r="468" spans="1:8" x14ac:dyDescent="0.25">
      <c r="A468" s="134" t="s">
        <v>7748</v>
      </c>
      <c r="B468" s="134" t="s">
        <v>7758</v>
      </c>
      <c r="C468" s="134" t="s">
        <v>7757</v>
      </c>
      <c r="D468" s="134" t="s">
        <v>3276</v>
      </c>
      <c r="E468" s="139">
        <v>5.37</v>
      </c>
      <c r="F468" s="134" t="s">
        <v>3275</v>
      </c>
      <c r="G468" s="134" t="s">
        <v>3007</v>
      </c>
      <c r="H468" s="123">
        <v>4469</v>
      </c>
    </row>
    <row r="469" spans="1:8" x14ac:dyDescent="0.25">
      <c r="A469" s="134" t="s">
        <v>7748</v>
      </c>
      <c r="B469" s="134" t="s">
        <v>7756</v>
      </c>
      <c r="C469" s="134" t="s">
        <v>7755</v>
      </c>
      <c r="D469" s="134" t="s">
        <v>7754</v>
      </c>
      <c r="E469" s="139">
        <v>0.9</v>
      </c>
      <c r="F469" s="134" t="s">
        <v>7753</v>
      </c>
      <c r="G469" s="134" t="s">
        <v>3007</v>
      </c>
      <c r="H469" s="123">
        <v>4470</v>
      </c>
    </row>
    <row r="470" spans="1:8" ht="31.5" x14ac:dyDescent="0.25">
      <c r="A470" s="134" t="s">
        <v>7748</v>
      </c>
      <c r="B470" s="134" t="s">
        <v>7752</v>
      </c>
      <c r="C470" s="134" t="s">
        <v>7751</v>
      </c>
      <c r="D470" s="134" t="s">
        <v>7750</v>
      </c>
      <c r="E470" s="139">
        <v>17.02</v>
      </c>
      <c r="F470" s="134" t="s">
        <v>7749</v>
      </c>
      <c r="G470" s="134" t="s">
        <v>3007</v>
      </c>
      <c r="H470" s="123">
        <v>4471</v>
      </c>
    </row>
    <row r="471" spans="1:8" x14ac:dyDescent="0.25">
      <c r="A471" s="134" t="s">
        <v>7748</v>
      </c>
      <c r="B471" s="134" t="s">
        <v>7747</v>
      </c>
      <c r="C471" s="134" t="s">
        <v>7746</v>
      </c>
      <c r="D471" s="134" t="s">
        <v>7745</v>
      </c>
      <c r="E471" s="139">
        <v>8.68</v>
      </c>
      <c r="F471" s="134" t="s">
        <v>7744</v>
      </c>
      <c r="G471" s="134" t="s">
        <v>3007</v>
      </c>
      <c r="H471" s="123">
        <v>4472</v>
      </c>
    </row>
    <row r="472" spans="1:8" s="200" customFormat="1" x14ac:dyDescent="0.25">
      <c r="A472" s="198"/>
      <c r="B472" s="198"/>
      <c r="C472" s="198" t="s">
        <v>5691</v>
      </c>
      <c r="D472" s="198" t="s">
        <v>14413</v>
      </c>
      <c r="E472" s="199">
        <f>SUM(E465:E471)</f>
        <v>58.809999999999995</v>
      </c>
      <c r="F472" s="198"/>
      <c r="G472" s="198"/>
      <c r="H472" s="172"/>
    </row>
    <row r="473" spans="1:8" s="176" customFormat="1" x14ac:dyDescent="0.25">
      <c r="A473" s="177"/>
      <c r="B473" s="177"/>
      <c r="C473" s="177"/>
      <c r="D473" s="177"/>
      <c r="E473" s="181"/>
      <c r="F473" s="177"/>
      <c r="G473" s="177"/>
      <c r="H473" s="172"/>
    </row>
    <row r="474" spans="1:8" ht="31.5" x14ac:dyDescent="0.25">
      <c r="A474" s="134" t="s">
        <v>7731</v>
      </c>
      <c r="B474" s="134" t="s">
        <v>7743</v>
      </c>
      <c r="C474" s="134" t="s">
        <v>7742</v>
      </c>
      <c r="D474" s="134" t="s">
        <v>7741</v>
      </c>
      <c r="E474" s="139">
        <v>1.68</v>
      </c>
      <c r="F474" s="134" t="s">
        <v>7740</v>
      </c>
      <c r="G474" s="134" t="s">
        <v>3007</v>
      </c>
      <c r="H474" s="123">
        <v>4481</v>
      </c>
    </row>
    <row r="475" spans="1:8" ht="31.5" x14ac:dyDescent="0.25">
      <c r="A475" s="134" t="s">
        <v>7731</v>
      </c>
      <c r="B475" s="134" t="s">
        <v>7739</v>
      </c>
      <c r="C475" s="134" t="s">
        <v>7738</v>
      </c>
      <c r="D475" s="134" t="s">
        <v>7737</v>
      </c>
      <c r="E475" s="139">
        <v>9.19</v>
      </c>
      <c r="F475" s="134" t="s">
        <v>7736</v>
      </c>
      <c r="G475" s="134" t="s">
        <v>3007</v>
      </c>
      <c r="H475" s="123">
        <v>4482</v>
      </c>
    </row>
    <row r="476" spans="1:8" x14ac:dyDescent="0.25">
      <c r="A476" s="134" t="s">
        <v>7731</v>
      </c>
      <c r="B476" s="134" t="s">
        <v>7735</v>
      </c>
      <c r="C476" s="134" t="s">
        <v>7734</v>
      </c>
      <c r="D476" s="134" t="s">
        <v>7733</v>
      </c>
      <c r="E476" s="139">
        <v>0.9</v>
      </c>
      <c r="F476" s="134" t="s">
        <v>7732</v>
      </c>
      <c r="G476" s="134" t="s">
        <v>3007</v>
      </c>
      <c r="H476" s="123">
        <v>4483</v>
      </c>
    </row>
    <row r="477" spans="1:8" x14ac:dyDescent="0.25">
      <c r="A477" s="134" t="s">
        <v>7731</v>
      </c>
      <c r="B477" s="134" t="s">
        <v>7730</v>
      </c>
      <c r="C477" s="134" t="s">
        <v>7729</v>
      </c>
      <c r="D477" s="134" t="s">
        <v>3519</v>
      </c>
      <c r="E477" s="139">
        <v>4.57</v>
      </c>
      <c r="F477" s="134" t="s">
        <v>3518</v>
      </c>
      <c r="G477" s="134" t="s">
        <v>3007</v>
      </c>
      <c r="H477" s="123">
        <v>4484</v>
      </c>
    </row>
    <row r="478" spans="1:8" x14ac:dyDescent="0.25">
      <c r="A478" s="134" t="s">
        <v>7726</v>
      </c>
      <c r="B478" s="134" t="s">
        <v>7728</v>
      </c>
      <c r="C478" s="134" t="s">
        <v>7727</v>
      </c>
      <c r="D478" s="134" t="s">
        <v>3026</v>
      </c>
      <c r="E478" s="139">
        <v>6.48</v>
      </c>
      <c r="F478" s="134" t="s">
        <v>3025</v>
      </c>
      <c r="G478" s="134" t="s">
        <v>3007</v>
      </c>
      <c r="H478" s="123">
        <v>4485</v>
      </c>
    </row>
    <row r="479" spans="1:8" x14ac:dyDescent="0.25">
      <c r="A479" s="134" t="s">
        <v>7726</v>
      </c>
      <c r="B479" s="134" t="s">
        <v>7725</v>
      </c>
      <c r="C479" s="134" t="s">
        <v>7724</v>
      </c>
      <c r="D479" s="134" t="s">
        <v>7723</v>
      </c>
      <c r="E479" s="139">
        <v>4.1399999999999997</v>
      </c>
      <c r="F479" s="134" t="s">
        <v>7722</v>
      </c>
      <c r="G479" s="134" t="s">
        <v>3007</v>
      </c>
      <c r="H479" s="123">
        <v>4486</v>
      </c>
    </row>
    <row r="480" spans="1:8" x14ac:dyDescent="0.25">
      <c r="A480" s="134" t="s">
        <v>7715</v>
      </c>
      <c r="B480" s="134" t="s">
        <v>7721</v>
      </c>
      <c r="C480" s="134" t="s">
        <v>7720</v>
      </c>
      <c r="D480" s="134" t="s">
        <v>3530</v>
      </c>
      <c r="E480" s="139">
        <v>5.54</v>
      </c>
      <c r="F480" s="134" t="s">
        <v>3526</v>
      </c>
      <c r="G480" s="134" t="s">
        <v>3007</v>
      </c>
      <c r="H480" s="123">
        <v>4504</v>
      </c>
    </row>
    <row r="481" spans="1:8" x14ac:dyDescent="0.25">
      <c r="A481" s="134" t="s">
        <v>7715</v>
      </c>
      <c r="B481" s="134" t="s">
        <v>7719</v>
      </c>
      <c r="C481" s="134" t="s">
        <v>7718</v>
      </c>
      <c r="D481" s="134" t="s">
        <v>3527</v>
      </c>
      <c r="E481" s="139">
        <v>4.12</v>
      </c>
      <c r="F481" s="134" t="s">
        <v>3526</v>
      </c>
      <c r="G481" s="134" t="s">
        <v>3007</v>
      </c>
      <c r="H481" s="123">
        <v>4505</v>
      </c>
    </row>
    <row r="482" spans="1:8" x14ac:dyDescent="0.25">
      <c r="A482" s="134" t="s">
        <v>7715</v>
      </c>
      <c r="B482" s="134" t="s">
        <v>7717</v>
      </c>
      <c r="C482" s="134" t="s">
        <v>7716</v>
      </c>
      <c r="D482" s="134" t="s">
        <v>3979</v>
      </c>
      <c r="E482" s="139">
        <v>3.36</v>
      </c>
      <c r="F482" s="134" t="s">
        <v>3978</v>
      </c>
      <c r="G482" s="134" t="s">
        <v>3007</v>
      </c>
      <c r="H482" s="123">
        <v>4506</v>
      </c>
    </row>
    <row r="483" spans="1:8" x14ac:dyDescent="0.25">
      <c r="A483" s="134" t="s">
        <v>7715</v>
      </c>
      <c r="B483" s="134" t="s">
        <v>7714</v>
      </c>
      <c r="C483" s="134" t="s">
        <v>7713</v>
      </c>
      <c r="D483" s="134" t="s">
        <v>3466</v>
      </c>
      <c r="E483" s="139">
        <v>7.43</v>
      </c>
      <c r="F483" s="134" t="s">
        <v>3465</v>
      </c>
      <c r="G483" s="134" t="s">
        <v>3007</v>
      </c>
      <c r="H483" s="123">
        <v>4507</v>
      </c>
    </row>
    <row r="484" spans="1:8" x14ac:dyDescent="0.25">
      <c r="A484" s="134" t="s">
        <v>7710</v>
      </c>
      <c r="B484" s="134" t="s">
        <v>7712</v>
      </c>
      <c r="C484" s="134" t="s">
        <v>7711</v>
      </c>
      <c r="D484" s="134" t="s">
        <v>3050</v>
      </c>
      <c r="E484" s="139">
        <v>1.78</v>
      </c>
      <c r="F484" s="134" t="s">
        <v>3049</v>
      </c>
      <c r="G484" s="134" t="s">
        <v>3007</v>
      </c>
      <c r="H484" s="123">
        <v>4527</v>
      </c>
    </row>
    <row r="485" spans="1:8" x14ac:dyDescent="0.25">
      <c r="A485" s="134" t="s">
        <v>7710</v>
      </c>
      <c r="B485" s="134" t="s">
        <v>7709</v>
      </c>
      <c r="C485" s="134" t="s">
        <v>7708</v>
      </c>
      <c r="D485" s="134" t="s">
        <v>7707</v>
      </c>
      <c r="E485" s="139">
        <v>2.89</v>
      </c>
      <c r="F485" s="134" t="s">
        <v>7706</v>
      </c>
      <c r="G485" s="134" t="s">
        <v>3007</v>
      </c>
      <c r="H485" s="123">
        <v>4528</v>
      </c>
    </row>
    <row r="486" spans="1:8" s="200" customFormat="1" x14ac:dyDescent="0.25">
      <c r="A486" s="198"/>
      <c r="B486" s="198"/>
      <c r="C486" s="198" t="s">
        <v>5691</v>
      </c>
      <c r="D486" s="198" t="s">
        <v>14414</v>
      </c>
      <c r="E486" s="199">
        <f>SUM(E474:E485)</f>
        <v>52.08</v>
      </c>
      <c r="F486" s="198"/>
      <c r="G486" s="198"/>
      <c r="H486" s="172"/>
    </row>
    <row r="487" spans="1:8" s="176" customFormat="1" x14ac:dyDescent="0.25">
      <c r="A487" s="177"/>
      <c r="B487" s="177"/>
      <c r="C487" s="177"/>
      <c r="D487" s="177"/>
      <c r="E487" s="181"/>
      <c r="F487" s="177"/>
      <c r="G487" s="177"/>
      <c r="H487" s="172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91" fitToHeight="2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8A581-FD50-4B20-924E-D15862622646}">
  <sheetPr>
    <pageSetUpPr fitToPage="1"/>
  </sheetPr>
  <dimension ref="A1:L63"/>
  <sheetViews>
    <sheetView topLeftCell="A40" zoomScaleNormal="100" workbookViewId="0">
      <selection activeCell="C59" sqref="C59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8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8" x14ac:dyDescent="0.2">
      <c r="A2" s="1"/>
      <c r="B2" s="2"/>
      <c r="C2" s="3"/>
      <c r="D2" s="3"/>
      <c r="E2" s="3"/>
      <c r="F2" s="4"/>
      <c r="G2" s="3"/>
      <c r="H2" s="5"/>
    </row>
    <row r="3" spans="1:8" x14ac:dyDescent="0.2">
      <c r="A3" s="1"/>
      <c r="B3" s="2"/>
      <c r="C3" s="3"/>
      <c r="D3" s="3"/>
      <c r="E3" s="3"/>
      <c r="F3" s="4"/>
      <c r="G3" s="3"/>
      <c r="H3" s="5"/>
    </row>
    <row r="4" spans="1:8" x14ac:dyDescent="0.2">
      <c r="A4" s="1" t="s">
        <v>1</v>
      </c>
      <c r="B4" s="1"/>
      <c r="D4" s="6"/>
      <c r="E4" s="6"/>
      <c r="G4" s="6"/>
    </row>
    <row r="5" spans="1:8" x14ac:dyDescent="0.2">
      <c r="A5" s="8"/>
      <c r="B5" s="2"/>
      <c r="C5" s="3"/>
      <c r="D5" s="3"/>
      <c r="E5" s="3"/>
      <c r="F5" s="4"/>
      <c r="G5" s="3"/>
      <c r="H5" s="5"/>
    </row>
    <row r="6" spans="1:8" x14ac:dyDescent="0.2">
      <c r="A6" s="8"/>
      <c r="B6" s="2"/>
      <c r="C6" s="3"/>
      <c r="D6" s="3"/>
      <c r="E6" s="3"/>
      <c r="F6" s="4"/>
      <c r="G6" s="3"/>
      <c r="H6" s="5"/>
    </row>
    <row r="7" spans="1:8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8" x14ac:dyDescent="0.2">
      <c r="A8" s="8"/>
      <c r="B8" s="2"/>
      <c r="C8" s="3"/>
      <c r="D8" s="3"/>
      <c r="E8" s="3"/>
      <c r="F8" s="4"/>
      <c r="G8" s="3"/>
      <c r="H8" s="5"/>
    </row>
    <row r="9" spans="1:8" ht="13.5" customHeight="1" x14ac:dyDescent="0.2">
      <c r="A9" s="10" t="s">
        <v>18034</v>
      </c>
      <c r="B9" s="10"/>
      <c r="C9" s="11"/>
      <c r="D9" s="3"/>
      <c r="E9" s="3"/>
      <c r="F9" s="4"/>
      <c r="G9" s="12" t="s">
        <v>4</v>
      </c>
      <c r="H9" s="13">
        <v>36172.15</v>
      </c>
    </row>
    <row r="10" spans="1:8" x14ac:dyDescent="0.2">
      <c r="A10" s="3"/>
      <c r="B10" s="9"/>
      <c r="C10" s="3"/>
      <c r="D10" s="3"/>
      <c r="E10" s="3"/>
      <c r="F10" s="4"/>
      <c r="G10" s="3"/>
      <c r="H10" s="5"/>
    </row>
    <row r="11" spans="1:8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8" ht="12.75" customHeight="1" x14ac:dyDescent="0.2">
      <c r="A12" s="14"/>
      <c r="B12" s="18" t="s">
        <v>6</v>
      </c>
      <c r="C12" s="3"/>
      <c r="D12" s="16"/>
      <c r="E12" s="16"/>
      <c r="F12" s="17"/>
      <c r="G12" s="3"/>
      <c r="H12" s="5"/>
    </row>
    <row r="13" spans="1:8" x14ac:dyDescent="0.2">
      <c r="A13" s="14"/>
      <c r="B13" s="9"/>
      <c r="C13" s="3"/>
      <c r="D13" s="16"/>
      <c r="E13" s="16"/>
      <c r="F13" s="17"/>
      <c r="G13" s="3"/>
      <c r="H13" s="5"/>
    </row>
    <row r="14" spans="1:8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8" x14ac:dyDescent="0.2">
      <c r="A15" s="23"/>
      <c r="B15" s="24"/>
      <c r="C15" s="34"/>
      <c r="D15" s="35"/>
      <c r="E15" s="26"/>
      <c r="F15" s="36"/>
      <c r="G15" s="3"/>
      <c r="H15" s="5"/>
    </row>
    <row r="16" spans="1:8" x14ac:dyDescent="0.2">
      <c r="A16" s="37"/>
      <c r="B16" s="38"/>
      <c r="C16" s="39"/>
      <c r="D16" s="40"/>
      <c r="E16" s="22"/>
      <c r="F16" s="41"/>
      <c r="G16" s="3"/>
      <c r="H16" s="13">
        <f>SUM(F15:F15)</f>
        <v>0</v>
      </c>
    </row>
    <row r="17" spans="1:9" x14ac:dyDescent="0.2">
      <c r="A17" s="19"/>
      <c r="B17" s="42"/>
      <c r="C17" s="3"/>
      <c r="D17" s="22"/>
      <c r="E17" s="22"/>
      <c r="F17" s="43"/>
      <c r="G17" s="12"/>
      <c r="H17" s="5"/>
    </row>
    <row r="18" spans="1:9" x14ac:dyDescent="0.2">
      <c r="A18" s="3"/>
      <c r="B18" s="44" t="s">
        <v>5</v>
      </c>
      <c r="C18" s="3"/>
      <c r="D18" s="16"/>
      <c r="E18" s="16"/>
      <c r="F18" s="22" t="s">
        <v>11</v>
      </c>
      <c r="G18" s="3"/>
      <c r="H18" s="5"/>
    </row>
    <row r="19" spans="1:9" ht="13.5" customHeight="1" x14ac:dyDescent="0.2">
      <c r="A19" s="21" t="s">
        <v>7</v>
      </c>
      <c r="B19" s="18" t="s">
        <v>14</v>
      </c>
      <c r="C19" s="3"/>
      <c r="D19" s="16"/>
      <c r="E19" s="16"/>
      <c r="F19" s="43"/>
      <c r="G19" s="3"/>
      <c r="H19" s="5"/>
    </row>
    <row r="20" spans="1:9" ht="13.5" customHeight="1" x14ac:dyDescent="0.2">
      <c r="A20" s="54"/>
      <c r="B20" s="55"/>
      <c r="D20" s="51"/>
      <c r="E20" s="51"/>
      <c r="F20" s="56"/>
      <c r="H20" s="57"/>
    </row>
    <row r="21" spans="1:9" x14ac:dyDescent="0.2">
      <c r="A21" s="58"/>
      <c r="D21" s="51"/>
      <c r="E21" s="51"/>
      <c r="F21" s="57"/>
      <c r="H21" s="60">
        <f>SUM(F20:F20)</f>
        <v>0</v>
      </c>
    </row>
    <row r="22" spans="1:9" s="64" customFormat="1" x14ac:dyDescent="0.2">
      <c r="A22" s="61"/>
      <c r="B22" s="62" t="s">
        <v>29</v>
      </c>
      <c r="C22" s="63"/>
      <c r="D22" s="63"/>
      <c r="E22" s="63"/>
      <c r="G22" s="65"/>
    </row>
    <row r="23" spans="1:9" s="64" customFormat="1" x14ac:dyDescent="0.2">
      <c r="A23" s="21" t="s">
        <v>7</v>
      </c>
      <c r="B23" s="62" t="s">
        <v>30</v>
      </c>
      <c r="C23" s="63"/>
      <c r="D23" s="63"/>
      <c r="E23" s="63"/>
      <c r="F23" s="22" t="s">
        <v>11</v>
      </c>
      <c r="G23" s="65"/>
    </row>
    <row r="24" spans="1:9" x14ac:dyDescent="0.2">
      <c r="A24" s="45"/>
      <c r="B24" s="66"/>
      <c r="D24" s="51"/>
      <c r="E24" s="51"/>
      <c r="F24" s="56"/>
      <c r="G24" s="3"/>
      <c r="H24" s="5"/>
    </row>
    <row r="25" spans="1:9" x14ac:dyDescent="0.2">
      <c r="A25" s="75"/>
      <c r="B25" s="2"/>
      <c r="C25" s="3"/>
      <c r="D25" s="16"/>
      <c r="E25" s="16"/>
      <c r="F25" s="76"/>
      <c r="G25" s="3"/>
      <c r="H25" s="60">
        <f>SUM(F24:F24)</f>
        <v>0</v>
      </c>
    </row>
    <row r="26" spans="1:9" x14ac:dyDescent="0.2">
      <c r="C26" s="3"/>
      <c r="D26" s="16"/>
      <c r="E26" s="16"/>
      <c r="F26" s="76"/>
      <c r="G26" s="3"/>
      <c r="H26" s="5"/>
    </row>
    <row r="27" spans="1:9" x14ac:dyDescent="0.2">
      <c r="B27" s="62" t="s">
        <v>29</v>
      </c>
      <c r="C27" s="3"/>
      <c r="D27" s="16"/>
      <c r="E27" s="16"/>
      <c r="F27" s="22" t="s">
        <v>11</v>
      </c>
      <c r="G27" s="3"/>
      <c r="H27" s="5"/>
    </row>
    <row r="28" spans="1:9" x14ac:dyDescent="0.2">
      <c r="A28" s="21" t="s">
        <v>7</v>
      </c>
      <c r="B28" s="18" t="s">
        <v>44</v>
      </c>
      <c r="C28" s="3"/>
      <c r="D28" s="16"/>
      <c r="E28" s="16"/>
      <c r="F28" s="12"/>
      <c r="G28" s="3"/>
      <c r="H28" s="5"/>
    </row>
    <row r="29" spans="1:9" ht="15" x14ac:dyDescent="0.2">
      <c r="A29" s="150">
        <v>43902</v>
      </c>
      <c r="B29" s="113" t="s">
        <v>16923</v>
      </c>
      <c r="C29" s="148" t="s">
        <v>16924</v>
      </c>
      <c r="D29" s="68"/>
      <c r="E29" s="25"/>
      <c r="F29" s="160">
        <v>8.3800000000000008</v>
      </c>
      <c r="G29" s="3"/>
      <c r="I29" s="33"/>
    </row>
    <row r="30" spans="1:9" ht="15" x14ac:dyDescent="0.2">
      <c r="A30" s="150">
        <v>43902</v>
      </c>
      <c r="B30" s="113" t="s">
        <v>16921</v>
      </c>
      <c r="C30" s="148" t="s">
        <v>16922</v>
      </c>
      <c r="D30" s="68"/>
      <c r="E30" s="25"/>
      <c r="F30" s="160">
        <v>15.32</v>
      </c>
      <c r="G30" s="3"/>
      <c r="I30" s="33"/>
    </row>
    <row r="31" spans="1:9" ht="15" x14ac:dyDescent="0.2">
      <c r="A31" s="150">
        <v>43902</v>
      </c>
      <c r="B31" s="113" t="s">
        <v>16919</v>
      </c>
      <c r="C31" s="148" t="s">
        <v>16920</v>
      </c>
      <c r="D31" s="68"/>
      <c r="E31" s="25"/>
      <c r="F31" s="160">
        <v>15.3</v>
      </c>
      <c r="G31" s="3"/>
      <c r="I31" s="33"/>
    </row>
    <row r="32" spans="1:9" ht="15" x14ac:dyDescent="0.2">
      <c r="A32" s="150">
        <v>43902</v>
      </c>
      <c r="B32" s="113" t="s">
        <v>16917</v>
      </c>
      <c r="C32" s="148" t="s">
        <v>16918</v>
      </c>
      <c r="D32" s="68"/>
      <c r="E32" s="25"/>
      <c r="F32" s="160">
        <v>1</v>
      </c>
      <c r="G32" s="3"/>
      <c r="I32" s="33"/>
    </row>
    <row r="33" spans="1:9" ht="15" x14ac:dyDescent="0.2">
      <c r="A33" s="150">
        <v>43902</v>
      </c>
      <c r="B33" s="113" t="s">
        <v>16915</v>
      </c>
      <c r="C33" s="148" t="s">
        <v>16916</v>
      </c>
      <c r="D33" s="68"/>
      <c r="E33" s="25"/>
      <c r="F33" s="160">
        <v>30.16</v>
      </c>
      <c r="G33" s="3"/>
      <c r="I33" s="33"/>
    </row>
    <row r="34" spans="1:9" ht="19.5" x14ac:dyDescent="0.2">
      <c r="A34" s="150">
        <v>43902</v>
      </c>
      <c r="B34" s="113" t="s">
        <v>16913</v>
      </c>
      <c r="C34" s="148" t="s">
        <v>16914</v>
      </c>
      <c r="D34" s="68"/>
      <c r="E34" s="25"/>
      <c r="F34" s="160">
        <v>9.82</v>
      </c>
      <c r="G34" s="3"/>
      <c r="I34" s="33"/>
    </row>
    <row r="35" spans="1:9" ht="19.5" x14ac:dyDescent="0.2">
      <c r="A35" s="150">
        <v>43903</v>
      </c>
      <c r="B35" s="113" t="s">
        <v>16785</v>
      </c>
      <c r="C35" s="148" t="s">
        <v>16786</v>
      </c>
      <c r="D35" s="68"/>
      <c r="E35" s="25"/>
      <c r="F35" s="160">
        <v>47.67</v>
      </c>
      <c r="G35" s="3"/>
      <c r="I35" s="33"/>
    </row>
    <row r="36" spans="1:9" ht="15" x14ac:dyDescent="0.2">
      <c r="A36" s="150">
        <v>43903</v>
      </c>
      <c r="B36" s="113" t="s">
        <v>16783</v>
      </c>
      <c r="C36" s="148" t="s">
        <v>16784</v>
      </c>
      <c r="D36" s="68"/>
      <c r="E36" s="25"/>
      <c r="F36" s="160">
        <v>44.13</v>
      </c>
      <c r="G36" s="3"/>
      <c r="I36" s="33"/>
    </row>
    <row r="37" spans="1:9" ht="15" x14ac:dyDescent="0.2">
      <c r="A37" s="150">
        <v>43903</v>
      </c>
      <c r="B37" s="113" t="s">
        <v>16777</v>
      </c>
      <c r="C37" s="148" t="s">
        <v>16778</v>
      </c>
      <c r="D37" s="68"/>
      <c r="E37" s="25"/>
      <c r="F37" s="160">
        <v>15.3</v>
      </c>
      <c r="G37" s="3"/>
      <c r="I37" s="33"/>
    </row>
    <row r="38" spans="1:9" ht="15" x14ac:dyDescent="0.2">
      <c r="A38" s="150">
        <v>43903</v>
      </c>
      <c r="B38" s="113" t="s">
        <v>16775</v>
      </c>
      <c r="C38" s="148" t="s">
        <v>16776</v>
      </c>
      <c r="D38" s="68"/>
      <c r="E38" s="25"/>
      <c r="F38" s="160">
        <v>75.319999999999993</v>
      </c>
      <c r="G38" s="3"/>
      <c r="I38" s="33"/>
    </row>
    <row r="39" spans="1:9" ht="15" x14ac:dyDescent="0.2">
      <c r="A39" s="296">
        <v>43917</v>
      </c>
      <c r="B39" s="297" t="s">
        <v>16433</v>
      </c>
      <c r="C39" s="295" t="s">
        <v>16434</v>
      </c>
      <c r="D39" s="68"/>
      <c r="E39" s="25"/>
      <c r="F39" s="258">
        <v>1.68</v>
      </c>
      <c r="G39" s="3"/>
      <c r="I39" s="33"/>
    </row>
    <row r="40" spans="1:9" ht="19.5" x14ac:dyDescent="0.2">
      <c r="A40" s="296">
        <v>43917</v>
      </c>
      <c r="B40" s="297" t="s">
        <v>16431</v>
      </c>
      <c r="C40" s="295" t="s">
        <v>16432</v>
      </c>
      <c r="D40" s="68"/>
      <c r="E40" s="25"/>
      <c r="F40" s="258">
        <v>9.19</v>
      </c>
      <c r="G40" s="3"/>
      <c r="I40" s="33"/>
    </row>
    <row r="41" spans="1:9" ht="15" x14ac:dyDescent="0.2">
      <c r="A41" s="296">
        <v>43917</v>
      </c>
      <c r="B41" s="297" t="s">
        <v>16429</v>
      </c>
      <c r="C41" s="295" t="s">
        <v>16430</v>
      </c>
      <c r="D41" s="68"/>
      <c r="E41" s="25"/>
      <c r="F41" s="258">
        <v>0.9</v>
      </c>
      <c r="G41" s="3"/>
      <c r="I41" s="33"/>
    </row>
    <row r="42" spans="1:9" ht="15" x14ac:dyDescent="0.2">
      <c r="A42" s="296">
        <v>43917</v>
      </c>
      <c r="B42" s="297" t="s">
        <v>16427</v>
      </c>
      <c r="C42" s="295" t="s">
        <v>16428</v>
      </c>
      <c r="D42" s="68"/>
      <c r="E42" s="25"/>
      <c r="F42" s="258">
        <v>4.57</v>
      </c>
      <c r="G42" s="3"/>
      <c r="I42" s="33"/>
    </row>
    <row r="43" spans="1:9" ht="15" x14ac:dyDescent="0.2">
      <c r="A43" s="296">
        <v>43919</v>
      </c>
      <c r="B43" s="297" t="s">
        <v>16415</v>
      </c>
      <c r="C43" s="295" t="s">
        <v>16416</v>
      </c>
      <c r="D43" s="68"/>
      <c r="E43" s="25"/>
      <c r="F43" s="258">
        <v>6.48</v>
      </c>
      <c r="G43" s="3"/>
      <c r="I43" s="33"/>
    </row>
    <row r="44" spans="1:9" ht="19.5" x14ac:dyDescent="0.2">
      <c r="A44" s="296">
        <v>43919</v>
      </c>
      <c r="B44" s="297" t="s">
        <v>16413</v>
      </c>
      <c r="C44" s="295" t="s">
        <v>16414</v>
      </c>
      <c r="D44" s="68"/>
      <c r="E44" s="25"/>
      <c r="F44" s="258">
        <v>4.1399999999999997</v>
      </c>
      <c r="G44" s="3"/>
      <c r="I44" s="33"/>
    </row>
    <row r="45" spans="1:9" ht="15" x14ac:dyDescent="0.2">
      <c r="A45" s="296">
        <v>43920</v>
      </c>
      <c r="B45" s="297" t="s">
        <v>16405</v>
      </c>
      <c r="C45" s="295" t="s">
        <v>16406</v>
      </c>
      <c r="D45" s="68"/>
      <c r="E45" s="25"/>
      <c r="F45" s="258">
        <v>5.54</v>
      </c>
      <c r="G45" s="3"/>
      <c r="I45" s="33"/>
    </row>
    <row r="46" spans="1:9" ht="15" x14ac:dyDescent="0.2">
      <c r="A46" s="296">
        <v>43920</v>
      </c>
      <c r="B46" s="297" t="s">
        <v>16403</v>
      </c>
      <c r="C46" s="295" t="s">
        <v>16404</v>
      </c>
      <c r="D46" s="68"/>
      <c r="E46" s="25"/>
      <c r="F46" s="258">
        <v>4.12</v>
      </c>
      <c r="G46" s="3"/>
      <c r="I46" s="33"/>
    </row>
    <row r="47" spans="1:9" ht="15" x14ac:dyDescent="0.2">
      <c r="A47" s="296">
        <v>43920</v>
      </c>
      <c r="B47" s="297" t="s">
        <v>16401</v>
      </c>
      <c r="C47" s="295" t="s">
        <v>16402</v>
      </c>
      <c r="D47" s="68"/>
      <c r="E47" s="25"/>
      <c r="F47" s="258">
        <v>3.36</v>
      </c>
      <c r="G47" s="3"/>
      <c r="I47" s="33"/>
    </row>
    <row r="48" spans="1:9" ht="15" x14ac:dyDescent="0.2">
      <c r="A48" s="296">
        <v>43920</v>
      </c>
      <c r="B48" s="297" t="s">
        <v>16399</v>
      </c>
      <c r="C48" s="295" t="s">
        <v>16400</v>
      </c>
      <c r="D48" s="68"/>
      <c r="E48" s="25"/>
      <c r="F48" s="258">
        <v>7.43</v>
      </c>
      <c r="G48" s="3"/>
      <c r="I48" s="33"/>
    </row>
    <row r="49" spans="1:12" ht="15" x14ac:dyDescent="0.2">
      <c r="A49" s="296">
        <v>43921</v>
      </c>
      <c r="B49" s="297" t="s">
        <v>16383</v>
      </c>
      <c r="C49" s="295" t="s">
        <v>16384</v>
      </c>
      <c r="D49" s="68"/>
      <c r="E49" s="25"/>
      <c r="F49" s="258">
        <v>1.78</v>
      </c>
      <c r="G49" s="3"/>
      <c r="I49" s="33"/>
    </row>
    <row r="50" spans="1:12" ht="15" x14ac:dyDescent="0.2">
      <c r="A50" s="296">
        <v>43921</v>
      </c>
      <c r="B50" s="297" t="s">
        <v>16381</v>
      </c>
      <c r="C50" s="295" t="s">
        <v>16382</v>
      </c>
      <c r="D50" s="68"/>
      <c r="E50" s="25"/>
      <c r="F50" s="258">
        <v>2.89</v>
      </c>
      <c r="G50" s="3"/>
      <c r="I50" s="33"/>
    </row>
    <row r="51" spans="1:12" ht="12.75" x14ac:dyDescent="0.2">
      <c r="A51" s="37"/>
      <c r="B51" s="91"/>
      <c r="C51" s="39"/>
      <c r="D51" s="16"/>
      <c r="E51" s="16"/>
      <c r="F51" s="92"/>
      <c r="G51" s="3"/>
      <c r="H51" s="301">
        <f>SUM(F29:F51)</f>
        <v>314.47999999999996</v>
      </c>
    </row>
    <row r="52" spans="1:12" x14ac:dyDescent="0.2">
      <c r="A52" s="3"/>
      <c r="B52" s="2"/>
      <c r="C52" s="3"/>
      <c r="D52" s="3"/>
      <c r="E52" s="3"/>
      <c r="F52" s="5"/>
      <c r="G52" s="3"/>
      <c r="H52" s="5"/>
    </row>
    <row r="53" spans="1:12" s="99" customFormat="1" ht="20.25" customHeight="1" thickBot="1" x14ac:dyDescent="0.3">
      <c r="A53" s="93"/>
      <c r="B53" s="94" t="s">
        <v>18035</v>
      </c>
      <c r="C53" s="95"/>
      <c r="D53" s="93"/>
      <c r="E53" s="93"/>
      <c r="F53" s="96"/>
      <c r="G53" s="97" t="s">
        <v>4</v>
      </c>
      <c r="H53" s="302">
        <f>+H9-H16-H21+H25+H51</f>
        <v>36486.630000000005</v>
      </c>
      <c r="I53" s="303"/>
      <c r="J53" s="303"/>
    </row>
    <row r="54" spans="1:12" ht="13.5" thickTop="1" x14ac:dyDescent="0.2">
      <c r="A54" s="3"/>
      <c r="B54" s="2"/>
      <c r="C54" s="3"/>
      <c r="D54" s="3"/>
      <c r="E54" s="3"/>
      <c r="F54" s="5"/>
      <c r="G54" s="3"/>
      <c r="H54" s="304"/>
      <c r="I54" s="305"/>
      <c r="J54" s="306">
        <f>+'BP MAR-20'!I871</f>
        <v>37233.710000000028</v>
      </c>
    </row>
    <row r="55" spans="1:12" ht="12.75" x14ac:dyDescent="0.2">
      <c r="A55" s="3"/>
      <c r="B55" s="2"/>
      <c r="C55" s="3"/>
      <c r="D55" s="3"/>
      <c r="E55" s="3"/>
      <c r="F55" s="5"/>
      <c r="G55" s="3"/>
      <c r="H55" s="305"/>
      <c r="I55" s="305"/>
      <c r="J55" s="304"/>
    </row>
    <row r="56" spans="1:12" ht="12.75" x14ac:dyDescent="0.2">
      <c r="A56" s="3"/>
      <c r="B56" s="2"/>
      <c r="C56" s="3"/>
      <c r="D56" s="3"/>
      <c r="E56" s="3"/>
      <c r="G56" s="3"/>
      <c r="H56" s="305"/>
      <c r="I56" s="305"/>
      <c r="J56" s="304"/>
    </row>
    <row r="57" spans="1:12" ht="23.25" customHeight="1" thickBot="1" x14ac:dyDescent="0.25">
      <c r="A57" s="3"/>
      <c r="C57" s="100"/>
      <c r="D57" s="101"/>
      <c r="E57" s="3"/>
      <c r="F57" s="102"/>
      <c r="G57" s="3"/>
      <c r="H57" s="304"/>
      <c r="I57" s="305"/>
      <c r="J57" s="302">
        <f>+H53-J54</f>
        <v>-747.08000000002357</v>
      </c>
      <c r="L57" s="57"/>
    </row>
    <row r="58" spans="1:12" ht="26.25" customHeight="1" thickTop="1" x14ac:dyDescent="0.2">
      <c r="A58" s="3"/>
      <c r="C58" s="378" t="s">
        <v>314</v>
      </c>
      <c r="D58" s="378"/>
      <c r="E58" s="3"/>
      <c r="F58" s="378" t="s">
        <v>315</v>
      </c>
      <c r="G58" s="378"/>
      <c r="H58" s="304"/>
      <c r="I58" s="305"/>
      <c r="J58" s="305"/>
    </row>
    <row r="59" spans="1:12" ht="23.25" customHeight="1" thickBot="1" x14ac:dyDescent="0.25">
      <c r="H59" s="305"/>
      <c r="I59" s="305"/>
      <c r="J59" s="302">
        <f>+H53-J57</f>
        <v>37233.710000000028</v>
      </c>
    </row>
    <row r="60" spans="1:12" ht="13.5" thickTop="1" x14ac:dyDescent="0.2">
      <c r="H60" s="305"/>
      <c r="I60" s="305"/>
      <c r="J60" s="305"/>
      <c r="L60" s="57"/>
    </row>
    <row r="62" spans="1:12" x14ac:dyDescent="0.2">
      <c r="L62" s="57"/>
    </row>
    <row r="63" spans="1:12" x14ac:dyDescent="0.2">
      <c r="A63" s="6"/>
      <c r="B63" s="6"/>
      <c r="C63" s="6"/>
      <c r="D63" s="6"/>
      <c r="E63" s="6"/>
      <c r="G63" s="6"/>
      <c r="J63" s="57"/>
    </row>
  </sheetData>
  <mergeCells count="2">
    <mergeCell ref="C58:D58"/>
    <mergeCell ref="F58:G58"/>
  </mergeCells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2A101-8815-4AD7-8C9D-566C81ADA18D}">
  <sheetPr filterMode="1"/>
  <dimension ref="A2:I368"/>
  <sheetViews>
    <sheetView topLeftCell="A16" workbookViewId="0">
      <pane xSplit="5" ySplit="2" topLeftCell="F184" activePane="bottomRight" state="frozen"/>
      <selection activeCell="A16" sqref="A16"/>
      <selection pane="topRight" activeCell="F16" sqref="F16"/>
      <selection pane="bottomLeft" activeCell="A18" sqref="A18"/>
      <selection pane="bottomRight" activeCell="I17" sqref="I17"/>
    </sheetView>
  </sheetViews>
  <sheetFormatPr baseColWidth="10" defaultColWidth="11.5703125" defaultRowHeight="15.75" x14ac:dyDescent="0.2"/>
  <cols>
    <col min="1" max="1" width="11.5703125" style="103"/>
    <col min="2" max="4" width="11.5703125" style="145"/>
    <col min="5" max="5" width="49.140625" style="111" customWidth="1"/>
    <col min="6" max="6" width="6.28515625" style="257" customWidth="1"/>
    <col min="7" max="8" width="12.42578125" style="103" bestFit="1" customWidth="1"/>
    <col min="9" max="9" width="17.140625" style="103" bestFit="1" customWidth="1"/>
    <col min="10" max="16384" width="11.5703125" style="103"/>
  </cols>
  <sheetData>
    <row r="2" spans="1:9" ht="19.5" x14ac:dyDescent="0.2">
      <c r="E2" s="320" t="s">
        <v>2771</v>
      </c>
      <c r="H2" s="104" t="s">
        <v>2770</v>
      </c>
      <c r="I2" s="312">
        <v>1</v>
      </c>
    </row>
    <row r="3" spans="1:9" x14ac:dyDescent="0.2">
      <c r="H3" s="104" t="s">
        <v>2769</v>
      </c>
      <c r="I3" s="311">
        <v>44169</v>
      </c>
    </row>
    <row r="5" spans="1:9" x14ac:dyDescent="0.2">
      <c r="A5" s="112" t="s">
        <v>2768</v>
      </c>
      <c r="B5" s="146" t="s">
        <v>18711</v>
      </c>
      <c r="C5" s="146" t="s">
        <v>2767</v>
      </c>
      <c r="D5" s="146" t="s">
        <v>18711</v>
      </c>
      <c r="E5" s="103"/>
      <c r="H5" s="309">
        <v>0.59645833333333331</v>
      </c>
    </row>
    <row r="7" spans="1:9" x14ac:dyDescent="0.2">
      <c r="H7" s="104" t="s">
        <v>2765</v>
      </c>
      <c r="I7" s="106" t="s">
        <v>2764</v>
      </c>
    </row>
    <row r="8" spans="1:9" x14ac:dyDescent="0.2">
      <c r="B8" s="147"/>
      <c r="C8" s="147" t="s">
        <v>2763</v>
      </c>
      <c r="D8" s="322" t="s">
        <v>2762</v>
      </c>
      <c r="G8" s="308" t="s">
        <v>2760</v>
      </c>
      <c r="H8" s="307" t="s">
        <v>2759</v>
      </c>
    </row>
    <row r="9" spans="1:9" x14ac:dyDescent="0.2">
      <c r="G9" s="321" t="s">
        <v>2761</v>
      </c>
      <c r="H9" s="307" t="s">
        <v>2759</v>
      </c>
    </row>
    <row r="11" spans="1:9" x14ac:dyDescent="0.2">
      <c r="A11" s="108" t="s">
        <v>2758</v>
      </c>
      <c r="B11" s="109"/>
      <c r="C11" s="109" t="s">
        <v>2757</v>
      </c>
      <c r="D11" s="109" t="s">
        <v>2756</v>
      </c>
      <c r="E11" s="149" t="s">
        <v>2755</v>
      </c>
      <c r="G11" s="104" t="s">
        <v>322</v>
      </c>
      <c r="H11" s="104" t="s">
        <v>321</v>
      </c>
      <c r="I11" s="104" t="s">
        <v>2754</v>
      </c>
    </row>
    <row r="14" spans="1:9" x14ac:dyDescent="0.2">
      <c r="A14" s="108" t="s">
        <v>2753</v>
      </c>
      <c r="B14" s="108" t="s">
        <v>2752</v>
      </c>
    </row>
    <row r="15" spans="1:9" x14ac:dyDescent="0.2">
      <c r="B15" s="108"/>
    </row>
    <row r="16" spans="1:9" x14ac:dyDescent="0.25">
      <c r="A16" s="107" t="s">
        <v>2751</v>
      </c>
      <c r="B16" s="108" t="s">
        <v>2750</v>
      </c>
      <c r="G16" s="152"/>
      <c r="H16" s="153" t="s">
        <v>323</v>
      </c>
      <c r="I16" s="160">
        <v>37233.71</v>
      </c>
    </row>
    <row r="17" spans="2:9" x14ac:dyDescent="0.25">
      <c r="G17" s="152"/>
      <c r="H17" s="152"/>
      <c r="I17" s="152"/>
    </row>
    <row r="18" spans="2:9" ht="19.5" hidden="1" x14ac:dyDescent="0.25">
      <c r="B18" s="148"/>
      <c r="C18" s="148" t="s">
        <v>18710</v>
      </c>
      <c r="D18" s="150">
        <v>43922</v>
      </c>
      <c r="E18" s="113" t="s">
        <v>18709</v>
      </c>
      <c r="F18" s="256" t="s">
        <v>14436</v>
      </c>
      <c r="G18" s="160">
        <v>10.050000000000001</v>
      </c>
      <c r="H18" s="152"/>
      <c r="I18" s="160">
        <f>+I16+G18-H18</f>
        <v>37243.760000000002</v>
      </c>
    </row>
    <row r="19" spans="2:9" ht="19.5" hidden="1" x14ac:dyDescent="0.25">
      <c r="B19" s="148"/>
      <c r="C19" s="148" t="s">
        <v>18708</v>
      </c>
      <c r="D19" s="150">
        <v>43922</v>
      </c>
      <c r="E19" s="113" t="s">
        <v>18707</v>
      </c>
      <c r="F19" s="256" t="s">
        <v>14439</v>
      </c>
      <c r="G19" s="160">
        <v>11.46</v>
      </c>
      <c r="H19" s="152"/>
      <c r="I19" s="160">
        <f>+I18+G19-H19</f>
        <v>37255.22</v>
      </c>
    </row>
    <row r="20" spans="2:9" ht="19.5" hidden="1" x14ac:dyDescent="0.25">
      <c r="B20" s="148"/>
      <c r="C20" s="148" t="s">
        <v>18706</v>
      </c>
      <c r="D20" s="150">
        <v>43922</v>
      </c>
      <c r="E20" s="113" t="s">
        <v>18705</v>
      </c>
      <c r="F20" s="256" t="s">
        <v>14439</v>
      </c>
      <c r="G20" s="160">
        <v>13.28</v>
      </c>
      <c r="H20" s="152"/>
      <c r="I20" s="160">
        <f t="shared" ref="I20:I83" si="0">+I19+G20-H20</f>
        <v>37268.5</v>
      </c>
    </row>
    <row r="21" spans="2:9" ht="19.5" hidden="1" x14ac:dyDescent="0.25">
      <c r="B21" s="148"/>
      <c r="C21" s="148" t="s">
        <v>18704</v>
      </c>
      <c r="D21" s="150">
        <v>43922</v>
      </c>
      <c r="E21" s="113" t="s">
        <v>18703</v>
      </c>
      <c r="F21" s="257" t="s">
        <v>14408</v>
      </c>
      <c r="G21" s="258">
        <v>6.08</v>
      </c>
      <c r="H21" s="152"/>
      <c r="I21" s="160">
        <f t="shared" si="0"/>
        <v>37274.58</v>
      </c>
    </row>
    <row r="22" spans="2:9" hidden="1" x14ac:dyDescent="0.25">
      <c r="B22" s="148"/>
      <c r="C22" s="148" t="s">
        <v>18702</v>
      </c>
      <c r="D22" s="150">
        <v>43922</v>
      </c>
      <c r="E22" s="113" t="s">
        <v>18701</v>
      </c>
      <c r="F22" s="257" t="s">
        <v>14408</v>
      </c>
      <c r="G22" s="258">
        <v>3.46</v>
      </c>
      <c r="H22" s="152"/>
      <c r="I22" s="160">
        <f t="shared" si="0"/>
        <v>37278.04</v>
      </c>
    </row>
    <row r="23" spans="2:9" ht="19.5" hidden="1" x14ac:dyDescent="0.25">
      <c r="B23" s="148"/>
      <c r="C23" s="148" t="s">
        <v>18700</v>
      </c>
      <c r="D23" s="150">
        <v>43922</v>
      </c>
      <c r="E23" s="113" t="s">
        <v>18699</v>
      </c>
      <c r="F23" s="257" t="s">
        <v>14408</v>
      </c>
      <c r="G23" s="258">
        <v>15.77</v>
      </c>
      <c r="H23" s="152"/>
      <c r="I23" s="160">
        <f t="shared" si="0"/>
        <v>37293.81</v>
      </c>
    </row>
    <row r="24" spans="2:9" ht="19.5" hidden="1" x14ac:dyDescent="0.25">
      <c r="B24" s="148"/>
      <c r="C24" s="148" t="s">
        <v>18698</v>
      </c>
      <c r="D24" s="150">
        <v>43922</v>
      </c>
      <c r="E24" s="113" t="s">
        <v>18697</v>
      </c>
      <c r="F24" s="257" t="s">
        <v>14408</v>
      </c>
      <c r="G24" s="258">
        <v>4.41</v>
      </c>
      <c r="H24" s="152"/>
      <c r="I24" s="160">
        <f t="shared" si="0"/>
        <v>37298.22</v>
      </c>
    </row>
    <row r="25" spans="2:9" hidden="1" x14ac:dyDescent="0.25">
      <c r="B25" s="148"/>
      <c r="C25" s="148" t="s">
        <v>18696</v>
      </c>
      <c r="D25" s="150">
        <v>43922</v>
      </c>
      <c r="E25" s="113" t="s">
        <v>18695</v>
      </c>
      <c r="F25" s="256">
        <v>1</v>
      </c>
      <c r="G25" s="255">
        <v>2.2200000000000002</v>
      </c>
      <c r="H25" s="152"/>
      <c r="I25" s="160">
        <f t="shared" si="0"/>
        <v>37300.44</v>
      </c>
    </row>
    <row r="26" spans="2:9" ht="19.5" hidden="1" x14ac:dyDescent="0.25">
      <c r="B26" s="148"/>
      <c r="C26" s="148" t="s">
        <v>18694</v>
      </c>
      <c r="D26" s="150">
        <v>43922</v>
      </c>
      <c r="E26" s="113" t="s">
        <v>18693</v>
      </c>
      <c r="F26" s="256">
        <v>1</v>
      </c>
      <c r="G26" s="255">
        <v>0.44</v>
      </c>
      <c r="H26" s="152"/>
      <c r="I26" s="160">
        <f t="shared" si="0"/>
        <v>37300.880000000005</v>
      </c>
    </row>
    <row r="27" spans="2:9" ht="19.5" hidden="1" x14ac:dyDescent="0.25">
      <c r="B27" s="148"/>
      <c r="C27" s="148" t="s">
        <v>18692</v>
      </c>
      <c r="D27" s="150">
        <v>43922</v>
      </c>
      <c r="E27" s="113" t="s">
        <v>18691</v>
      </c>
      <c r="F27" s="256">
        <v>1</v>
      </c>
      <c r="G27" s="255">
        <v>5.04</v>
      </c>
      <c r="H27" s="152"/>
      <c r="I27" s="160">
        <f t="shared" si="0"/>
        <v>37305.920000000006</v>
      </c>
    </row>
    <row r="28" spans="2:9" ht="19.5" hidden="1" x14ac:dyDescent="0.25">
      <c r="B28" s="148"/>
      <c r="C28" s="148" t="s">
        <v>18690</v>
      </c>
      <c r="D28" s="150">
        <v>43922</v>
      </c>
      <c r="E28" s="113" t="s">
        <v>18689</v>
      </c>
      <c r="F28" s="256">
        <v>1</v>
      </c>
      <c r="G28" s="255">
        <v>4.87</v>
      </c>
      <c r="H28" s="152"/>
      <c r="I28" s="160">
        <f t="shared" si="0"/>
        <v>37310.790000000008</v>
      </c>
    </row>
    <row r="29" spans="2:9" ht="19.5" hidden="1" x14ac:dyDescent="0.25">
      <c r="B29" s="148"/>
      <c r="C29" s="148" t="s">
        <v>18688</v>
      </c>
      <c r="D29" s="150">
        <v>43922</v>
      </c>
      <c r="E29" s="113" t="s">
        <v>18687</v>
      </c>
      <c r="F29" s="256">
        <v>1</v>
      </c>
      <c r="G29" s="255">
        <v>16.12</v>
      </c>
      <c r="H29" s="152"/>
      <c r="I29" s="160">
        <f t="shared" si="0"/>
        <v>37326.910000000011</v>
      </c>
    </row>
    <row r="30" spans="2:9" hidden="1" x14ac:dyDescent="0.25">
      <c r="B30" s="148"/>
      <c r="C30" s="148" t="s">
        <v>18686</v>
      </c>
      <c r="D30" s="150">
        <v>43922</v>
      </c>
      <c r="E30" s="113" t="s">
        <v>18685</v>
      </c>
      <c r="F30" s="256">
        <v>1</v>
      </c>
      <c r="G30" s="255">
        <v>8.51</v>
      </c>
      <c r="H30" s="152"/>
      <c r="I30" s="160">
        <f t="shared" si="0"/>
        <v>37335.420000000013</v>
      </c>
    </row>
    <row r="31" spans="2:9" hidden="1" x14ac:dyDescent="0.25">
      <c r="B31" s="148"/>
      <c r="C31" s="148" t="s">
        <v>18684</v>
      </c>
      <c r="D31" s="150">
        <v>43922</v>
      </c>
      <c r="E31" s="113" t="s">
        <v>18683</v>
      </c>
      <c r="F31" s="256">
        <v>1</v>
      </c>
      <c r="G31" s="255">
        <v>5.05</v>
      </c>
      <c r="H31" s="152"/>
      <c r="I31" s="160">
        <f t="shared" si="0"/>
        <v>37340.470000000016</v>
      </c>
    </row>
    <row r="32" spans="2:9" hidden="1" x14ac:dyDescent="0.25">
      <c r="B32" s="148"/>
      <c r="C32" s="148" t="s">
        <v>18682</v>
      </c>
      <c r="D32" s="150">
        <v>43922</v>
      </c>
      <c r="E32" s="113" t="s">
        <v>18681</v>
      </c>
      <c r="F32" s="256">
        <v>1</v>
      </c>
      <c r="G32" s="255">
        <v>6.94</v>
      </c>
      <c r="H32" s="152"/>
      <c r="I32" s="160">
        <f t="shared" si="0"/>
        <v>37347.410000000018</v>
      </c>
    </row>
    <row r="33" spans="2:9" hidden="1" x14ac:dyDescent="0.25">
      <c r="B33" s="148"/>
      <c r="C33" s="148" t="s">
        <v>18680</v>
      </c>
      <c r="D33" s="150">
        <v>43922</v>
      </c>
      <c r="E33" s="113" t="s">
        <v>18679</v>
      </c>
      <c r="F33" s="256">
        <v>1</v>
      </c>
      <c r="G33" s="255">
        <v>12.3</v>
      </c>
      <c r="H33" s="152"/>
      <c r="I33" s="160">
        <f t="shared" si="0"/>
        <v>37359.710000000021</v>
      </c>
    </row>
    <row r="34" spans="2:9" hidden="1" x14ac:dyDescent="0.25">
      <c r="B34" s="148"/>
      <c r="C34" s="148" t="s">
        <v>18678</v>
      </c>
      <c r="D34" s="150">
        <v>43922</v>
      </c>
      <c r="E34" s="113" t="s">
        <v>18677</v>
      </c>
      <c r="F34" s="256">
        <v>1</v>
      </c>
      <c r="G34" s="255">
        <v>11.45</v>
      </c>
      <c r="H34" s="152"/>
      <c r="I34" s="160">
        <f t="shared" si="0"/>
        <v>37371.160000000018</v>
      </c>
    </row>
    <row r="35" spans="2:9" ht="19.5" hidden="1" x14ac:dyDescent="0.25">
      <c r="B35" s="148"/>
      <c r="C35" s="148" t="s">
        <v>18676</v>
      </c>
      <c r="D35" s="150">
        <v>43922</v>
      </c>
      <c r="E35" s="113" t="s">
        <v>18675</v>
      </c>
      <c r="F35" s="256">
        <v>1</v>
      </c>
      <c r="G35" s="255">
        <v>8.68</v>
      </c>
      <c r="H35" s="152"/>
      <c r="I35" s="160">
        <f t="shared" si="0"/>
        <v>37379.840000000018</v>
      </c>
    </row>
    <row r="36" spans="2:9" hidden="1" x14ac:dyDescent="0.25">
      <c r="B36" s="148"/>
      <c r="C36" s="148" t="s">
        <v>18674</v>
      </c>
      <c r="D36" s="150">
        <v>43922</v>
      </c>
      <c r="E36" s="113" t="s">
        <v>18673</v>
      </c>
      <c r="F36" s="256">
        <v>1</v>
      </c>
      <c r="G36" s="255">
        <v>4.29</v>
      </c>
      <c r="H36" s="152"/>
      <c r="I36" s="160">
        <f t="shared" si="0"/>
        <v>37384.130000000019</v>
      </c>
    </row>
    <row r="37" spans="2:9" hidden="1" x14ac:dyDescent="0.25">
      <c r="B37" s="148"/>
      <c r="C37" s="148" t="s">
        <v>18672</v>
      </c>
      <c r="D37" s="150">
        <v>43922</v>
      </c>
      <c r="E37" s="113" t="s">
        <v>18671</v>
      </c>
      <c r="F37" s="256">
        <v>1</v>
      </c>
      <c r="G37" s="255">
        <v>17.899999999999999</v>
      </c>
      <c r="H37" s="152"/>
      <c r="I37" s="160">
        <f t="shared" si="0"/>
        <v>37402.030000000021</v>
      </c>
    </row>
    <row r="38" spans="2:9" hidden="1" x14ac:dyDescent="0.25">
      <c r="B38" s="148"/>
      <c r="C38" s="148" t="s">
        <v>18670</v>
      </c>
      <c r="D38" s="150">
        <v>43922</v>
      </c>
      <c r="E38" s="113" t="s">
        <v>18669</v>
      </c>
      <c r="F38" s="256">
        <v>1</v>
      </c>
      <c r="G38" s="255">
        <v>4.1900000000000004</v>
      </c>
      <c r="H38" s="152"/>
      <c r="I38" s="160">
        <f t="shared" si="0"/>
        <v>37406.220000000023</v>
      </c>
    </row>
    <row r="39" spans="2:9" hidden="1" x14ac:dyDescent="0.25">
      <c r="B39" s="148"/>
      <c r="C39" s="148" t="s">
        <v>18668</v>
      </c>
      <c r="D39" s="150">
        <v>43922</v>
      </c>
      <c r="E39" s="113" t="s">
        <v>18667</v>
      </c>
      <c r="F39" s="256">
        <v>1</v>
      </c>
      <c r="G39" s="255">
        <v>4.7300000000000004</v>
      </c>
      <c r="H39" s="152"/>
      <c r="I39" s="160">
        <f t="shared" si="0"/>
        <v>37410.950000000026</v>
      </c>
    </row>
    <row r="40" spans="2:9" hidden="1" x14ac:dyDescent="0.25">
      <c r="B40" s="148"/>
      <c r="C40" s="148" t="s">
        <v>18666</v>
      </c>
      <c r="D40" s="150">
        <v>43922</v>
      </c>
      <c r="E40" s="113" t="s">
        <v>18665</v>
      </c>
      <c r="F40" s="256">
        <v>1</v>
      </c>
      <c r="G40" s="255">
        <v>2.23</v>
      </c>
      <c r="H40" s="152"/>
      <c r="I40" s="160">
        <f t="shared" si="0"/>
        <v>37413.180000000029</v>
      </c>
    </row>
    <row r="41" spans="2:9" hidden="1" x14ac:dyDescent="0.25">
      <c r="B41" s="148"/>
      <c r="C41" s="148" t="s">
        <v>18664</v>
      </c>
      <c r="D41" s="150">
        <v>43922</v>
      </c>
      <c r="E41" s="113" t="s">
        <v>18663</v>
      </c>
      <c r="F41" s="256">
        <v>1</v>
      </c>
      <c r="G41" s="255">
        <v>1.92</v>
      </c>
      <c r="H41" s="152"/>
      <c r="I41" s="160">
        <f t="shared" si="0"/>
        <v>37415.100000000028</v>
      </c>
    </row>
    <row r="42" spans="2:9" hidden="1" x14ac:dyDescent="0.25">
      <c r="B42" s="148"/>
      <c r="C42" s="148" t="s">
        <v>18662</v>
      </c>
      <c r="D42" s="150">
        <v>43922</v>
      </c>
      <c r="E42" s="113" t="s">
        <v>18661</v>
      </c>
      <c r="F42" s="256">
        <v>1</v>
      </c>
      <c r="G42" s="255">
        <v>8.3800000000000008</v>
      </c>
      <c r="H42" s="152"/>
      <c r="I42" s="160">
        <f t="shared" si="0"/>
        <v>37423.480000000025</v>
      </c>
    </row>
    <row r="43" spans="2:9" hidden="1" x14ac:dyDescent="0.25">
      <c r="B43" s="148"/>
      <c r="C43" s="148" t="s">
        <v>18660</v>
      </c>
      <c r="D43" s="150">
        <v>43922</v>
      </c>
      <c r="E43" s="113" t="s">
        <v>18659</v>
      </c>
      <c r="F43" s="256">
        <v>1</v>
      </c>
      <c r="G43" s="255">
        <v>20.5</v>
      </c>
      <c r="H43" s="152"/>
      <c r="I43" s="160">
        <f t="shared" si="0"/>
        <v>37443.980000000025</v>
      </c>
    </row>
    <row r="44" spans="2:9" hidden="1" x14ac:dyDescent="0.25">
      <c r="B44" s="148"/>
      <c r="C44" s="148" t="s">
        <v>18658</v>
      </c>
      <c r="D44" s="150">
        <v>43922</v>
      </c>
      <c r="E44" s="113" t="s">
        <v>18657</v>
      </c>
      <c r="F44" s="256">
        <v>1</v>
      </c>
      <c r="G44" s="255">
        <v>4.1900000000000004</v>
      </c>
      <c r="H44" s="152"/>
      <c r="I44" s="160">
        <f t="shared" si="0"/>
        <v>37448.170000000027</v>
      </c>
    </row>
    <row r="45" spans="2:9" hidden="1" x14ac:dyDescent="0.25">
      <c r="B45" s="148"/>
      <c r="C45" s="148" t="s">
        <v>18656</v>
      </c>
      <c r="D45" s="150">
        <v>43922</v>
      </c>
      <c r="E45" s="113" t="s">
        <v>18655</v>
      </c>
      <c r="F45" s="256">
        <v>1</v>
      </c>
      <c r="G45" s="255">
        <v>7.82</v>
      </c>
      <c r="H45" s="152"/>
      <c r="I45" s="160">
        <f t="shared" si="0"/>
        <v>37455.990000000027</v>
      </c>
    </row>
    <row r="46" spans="2:9" hidden="1" x14ac:dyDescent="0.25">
      <c r="B46" s="148"/>
      <c r="C46" s="148" t="s">
        <v>18654</v>
      </c>
      <c r="D46" s="150">
        <v>43922</v>
      </c>
      <c r="E46" s="113" t="s">
        <v>18653</v>
      </c>
      <c r="F46" s="256">
        <v>1</v>
      </c>
      <c r="G46" s="255">
        <v>1.68</v>
      </c>
      <c r="H46" s="152"/>
      <c r="I46" s="160">
        <f t="shared" si="0"/>
        <v>37457.670000000027</v>
      </c>
    </row>
    <row r="47" spans="2:9" hidden="1" x14ac:dyDescent="0.25">
      <c r="B47" s="148"/>
      <c r="C47" s="148" t="s">
        <v>18652</v>
      </c>
      <c r="D47" s="150">
        <v>43922</v>
      </c>
      <c r="E47" s="113" t="s">
        <v>18651</v>
      </c>
      <c r="F47" s="256">
        <v>1</v>
      </c>
      <c r="G47" s="255">
        <v>4.1900000000000004</v>
      </c>
      <c r="H47" s="152"/>
      <c r="I47" s="160">
        <f t="shared" si="0"/>
        <v>37461.86000000003</v>
      </c>
    </row>
    <row r="48" spans="2:9" hidden="1" x14ac:dyDescent="0.25">
      <c r="B48" s="148"/>
      <c r="C48" s="148" t="s">
        <v>18650</v>
      </c>
      <c r="D48" s="150">
        <v>43922</v>
      </c>
      <c r="E48" s="113" t="s">
        <v>18649</v>
      </c>
      <c r="F48" s="256">
        <v>1</v>
      </c>
      <c r="G48" s="255">
        <v>1.68</v>
      </c>
      <c r="H48" s="152"/>
      <c r="I48" s="160">
        <f t="shared" si="0"/>
        <v>37463.54000000003</v>
      </c>
    </row>
    <row r="49" spans="2:9" ht="19.5" hidden="1" x14ac:dyDescent="0.25">
      <c r="B49" s="148"/>
      <c r="C49" s="148" t="s">
        <v>18648</v>
      </c>
      <c r="D49" s="150">
        <v>43922</v>
      </c>
      <c r="E49" s="113" t="s">
        <v>18647</v>
      </c>
      <c r="F49" s="256">
        <v>1</v>
      </c>
      <c r="G49" s="255">
        <v>0.82</v>
      </c>
      <c r="H49" s="152"/>
      <c r="I49" s="160">
        <f t="shared" si="0"/>
        <v>37464.36000000003</v>
      </c>
    </row>
    <row r="50" spans="2:9" hidden="1" x14ac:dyDescent="0.25">
      <c r="B50" s="148"/>
      <c r="C50" s="148" t="s">
        <v>18646</v>
      </c>
      <c r="D50" s="150">
        <v>43922</v>
      </c>
      <c r="E50" s="113" t="s">
        <v>18645</v>
      </c>
      <c r="F50" s="256">
        <v>1</v>
      </c>
      <c r="G50" s="255">
        <v>3.36</v>
      </c>
      <c r="H50" s="152"/>
      <c r="I50" s="160">
        <f t="shared" si="0"/>
        <v>37467.72000000003</v>
      </c>
    </row>
    <row r="51" spans="2:9" hidden="1" x14ac:dyDescent="0.25">
      <c r="B51" s="148"/>
      <c r="C51" s="148" t="s">
        <v>18644</v>
      </c>
      <c r="D51" s="150">
        <v>43922</v>
      </c>
      <c r="E51" s="113" t="s">
        <v>18643</v>
      </c>
      <c r="F51" s="256">
        <v>1</v>
      </c>
      <c r="G51" s="255">
        <v>13.54</v>
      </c>
      <c r="H51" s="152"/>
      <c r="I51" s="160">
        <f t="shared" si="0"/>
        <v>37481.260000000031</v>
      </c>
    </row>
    <row r="52" spans="2:9" hidden="1" x14ac:dyDescent="0.25">
      <c r="B52" s="148"/>
      <c r="C52" s="148" t="s">
        <v>18642</v>
      </c>
      <c r="D52" s="150">
        <v>43922</v>
      </c>
      <c r="E52" s="113" t="s">
        <v>18641</v>
      </c>
      <c r="F52" s="256">
        <v>1</v>
      </c>
      <c r="G52" s="255">
        <v>8.3800000000000008</v>
      </c>
      <c r="H52" s="152"/>
      <c r="I52" s="160">
        <f t="shared" si="0"/>
        <v>37489.640000000029</v>
      </c>
    </row>
    <row r="53" spans="2:9" hidden="1" x14ac:dyDescent="0.25">
      <c r="B53" s="148"/>
      <c r="C53" s="148" t="s">
        <v>18640</v>
      </c>
      <c r="D53" s="150">
        <v>43922</v>
      </c>
      <c r="E53" s="113" t="s">
        <v>18639</v>
      </c>
      <c r="F53" s="256">
        <v>1</v>
      </c>
      <c r="G53" s="255">
        <v>4.8499999999999996</v>
      </c>
      <c r="H53" s="152"/>
      <c r="I53" s="160">
        <f t="shared" si="0"/>
        <v>37494.490000000027</v>
      </c>
    </row>
    <row r="54" spans="2:9" hidden="1" x14ac:dyDescent="0.25">
      <c r="B54" s="148"/>
      <c r="C54" s="148" t="s">
        <v>18638</v>
      </c>
      <c r="D54" s="150">
        <v>43922</v>
      </c>
      <c r="E54" s="113" t="s">
        <v>18637</v>
      </c>
      <c r="F54" s="256">
        <v>1</v>
      </c>
      <c r="G54" s="255">
        <v>1.85</v>
      </c>
      <c r="H54" s="152"/>
      <c r="I54" s="160">
        <f t="shared" si="0"/>
        <v>37496.340000000026</v>
      </c>
    </row>
    <row r="55" spans="2:9" hidden="1" x14ac:dyDescent="0.25">
      <c r="B55" s="148"/>
      <c r="C55" s="148" t="s">
        <v>18636</v>
      </c>
      <c r="D55" s="150">
        <v>43922</v>
      </c>
      <c r="E55" s="113" t="s">
        <v>18635</v>
      </c>
      <c r="F55" s="256">
        <v>1</v>
      </c>
      <c r="G55" s="255">
        <v>14.02</v>
      </c>
      <c r="H55" s="152"/>
      <c r="I55" s="160">
        <f t="shared" si="0"/>
        <v>37510.360000000022</v>
      </c>
    </row>
    <row r="56" spans="2:9" hidden="1" x14ac:dyDescent="0.25">
      <c r="B56" s="148"/>
      <c r="C56" s="148" t="s">
        <v>18634</v>
      </c>
      <c r="D56" s="150">
        <v>43922</v>
      </c>
      <c r="E56" s="113" t="s">
        <v>18633</v>
      </c>
      <c r="F56" s="256">
        <v>1</v>
      </c>
      <c r="G56" s="255">
        <v>8.3800000000000008</v>
      </c>
      <c r="H56" s="152"/>
      <c r="I56" s="160">
        <f t="shared" si="0"/>
        <v>37518.74000000002</v>
      </c>
    </row>
    <row r="57" spans="2:9" hidden="1" x14ac:dyDescent="0.25">
      <c r="B57" s="148"/>
      <c r="C57" s="148" t="s">
        <v>18632</v>
      </c>
      <c r="D57" s="150">
        <v>43922</v>
      </c>
      <c r="E57" s="113" t="s">
        <v>18631</v>
      </c>
      <c r="F57" s="256">
        <v>1</v>
      </c>
      <c r="G57" s="255">
        <v>6.94</v>
      </c>
      <c r="H57" s="152"/>
      <c r="I57" s="160">
        <f t="shared" si="0"/>
        <v>37525.680000000022</v>
      </c>
    </row>
    <row r="58" spans="2:9" hidden="1" x14ac:dyDescent="0.25">
      <c r="B58" s="148"/>
      <c r="C58" s="148" t="s">
        <v>18630</v>
      </c>
      <c r="D58" s="150">
        <v>43922</v>
      </c>
      <c r="E58" s="113" t="s">
        <v>18629</v>
      </c>
      <c r="F58" s="256">
        <v>1</v>
      </c>
      <c r="G58" s="255">
        <v>7.82</v>
      </c>
      <c r="H58" s="152"/>
      <c r="I58" s="160">
        <f t="shared" si="0"/>
        <v>37533.500000000022</v>
      </c>
    </row>
    <row r="59" spans="2:9" hidden="1" x14ac:dyDescent="0.25">
      <c r="B59" s="148"/>
      <c r="C59" s="148" t="s">
        <v>18628</v>
      </c>
      <c r="D59" s="150">
        <v>43922</v>
      </c>
      <c r="E59" s="113" t="s">
        <v>18627</v>
      </c>
      <c r="F59" s="256">
        <v>1</v>
      </c>
      <c r="G59" s="255">
        <v>6.94</v>
      </c>
      <c r="H59" s="152"/>
      <c r="I59" s="160">
        <f t="shared" si="0"/>
        <v>37540.440000000024</v>
      </c>
    </row>
    <row r="60" spans="2:9" hidden="1" x14ac:dyDescent="0.25">
      <c r="B60" s="148"/>
      <c r="C60" s="148" t="s">
        <v>18626</v>
      </c>
      <c r="D60" s="150">
        <v>43922</v>
      </c>
      <c r="E60" s="113" t="s">
        <v>18625</v>
      </c>
      <c r="F60" s="256">
        <v>1</v>
      </c>
      <c r="G60" s="255">
        <v>3.74</v>
      </c>
      <c r="H60" s="152"/>
      <c r="I60" s="160">
        <f t="shared" si="0"/>
        <v>37544.180000000022</v>
      </c>
    </row>
    <row r="61" spans="2:9" hidden="1" x14ac:dyDescent="0.25">
      <c r="B61" s="148"/>
      <c r="C61" s="148" t="s">
        <v>18624</v>
      </c>
      <c r="D61" s="150">
        <v>43922</v>
      </c>
      <c r="E61" s="113" t="s">
        <v>18623</v>
      </c>
      <c r="F61" s="256">
        <v>1</v>
      </c>
      <c r="G61" s="255">
        <v>8.3800000000000008</v>
      </c>
      <c r="H61" s="152"/>
      <c r="I61" s="160">
        <f t="shared" si="0"/>
        <v>37552.560000000019</v>
      </c>
    </row>
    <row r="62" spans="2:9" ht="19.5" hidden="1" x14ac:dyDescent="0.25">
      <c r="B62" s="148"/>
      <c r="C62" s="148" t="s">
        <v>18622</v>
      </c>
      <c r="D62" s="150">
        <v>43922</v>
      </c>
      <c r="E62" s="113" t="s">
        <v>18621</v>
      </c>
      <c r="F62" s="256">
        <v>1</v>
      </c>
      <c r="G62" s="255">
        <v>6.72</v>
      </c>
      <c r="H62" s="152"/>
      <c r="I62" s="160">
        <f t="shared" si="0"/>
        <v>37559.280000000021</v>
      </c>
    </row>
    <row r="63" spans="2:9" hidden="1" x14ac:dyDescent="0.25">
      <c r="B63" s="148"/>
      <c r="C63" s="148" t="s">
        <v>18620</v>
      </c>
      <c r="D63" s="150">
        <v>43922</v>
      </c>
      <c r="E63" s="113" t="s">
        <v>18619</v>
      </c>
      <c r="F63" s="256">
        <v>1</v>
      </c>
      <c r="G63" s="255">
        <v>1.68</v>
      </c>
      <c r="H63" s="152"/>
      <c r="I63" s="160">
        <f t="shared" si="0"/>
        <v>37560.960000000021</v>
      </c>
    </row>
    <row r="64" spans="2:9" hidden="1" x14ac:dyDescent="0.25">
      <c r="B64" s="148"/>
      <c r="C64" s="148" t="s">
        <v>18618</v>
      </c>
      <c r="D64" s="150">
        <v>43922</v>
      </c>
      <c r="E64" s="113" t="s">
        <v>18617</v>
      </c>
      <c r="F64" s="256">
        <v>1</v>
      </c>
      <c r="G64" s="255">
        <v>8.3800000000000008</v>
      </c>
      <c r="H64" s="152"/>
      <c r="I64" s="160">
        <f t="shared" si="0"/>
        <v>37569.340000000018</v>
      </c>
    </row>
    <row r="65" spans="2:9" hidden="1" x14ac:dyDescent="0.25">
      <c r="B65" s="148"/>
      <c r="C65" s="148" t="s">
        <v>18616</v>
      </c>
      <c r="D65" s="150">
        <v>43922</v>
      </c>
      <c r="E65" s="113" t="s">
        <v>18615</v>
      </c>
      <c r="F65" s="256">
        <v>1</v>
      </c>
      <c r="G65" s="255">
        <v>3.62</v>
      </c>
      <c r="H65" s="152"/>
      <c r="I65" s="160">
        <f t="shared" si="0"/>
        <v>37572.960000000021</v>
      </c>
    </row>
    <row r="66" spans="2:9" hidden="1" x14ac:dyDescent="0.25">
      <c r="B66" s="148"/>
      <c r="C66" s="148" t="s">
        <v>18614</v>
      </c>
      <c r="D66" s="150">
        <v>43922</v>
      </c>
      <c r="E66" s="113" t="s">
        <v>18613</v>
      </c>
      <c r="F66" s="256">
        <v>1</v>
      </c>
      <c r="G66" s="255">
        <v>5.26</v>
      </c>
      <c r="H66" s="152"/>
      <c r="I66" s="160">
        <f t="shared" si="0"/>
        <v>37578.220000000023</v>
      </c>
    </row>
    <row r="67" spans="2:9" hidden="1" x14ac:dyDescent="0.25">
      <c r="B67" s="148"/>
      <c r="C67" s="148" t="s">
        <v>18612</v>
      </c>
      <c r="D67" s="150">
        <v>43922</v>
      </c>
      <c r="E67" s="113" t="s">
        <v>18611</v>
      </c>
      <c r="F67" s="256">
        <v>1</v>
      </c>
      <c r="G67" s="255">
        <v>8.75</v>
      </c>
      <c r="H67" s="152"/>
      <c r="I67" s="160">
        <f t="shared" si="0"/>
        <v>37586.970000000023</v>
      </c>
    </row>
    <row r="68" spans="2:9" hidden="1" x14ac:dyDescent="0.25">
      <c r="B68" s="148"/>
      <c r="C68" s="148" t="s">
        <v>18610</v>
      </c>
      <c r="D68" s="150">
        <v>43922</v>
      </c>
      <c r="E68" s="113" t="s">
        <v>18609</v>
      </c>
      <c r="F68" s="256">
        <v>1</v>
      </c>
      <c r="G68" s="255">
        <v>8.44</v>
      </c>
      <c r="H68" s="152"/>
      <c r="I68" s="160">
        <f t="shared" si="0"/>
        <v>37595.410000000025</v>
      </c>
    </row>
    <row r="69" spans="2:9" hidden="1" x14ac:dyDescent="0.25">
      <c r="B69" s="148"/>
      <c r="C69" s="148" t="s">
        <v>18608</v>
      </c>
      <c r="D69" s="150">
        <v>43922</v>
      </c>
      <c r="E69" s="113" t="s">
        <v>18607</v>
      </c>
      <c r="F69" s="256">
        <v>1</v>
      </c>
      <c r="G69" s="255">
        <v>4.12</v>
      </c>
      <c r="H69" s="152"/>
      <c r="I69" s="160">
        <f t="shared" si="0"/>
        <v>37599.530000000028</v>
      </c>
    </row>
    <row r="70" spans="2:9" hidden="1" x14ac:dyDescent="0.25">
      <c r="B70" s="148"/>
      <c r="C70" s="148" t="s">
        <v>18606</v>
      </c>
      <c r="D70" s="150">
        <v>43922</v>
      </c>
      <c r="E70" s="113" t="s">
        <v>18605</v>
      </c>
      <c r="F70" s="256">
        <v>1</v>
      </c>
      <c r="G70" s="255">
        <v>1.68</v>
      </c>
      <c r="H70" s="152"/>
      <c r="I70" s="160">
        <f t="shared" si="0"/>
        <v>37601.210000000028</v>
      </c>
    </row>
    <row r="71" spans="2:9" hidden="1" x14ac:dyDescent="0.25">
      <c r="B71" s="148"/>
      <c r="C71" s="148" t="s">
        <v>18604</v>
      </c>
      <c r="D71" s="150">
        <v>43922</v>
      </c>
      <c r="E71" s="113" t="s">
        <v>18603</v>
      </c>
      <c r="F71" s="256">
        <v>1</v>
      </c>
      <c r="G71" s="255">
        <v>1.68</v>
      </c>
      <c r="H71" s="152"/>
      <c r="I71" s="160">
        <f t="shared" si="0"/>
        <v>37602.890000000029</v>
      </c>
    </row>
    <row r="72" spans="2:9" hidden="1" x14ac:dyDescent="0.25">
      <c r="B72" s="148"/>
      <c r="C72" s="148" t="s">
        <v>18602</v>
      </c>
      <c r="D72" s="150">
        <v>43922</v>
      </c>
      <c r="E72" s="113" t="s">
        <v>18601</v>
      </c>
      <c r="F72" s="256">
        <v>1</v>
      </c>
      <c r="G72" s="255">
        <v>8.3800000000000008</v>
      </c>
      <c r="H72" s="152"/>
      <c r="I72" s="160">
        <f t="shared" si="0"/>
        <v>37611.270000000026</v>
      </c>
    </row>
    <row r="73" spans="2:9" hidden="1" x14ac:dyDescent="0.25">
      <c r="B73" s="148"/>
      <c r="C73" s="148" t="s">
        <v>18600</v>
      </c>
      <c r="D73" s="150">
        <v>43922</v>
      </c>
      <c r="E73" s="113" t="s">
        <v>18599</v>
      </c>
      <c r="F73" s="256">
        <v>1</v>
      </c>
      <c r="G73" s="255">
        <v>1.92</v>
      </c>
      <c r="H73" s="152"/>
      <c r="I73" s="160">
        <f t="shared" si="0"/>
        <v>37613.190000000024</v>
      </c>
    </row>
    <row r="74" spans="2:9" ht="19.5" hidden="1" x14ac:dyDescent="0.25">
      <c r="B74" s="148"/>
      <c r="C74" s="148" t="s">
        <v>18598</v>
      </c>
      <c r="D74" s="150">
        <v>43922</v>
      </c>
      <c r="E74" s="113" t="s">
        <v>18597</v>
      </c>
      <c r="F74" s="256">
        <v>1</v>
      </c>
      <c r="G74" s="255">
        <v>6.14</v>
      </c>
      <c r="H74" s="152"/>
      <c r="I74" s="160">
        <f t="shared" si="0"/>
        <v>37619.330000000024</v>
      </c>
    </row>
    <row r="75" spans="2:9" ht="19.5" hidden="1" x14ac:dyDescent="0.25">
      <c r="B75" s="148"/>
      <c r="C75" s="148" t="s">
        <v>18596</v>
      </c>
      <c r="D75" s="150">
        <v>43922</v>
      </c>
      <c r="E75" s="113" t="s">
        <v>18595</v>
      </c>
      <c r="F75" s="256">
        <v>1</v>
      </c>
      <c r="G75" s="255">
        <v>15.3</v>
      </c>
      <c r="H75" s="152"/>
      <c r="I75" s="160">
        <f t="shared" si="0"/>
        <v>37634.630000000026</v>
      </c>
    </row>
    <row r="76" spans="2:9" hidden="1" x14ac:dyDescent="0.25">
      <c r="B76" s="148"/>
      <c r="C76" s="148" t="s">
        <v>18594</v>
      </c>
      <c r="D76" s="150">
        <v>43922</v>
      </c>
      <c r="E76" s="113" t="s">
        <v>18593</v>
      </c>
      <c r="F76" s="256">
        <v>1</v>
      </c>
      <c r="G76" s="255">
        <v>34.94</v>
      </c>
      <c r="H76" s="152"/>
      <c r="I76" s="160">
        <f t="shared" si="0"/>
        <v>37669.570000000029</v>
      </c>
    </row>
    <row r="77" spans="2:9" hidden="1" x14ac:dyDescent="0.25">
      <c r="B77" s="148"/>
      <c r="C77" s="148" t="s">
        <v>18592</v>
      </c>
      <c r="D77" s="150">
        <v>43922</v>
      </c>
      <c r="E77" s="113" t="s">
        <v>18591</v>
      </c>
      <c r="F77" s="256">
        <v>1</v>
      </c>
      <c r="G77" s="255">
        <v>1.95</v>
      </c>
      <c r="H77" s="152"/>
      <c r="I77" s="160">
        <f t="shared" si="0"/>
        <v>37671.520000000026</v>
      </c>
    </row>
    <row r="78" spans="2:9" hidden="1" x14ac:dyDescent="0.25">
      <c r="B78" s="148"/>
      <c r="C78" s="148" t="s">
        <v>18590</v>
      </c>
      <c r="D78" s="150">
        <v>43922</v>
      </c>
      <c r="E78" s="113" t="s">
        <v>18589</v>
      </c>
      <c r="F78" s="256">
        <v>1</v>
      </c>
      <c r="G78" s="255">
        <v>1.68</v>
      </c>
      <c r="H78" s="152"/>
      <c r="I78" s="160">
        <f t="shared" si="0"/>
        <v>37673.200000000026</v>
      </c>
    </row>
    <row r="79" spans="2:9" hidden="1" x14ac:dyDescent="0.25">
      <c r="B79" s="148"/>
      <c r="C79" s="148" t="s">
        <v>18588</v>
      </c>
      <c r="D79" s="150">
        <v>43922</v>
      </c>
      <c r="E79" s="113" t="s">
        <v>18587</v>
      </c>
      <c r="F79" s="256">
        <v>1</v>
      </c>
      <c r="G79" s="255">
        <v>2.2599999999999998</v>
      </c>
      <c r="H79" s="152"/>
      <c r="I79" s="160">
        <f t="shared" si="0"/>
        <v>37675.460000000028</v>
      </c>
    </row>
    <row r="80" spans="2:9" hidden="1" x14ac:dyDescent="0.25">
      <c r="B80" s="148"/>
      <c r="C80" s="148" t="s">
        <v>18586</v>
      </c>
      <c r="D80" s="150">
        <v>43922</v>
      </c>
      <c r="E80" s="113" t="s">
        <v>18585</v>
      </c>
      <c r="F80" s="256">
        <v>1</v>
      </c>
      <c r="G80" s="255">
        <v>9.39</v>
      </c>
      <c r="H80" s="152"/>
      <c r="I80" s="160">
        <f t="shared" si="0"/>
        <v>37684.850000000028</v>
      </c>
    </row>
    <row r="81" spans="2:9" hidden="1" x14ac:dyDescent="0.25">
      <c r="B81" s="148"/>
      <c r="C81" s="148" t="s">
        <v>18584</v>
      </c>
      <c r="D81" s="150">
        <v>43922</v>
      </c>
      <c r="E81" s="113" t="s">
        <v>18583</v>
      </c>
      <c r="F81" s="256">
        <v>1</v>
      </c>
      <c r="G81" s="255">
        <v>32.4</v>
      </c>
      <c r="H81" s="152"/>
      <c r="I81" s="160">
        <f t="shared" si="0"/>
        <v>37717.250000000029</v>
      </c>
    </row>
    <row r="82" spans="2:9" hidden="1" x14ac:dyDescent="0.25">
      <c r="B82" s="148"/>
      <c r="C82" s="148" t="s">
        <v>18582</v>
      </c>
      <c r="D82" s="150">
        <v>43922</v>
      </c>
      <c r="E82" s="113" t="s">
        <v>18581</v>
      </c>
      <c r="F82" s="256" t="s">
        <v>14436</v>
      </c>
      <c r="G82" s="160">
        <v>5.86</v>
      </c>
      <c r="H82" s="152"/>
      <c r="I82" s="160">
        <f t="shared" si="0"/>
        <v>37723.11000000003</v>
      </c>
    </row>
    <row r="83" spans="2:9" hidden="1" x14ac:dyDescent="0.25">
      <c r="B83" s="148"/>
      <c r="C83" s="148" t="s">
        <v>18580</v>
      </c>
      <c r="D83" s="150">
        <v>43923</v>
      </c>
      <c r="E83" s="113" t="s">
        <v>18579</v>
      </c>
      <c r="F83" s="256" t="s">
        <v>14436</v>
      </c>
      <c r="G83" s="160">
        <v>18.57</v>
      </c>
      <c r="H83" s="152"/>
      <c r="I83" s="160">
        <f t="shared" si="0"/>
        <v>37741.680000000029</v>
      </c>
    </row>
    <row r="84" spans="2:9" hidden="1" x14ac:dyDescent="0.25">
      <c r="B84" s="148"/>
      <c r="C84" s="148" t="s">
        <v>18578</v>
      </c>
      <c r="D84" s="150">
        <v>43923</v>
      </c>
      <c r="E84" s="113" t="s">
        <v>18577</v>
      </c>
      <c r="F84" s="256" t="s">
        <v>14436</v>
      </c>
      <c r="G84" s="160">
        <v>2.31</v>
      </c>
      <c r="H84" s="152"/>
      <c r="I84" s="160">
        <f t="shared" ref="I84:I147" si="1">+I83+G84-H84</f>
        <v>37743.990000000027</v>
      </c>
    </row>
    <row r="85" spans="2:9" hidden="1" x14ac:dyDescent="0.25">
      <c r="B85" s="148"/>
      <c r="C85" s="148" t="s">
        <v>18576</v>
      </c>
      <c r="D85" s="150">
        <v>43923</v>
      </c>
      <c r="E85" s="113" t="s">
        <v>18575</v>
      </c>
      <c r="F85" s="257" t="s">
        <v>14408</v>
      </c>
      <c r="G85" s="258">
        <v>2.3199999999999998</v>
      </c>
      <c r="H85" s="152"/>
      <c r="I85" s="160">
        <f t="shared" si="1"/>
        <v>37746.310000000027</v>
      </c>
    </row>
    <row r="86" spans="2:9" hidden="1" x14ac:dyDescent="0.25">
      <c r="B86" s="148"/>
      <c r="C86" s="148" t="s">
        <v>18574</v>
      </c>
      <c r="D86" s="150">
        <v>43923</v>
      </c>
      <c r="E86" s="113" t="s">
        <v>18573</v>
      </c>
      <c r="F86" s="257" t="s">
        <v>14408</v>
      </c>
      <c r="G86" s="258">
        <v>11.38</v>
      </c>
      <c r="H86" s="152"/>
      <c r="I86" s="160">
        <f t="shared" si="1"/>
        <v>37757.690000000024</v>
      </c>
    </row>
    <row r="87" spans="2:9" hidden="1" x14ac:dyDescent="0.25">
      <c r="B87" s="148"/>
      <c r="C87" s="148" t="s">
        <v>18572</v>
      </c>
      <c r="D87" s="150">
        <v>43923</v>
      </c>
      <c r="E87" s="113" t="s">
        <v>18571</v>
      </c>
      <c r="F87" s="257" t="s">
        <v>14408</v>
      </c>
      <c r="G87" s="258">
        <v>4.26</v>
      </c>
      <c r="H87" s="152"/>
      <c r="I87" s="160">
        <f t="shared" si="1"/>
        <v>37761.950000000026</v>
      </c>
    </row>
    <row r="88" spans="2:9" hidden="1" x14ac:dyDescent="0.25">
      <c r="B88" s="148"/>
      <c r="C88" s="148" t="s">
        <v>18570</v>
      </c>
      <c r="D88" s="150">
        <v>43924</v>
      </c>
      <c r="E88" s="113" t="s">
        <v>18569</v>
      </c>
      <c r="F88" s="257" t="s">
        <v>14408</v>
      </c>
      <c r="G88" s="258">
        <v>0.25</v>
      </c>
      <c r="H88" s="152"/>
      <c r="I88" s="160">
        <f t="shared" si="1"/>
        <v>37762.200000000026</v>
      </c>
    </row>
    <row r="89" spans="2:9" hidden="1" x14ac:dyDescent="0.25">
      <c r="B89" s="148"/>
      <c r="C89" s="148" t="s">
        <v>18568</v>
      </c>
      <c r="D89" s="150">
        <v>43924</v>
      </c>
      <c r="E89" s="113" t="s">
        <v>18567</v>
      </c>
      <c r="F89" s="257" t="s">
        <v>14408</v>
      </c>
      <c r="G89" s="258">
        <v>3.96</v>
      </c>
      <c r="H89" s="152"/>
      <c r="I89" s="160">
        <f t="shared" si="1"/>
        <v>37766.160000000025</v>
      </c>
    </row>
    <row r="90" spans="2:9" hidden="1" x14ac:dyDescent="0.25">
      <c r="B90" s="148"/>
      <c r="C90" s="148" t="s">
        <v>18566</v>
      </c>
      <c r="D90" s="150">
        <v>43924</v>
      </c>
      <c r="E90" s="113" t="s">
        <v>18565</v>
      </c>
      <c r="F90" s="257" t="s">
        <v>14408</v>
      </c>
      <c r="G90" s="258">
        <v>5.29</v>
      </c>
      <c r="H90" s="152"/>
      <c r="I90" s="160">
        <f t="shared" si="1"/>
        <v>37771.450000000026</v>
      </c>
    </row>
    <row r="91" spans="2:9" ht="19.5" hidden="1" x14ac:dyDescent="0.25">
      <c r="B91" s="148"/>
      <c r="C91" s="148" t="s">
        <v>18564</v>
      </c>
      <c r="D91" s="150">
        <v>43924</v>
      </c>
      <c r="E91" s="113" t="s">
        <v>18563</v>
      </c>
      <c r="F91" s="257" t="s">
        <v>14408</v>
      </c>
      <c r="G91" s="258">
        <v>22.92</v>
      </c>
      <c r="H91" s="152"/>
      <c r="I91" s="160">
        <f t="shared" si="1"/>
        <v>37794.370000000024</v>
      </c>
    </row>
    <row r="92" spans="2:9" hidden="1" x14ac:dyDescent="0.25">
      <c r="B92" s="148"/>
      <c r="C92" s="148" t="s">
        <v>18562</v>
      </c>
      <c r="D92" s="150">
        <v>43924</v>
      </c>
      <c r="E92" s="113" t="s">
        <v>18561</v>
      </c>
      <c r="F92" s="257" t="s">
        <v>14408</v>
      </c>
      <c r="G92" s="258">
        <v>2.17</v>
      </c>
      <c r="H92" s="152"/>
      <c r="I92" s="160">
        <f t="shared" si="1"/>
        <v>37796.540000000023</v>
      </c>
    </row>
    <row r="93" spans="2:9" ht="19.5" hidden="1" x14ac:dyDescent="0.25">
      <c r="B93" s="148"/>
      <c r="C93" s="148" t="s">
        <v>18560</v>
      </c>
      <c r="D93" s="150">
        <v>43924</v>
      </c>
      <c r="E93" s="113" t="s">
        <v>18559</v>
      </c>
      <c r="F93" s="257" t="s">
        <v>14408</v>
      </c>
      <c r="G93" s="258">
        <v>8.02</v>
      </c>
      <c r="H93" s="152"/>
      <c r="I93" s="160">
        <f t="shared" si="1"/>
        <v>37804.560000000019</v>
      </c>
    </row>
    <row r="94" spans="2:9" ht="19.5" x14ac:dyDescent="0.25">
      <c r="B94" s="148"/>
      <c r="C94" s="148" t="s">
        <v>18558</v>
      </c>
      <c r="D94" s="150">
        <v>43924</v>
      </c>
      <c r="E94" s="113" t="s">
        <v>18557</v>
      </c>
      <c r="F94" s="257" t="s">
        <v>14433</v>
      </c>
      <c r="G94" s="152"/>
      <c r="H94" s="161">
        <v>1000</v>
      </c>
      <c r="I94" s="160">
        <f t="shared" si="1"/>
        <v>36804.560000000019</v>
      </c>
    </row>
    <row r="95" spans="2:9" hidden="1" x14ac:dyDescent="0.25">
      <c r="B95" s="148"/>
      <c r="C95" s="148" t="s">
        <v>18556</v>
      </c>
      <c r="D95" s="150">
        <v>43925</v>
      </c>
      <c r="E95" s="113" t="s">
        <v>18555</v>
      </c>
      <c r="F95" s="257" t="s">
        <v>14408</v>
      </c>
      <c r="G95" s="258">
        <v>2.02</v>
      </c>
      <c r="H95" s="152"/>
      <c r="I95" s="160">
        <f t="shared" si="1"/>
        <v>36806.580000000016</v>
      </c>
    </row>
    <row r="96" spans="2:9" ht="19.5" hidden="1" x14ac:dyDescent="0.25">
      <c r="B96" s="148"/>
      <c r="C96" s="148" t="s">
        <v>18554</v>
      </c>
      <c r="D96" s="150">
        <v>43926</v>
      </c>
      <c r="E96" s="113" t="s">
        <v>18553</v>
      </c>
      <c r="F96" s="257" t="s">
        <v>14408</v>
      </c>
      <c r="G96" s="258">
        <v>1.71</v>
      </c>
      <c r="H96" s="152"/>
      <c r="I96" s="160">
        <f t="shared" si="1"/>
        <v>36808.290000000015</v>
      </c>
    </row>
    <row r="97" spans="2:9" hidden="1" x14ac:dyDescent="0.25">
      <c r="B97" s="148"/>
      <c r="C97" s="148" t="s">
        <v>18552</v>
      </c>
      <c r="D97" s="150">
        <v>43926</v>
      </c>
      <c r="E97" s="113" t="s">
        <v>18551</v>
      </c>
      <c r="F97" s="257" t="s">
        <v>14408</v>
      </c>
      <c r="G97" s="258">
        <v>0.5</v>
      </c>
      <c r="H97" s="152"/>
      <c r="I97" s="160">
        <f t="shared" si="1"/>
        <v>36808.790000000015</v>
      </c>
    </row>
    <row r="98" spans="2:9" hidden="1" x14ac:dyDescent="0.25">
      <c r="B98" s="148"/>
      <c r="C98" s="148" t="s">
        <v>18550</v>
      </c>
      <c r="D98" s="150">
        <v>43926</v>
      </c>
      <c r="E98" s="113" t="s">
        <v>18549</v>
      </c>
      <c r="F98" s="257" t="s">
        <v>14408</v>
      </c>
      <c r="G98" s="258">
        <v>8.9700000000000006</v>
      </c>
      <c r="H98" s="152"/>
      <c r="I98" s="160">
        <f t="shared" si="1"/>
        <v>36817.760000000017</v>
      </c>
    </row>
    <row r="99" spans="2:9" hidden="1" x14ac:dyDescent="0.25">
      <c r="B99" s="148"/>
      <c r="C99" s="148" t="s">
        <v>18548</v>
      </c>
      <c r="D99" s="150">
        <v>43926</v>
      </c>
      <c r="E99" s="113" t="s">
        <v>18547</v>
      </c>
      <c r="F99" s="257" t="s">
        <v>14408</v>
      </c>
      <c r="G99" s="258">
        <v>10.3</v>
      </c>
      <c r="H99" s="152"/>
      <c r="I99" s="160">
        <f t="shared" si="1"/>
        <v>36828.060000000019</v>
      </c>
    </row>
    <row r="100" spans="2:9" ht="19.5" hidden="1" x14ac:dyDescent="0.25">
      <c r="B100" s="148"/>
      <c r="C100" s="148" t="s">
        <v>18546</v>
      </c>
      <c r="D100" s="150">
        <v>43926</v>
      </c>
      <c r="E100" s="113" t="s">
        <v>18545</v>
      </c>
      <c r="F100" s="257" t="s">
        <v>14408</v>
      </c>
      <c r="G100" s="258">
        <v>9.16</v>
      </c>
      <c r="H100" s="152"/>
      <c r="I100" s="160">
        <f t="shared" si="1"/>
        <v>36837.220000000023</v>
      </c>
    </row>
    <row r="101" spans="2:9" hidden="1" x14ac:dyDescent="0.25">
      <c r="B101" s="148"/>
      <c r="C101" s="148" t="s">
        <v>18544</v>
      </c>
      <c r="D101" s="150">
        <v>43926</v>
      </c>
      <c r="E101" s="113" t="s">
        <v>18543</v>
      </c>
      <c r="F101" s="256" t="s">
        <v>14436</v>
      </c>
      <c r="G101" s="160">
        <v>1.68</v>
      </c>
      <c r="H101" s="152"/>
      <c r="I101" s="160">
        <f t="shared" si="1"/>
        <v>36838.900000000023</v>
      </c>
    </row>
    <row r="102" spans="2:9" hidden="1" x14ac:dyDescent="0.25">
      <c r="B102" s="148"/>
      <c r="C102" s="148" t="s">
        <v>18542</v>
      </c>
      <c r="D102" s="150">
        <v>43926</v>
      </c>
      <c r="E102" s="113" t="s">
        <v>18541</v>
      </c>
      <c r="F102" s="256" t="s">
        <v>14436</v>
      </c>
      <c r="G102" s="160">
        <v>5</v>
      </c>
      <c r="H102" s="152"/>
      <c r="I102" s="160">
        <f t="shared" si="1"/>
        <v>36843.900000000023</v>
      </c>
    </row>
    <row r="103" spans="2:9" ht="19.5" hidden="1" x14ac:dyDescent="0.25">
      <c r="B103" s="148"/>
      <c r="C103" s="148" t="s">
        <v>18540</v>
      </c>
      <c r="D103" s="150">
        <v>43927</v>
      </c>
      <c r="E103" s="113" t="s">
        <v>18539</v>
      </c>
      <c r="F103" s="256" t="s">
        <v>14436</v>
      </c>
      <c r="G103" s="160">
        <v>536.11</v>
      </c>
      <c r="H103" s="152"/>
      <c r="I103" s="160">
        <f t="shared" si="1"/>
        <v>37380.010000000024</v>
      </c>
    </row>
    <row r="104" spans="2:9" ht="19.5" hidden="1" x14ac:dyDescent="0.25">
      <c r="B104" s="148"/>
      <c r="C104" s="148" t="s">
        <v>18538</v>
      </c>
      <c r="D104" s="150">
        <v>43927</v>
      </c>
      <c r="E104" s="113" t="s">
        <v>18537</v>
      </c>
      <c r="F104" s="256" t="s">
        <v>14436</v>
      </c>
      <c r="G104" s="160">
        <v>2204.7199999999998</v>
      </c>
      <c r="H104" s="152"/>
      <c r="I104" s="160">
        <f t="shared" si="1"/>
        <v>39584.730000000025</v>
      </c>
    </row>
    <row r="105" spans="2:9" hidden="1" x14ac:dyDescent="0.25">
      <c r="B105" s="148"/>
      <c r="C105" s="148" t="s">
        <v>18536</v>
      </c>
      <c r="D105" s="150">
        <v>43927</v>
      </c>
      <c r="E105" s="113" t="s">
        <v>18535</v>
      </c>
      <c r="F105" s="257" t="s">
        <v>14408</v>
      </c>
      <c r="G105" s="258">
        <v>2.84</v>
      </c>
      <c r="H105" s="152"/>
      <c r="I105" s="160">
        <f t="shared" si="1"/>
        <v>39587.570000000022</v>
      </c>
    </row>
    <row r="106" spans="2:9" hidden="1" x14ac:dyDescent="0.25">
      <c r="B106" s="148"/>
      <c r="C106" s="148" t="s">
        <v>18534</v>
      </c>
      <c r="D106" s="150">
        <v>43927</v>
      </c>
      <c r="E106" s="113" t="s">
        <v>18533</v>
      </c>
      <c r="F106" s="257" t="s">
        <v>14408</v>
      </c>
      <c r="G106" s="258">
        <v>8.3800000000000008</v>
      </c>
      <c r="H106" s="152"/>
      <c r="I106" s="160">
        <f t="shared" si="1"/>
        <v>39595.950000000019</v>
      </c>
    </row>
    <row r="107" spans="2:9" ht="19.5" hidden="1" x14ac:dyDescent="0.25">
      <c r="B107" s="148"/>
      <c r="C107" s="148" t="s">
        <v>18532</v>
      </c>
      <c r="D107" s="150">
        <v>43927</v>
      </c>
      <c r="E107" s="113" t="s">
        <v>18531</v>
      </c>
      <c r="F107" s="257" t="s">
        <v>14408</v>
      </c>
      <c r="G107" s="258">
        <v>5.2</v>
      </c>
      <c r="H107" s="152"/>
      <c r="I107" s="160">
        <f t="shared" si="1"/>
        <v>39601.150000000016</v>
      </c>
    </row>
    <row r="108" spans="2:9" hidden="1" x14ac:dyDescent="0.25">
      <c r="B108" s="148"/>
      <c r="C108" s="148" t="s">
        <v>18530</v>
      </c>
      <c r="D108" s="150">
        <v>43927</v>
      </c>
      <c r="E108" s="113" t="s">
        <v>18529</v>
      </c>
      <c r="F108" s="256">
        <v>2</v>
      </c>
      <c r="G108" s="160">
        <v>15.3</v>
      </c>
      <c r="H108" s="152"/>
      <c r="I108" s="160">
        <f t="shared" si="1"/>
        <v>39616.450000000019</v>
      </c>
    </row>
    <row r="109" spans="2:9" ht="29.25" hidden="1" x14ac:dyDescent="0.25">
      <c r="B109" s="148"/>
      <c r="C109" s="148" t="s">
        <v>18528</v>
      </c>
      <c r="D109" s="150">
        <v>43927</v>
      </c>
      <c r="E109" s="113" t="s">
        <v>18527</v>
      </c>
      <c r="F109" s="256" t="s">
        <v>14436</v>
      </c>
      <c r="G109" s="160">
        <v>14.64</v>
      </c>
      <c r="H109" s="152"/>
      <c r="I109" s="160">
        <f t="shared" si="1"/>
        <v>39631.090000000018</v>
      </c>
    </row>
    <row r="110" spans="2:9" ht="19.5" hidden="1" x14ac:dyDescent="0.25">
      <c r="B110" s="148"/>
      <c r="C110" s="148" t="s">
        <v>18526</v>
      </c>
      <c r="D110" s="150">
        <v>43928</v>
      </c>
      <c r="E110" s="113" t="s">
        <v>18525</v>
      </c>
      <c r="F110" s="256">
        <v>3</v>
      </c>
      <c r="G110" s="160">
        <v>16.12</v>
      </c>
      <c r="H110" s="152"/>
      <c r="I110" s="160">
        <f t="shared" si="1"/>
        <v>39647.210000000021</v>
      </c>
    </row>
    <row r="111" spans="2:9" hidden="1" x14ac:dyDescent="0.25">
      <c r="B111" s="148"/>
      <c r="C111" s="148" t="s">
        <v>18524</v>
      </c>
      <c r="D111" s="150">
        <v>43928</v>
      </c>
      <c r="E111" s="113" t="s">
        <v>18523</v>
      </c>
      <c r="F111" s="256" t="s">
        <v>14436</v>
      </c>
      <c r="G111" s="160">
        <v>27.83</v>
      </c>
      <c r="H111" s="152"/>
      <c r="I111" s="160">
        <f t="shared" si="1"/>
        <v>39675.040000000023</v>
      </c>
    </row>
    <row r="112" spans="2:9" hidden="1" x14ac:dyDescent="0.25">
      <c r="B112" s="148"/>
      <c r="C112" s="148" t="s">
        <v>18522</v>
      </c>
      <c r="D112" s="150">
        <v>43928</v>
      </c>
      <c r="E112" s="113" t="s">
        <v>18521</v>
      </c>
      <c r="F112" s="256" t="s">
        <v>14436</v>
      </c>
      <c r="G112" s="160">
        <v>3.63</v>
      </c>
      <c r="H112" s="152"/>
      <c r="I112" s="160">
        <f t="shared" si="1"/>
        <v>39678.67000000002</v>
      </c>
    </row>
    <row r="113" spans="2:9" hidden="1" x14ac:dyDescent="0.25">
      <c r="B113" s="148"/>
      <c r="C113" s="148" t="s">
        <v>18520</v>
      </c>
      <c r="D113" s="150">
        <v>43928</v>
      </c>
      <c r="E113" s="113" t="s">
        <v>18519</v>
      </c>
      <c r="F113" s="257" t="s">
        <v>14408</v>
      </c>
      <c r="G113" s="258">
        <v>4.08</v>
      </c>
      <c r="H113" s="152"/>
      <c r="I113" s="160">
        <f t="shared" si="1"/>
        <v>39682.750000000022</v>
      </c>
    </row>
    <row r="114" spans="2:9" hidden="1" x14ac:dyDescent="0.25">
      <c r="B114" s="148"/>
      <c r="C114" s="148" t="s">
        <v>18518</v>
      </c>
      <c r="D114" s="150">
        <v>43928</v>
      </c>
      <c r="E114" s="113" t="s">
        <v>18517</v>
      </c>
      <c r="F114" s="257" t="s">
        <v>14408</v>
      </c>
      <c r="G114" s="258">
        <v>7.42</v>
      </c>
      <c r="H114" s="152"/>
      <c r="I114" s="160">
        <f t="shared" si="1"/>
        <v>39690.17000000002</v>
      </c>
    </row>
    <row r="115" spans="2:9" hidden="1" x14ac:dyDescent="0.25">
      <c r="B115" s="148"/>
      <c r="C115" s="148" t="s">
        <v>18516</v>
      </c>
      <c r="D115" s="150">
        <v>43928</v>
      </c>
      <c r="E115" s="113" t="s">
        <v>18515</v>
      </c>
      <c r="F115" s="256">
        <v>3</v>
      </c>
      <c r="G115" s="160">
        <v>5.76</v>
      </c>
      <c r="H115" s="152"/>
      <c r="I115" s="160">
        <f t="shared" si="1"/>
        <v>39695.930000000022</v>
      </c>
    </row>
    <row r="116" spans="2:9" ht="19.5" hidden="1" x14ac:dyDescent="0.25">
      <c r="B116" s="148"/>
      <c r="C116" s="148" t="s">
        <v>18514</v>
      </c>
      <c r="D116" s="150">
        <v>43928</v>
      </c>
      <c r="E116" s="113" t="s">
        <v>18513</v>
      </c>
      <c r="F116" s="256">
        <v>3</v>
      </c>
      <c r="G116" s="160">
        <v>0.16</v>
      </c>
      <c r="H116" s="152"/>
      <c r="I116" s="160">
        <f t="shared" si="1"/>
        <v>39696.090000000026</v>
      </c>
    </row>
    <row r="117" spans="2:9" hidden="1" x14ac:dyDescent="0.25">
      <c r="B117" s="148"/>
      <c r="C117" s="148" t="s">
        <v>18512</v>
      </c>
      <c r="D117" s="150">
        <v>43928</v>
      </c>
      <c r="E117" s="113" t="s">
        <v>18511</v>
      </c>
      <c r="F117" s="256"/>
      <c r="G117" s="160">
        <v>1.65</v>
      </c>
      <c r="H117" s="152"/>
      <c r="I117" s="160">
        <f t="shared" si="1"/>
        <v>39697.740000000027</v>
      </c>
    </row>
    <row r="118" spans="2:9" ht="19.5" hidden="1" x14ac:dyDescent="0.25">
      <c r="B118" s="148"/>
      <c r="C118" s="148" t="s">
        <v>18510</v>
      </c>
      <c r="D118" s="150">
        <v>43929</v>
      </c>
      <c r="E118" s="113" t="s">
        <v>18509</v>
      </c>
      <c r="F118" s="257" t="s">
        <v>14408</v>
      </c>
      <c r="G118" s="258">
        <v>30.4</v>
      </c>
      <c r="H118" s="152"/>
      <c r="I118" s="160">
        <f t="shared" si="1"/>
        <v>39728.140000000029</v>
      </c>
    </row>
    <row r="119" spans="2:9" hidden="1" x14ac:dyDescent="0.25">
      <c r="B119" s="148"/>
      <c r="C119" s="148" t="s">
        <v>18508</v>
      </c>
      <c r="D119" s="150">
        <v>43929</v>
      </c>
      <c r="E119" s="113" t="s">
        <v>18507</v>
      </c>
      <c r="F119" s="257" t="s">
        <v>14408</v>
      </c>
      <c r="G119" s="258">
        <v>1.68</v>
      </c>
      <c r="H119" s="152"/>
      <c r="I119" s="160">
        <f t="shared" si="1"/>
        <v>39729.820000000029</v>
      </c>
    </row>
    <row r="120" spans="2:9" ht="19.5" hidden="1" x14ac:dyDescent="0.25">
      <c r="B120" s="148"/>
      <c r="C120" s="148" t="s">
        <v>18506</v>
      </c>
      <c r="D120" s="150">
        <v>43929</v>
      </c>
      <c r="E120" s="113" t="s">
        <v>18505</v>
      </c>
      <c r="F120" s="257" t="s">
        <v>14408</v>
      </c>
      <c r="G120" s="258">
        <v>10.61</v>
      </c>
      <c r="H120" s="152"/>
      <c r="I120" s="160">
        <f t="shared" si="1"/>
        <v>39740.430000000029</v>
      </c>
    </row>
    <row r="121" spans="2:9" hidden="1" x14ac:dyDescent="0.25">
      <c r="B121" s="148"/>
      <c r="C121" s="148" t="s">
        <v>18504</v>
      </c>
      <c r="D121" s="150">
        <v>43930</v>
      </c>
      <c r="E121" s="113" t="s">
        <v>18503</v>
      </c>
      <c r="F121" s="256" t="s">
        <v>14436</v>
      </c>
      <c r="G121" s="160">
        <v>3.98</v>
      </c>
      <c r="H121" s="152"/>
      <c r="I121" s="160">
        <f t="shared" si="1"/>
        <v>39744.410000000033</v>
      </c>
    </row>
    <row r="122" spans="2:9" hidden="1" x14ac:dyDescent="0.25">
      <c r="B122" s="148"/>
      <c r="C122" s="148" t="s">
        <v>18502</v>
      </c>
      <c r="D122" s="150">
        <v>43930</v>
      </c>
      <c r="E122" s="113" t="s">
        <v>18501</v>
      </c>
      <c r="F122" s="257" t="s">
        <v>14408</v>
      </c>
      <c r="G122" s="258">
        <v>2.97</v>
      </c>
      <c r="H122" s="152"/>
      <c r="I122" s="160">
        <f t="shared" si="1"/>
        <v>39747.380000000034</v>
      </c>
    </row>
    <row r="123" spans="2:9" ht="19.5" hidden="1" x14ac:dyDescent="0.25">
      <c r="B123" s="148"/>
      <c r="C123" s="148" t="s">
        <v>18500</v>
      </c>
      <c r="D123" s="150">
        <v>43930</v>
      </c>
      <c r="E123" s="113" t="s">
        <v>18499</v>
      </c>
      <c r="F123" s="257" t="s">
        <v>14408</v>
      </c>
      <c r="G123" s="258">
        <v>32.590000000000003</v>
      </c>
      <c r="H123" s="152"/>
      <c r="I123" s="160">
        <f t="shared" si="1"/>
        <v>39779.97000000003</v>
      </c>
    </row>
    <row r="124" spans="2:9" hidden="1" x14ac:dyDescent="0.25">
      <c r="B124" s="148"/>
      <c r="C124" s="148" t="s">
        <v>18498</v>
      </c>
      <c r="D124" s="150">
        <v>43930</v>
      </c>
      <c r="E124" s="113" t="s">
        <v>18497</v>
      </c>
      <c r="F124" s="257" t="s">
        <v>14408</v>
      </c>
      <c r="G124" s="258">
        <v>6.14</v>
      </c>
      <c r="H124" s="152"/>
      <c r="I124" s="160">
        <f t="shared" si="1"/>
        <v>39786.11000000003</v>
      </c>
    </row>
    <row r="125" spans="2:9" ht="19.5" hidden="1" x14ac:dyDescent="0.25">
      <c r="B125" s="148"/>
      <c r="C125" s="148" t="s">
        <v>18496</v>
      </c>
      <c r="D125" s="150">
        <v>43930</v>
      </c>
      <c r="E125" s="113" t="s">
        <v>18495</v>
      </c>
      <c r="F125" s="257" t="s">
        <v>14408</v>
      </c>
      <c r="G125" s="258">
        <v>12.57</v>
      </c>
      <c r="H125" s="152"/>
      <c r="I125" s="160">
        <f t="shared" si="1"/>
        <v>39798.680000000029</v>
      </c>
    </row>
    <row r="126" spans="2:9" hidden="1" x14ac:dyDescent="0.25">
      <c r="B126" s="148"/>
      <c r="C126" s="148" t="s">
        <v>18494</v>
      </c>
      <c r="D126" s="150">
        <v>43930</v>
      </c>
      <c r="E126" s="113" t="s">
        <v>18493</v>
      </c>
      <c r="F126" s="257" t="s">
        <v>14408</v>
      </c>
      <c r="G126" s="258">
        <v>3.38</v>
      </c>
      <c r="H126" s="152"/>
      <c r="I126" s="160">
        <f t="shared" si="1"/>
        <v>39802.060000000027</v>
      </c>
    </row>
    <row r="127" spans="2:9" hidden="1" x14ac:dyDescent="0.25">
      <c r="B127" s="148"/>
      <c r="C127" s="148" t="s">
        <v>18492</v>
      </c>
      <c r="D127" s="150">
        <v>43930</v>
      </c>
      <c r="E127" s="113" t="s">
        <v>18491</v>
      </c>
      <c r="F127" s="257" t="s">
        <v>14408</v>
      </c>
      <c r="G127" s="258">
        <v>7.49</v>
      </c>
      <c r="H127" s="152"/>
      <c r="I127" s="160">
        <f t="shared" si="1"/>
        <v>39809.550000000025</v>
      </c>
    </row>
    <row r="128" spans="2:9" ht="19.5" hidden="1" x14ac:dyDescent="0.25">
      <c r="B128" s="148"/>
      <c r="C128" s="148" t="s">
        <v>18490</v>
      </c>
      <c r="D128" s="150">
        <v>43930</v>
      </c>
      <c r="E128" s="113" t="s">
        <v>18489</v>
      </c>
      <c r="F128" s="256">
        <v>4</v>
      </c>
      <c r="G128" s="255">
        <v>4.41</v>
      </c>
      <c r="H128" s="152"/>
      <c r="I128" s="160">
        <f t="shared" si="1"/>
        <v>39813.960000000028</v>
      </c>
    </row>
    <row r="129" spans="2:9" hidden="1" x14ac:dyDescent="0.25">
      <c r="B129" s="148"/>
      <c r="C129" s="148" t="s">
        <v>18488</v>
      </c>
      <c r="D129" s="150">
        <v>43930</v>
      </c>
      <c r="E129" s="113" t="s">
        <v>18487</v>
      </c>
      <c r="F129" s="256">
        <v>4</v>
      </c>
      <c r="G129" s="255">
        <v>9.59</v>
      </c>
      <c r="H129" s="152"/>
      <c r="I129" s="160">
        <f t="shared" si="1"/>
        <v>39823.550000000025</v>
      </c>
    </row>
    <row r="130" spans="2:9" ht="19.5" hidden="1" x14ac:dyDescent="0.25">
      <c r="B130" s="148"/>
      <c r="C130" s="148" t="s">
        <v>18486</v>
      </c>
      <c r="D130" s="150">
        <v>43930</v>
      </c>
      <c r="E130" s="113" t="s">
        <v>18485</v>
      </c>
      <c r="F130" s="256" t="s">
        <v>14440</v>
      </c>
      <c r="G130" s="255">
        <v>9.81</v>
      </c>
      <c r="H130" s="152"/>
      <c r="I130" s="160">
        <f t="shared" si="1"/>
        <v>39833.360000000022</v>
      </c>
    </row>
    <row r="131" spans="2:9" ht="39" hidden="1" x14ac:dyDescent="0.25">
      <c r="B131" s="148"/>
      <c r="C131" s="148" t="s">
        <v>18484</v>
      </c>
      <c r="D131" s="150">
        <v>43930</v>
      </c>
      <c r="E131" s="113" t="s">
        <v>18483</v>
      </c>
      <c r="F131" s="256" t="s">
        <v>14440</v>
      </c>
      <c r="G131" s="255">
        <v>211.29</v>
      </c>
      <c r="H131" s="152"/>
      <c r="I131" s="160">
        <f t="shared" si="1"/>
        <v>40044.650000000023</v>
      </c>
    </row>
    <row r="132" spans="2:9" ht="48.75" hidden="1" x14ac:dyDescent="0.25">
      <c r="B132" s="148"/>
      <c r="C132" s="148" t="s">
        <v>18482</v>
      </c>
      <c r="D132" s="150">
        <v>43930</v>
      </c>
      <c r="E132" s="113" t="s">
        <v>18481</v>
      </c>
      <c r="F132" s="256" t="s">
        <v>14440</v>
      </c>
      <c r="G132" s="255">
        <v>68.7</v>
      </c>
      <c r="H132" s="152"/>
      <c r="I132" s="160">
        <f t="shared" si="1"/>
        <v>40113.35000000002</v>
      </c>
    </row>
    <row r="133" spans="2:9" ht="19.5" hidden="1" x14ac:dyDescent="0.25">
      <c r="B133" s="148"/>
      <c r="C133" s="148" t="s">
        <v>18480</v>
      </c>
      <c r="D133" s="150">
        <v>43931</v>
      </c>
      <c r="E133" s="113" t="s">
        <v>18479</v>
      </c>
      <c r="F133" s="257" t="s">
        <v>14408</v>
      </c>
      <c r="G133" s="258">
        <v>6.6</v>
      </c>
      <c r="H133" s="152"/>
      <c r="I133" s="160">
        <f t="shared" si="1"/>
        <v>40119.950000000019</v>
      </c>
    </row>
    <row r="134" spans="2:9" ht="19.5" hidden="1" x14ac:dyDescent="0.25">
      <c r="B134" s="148"/>
      <c r="C134" s="148" t="s">
        <v>18478</v>
      </c>
      <c r="D134" s="150">
        <v>43931</v>
      </c>
      <c r="E134" s="113" t="s">
        <v>18477</v>
      </c>
      <c r="F134" s="257" t="s">
        <v>14408</v>
      </c>
      <c r="G134" s="258">
        <v>5.04</v>
      </c>
      <c r="H134" s="152"/>
      <c r="I134" s="160">
        <f t="shared" si="1"/>
        <v>40124.99000000002</v>
      </c>
    </row>
    <row r="135" spans="2:9" hidden="1" x14ac:dyDescent="0.25">
      <c r="B135" s="148"/>
      <c r="C135" s="148" t="s">
        <v>18476</v>
      </c>
      <c r="D135" s="150">
        <v>43931</v>
      </c>
      <c r="E135" s="113" t="s">
        <v>18475</v>
      </c>
      <c r="F135" s="257" t="s">
        <v>14408</v>
      </c>
      <c r="G135" s="258">
        <v>3.29</v>
      </c>
      <c r="H135" s="152"/>
      <c r="I135" s="160">
        <f t="shared" si="1"/>
        <v>40128.280000000021</v>
      </c>
    </row>
    <row r="136" spans="2:9" hidden="1" x14ac:dyDescent="0.25">
      <c r="B136" s="148"/>
      <c r="C136" s="148" t="s">
        <v>18474</v>
      </c>
      <c r="D136" s="150">
        <v>43931</v>
      </c>
      <c r="E136" s="113" t="s">
        <v>18473</v>
      </c>
      <c r="F136" s="257" t="s">
        <v>14408</v>
      </c>
      <c r="G136" s="258">
        <v>3.12</v>
      </c>
      <c r="H136" s="152"/>
      <c r="I136" s="160">
        <f t="shared" si="1"/>
        <v>40131.400000000023</v>
      </c>
    </row>
    <row r="137" spans="2:9" ht="19.5" hidden="1" x14ac:dyDescent="0.25">
      <c r="B137" s="148"/>
      <c r="C137" s="148" t="s">
        <v>18472</v>
      </c>
      <c r="D137" s="150">
        <v>43931</v>
      </c>
      <c r="E137" s="113" t="s">
        <v>18471</v>
      </c>
      <c r="F137" s="256" t="s">
        <v>14436</v>
      </c>
      <c r="G137" s="160">
        <v>28.78</v>
      </c>
      <c r="H137" s="152"/>
      <c r="I137" s="160">
        <f t="shared" si="1"/>
        <v>40160.180000000022</v>
      </c>
    </row>
    <row r="138" spans="2:9" ht="19.5" hidden="1" x14ac:dyDescent="0.25">
      <c r="B138" s="148"/>
      <c r="C138" s="148" t="s">
        <v>18470</v>
      </c>
      <c r="D138" s="150">
        <v>43932</v>
      </c>
      <c r="E138" s="113" t="s">
        <v>18469</v>
      </c>
      <c r="F138" s="257" t="s">
        <v>14408</v>
      </c>
      <c r="G138" s="258">
        <v>38.75</v>
      </c>
      <c r="H138" s="152"/>
      <c r="I138" s="160">
        <f t="shared" si="1"/>
        <v>40198.930000000022</v>
      </c>
    </row>
    <row r="139" spans="2:9" ht="19.5" hidden="1" x14ac:dyDescent="0.25">
      <c r="B139" s="148"/>
      <c r="C139" s="148" t="s">
        <v>18468</v>
      </c>
      <c r="D139" s="150">
        <v>43934</v>
      </c>
      <c r="E139" s="113" t="s">
        <v>18467</v>
      </c>
      <c r="F139" s="256" t="s">
        <v>14436</v>
      </c>
      <c r="G139" s="160">
        <v>8.48</v>
      </c>
      <c r="H139" s="152"/>
      <c r="I139" s="160">
        <f t="shared" si="1"/>
        <v>40207.410000000025</v>
      </c>
    </row>
    <row r="140" spans="2:9" hidden="1" x14ac:dyDescent="0.25">
      <c r="B140" s="148"/>
      <c r="C140" s="148" t="s">
        <v>18466</v>
      </c>
      <c r="D140" s="150">
        <v>43934</v>
      </c>
      <c r="E140" s="113" t="s">
        <v>18465</v>
      </c>
      <c r="F140" s="256" t="s">
        <v>14409</v>
      </c>
      <c r="G140" s="258">
        <v>11.1</v>
      </c>
      <c r="H140" s="152"/>
      <c r="I140" s="160">
        <f t="shared" si="1"/>
        <v>40218.510000000024</v>
      </c>
    </row>
    <row r="141" spans="2:9" hidden="1" x14ac:dyDescent="0.25">
      <c r="B141" s="148"/>
      <c r="C141" s="148" t="s">
        <v>18464</v>
      </c>
      <c r="D141" s="150">
        <v>43934</v>
      </c>
      <c r="E141" s="113" t="s">
        <v>18463</v>
      </c>
      <c r="F141" s="256" t="s">
        <v>14409</v>
      </c>
      <c r="G141" s="258">
        <v>2.72</v>
      </c>
      <c r="H141" s="152"/>
      <c r="I141" s="160">
        <f t="shared" si="1"/>
        <v>40221.230000000025</v>
      </c>
    </row>
    <row r="142" spans="2:9" ht="19.5" hidden="1" x14ac:dyDescent="0.25">
      <c r="B142" s="148"/>
      <c r="C142" s="148" t="s">
        <v>18462</v>
      </c>
      <c r="D142" s="150">
        <v>43934</v>
      </c>
      <c r="E142" s="113" t="s">
        <v>18461</v>
      </c>
      <c r="F142" s="256" t="s">
        <v>14409</v>
      </c>
      <c r="G142" s="258">
        <v>7.54</v>
      </c>
      <c r="H142" s="152"/>
      <c r="I142" s="160">
        <f t="shared" si="1"/>
        <v>40228.770000000026</v>
      </c>
    </row>
    <row r="143" spans="2:9" hidden="1" x14ac:dyDescent="0.25">
      <c r="B143" s="148"/>
      <c r="C143" s="148" t="s">
        <v>18460</v>
      </c>
      <c r="D143" s="150">
        <v>43934</v>
      </c>
      <c r="E143" s="113" t="s">
        <v>18459</v>
      </c>
      <c r="F143" s="256" t="s">
        <v>14409</v>
      </c>
      <c r="G143" s="258">
        <v>4.1900000000000004</v>
      </c>
      <c r="H143" s="152"/>
      <c r="I143" s="160">
        <f t="shared" si="1"/>
        <v>40232.960000000028</v>
      </c>
    </row>
    <row r="144" spans="2:9" hidden="1" x14ac:dyDescent="0.25">
      <c r="B144" s="148"/>
      <c r="C144" s="148" t="s">
        <v>18458</v>
      </c>
      <c r="D144" s="150">
        <v>43934</v>
      </c>
      <c r="E144" s="113" t="s">
        <v>18457</v>
      </c>
      <c r="F144" s="256" t="s">
        <v>14409</v>
      </c>
      <c r="G144" s="258">
        <v>5.97</v>
      </c>
      <c r="H144" s="152"/>
      <c r="I144" s="160">
        <f t="shared" si="1"/>
        <v>40238.930000000029</v>
      </c>
    </row>
    <row r="145" spans="2:9" ht="19.5" hidden="1" x14ac:dyDescent="0.25">
      <c r="B145" s="148"/>
      <c r="C145" s="148" t="s">
        <v>18456</v>
      </c>
      <c r="D145" s="150">
        <v>43934</v>
      </c>
      <c r="E145" s="113" t="s">
        <v>18455</v>
      </c>
      <c r="F145" s="256">
        <v>5</v>
      </c>
      <c r="G145" s="255">
        <v>6.69</v>
      </c>
      <c r="H145" s="152"/>
      <c r="I145" s="160">
        <f t="shared" si="1"/>
        <v>40245.620000000032</v>
      </c>
    </row>
    <row r="146" spans="2:9" hidden="1" x14ac:dyDescent="0.25">
      <c r="B146" s="148"/>
      <c r="C146" s="148" t="s">
        <v>18454</v>
      </c>
      <c r="D146" s="150">
        <v>43934</v>
      </c>
      <c r="E146" s="113" t="s">
        <v>18453</v>
      </c>
      <c r="F146" s="256">
        <v>5</v>
      </c>
      <c r="G146" s="255">
        <v>4.58</v>
      </c>
      <c r="H146" s="152"/>
      <c r="I146" s="160">
        <f t="shared" si="1"/>
        <v>40250.200000000033</v>
      </c>
    </row>
    <row r="147" spans="2:9" hidden="1" x14ac:dyDescent="0.25">
      <c r="B147" s="148"/>
      <c r="C147" s="148" t="s">
        <v>18452</v>
      </c>
      <c r="D147" s="150">
        <v>43934</v>
      </c>
      <c r="E147" s="113" t="s">
        <v>18451</v>
      </c>
      <c r="F147" s="256">
        <v>5</v>
      </c>
      <c r="G147" s="255">
        <v>3.36</v>
      </c>
      <c r="H147" s="152"/>
      <c r="I147" s="160">
        <f t="shared" si="1"/>
        <v>40253.560000000034</v>
      </c>
    </row>
    <row r="148" spans="2:9" hidden="1" x14ac:dyDescent="0.25">
      <c r="B148" s="148"/>
      <c r="C148" s="148" t="s">
        <v>18450</v>
      </c>
      <c r="D148" s="150">
        <v>43934</v>
      </c>
      <c r="E148" s="113" t="s">
        <v>18449</v>
      </c>
      <c r="F148" s="256">
        <v>5</v>
      </c>
      <c r="G148" s="255">
        <v>8.3800000000000008</v>
      </c>
      <c r="H148" s="152"/>
      <c r="I148" s="160">
        <f t="shared" ref="I148:I211" si="2">+I147+G148-H148</f>
        <v>40261.940000000031</v>
      </c>
    </row>
    <row r="149" spans="2:9" hidden="1" x14ac:dyDescent="0.25">
      <c r="B149" s="148"/>
      <c r="C149" s="148" t="s">
        <v>18448</v>
      </c>
      <c r="D149" s="150">
        <v>43934</v>
      </c>
      <c r="E149" s="113" t="s">
        <v>18447</v>
      </c>
      <c r="F149" s="256">
        <v>5</v>
      </c>
      <c r="G149" s="255">
        <v>3.36</v>
      </c>
      <c r="H149" s="152"/>
      <c r="I149" s="160">
        <f t="shared" si="2"/>
        <v>40265.300000000032</v>
      </c>
    </row>
    <row r="150" spans="2:9" hidden="1" x14ac:dyDescent="0.25">
      <c r="B150" s="148"/>
      <c r="C150" s="148" t="s">
        <v>18446</v>
      </c>
      <c r="D150" s="150">
        <v>43934</v>
      </c>
      <c r="E150" s="113" t="s">
        <v>18445</v>
      </c>
      <c r="F150" s="256" t="s">
        <v>14436</v>
      </c>
      <c r="G150" s="160">
        <v>85.2</v>
      </c>
      <c r="H150" s="152"/>
      <c r="I150" s="160">
        <f t="shared" si="2"/>
        <v>40350.500000000029</v>
      </c>
    </row>
    <row r="151" spans="2:9" ht="19.5" hidden="1" x14ac:dyDescent="0.25">
      <c r="B151" s="148"/>
      <c r="C151" s="148" t="s">
        <v>1744</v>
      </c>
      <c r="D151" s="150">
        <v>43934</v>
      </c>
      <c r="E151" s="113" t="s">
        <v>18444</v>
      </c>
      <c r="F151" s="257" t="s">
        <v>14408</v>
      </c>
      <c r="G151" s="152"/>
      <c r="H151" s="161">
        <v>97.53</v>
      </c>
      <c r="I151" s="160">
        <f t="shared" si="2"/>
        <v>40252.97000000003</v>
      </c>
    </row>
    <row r="152" spans="2:9" ht="19.5" x14ac:dyDescent="0.25">
      <c r="B152" s="148"/>
      <c r="C152" s="148" t="s">
        <v>407</v>
      </c>
      <c r="D152" s="150">
        <v>43934</v>
      </c>
      <c r="E152" s="113" t="s">
        <v>18443</v>
      </c>
      <c r="F152" s="257" t="s">
        <v>14433</v>
      </c>
      <c r="G152" s="152"/>
      <c r="H152" s="161">
        <v>560.32000000000005</v>
      </c>
      <c r="I152" s="160">
        <f t="shared" si="2"/>
        <v>39692.650000000031</v>
      </c>
    </row>
    <row r="153" spans="2:9" ht="19.5" hidden="1" x14ac:dyDescent="0.25">
      <c r="B153" s="148"/>
      <c r="C153" s="148" t="s">
        <v>18442</v>
      </c>
      <c r="D153" s="150">
        <v>43935</v>
      </c>
      <c r="E153" s="113" t="s">
        <v>18441</v>
      </c>
      <c r="F153" s="256" t="s">
        <v>14409</v>
      </c>
      <c r="G153" s="258">
        <v>16.62</v>
      </c>
      <c r="H153" s="152"/>
      <c r="I153" s="160">
        <f t="shared" si="2"/>
        <v>39709.270000000033</v>
      </c>
    </row>
    <row r="154" spans="2:9" hidden="1" x14ac:dyDescent="0.25">
      <c r="B154" s="148"/>
      <c r="C154" s="148" t="s">
        <v>18440</v>
      </c>
      <c r="D154" s="150">
        <v>43935</v>
      </c>
      <c r="E154" s="113" t="s">
        <v>18439</v>
      </c>
      <c r="F154" s="256" t="s">
        <v>14409</v>
      </c>
      <c r="G154" s="258">
        <v>1.99</v>
      </c>
      <c r="H154" s="152"/>
      <c r="I154" s="160">
        <f t="shared" si="2"/>
        <v>39711.260000000031</v>
      </c>
    </row>
    <row r="155" spans="2:9" ht="19.5" hidden="1" x14ac:dyDescent="0.25">
      <c r="B155" s="148"/>
      <c r="C155" s="148" t="s">
        <v>18438</v>
      </c>
      <c r="D155" s="150">
        <v>43935</v>
      </c>
      <c r="E155" s="113" t="s">
        <v>18437</v>
      </c>
      <c r="F155" s="256" t="s">
        <v>14409</v>
      </c>
      <c r="G155" s="258">
        <v>6.21</v>
      </c>
      <c r="H155" s="152"/>
      <c r="I155" s="160">
        <f t="shared" si="2"/>
        <v>39717.47000000003</v>
      </c>
    </row>
    <row r="156" spans="2:9" ht="19.5" hidden="1" x14ac:dyDescent="0.25">
      <c r="B156" s="148"/>
      <c r="C156" s="148" t="s">
        <v>18436</v>
      </c>
      <c r="D156" s="150">
        <v>43935</v>
      </c>
      <c r="E156" s="113" t="s">
        <v>18435</v>
      </c>
      <c r="F156" s="256" t="s">
        <v>14409</v>
      </c>
      <c r="G156" s="258">
        <v>24.6</v>
      </c>
      <c r="H156" s="152"/>
      <c r="I156" s="160">
        <f t="shared" si="2"/>
        <v>39742.070000000029</v>
      </c>
    </row>
    <row r="157" spans="2:9" ht="19.5" hidden="1" x14ac:dyDescent="0.25">
      <c r="B157" s="148"/>
      <c r="C157" s="148" t="s">
        <v>18434</v>
      </c>
      <c r="D157" s="150">
        <v>43935</v>
      </c>
      <c r="E157" s="113" t="s">
        <v>18433</v>
      </c>
      <c r="F157" s="256" t="s">
        <v>14409</v>
      </c>
      <c r="G157" s="258">
        <v>9.43</v>
      </c>
      <c r="H157" s="152"/>
      <c r="I157" s="160">
        <f t="shared" si="2"/>
        <v>39751.500000000029</v>
      </c>
    </row>
    <row r="158" spans="2:9" ht="19.5" hidden="1" x14ac:dyDescent="0.25">
      <c r="B158" s="148"/>
      <c r="C158" s="148" t="s">
        <v>18432</v>
      </c>
      <c r="D158" s="150">
        <v>43935</v>
      </c>
      <c r="E158" s="113" t="s">
        <v>18431</v>
      </c>
      <c r="F158" s="256" t="s">
        <v>14409</v>
      </c>
      <c r="G158" s="258">
        <v>4.3099999999999996</v>
      </c>
      <c r="H158" s="152"/>
      <c r="I158" s="160">
        <f t="shared" si="2"/>
        <v>39755.810000000027</v>
      </c>
    </row>
    <row r="159" spans="2:9" hidden="1" x14ac:dyDescent="0.25">
      <c r="B159" s="148"/>
      <c r="C159" s="148" t="s">
        <v>18430</v>
      </c>
      <c r="D159" s="150">
        <v>43935</v>
      </c>
      <c r="E159" s="113" t="s">
        <v>18429</v>
      </c>
      <c r="F159" s="256" t="s">
        <v>14409</v>
      </c>
      <c r="G159" s="258">
        <v>1.87</v>
      </c>
      <c r="H159" s="152"/>
      <c r="I159" s="160">
        <f t="shared" si="2"/>
        <v>39757.680000000029</v>
      </c>
    </row>
    <row r="160" spans="2:9" hidden="1" x14ac:dyDescent="0.25">
      <c r="B160" s="148"/>
      <c r="C160" s="148" t="s">
        <v>18428</v>
      </c>
      <c r="D160" s="150">
        <v>43935</v>
      </c>
      <c r="E160" s="113" t="s">
        <v>18427</v>
      </c>
      <c r="F160" s="256">
        <v>6</v>
      </c>
      <c r="G160" s="255">
        <v>12.3</v>
      </c>
      <c r="H160" s="152"/>
      <c r="I160" s="160">
        <f t="shared" si="2"/>
        <v>39769.980000000032</v>
      </c>
    </row>
    <row r="161" spans="2:9" hidden="1" x14ac:dyDescent="0.25">
      <c r="B161" s="148"/>
      <c r="C161" s="148" t="s">
        <v>18426</v>
      </c>
      <c r="D161" s="150">
        <v>43935</v>
      </c>
      <c r="E161" s="113" t="s">
        <v>18425</v>
      </c>
      <c r="F161" s="256">
        <v>6</v>
      </c>
      <c r="G161" s="255">
        <v>10.32</v>
      </c>
      <c r="H161" s="152"/>
      <c r="I161" s="160">
        <f t="shared" si="2"/>
        <v>39780.300000000032</v>
      </c>
    </row>
    <row r="162" spans="2:9" hidden="1" x14ac:dyDescent="0.25">
      <c r="B162" s="148"/>
      <c r="C162" s="148" t="s">
        <v>18424</v>
      </c>
      <c r="D162" s="150">
        <v>43935</v>
      </c>
      <c r="E162" s="113" t="s">
        <v>18423</v>
      </c>
      <c r="F162" s="256">
        <v>6</v>
      </c>
      <c r="G162" s="255">
        <v>12.86</v>
      </c>
      <c r="H162" s="152"/>
      <c r="I162" s="160">
        <f t="shared" si="2"/>
        <v>39793.160000000033</v>
      </c>
    </row>
    <row r="163" spans="2:9" hidden="1" x14ac:dyDescent="0.25">
      <c r="B163" s="148"/>
      <c r="C163" s="148" t="s">
        <v>18422</v>
      </c>
      <c r="D163" s="150">
        <v>43935</v>
      </c>
      <c r="E163" s="113" t="s">
        <v>18421</v>
      </c>
      <c r="F163" s="256">
        <v>6</v>
      </c>
      <c r="G163" s="255">
        <v>4.1900000000000004</v>
      </c>
      <c r="H163" s="152"/>
      <c r="I163" s="160">
        <f t="shared" si="2"/>
        <v>39797.350000000035</v>
      </c>
    </row>
    <row r="164" spans="2:9" ht="19.5" hidden="1" x14ac:dyDescent="0.25">
      <c r="B164" s="148"/>
      <c r="C164" s="148" t="s">
        <v>18420</v>
      </c>
      <c r="D164" s="150">
        <v>43935</v>
      </c>
      <c r="E164" s="113" t="s">
        <v>18419</v>
      </c>
      <c r="F164" s="256">
        <v>6</v>
      </c>
      <c r="G164" s="255">
        <v>20.59</v>
      </c>
      <c r="H164" s="152"/>
      <c r="I164" s="160">
        <f t="shared" si="2"/>
        <v>39817.940000000031</v>
      </c>
    </row>
    <row r="165" spans="2:9" hidden="1" x14ac:dyDescent="0.25">
      <c r="B165" s="148"/>
      <c r="C165" s="148" t="s">
        <v>18418</v>
      </c>
      <c r="D165" s="150">
        <v>43935</v>
      </c>
      <c r="E165" s="113" t="s">
        <v>18417</v>
      </c>
      <c r="F165" s="256">
        <v>6</v>
      </c>
      <c r="G165" s="255">
        <v>6.96</v>
      </c>
      <c r="H165" s="152"/>
      <c r="I165" s="160">
        <f t="shared" si="2"/>
        <v>39824.900000000031</v>
      </c>
    </row>
    <row r="166" spans="2:9" hidden="1" x14ac:dyDescent="0.25">
      <c r="B166" s="148"/>
      <c r="C166" s="148" t="s">
        <v>18416</v>
      </c>
      <c r="D166" s="150">
        <v>43935</v>
      </c>
      <c r="E166" s="113" t="s">
        <v>18415</v>
      </c>
      <c r="F166" s="256" t="s">
        <v>18712</v>
      </c>
      <c r="G166" s="160">
        <v>2.64</v>
      </c>
      <c r="H166" s="152"/>
      <c r="I166" s="160">
        <f t="shared" si="2"/>
        <v>39827.54000000003</v>
      </c>
    </row>
    <row r="167" spans="2:9" ht="19.5" x14ac:dyDescent="0.25">
      <c r="B167" s="148"/>
      <c r="C167" s="148" t="s">
        <v>1742</v>
      </c>
      <c r="D167" s="150">
        <v>43935</v>
      </c>
      <c r="E167" s="113" t="s">
        <v>18414</v>
      </c>
      <c r="F167" s="257" t="s">
        <v>14433</v>
      </c>
      <c r="G167" s="152"/>
      <c r="H167" s="161">
        <v>86.72</v>
      </c>
      <c r="I167" s="160">
        <f t="shared" si="2"/>
        <v>39740.820000000029</v>
      </c>
    </row>
    <row r="168" spans="2:9" ht="19.5" x14ac:dyDescent="0.25">
      <c r="B168" s="148"/>
      <c r="C168" s="148" t="s">
        <v>1432</v>
      </c>
      <c r="D168" s="150">
        <v>43935</v>
      </c>
      <c r="E168" s="113" t="s">
        <v>18413</v>
      </c>
      <c r="F168" s="257" t="s">
        <v>14433</v>
      </c>
      <c r="G168" s="152"/>
      <c r="H168" s="161">
        <v>85</v>
      </c>
      <c r="I168" s="160">
        <f t="shared" si="2"/>
        <v>39655.820000000029</v>
      </c>
    </row>
    <row r="169" spans="2:9" ht="19.5" x14ac:dyDescent="0.25">
      <c r="B169" s="148"/>
      <c r="C169" s="148" t="s">
        <v>1430</v>
      </c>
      <c r="D169" s="150">
        <v>43935</v>
      </c>
      <c r="E169" s="113" t="s">
        <v>18412</v>
      </c>
      <c r="F169" s="257" t="s">
        <v>14433</v>
      </c>
      <c r="G169" s="152"/>
      <c r="H169" s="161">
        <v>1190.58</v>
      </c>
      <c r="I169" s="160">
        <f t="shared" si="2"/>
        <v>38465.240000000027</v>
      </c>
    </row>
    <row r="170" spans="2:9" ht="29.25" x14ac:dyDescent="0.25">
      <c r="B170" s="148"/>
      <c r="C170" s="148" t="s">
        <v>16364</v>
      </c>
      <c r="D170" s="150">
        <v>43935</v>
      </c>
      <c r="E170" s="113" t="s">
        <v>18411</v>
      </c>
      <c r="F170" s="257" t="s">
        <v>14433</v>
      </c>
      <c r="G170" s="152"/>
      <c r="H170" s="161">
        <v>1190.3599999999999</v>
      </c>
      <c r="I170" s="160">
        <f t="shared" si="2"/>
        <v>37274.880000000026</v>
      </c>
    </row>
    <row r="171" spans="2:9" hidden="1" x14ac:dyDescent="0.25">
      <c r="B171" s="148"/>
      <c r="C171" s="148" t="s">
        <v>18410</v>
      </c>
      <c r="D171" s="150">
        <v>43936</v>
      </c>
      <c r="E171" s="113" t="s">
        <v>18409</v>
      </c>
      <c r="F171" s="256" t="s">
        <v>14409</v>
      </c>
      <c r="G171" s="258">
        <v>5.29</v>
      </c>
      <c r="H171" s="152"/>
      <c r="I171" s="160">
        <f t="shared" si="2"/>
        <v>37280.170000000027</v>
      </c>
    </row>
    <row r="172" spans="2:9" ht="19.5" hidden="1" x14ac:dyDescent="0.25">
      <c r="B172" s="148"/>
      <c r="C172" s="148" t="s">
        <v>18408</v>
      </c>
      <c r="D172" s="150">
        <v>43936</v>
      </c>
      <c r="E172" s="113" t="s">
        <v>18407</v>
      </c>
      <c r="F172" s="256" t="s">
        <v>14409</v>
      </c>
      <c r="G172" s="258">
        <v>8.15</v>
      </c>
      <c r="H172" s="152"/>
      <c r="I172" s="160">
        <f t="shared" si="2"/>
        <v>37288.320000000029</v>
      </c>
    </row>
    <row r="173" spans="2:9" hidden="1" x14ac:dyDescent="0.25">
      <c r="B173" s="148"/>
      <c r="C173" s="148" t="s">
        <v>18406</v>
      </c>
      <c r="D173" s="150">
        <v>43936</v>
      </c>
      <c r="E173" s="113" t="s">
        <v>18405</v>
      </c>
      <c r="F173" s="256" t="s">
        <v>14409</v>
      </c>
      <c r="G173" s="258">
        <v>3.73</v>
      </c>
      <c r="H173" s="152"/>
      <c r="I173" s="160">
        <f t="shared" si="2"/>
        <v>37292.050000000032</v>
      </c>
    </row>
    <row r="174" spans="2:9" hidden="1" x14ac:dyDescent="0.25">
      <c r="B174" s="148"/>
      <c r="C174" s="148" t="s">
        <v>18404</v>
      </c>
      <c r="D174" s="150">
        <v>43936</v>
      </c>
      <c r="E174" s="113" t="s">
        <v>18403</v>
      </c>
      <c r="F174" s="256" t="s">
        <v>14409</v>
      </c>
      <c r="G174" s="258">
        <v>1.68</v>
      </c>
      <c r="H174" s="152"/>
      <c r="I174" s="160">
        <f t="shared" si="2"/>
        <v>37293.730000000032</v>
      </c>
    </row>
    <row r="175" spans="2:9" hidden="1" x14ac:dyDescent="0.25">
      <c r="B175" s="148"/>
      <c r="C175" s="148" t="s">
        <v>18402</v>
      </c>
      <c r="D175" s="150">
        <v>43936</v>
      </c>
      <c r="E175" s="113" t="s">
        <v>18401</v>
      </c>
      <c r="F175" s="256" t="s">
        <v>14409</v>
      </c>
      <c r="G175" s="258">
        <v>1.81</v>
      </c>
      <c r="H175" s="152"/>
      <c r="I175" s="160">
        <f t="shared" si="2"/>
        <v>37295.54000000003</v>
      </c>
    </row>
    <row r="176" spans="2:9" hidden="1" x14ac:dyDescent="0.25">
      <c r="B176" s="148"/>
      <c r="C176" s="148" t="s">
        <v>18400</v>
      </c>
      <c r="D176" s="150">
        <v>43936</v>
      </c>
      <c r="E176" s="113" t="s">
        <v>18399</v>
      </c>
      <c r="F176" s="256" t="s">
        <v>14409</v>
      </c>
      <c r="G176" s="258">
        <v>7.59</v>
      </c>
      <c r="H176" s="152"/>
      <c r="I176" s="160">
        <f t="shared" si="2"/>
        <v>37303.130000000026</v>
      </c>
    </row>
    <row r="177" spans="2:9" hidden="1" x14ac:dyDescent="0.25">
      <c r="B177" s="148"/>
      <c r="C177" s="148" t="s">
        <v>18398</v>
      </c>
      <c r="D177" s="150">
        <v>43936</v>
      </c>
      <c r="E177" s="113" t="s">
        <v>18397</v>
      </c>
      <c r="F177" s="256" t="s">
        <v>14409</v>
      </c>
      <c r="G177" s="258">
        <v>1.85</v>
      </c>
      <c r="H177" s="152"/>
      <c r="I177" s="160">
        <f t="shared" si="2"/>
        <v>37304.980000000025</v>
      </c>
    </row>
    <row r="178" spans="2:9" hidden="1" x14ac:dyDescent="0.25">
      <c r="B178" s="148"/>
      <c r="C178" s="148" t="s">
        <v>18396</v>
      </c>
      <c r="D178" s="150">
        <v>43936</v>
      </c>
      <c r="E178" s="113" t="s">
        <v>18395</v>
      </c>
      <c r="F178" s="256">
        <v>7</v>
      </c>
      <c r="G178" s="160">
        <v>8.48</v>
      </c>
      <c r="H178" s="152"/>
      <c r="I178" s="160">
        <f t="shared" si="2"/>
        <v>37313.460000000028</v>
      </c>
    </row>
    <row r="179" spans="2:9" ht="19.5" x14ac:dyDescent="0.25">
      <c r="B179" s="148"/>
      <c r="C179" s="148" t="s">
        <v>1428</v>
      </c>
      <c r="D179" s="150">
        <v>43936</v>
      </c>
      <c r="E179" s="113" t="s">
        <v>18394</v>
      </c>
      <c r="F179" s="257" t="s">
        <v>14433</v>
      </c>
      <c r="G179" s="152"/>
      <c r="H179" s="161">
        <v>594.79</v>
      </c>
      <c r="I179" s="160">
        <f t="shared" si="2"/>
        <v>36718.670000000027</v>
      </c>
    </row>
    <row r="180" spans="2:9" ht="19.5" x14ac:dyDescent="0.25">
      <c r="B180" s="148"/>
      <c r="C180" s="148" t="s">
        <v>15202</v>
      </c>
      <c r="D180" s="150">
        <v>43936</v>
      </c>
      <c r="E180" s="113" t="s">
        <v>18393</v>
      </c>
      <c r="F180" s="257" t="s">
        <v>14433</v>
      </c>
      <c r="G180" s="152"/>
      <c r="H180" s="161">
        <v>209.93</v>
      </c>
      <c r="I180" s="160">
        <f t="shared" si="2"/>
        <v>36508.740000000027</v>
      </c>
    </row>
    <row r="181" spans="2:9" ht="19.5" x14ac:dyDescent="0.25">
      <c r="B181" s="148"/>
      <c r="C181" s="148" t="s">
        <v>14518</v>
      </c>
      <c r="D181" s="150">
        <v>43936</v>
      </c>
      <c r="E181" s="113" t="s">
        <v>18392</v>
      </c>
      <c r="F181" s="257" t="s">
        <v>14433</v>
      </c>
      <c r="G181" s="152"/>
      <c r="H181" s="161">
        <v>521.77</v>
      </c>
      <c r="I181" s="160">
        <f t="shared" si="2"/>
        <v>35986.97000000003</v>
      </c>
    </row>
    <row r="182" spans="2:9" x14ac:dyDescent="0.25">
      <c r="B182" s="148"/>
      <c r="C182" s="148" t="s">
        <v>405</v>
      </c>
      <c r="D182" s="150">
        <v>43936</v>
      </c>
      <c r="E182" s="113" t="s">
        <v>18391</v>
      </c>
      <c r="F182" s="257" t="s">
        <v>14433</v>
      </c>
      <c r="G182" s="152"/>
      <c r="H182" s="161">
        <v>2800</v>
      </c>
      <c r="I182" s="160">
        <f t="shared" si="2"/>
        <v>33186.97000000003</v>
      </c>
    </row>
    <row r="183" spans="2:9" ht="19.5" x14ac:dyDescent="0.25">
      <c r="B183" s="148"/>
      <c r="C183" s="148" t="s">
        <v>18390</v>
      </c>
      <c r="D183" s="150">
        <v>43936</v>
      </c>
      <c r="E183" s="113" t="s">
        <v>18389</v>
      </c>
      <c r="F183" s="257" t="s">
        <v>14433</v>
      </c>
      <c r="G183" s="152"/>
      <c r="H183" s="161">
        <v>1800</v>
      </c>
      <c r="I183" s="160">
        <f t="shared" si="2"/>
        <v>31386.97000000003</v>
      </c>
    </row>
    <row r="184" spans="2:9" ht="19.5" x14ac:dyDescent="0.25">
      <c r="B184" s="148"/>
      <c r="C184" s="148" t="s">
        <v>18388</v>
      </c>
      <c r="D184" s="150">
        <v>43936</v>
      </c>
      <c r="E184" s="113" t="s">
        <v>18387</v>
      </c>
      <c r="F184" s="257" t="s">
        <v>14433</v>
      </c>
      <c r="G184" s="152"/>
      <c r="H184" s="161">
        <v>1634.38</v>
      </c>
      <c r="I184" s="160">
        <f t="shared" si="2"/>
        <v>29752.590000000029</v>
      </c>
    </row>
    <row r="185" spans="2:9" ht="19.5" x14ac:dyDescent="0.25">
      <c r="B185" s="148"/>
      <c r="C185" s="148" t="s">
        <v>18386</v>
      </c>
      <c r="D185" s="150">
        <v>43936</v>
      </c>
      <c r="E185" s="113" t="s">
        <v>18385</v>
      </c>
      <c r="F185" s="257" t="s">
        <v>14433</v>
      </c>
      <c r="G185" s="152"/>
      <c r="H185" s="161">
        <v>21.9</v>
      </c>
      <c r="I185" s="160">
        <f t="shared" si="2"/>
        <v>29730.690000000028</v>
      </c>
    </row>
    <row r="186" spans="2:9" ht="19.5" x14ac:dyDescent="0.25">
      <c r="B186" s="148"/>
      <c r="C186" s="148" t="s">
        <v>16362</v>
      </c>
      <c r="D186" s="150">
        <v>43936</v>
      </c>
      <c r="E186" s="113" t="s">
        <v>18384</v>
      </c>
      <c r="F186" s="257" t="s">
        <v>14433</v>
      </c>
      <c r="G186" s="152"/>
      <c r="H186" s="161">
        <v>8.86</v>
      </c>
      <c r="I186" s="160">
        <f t="shared" si="2"/>
        <v>29721.830000000027</v>
      </c>
    </row>
    <row r="187" spans="2:9" ht="19.5" x14ac:dyDescent="0.25">
      <c r="B187" s="148"/>
      <c r="C187" s="148" t="s">
        <v>16360</v>
      </c>
      <c r="D187" s="150">
        <v>43936</v>
      </c>
      <c r="E187" s="113" t="s">
        <v>18383</v>
      </c>
      <c r="F187" s="257" t="s">
        <v>14433</v>
      </c>
      <c r="G187" s="152"/>
      <c r="H187" s="161">
        <v>20.63</v>
      </c>
      <c r="I187" s="160">
        <f t="shared" si="2"/>
        <v>29701.200000000026</v>
      </c>
    </row>
    <row r="188" spans="2:9" ht="29.25" x14ac:dyDescent="0.25">
      <c r="B188" s="148"/>
      <c r="C188" s="148" t="s">
        <v>16358</v>
      </c>
      <c r="D188" s="150">
        <v>43936</v>
      </c>
      <c r="E188" s="113" t="s">
        <v>18382</v>
      </c>
      <c r="F188" s="257" t="s">
        <v>14433</v>
      </c>
      <c r="G188" s="152"/>
      <c r="H188" s="161">
        <v>8.18</v>
      </c>
      <c r="I188" s="160">
        <f t="shared" si="2"/>
        <v>29693.020000000026</v>
      </c>
    </row>
    <row r="189" spans="2:9" ht="19.5" x14ac:dyDescent="0.25">
      <c r="B189" s="148"/>
      <c r="C189" s="148" t="s">
        <v>16356</v>
      </c>
      <c r="D189" s="150">
        <v>43936</v>
      </c>
      <c r="E189" s="113" t="s">
        <v>18381</v>
      </c>
      <c r="F189" s="257" t="s">
        <v>14433</v>
      </c>
      <c r="G189" s="152"/>
      <c r="H189" s="161">
        <v>9.77</v>
      </c>
      <c r="I189" s="160">
        <f t="shared" si="2"/>
        <v>29683.250000000025</v>
      </c>
    </row>
    <row r="190" spans="2:9" ht="19.5" x14ac:dyDescent="0.25">
      <c r="B190" s="148"/>
      <c r="C190" s="148" t="s">
        <v>16354</v>
      </c>
      <c r="D190" s="150">
        <v>43936</v>
      </c>
      <c r="E190" s="113" t="s">
        <v>18380</v>
      </c>
      <c r="F190" s="257" t="s">
        <v>14433</v>
      </c>
      <c r="G190" s="152"/>
      <c r="H190" s="161">
        <v>93.39</v>
      </c>
      <c r="I190" s="160">
        <f t="shared" si="2"/>
        <v>29589.860000000026</v>
      </c>
    </row>
    <row r="191" spans="2:9" ht="19.5" x14ac:dyDescent="0.25">
      <c r="B191" s="148"/>
      <c r="C191" s="148" t="s">
        <v>16</v>
      </c>
      <c r="D191" s="150">
        <v>43936</v>
      </c>
      <c r="E191" s="113" t="s">
        <v>18379</v>
      </c>
      <c r="F191" s="257" t="s">
        <v>14433</v>
      </c>
      <c r="G191" s="152"/>
      <c r="H191" s="161">
        <v>13.52</v>
      </c>
      <c r="I191" s="160">
        <f t="shared" si="2"/>
        <v>29576.340000000026</v>
      </c>
    </row>
    <row r="192" spans="2:9" ht="19.5" x14ac:dyDescent="0.25">
      <c r="B192" s="148"/>
      <c r="C192" s="148" t="s">
        <v>16351</v>
      </c>
      <c r="D192" s="150">
        <v>43936</v>
      </c>
      <c r="E192" s="113" t="s">
        <v>18378</v>
      </c>
      <c r="F192" s="257" t="s">
        <v>14433</v>
      </c>
      <c r="G192" s="152"/>
      <c r="H192" s="161">
        <v>15.38</v>
      </c>
      <c r="I192" s="160">
        <f t="shared" si="2"/>
        <v>29560.960000000025</v>
      </c>
    </row>
    <row r="193" spans="2:9" ht="19.5" x14ac:dyDescent="0.25">
      <c r="B193" s="148"/>
      <c r="C193" s="148" t="s">
        <v>18377</v>
      </c>
      <c r="D193" s="150">
        <v>43936</v>
      </c>
      <c r="E193" s="113" t="s">
        <v>18376</v>
      </c>
      <c r="F193" s="257" t="s">
        <v>14433</v>
      </c>
      <c r="G193" s="152"/>
      <c r="H193" s="161">
        <v>11.86</v>
      </c>
      <c r="I193" s="160">
        <f t="shared" si="2"/>
        <v>29549.100000000024</v>
      </c>
    </row>
    <row r="194" spans="2:9" hidden="1" x14ac:dyDescent="0.25">
      <c r="B194" s="148"/>
      <c r="C194" s="148" t="s">
        <v>18375</v>
      </c>
      <c r="D194" s="150">
        <v>43937</v>
      </c>
      <c r="E194" s="113" t="s">
        <v>18374</v>
      </c>
      <c r="F194" s="256" t="s">
        <v>14409</v>
      </c>
      <c r="G194" s="258">
        <v>2.2400000000000002</v>
      </c>
      <c r="H194" s="152"/>
      <c r="I194" s="160">
        <f t="shared" si="2"/>
        <v>29551.340000000026</v>
      </c>
    </row>
    <row r="195" spans="2:9" hidden="1" x14ac:dyDescent="0.25">
      <c r="B195" s="148"/>
      <c r="C195" s="148" t="s">
        <v>18373</v>
      </c>
      <c r="D195" s="150">
        <v>43937</v>
      </c>
      <c r="E195" s="113" t="s">
        <v>18372</v>
      </c>
      <c r="F195" s="256" t="s">
        <v>14409</v>
      </c>
      <c r="G195" s="258">
        <v>8.2799999999999994</v>
      </c>
      <c r="H195" s="152"/>
      <c r="I195" s="160">
        <f t="shared" si="2"/>
        <v>29559.620000000024</v>
      </c>
    </row>
    <row r="196" spans="2:9" hidden="1" x14ac:dyDescent="0.25">
      <c r="B196" s="148"/>
      <c r="C196" s="148" t="s">
        <v>18371</v>
      </c>
      <c r="D196" s="150">
        <v>43937</v>
      </c>
      <c r="E196" s="113" t="s">
        <v>18370</v>
      </c>
      <c r="F196" s="256" t="s">
        <v>14409</v>
      </c>
      <c r="G196" s="258">
        <v>5.07</v>
      </c>
      <c r="H196" s="152"/>
      <c r="I196" s="160">
        <f t="shared" si="2"/>
        <v>29564.690000000024</v>
      </c>
    </row>
    <row r="197" spans="2:9" hidden="1" x14ac:dyDescent="0.25">
      <c r="B197" s="148"/>
      <c r="C197" s="148" t="s">
        <v>18369</v>
      </c>
      <c r="D197" s="150">
        <v>43937</v>
      </c>
      <c r="E197" s="113" t="s">
        <v>18368</v>
      </c>
      <c r="F197" s="256" t="s">
        <v>14409</v>
      </c>
      <c r="G197" s="258">
        <v>3.33</v>
      </c>
      <c r="H197" s="152"/>
      <c r="I197" s="160">
        <f t="shared" si="2"/>
        <v>29568.020000000026</v>
      </c>
    </row>
    <row r="198" spans="2:9" hidden="1" x14ac:dyDescent="0.25">
      <c r="B198" s="148"/>
      <c r="C198" s="148" t="s">
        <v>18367</v>
      </c>
      <c r="D198" s="150">
        <v>43937</v>
      </c>
      <c r="E198" s="113" t="s">
        <v>18366</v>
      </c>
      <c r="F198" s="256" t="s">
        <v>14409</v>
      </c>
      <c r="G198" s="258">
        <v>2.54</v>
      </c>
      <c r="H198" s="152"/>
      <c r="I198" s="160">
        <f t="shared" si="2"/>
        <v>29570.560000000027</v>
      </c>
    </row>
    <row r="199" spans="2:9" hidden="1" x14ac:dyDescent="0.25">
      <c r="B199" s="148"/>
      <c r="C199" s="148" t="s">
        <v>18365</v>
      </c>
      <c r="D199" s="150">
        <v>43937</v>
      </c>
      <c r="E199" s="113" t="s">
        <v>18364</v>
      </c>
      <c r="F199" s="256" t="s">
        <v>14409</v>
      </c>
      <c r="G199" s="258">
        <v>4.1399999999999997</v>
      </c>
      <c r="H199" s="152"/>
      <c r="I199" s="160">
        <f t="shared" si="2"/>
        <v>29574.700000000026</v>
      </c>
    </row>
    <row r="200" spans="2:9" hidden="1" x14ac:dyDescent="0.25">
      <c r="B200" s="148"/>
      <c r="C200" s="148" t="s">
        <v>18363</v>
      </c>
      <c r="D200" s="150">
        <v>43937</v>
      </c>
      <c r="E200" s="113" t="s">
        <v>18362</v>
      </c>
      <c r="F200" s="256" t="s">
        <v>14409</v>
      </c>
      <c r="G200" s="258">
        <v>4.9800000000000004</v>
      </c>
      <c r="H200" s="152"/>
      <c r="I200" s="160">
        <f t="shared" si="2"/>
        <v>29579.680000000026</v>
      </c>
    </row>
    <row r="201" spans="2:9" hidden="1" x14ac:dyDescent="0.25">
      <c r="B201" s="148"/>
      <c r="C201" s="148" t="s">
        <v>18361</v>
      </c>
      <c r="D201" s="150">
        <v>43937</v>
      </c>
      <c r="E201" s="113" t="s">
        <v>18360</v>
      </c>
      <c r="F201" s="256" t="s">
        <v>14409</v>
      </c>
      <c r="G201" s="258">
        <v>13.59</v>
      </c>
      <c r="H201" s="152"/>
      <c r="I201" s="160">
        <f t="shared" si="2"/>
        <v>29593.270000000026</v>
      </c>
    </row>
    <row r="202" spans="2:9" ht="19.5" hidden="1" x14ac:dyDescent="0.25">
      <c r="B202" s="148"/>
      <c r="C202" s="148" t="s">
        <v>18359</v>
      </c>
      <c r="D202" s="150">
        <v>43937</v>
      </c>
      <c r="E202" s="113" t="s">
        <v>18358</v>
      </c>
      <c r="F202" s="256" t="s">
        <v>14409</v>
      </c>
      <c r="G202" s="258">
        <v>11.52</v>
      </c>
      <c r="H202" s="152"/>
      <c r="I202" s="160">
        <f t="shared" si="2"/>
        <v>29604.790000000026</v>
      </c>
    </row>
    <row r="203" spans="2:9" ht="19.5" hidden="1" x14ac:dyDescent="0.25">
      <c r="B203" s="148"/>
      <c r="C203" s="148" t="s">
        <v>18357</v>
      </c>
      <c r="D203" s="150">
        <v>43937</v>
      </c>
      <c r="E203" s="113" t="s">
        <v>18356</v>
      </c>
      <c r="F203" s="256">
        <v>8</v>
      </c>
      <c r="G203" s="255">
        <v>3.92</v>
      </c>
      <c r="H203" s="152"/>
      <c r="I203" s="160">
        <f t="shared" si="2"/>
        <v>29608.710000000025</v>
      </c>
    </row>
    <row r="204" spans="2:9" hidden="1" x14ac:dyDescent="0.25">
      <c r="B204" s="148"/>
      <c r="C204" s="148" t="s">
        <v>18355</v>
      </c>
      <c r="D204" s="150">
        <v>43937</v>
      </c>
      <c r="E204" s="113" t="s">
        <v>18354</v>
      </c>
      <c r="F204" s="256">
        <v>8</v>
      </c>
      <c r="G204" s="255">
        <v>2.36</v>
      </c>
      <c r="H204" s="152"/>
      <c r="I204" s="160">
        <f t="shared" si="2"/>
        <v>29611.070000000025</v>
      </c>
    </row>
    <row r="205" spans="2:9" ht="19.5" x14ac:dyDescent="0.25">
      <c r="B205" s="148"/>
      <c r="C205" s="148" t="s">
        <v>15200</v>
      </c>
      <c r="D205" s="150">
        <v>43937</v>
      </c>
      <c r="E205" s="113" t="s">
        <v>18353</v>
      </c>
      <c r="F205" s="257" t="s">
        <v>14433</v>
      </c>
      <c r="G205" s="152"/>
      <c r="H205" s="161">
        <v>88</v>
      </c>
      <c r="I205" s="160">
        <f t="shared" si="2"/>
        <v>29523.070000000025</v>
      </c>
    </row>
    <row r="206" spans="2:9" hidden="1" x14ac:dyDescent="0.25">
      <c r="B206" s="148"/>
      <c r="C206" s="148" t="s">
        <v>18352</v>
      </c>
      <c r="D206" s="150">
        <v>43938</v>
      </c>
      <c r="E206" s="113" t="s">
        <v>18351</v>
      </c>
      <c r="F206" s="256" t="s">
        <v>14409</v>
      </c>
      <c r="G206" s="258">
        <v>2.2200000000000002</v>
      </c>
      <c r="H206" s="152"/>
      <c r="I206" s="160">
        <f t="shared" si="2"/>
        <v>29525.290000000026</v>
      </c>
    </row>
    <row r="207" spans="2:9" ht="19.5" hidden="1" x14ac:dyDescent="0.25">
      <c r="B207" s="148"/>
      <c r="C207" s="148" t="s">
        <v>18350</v>
      </c>
      <c r="D207" s="150">
        <v>43938</v>
      </c>
      <c r="E207" s="113" t="s">
        <v>18349</v>
      </c>
      <c r="F207" s="256" t="s">
        <v>14409</v>
      </c>
      <c r="G207" s="258">
        <v>15.81</v>
      </c>
      <c r="H207" s="152"/>
      <c r="I207" s="160">
        <f t="shared" si="2"/>
        <v>29541.100000000028</v>
      </c>
    </row>
    <row r="208" spans="2:9" ht="19.5" hidden="1" x14ac:dyDescent="0.25">
      <c r="B208" s="148"/>
      <c r="C208" s="148" t="s">
        <v>18348</v>
      </c>
      <c r="D208" s="150">
        <v>43938</v>
      </c>
      <c r="E208" s="113" t="s">
        <v>18347</v>
      </c>
      <c r="F208" s="256" t="s">
        <v>14409</v>
      </c>
      <c r="G208" s="258">
        <v>5.14</v>
      </c>
      <c r="H208" s="152"/>
      <c r="I208" s="160">
        <f t="shared" si="2"/>
        <v>29546.240000000027</v>
      </c>
    </row>
    <row r="209" spans="2:9" hidden="1" x14ac:dyDescent="0.25">
      <c r="B209" s="148"/>
      <c r="C209" s="148" t="s">
        <v>18346</v>
      </c>
      <c r="D209" s="150">
        <v>43938</v>
      </c>
      <c r="E209" s="113" t="s">
        <v>18345</v>
      </c>
      <c r="F209" s="256" t="s">
        <v>14409</v>
      </c>
      <c r="G209" s="258">
        <v>1.68</v>
      </c>
      <c r="H209" s="152"/>
      <c r="I209" s="160">
        <f t="shared" si="2"/>
        <v>29547.920000000027</v>
      </c>
    </row>
    <row r="210" spans="2:9" hidden="1" x14ac:dyDescent="0.25">
      <c r="B210" s="148"/>
      <c r="C210" s="148" t="s">
        <v>18344</v>
      </c>
      <c r="D210" s="150">
        <v>43938</v>
      </c>
      <c r="E210" s="113" t="s">
        <v>18343</v>
      </c>
      <c r="F210" s="256" t="s">
        <v>14409</v>
      </c>
      <c r="G210" s="258">
        <v>5.8</v>
      </c>
      <c r="H210" s="152"/>
      <c r="I210" s="160">
        <f t="shared" si="2"/>
        <v>29553.720000000027</v>
      </c>
    </row>
    <row r="211" spans="2:9" hidden="1" x14ac:dyDescent="0.25">
      <c r="B211" s="148"/>
      <c r="C211" s="148" t="s">
        <v>18342</v>
      </c>
      <c r="D211" s="150">
        <v>43938</v>
      </c>
      <c r="E211" s="113" t="s">
        <v>18341</v>
      </c>
      <c r="F211" s="256" t="s">
        <v>14409</v>
      </c>
      <c r="G211" s="258">
        <v>1.89</v>
      </c>
      <c r="H211" s="152"/>
      <c r="I211" s="160">
        <f t="shared" si="2"/>
        <v>29555.610000000026</v>
      </c>
    </row>
    <row r="212" spans="2:9" hidden="1" x14ac:dyDescent="0.25">
      <c r="B212" s="148"/>
      <c r="C212" s="148" t="s">
        <v>18340</v>
      </c>
      <c r="D212" s="150">
        <v>43938</v>
      </c>
      <c r="E212" s="113" t="s">
        <v>18339</v>
      </c>
      <c r="F212" s="256" t="s">
        <v>14409</v>
      </c>
      <c r="G212" s="258">
        <v>21.45</v>
      </c>
      <c r="H212" s="152"/>
      <c r="I212" s="160">
        <f t="shared" ref="I212:I275" si="3">+I211+G212-H212</f>
        <v>29577.060000000027</v>
      </c>
    </row>
    <row r="213" spans="2:9" hidden="1" x14ac:dyDescent="0.25">
      <c r="B213" s="148"/>
      <c r="C213" s="148" t="s">
        <v>18338</v>
      </c>
      <c r="D213" s="150">
        <v>43938</v>
      </c>
      <c r="E213" s="113" t="s">
        <v>18337</v>
      </c>
      <c r="F213" s="256" t="s">
        <v>14409</v>
      </c>
      <c r="G213" s="258">
        <v>7.13</v>
      </c>
      <c r="H213" s="152"/>
      <c r="I213" s="160">
        <f t="shared" si="3"/>
        <v>29584.190000000028</v>
      </c>
    </row>
    <row r="214" spans="2:9" hidden="1" x14ac:dyDescent="0.25">
      <c r="B214" s="148"/>
      <c r="C214" s="148" t="s">
        <v>18336</v>
      </c>
      <c r="D214" s="150">
        <v>43938</v>
      </c>
      <c r="E214" s="113" t="s">
        <v>18335</v>
      </c>
      <c r="F214" s="256" t="s">
        <v>14409</v>
      </c>
      <c r="G214" s="258">
        <v>5.75</v>
      </c>
      <c r="H214" s="152"/>
      <c r="I214" s="160">
        <f t="shared" si="3"/>
        <v>29589.940000000028</v>
      </c>
    </row>
    <row r="215" spans="2:9" ht="19.5" hidden="1" x14ac:dyDescent="0.25">
      <c r="B215" s="148"/>
      <c r="C215" s="148" t="s">
        <v>18334</v>
      </c>
      <c r="D215" s="150">
        <v>43938</v>
      </c>
      <c r="E215" s="113" t="s">
        <v>18333</v>
      </c>
      <c r="F215" s="256" t="s">
        <v>14409</v>
      </c>
      <c r="G215" s="258">
        <v>20.82</v>
      </c>
      <c r="H215" s="152"/>
      <c r="I215" s="160">
        <f t="shared" si="3"/>
        <v>29610.760000000028</v>
      </c>
    </row>
    <row r="216" spans="2:9" hidden="1" x14ac:dyDescent="0.25">
      <c r="B216" s="148"/>
      <c r="C216" s="148" t="s">
        <v>18332</v>
      </c>
      <c r="D216" s="150">
        <v>43938</v>
      </c>
      <c r="E216" s="113" t="s">
        <v>18331</v>
      </c>
      <c r="F216" s="256">
        <v>9</v>
      </c>
      <c r="G216" s="160">
        <v>8.7899999999999991</v>
      </c>
      <c r="H216" s="152"/>
      <c r="I216" s="160">
        <f t="shared" si="3"/>
        <v>29619.550000000028</v>
      </c>
    </row>
    <row r="217" spans="2:9" hidden="1" x14ac:dyDescent="0.25">
      <c r="B217" s="148"/>
      <c r="C217" s="148" t="s">
        <v>18330</v>
      </c>
      <c r="D217" s="150">
        <v>43938</v>
      </c>
      <c r="E217" s="113" t="s">
        <v>18329</v>
      </c>
      <c r="F217" s="256" t="s">
        <v>14436</v>
      </c>
      <c r="G217" s="160">
        <v>148.28</v>
      </c>
      <c r="H217" s="152"/>
      <c r="I217" s="160">
        <f t="shared" si="3"/>
        <v>29767.830000000027</v>
      </c>
    </row>
    <row r="218" spans="2:9" hidden="1" x14ac:dyDescent="0.25">
      <c r="B218" s="148"/>
      <c r="C218" s="148" t="s">
        <v>18328</v>
      </c>
      <c r="D218" s="150">
        <v>43939</v>
      </c>
      <c r="E218" s="113" t="s">
        <v>18327</v>
      </c>
      <c r="F218" s="256" t="s">
        <v>14409</v>
      </c>
      <c r="G218" s="258">
        <v>1.68</v>
      </c>
      <c r="H218" s="152"/>
      <c r="I218" s="160">
        <f t="shared" si="3"/>
        <v>29769.510000000028</v>
      </c>
    </row>
    <row r="219" spans="2:9" ht="19.5" hidden="1" x14ac:dyDescent="0.25">
      <c r="B219" s="148"/>
      <c r="C219" s="148" t="s">
        <v>18326</v>
      </c>
      <c r="D219" s="150">
        <v>43939</v>
      </c>
      <c r="E219" s="113" t="s">
        <v>18325</v>
      </c>
      <c r="F219" s="256" t="s">
        <v>14409</v>
      </c>
      <c r="G219" s="258">
        <v>9.26</v>
      </c>
      <c r="H219" s="152"/>
      <c r="I219" s="160">
        <f t="shared" si="3"/>
        <v>29778.770000000026</v>
      </c>
    </row>
    <row r="220" spans="2:9" hidden="1" x14ac:dyDescent="0.25">
      <c r="B220" s="148"/>
      <c r="C220" s="148" t="s">
        <v>18324</v>
      </c>
      <c r="D220" s="150">
        <v>43940</v>
      </c>
      <c r="E220" s="113" t="s">
        <v>18323</v>
      </c>
      <c r="F220" s="256" t="s">
        <v>14409</v>
      </c>
      <c r="G220" s="258">
        <v>6.28</v>
      </c>
      <c r="H220" s="152"/>
      <c r="I220" s="160">
        <f t="shared" si="3"/>
        <v>29785.050000000025</v>
      </c>
    </row>
    <row r="221" spans="2:9" ht="19.5" hidden="1" x14ac:dyDescent="0.25">
      <c r="B221" s="148"/>
      <c r="C221" s="148" t="s">
        <v>18322</v>
      </c>
      <c r="D221" s="150">
        <v>43940</v>
      </c>
      <c r="E221" s="113" t="s">
        <v>18321</v>
      </c>
      <c r="F221" s="256" t="s">
        <v>14409</v>
      </c>
      <c r="G221" s="258">
        <v>8.34</v>
      </c>
      <c r="H221" s="152"/>
      <c r="I221" s="160">
        <f t="shared" si="3"/>
        <v>29793.390000000025</v>
      </c>
    </row>
    <row r="222" spans="2:9" hidden="1" x14ac:dyDescent="0.25">
      <c r="B222" s="148"/>
      <c r="C222" s="148" t="s">
        <v>18320</v>
      </c>
      <c r="D222" s="150">
        <v>43940</v>
      </c>
      <c r="E222" s="113" t="s">
        <v>18319</v>
      </c>
      <c r="F222" s="256" t="s">
        <v>14409</v>
      </c>
      <c r="G222" s="258">
        <v>5.61</v>
      </c>
      <c r="H222" s="152"/>
      <c r="I222" s="160">
        <f t="shared" si="3"/>
        <v>29799.000000000025</v>
      </c>
    </row>
    <row r="223" spans="2:9" hidden="1" x14ac:dyDescent="0.25">
      <c r="B223" s="148"/>
      <c r="C223" s="148" t="s">
        <v>18318</v>
      </c>
      <c r="D223" s="150">
        <v>43940</v>
      </c>
      <c r="E223" s="113" t="s">
        <v>18317</v>
      </c>
      <c r="F223" s="256" t="s">
        <v>14409</v>
      </c>
      <c r="G223" s="258">
        <v>5.79</v>
      </c>
      <c r="H223" s="152"/>
      <c r="I223" s="160">
        <f t="shared" si="3"/>
        <v>29804.790000000026</v>
      </c>
    </row>
    <row r="224" spans="2:9" ht="19.5" hidden="1" x14ac:dyDescent="0.25">
      <c r="B224" s="148"/>
      <c r="C224" s="148" t="s">
        <v>18316</v>
      </c>
      <c r="D224" s="150">
        <v>43941</v>
      </c>
      <c r="E224" s="113" t="s">
        <v>18315</v>
      </c>
      <c r="F224" s="256" t="s">
        <v>14409</v>
      </c>
      <c r="G224" s="258">
        <v>1.68</v>
      </c>
      <c r="H224" s="152"/>
      <c r="I224" s="160">
        <f t="shared" si="3"/>
        <v>29806.470000000027</v>
      </c>
    </row>
    <row r="225" spans="2:9" ht="19.5" hidden="1" x14ac:dyDescent="0.25">
      <c r="B225" s="148"/>
      <c r="C225" s="148" t="s">
        <v>18314</v>
      </c>
      <c r="D225" s="150">
        <v>43941</v>
      </c>
      <c r="E225" s="113" t="s">
        <v>18313</v>
      </c>
      <c r="F225" s="256" t="s">
        <v>14409</v>
      </c>
      <c r="G225" s="258">
        <v>4.3899999999999997</v>
      </c>
      <c r="H225" s="152"/>
      <c r="I225" s="160">
        <f t="shared" si="3"/>
        <v>29810.860000000026</v>
      </c>
    </row>
    <row r="226" spans="2:9" hidden="1" x14ac:dyDescent="0.25">
      <c r="B226" s="148"/>
      <c r="C226" s="148" t="s">
        <v>18312</v>
      </c>
      <c r="D226" s="150">
        <v>43941</v>
      </c>
      <c r="E226" s="113" t="s">
        <v>18311</v>
      </c>
      <c r="F226" s="256" t="s">
        <v>14409</v>
      </c>
      <c r="G226" s="258">
        <v>1.74</v>
      </c>
      <c r="H226" s="152"/>
      <c r="I226" s="160">
        <f t="shared" si="3"/>
        <v>29812.600000000028</v>
      </c>
    </row>
    <row r="227" spans="2:9" hidden="1" x14ac:dyDescent="0.25">
      <c r="B227" s="148"/>
      <c r="C227" s="148" t="s">
        <v>18310</v>
      </c>
      <c r="D227" s="150">
        <v>43941</v>
      </c>
      <c r="E227" s="113" t="s">
        <v>18309</v>
      </c>
      <c r="F227" s="256" t="s">
        <v>14409</v>
      </c>
      <c r="G227" s="258">
        <v>1.68</v>
      </c>
      <c r="H227" s="152"/>
      <c r="I227" s="160">
        <f t="shared" si="3"/>
        <v>29814.280000000028</v>
      </c>
    </row>
    <row r="228" spans="2:9" hidden="1" x14ac:dyDescent="0.25">
      <c r="B228" s="148"/>
      <c r="C228" s="148" t="s">
        <v>18308</v>
      </c>
      <c r="D228" s="150">
        <v>43941</v>
      </c>
      <c r="E228" s="113" t="s">
        <v>18307</v>
      </c>
      <c r="F228" s="256" t="s">
        <v>14409</v>
      </c>
      <c r="G228" s="258">
        <v>4.16</v>
      </c>
      <c r="H228" s="152"/>
      <c r="I228" s="160">
        <f t="shared" si="3"/>
        <v>29818.440000000028</v>
      </c>
    </row>
    <row r="229" spans="2:9" ht="19.5" hidden="1" x14ac:dyDescent="0.25">
      <c r="B229" s="148"/>
      <c r="C229" s="148" t="s">
        <v>18306</v>
      </c>
      <c r="D229" s="150">
        <v>43941</v>
      </c>
      <c r="E229" s="113" t="s">
        <v>18305</v>
      </c>
      <c r="F229" s="256" t="s">
        <v>14409</v>
      </c>
      <c r="G229" s="258">
        <v>3.69</v>
      </c>
      <c r="H229" s="152"/>
      <c r="I229" s="160">
        <f t="shared" si="3"/>
        <v>29822.130000000026</v>
      </c>
    </row>
    <row r="230" spans="2:9" ht="19.5" hidden="1" x14ac:dyDescent="0.25">
      <c r="B230" s="148"/>
      <c r="C230" s="148" t="s">
        <v>18304</v>
      </c>
      <c r="D230" s="150">
        <v>43941</v>
      </c>
      <c r="E230" s="113" t="s">
        <v>18303</v>
      </c>
      <c r="F230" s="256" t="s">
        <v>14409</v>
      </c>
      <c r="G230" s="258">
        <v>6.39</v>
      </c>
      <c r="H230" s="152"/>
      <c r="I230" s="160">
        <f t="shared" si="3"/>
        <v>29828.520000000026</v>
      </c>
    </row>
    <row r="231" spans="2:9" ht="19.5" hidden="1" x14ac:dyDescent="0.25">
      <c r="B231" s="148"/>
      <c r="C231" s="148" t="s">
        <v>18302</v>
      </c>
      <c r="D231" s="150">
        <v>43941</v>
      </c>
      <c r="E231" s="113" t="s">
        <v>18301</v>
      </c>
      <c r="F231" s="256" t="s">
        <v>14409</v>
      </c>
      <c r="G231" s="258">
        <v>4.88</v>
      </c>
      <c r="H231" s="152"/>
      <c r="I231" s="160">
        <f t="shared" si="3"/>
        <v>29833.400000000027</v>
      </c>
    </row>
    <row r="232" spans="2:9" ht="19.5" hidden="1" x14ac:dyDescent="0.25">
      <c r="B232" s="148"/>
      <c r="C232" s="148" t="s">
        <v>18300</v>
      </c>
      <c r="D232" s="150">
        <v>43941</v>
      </c>
      <c r="E232" s="113" t="s">
        <v>18299</v>
      </c>
      <c r="F232" s="256" t="s">
        <v>14409</v>
      </c>
      <c r="G232" s="258">
        <v>1.76</v>
      </c>
      <c r="H232" s="152"/>
      <c r="I232" s="160">
        <f t="shared" si="3"/>
        <v>29835.160000000025</v>
      </c>
    </row>
    <row r="233" spans="2:9" hidden="1" x14ac:dyDescent="0.25">
      <c r="B233" s="148"/>
      <c r="C233" s="148" t="s">
        <v>18298</v>
      </c>
      <c r="D233" s="150">
        <v>43941</v>
      </c>
      <c r="E233" s="113" t="s">
        <v>18297</v>
      </c>
      <c r="F233" s="256" t="s">
        <v>14409</v>
      </c>
      <c r="G233" s="258">
        <v>21.07</v>
      </c>
      <c r="H233" s="152"/>
      <c r="I233" s="160">
        <f t="shared" si="3"/>
        <v>29856.230000000025</v>
      </c>
    </row>
    <row r="234" spans="2:9" hidden="1" x14ac:dyDescent="0.25">
      <c r="B234" s="148"/>
      <c r="C234" s="148" t="s">
        <v>18296</v>
      </c>
      <c r="D234" s="150">
        <v>43941</v>
      </c>
      <c r="E234" s="113" t="s">
        <v>18295</v>
      </c>
      <c r="F234" s="256">
        <v>10</v>
      </c>
      <c r="G234" s="160">
        <v>9.18</v>
      </c>
      <c r="H234" s="152"/>
      <c r="I234" s="160">
        <f t="shared" si="3"/>
        <v>29865.410000000025</v>
      </c>
    </row>
    <row r="235" spans="2:9" hidden="1" x14ac:dyDescent="0.25">
      <c r="B235" s="148"/>
      <c r="C235" s="148" t="s">
        <v>18294</v>
      </c>
      <c r="D235" s="150">
        <v>43941</v>
      </c>
      <c r="E235" s="113" t="s">
        <v>18293</v>
      </c>
      <c r="F235" s="256" t="s">
        <v>14436</v>
      </c>
      <c r="G235" s="160">
        <v>2</v>
      </c>
      <c r="H235" s="152"/>
      <c r="I235" s="160">
        <f t="shared" si="3"/>
        <v>29867.410000000025</v>
      </c>
    </row>
    <row r="236" spans="2:9" x14ac:dyDescent="0.25">
      <c r="B236" s="148"/>
      <c r="C236" s="148" t="s">
        <v>18292</v>
      </c>
      <c r="D236" s="150">
        <v>43941</v>
      </c>
      <c r="E236" s="113" t="s">
        <v>18291</v>
      </c>
      <c r="F236" s="257" t="s">
        <v>14433</v>
      </c>
      <c r="G236" s="152"/>
      <c r="H236" s="161">
        <v>115.99</v>
      </c>
      <c r="I236" s="160">
        <f t="shared" si="3"/>
        <v>29751.420000000024</v>
      </c>
    </row>
    <row r="237" spans="2:9" hidden="1" x14ac:dyDescent="0.25">
      <c r="B237" s="148"/>
      <c r="C237" s="148" t="s">
        <v>18290</v>
      </c>
      <c r="D237" s="150">
        <v>43942</v>
      </c>
      <c r="E237" s="113" t="s">
        <v>18289</v>
      </c>
      <c r="F237" s="256" t="s">
        <v>14436</v>
      </c>
      <c r="G237" s="160">
        <v>64.41</v>
      </c>
      <c r="H237" s="152"/>
      <c r="I237" s="160">
        <f t="shared" si="3"/>
        <v>29815.830000000024</v>
      </c>
    </row>
    <row r="238" spans="2:9" hidden="1" x14ac:dyDescent="0.25">
      <c r="B238" s="148"/>
      <c r="C238" s="148" t="s">
        <v>18288</v>
      </c>
      <c r="D238" s="150">
        <v>43942</v>
      </c>
      <c r="E238" s="113" t="s">
        <v>18287</v>
      </c>
      <c r="F238" s="256" t="s">
        <v>14436</v>
      </c>
      <c r="G238" s="160">
        <v>3.88</v>
      </c>
      <c r="H238" s="152"/>
      <c r="I238" s="160">
        <f t="shared" si="3"/>
        <v>29819.710000000025</v>
      </c>
    </row>
    <row r="239" spans="2:9" ht="19.5" hidden="1" x14ac:dyDescent="0.25">
      <c r="B239" s="148"/>
      <c r="C239" s="148" t="s">
        <v>18286</v>
      </c>
      <c r="D239" s="150">
        <v>43942</v>
      </c>
      <c r="E239" s="113" t="s">
        <v>18285</v>
      </c>
      <c r="F239" s="256" t="s">
        <v>14409</v>
      </c>
      <c r="G239" s="258">
        <v>7.94</v>
      </c>
      <c r="H239" s="152"/>
      <c r="I239" s="160">
        <f t="shared" si="3"/>
        <v>29827.650000000023</v>
      </c>
    </row>
    <row r="240" spans="2:9" hidden="1" x14ac:dyDescent="0.25">
      <c r="B240" s="148"/>
      <c r="C240" s="148" t="s">
        <v>18284</v>
      </c>
      <c r="D240" s="150">
        <v>43942</v>
      </c>
      <c r="E240" s="113" t="s">
        <v>18283</v>
      </c>
      <c r="F240" s="256">
        <v>11</v>
      </c>
      <c r="G240" s="255">
        <v>8.3800000000000008</v>
      </c>
      <c r="H240" s="152"/>
      <c r="I240" s="160">
        <f t="shared" si="3"/>
        <v>29836.030000000024</v>
      </c>
    </row>
    <row r="241" spans="2:9" ht="19.5" hidden="1" x14ac:dyDescent="0.25">
      <c r="B241" s="148"/>
      <c r="C241" s="148" t="s">
        <v>18282</v>
      </c>
      <c r="D241" s="150">
        <v>43942</v>
      </c>
      <c r="E241" s="113" t="s">
        <v>18281</v>
      </c>
      <c r="F241" s="256">
        <v>11</v>
      </c>
      <c r="G241" s="255">
        <v>10.65</v>
      </c>
      <c r="H241" s="152"/>
      <c r="I241" s="160">
        <f t="shared" si="3"/>
        <v>29846.680000000026</v>
      </c>
    </row>
    <row r="242" spans="2:9" hidden="1" x14ac:dyDescent="0.25">
      <c r="B242" s="148"/>
      <c r="C242" s="148" t="s">
        <v>18280</v>
      </c>
      <c r="D242" s="150">
        <v>43942</v>
      </c>
      <c r="E242" s="113" t="s">
        <v>18279</v>
      </c>
      <c r="F242" s="256">
        <v>11</v>
      </c>
      <c r="G242" s="255">
        <v>8.3800000000000008</v>
      </c>
      <c r="H242" s="152"/>
      <c r="I242" s="160">
        <f t="shared" si="3"/>
        <v>29855.060000000027</v>
      </c>
    </row>
    <row r="243" spans="2:9" ht="19.5" hidden="1" x14ac:dyDescent="0.25">
      <c r="B243" s="148"/>
      <c r="C243" s="148" t="s">
        <v>18278</v>
      </c>
      <c r="D243" s="150">
        <v>43942</v>
      </c>
      <c r="E243" s="113" t="s">
        <v>18277</v>
      </c>
      <c r="F243" s="256">
        <v>11</v>
      </c>
      <c r="G243" s="255">
        <v>23.46</v>
      </c>
      <c r="H243" s="152"/>
      <c r="I243" s="160">
        <f t="shared" si="3"/>
        <v>29878.520000000026</v>
      </c>
    </row>
    <row r="244" spans="2:9" hidden="1" x14ac:dyDescent="0.25">
      <c r="B244" s="148"/>
      <c r="C244" s="148" t="s">
        <v>18276</v>
      </c>
      <c r="D244" s="150">
        <v>43943</v>
      </c>
      <c r="E244" s="113" t="s">
        <v>18275</v>
      </c>
      <c r="F244" s="256" t="s">
        <v>14436</v>
      </c>
      <c r="G244" s="160">
        <v>8.5299999999999994</v>
      </c>
      <c r="H244" s="152"/>
      <c r="I244" s="160">
        <f t="shared" si="3"/>
        <v>29887.050000000025</v>
      </c>
    </row>
    <row r="245" spans="2:9" ht="19.5" hidden="1" x14ac:dyDescent="0.25">
      <c r="B245" s="148"/>
      <c r="C245" s="148" t="s">
        <v>18274</v>
      </c>
      <c r="D245" s="150">
        <v>43943</v>
      </c>
      <c r="E245" s="113" t="s">
        <v>18273</v>
      </c>
      <c r="F245" s="256" t="s">
        <v>14436</v>
      </c>
      <c r="G245" s="160">
        <v>4.3899999999999997</v>
      </c>
      <c r="H245" s="152"/>
      <c r="I245" s="160">
        <f t="shared" si="3"/>
        <v>29891.440000000024</v>
      </c>
    </row>
    <row r="246" spans="2:9" hidden="1" x14ac:dyDescent="0.25">
      <c r="B246" s="148"/>
      <c r="C246" s="148" t="s">
        <v>18272</v>
      </c>
      <c r="D246" s="150">
        <v>43943</v>
      </c>
      <c r="E246" s="113" t="s">
        <v>18271</v>
      </c>
      <c r="F246" s="256" t="s">
        <v>14436</v>
      </c>
      <c r="G246" s="160">
        <v>6.94</v>
      </c>
      <c r="H246" s="152"/>
      <c r="I246" s="160">
        <f t="shared" si="3"/>
        <v>29898.380000000023</v>
      </c>
    </row>
    <row r="247" spans="2:9" hidden="1" x14ac:dyDescent="0.25">
      <c r="B247" s="148"/>
      <c r="C247" s="148" t="s">
        <v>18270</v>
      </c>
      <c r="D247" s="150">
        <v>43943</v>
      </c>
      <c r="E247" s="113" t="s">
        <v>18269</v>
      </c>
      <c r="F247" s="256" t="s">
        <v>14436</v>
      </c>
      <c r="G247" s="160">
        <v>1.92</v>
      </c>
      <c r="H247" s="152"/>
      <c r="I247" s="160">
        <f t="shared" si="3"/>
        <v>29900.300000000021</v>
      </c>
    </row>
    <row r="248" spans="2:9" ht="19.5" hidden="1" x14ac:dyDescent="0.25">
      <c r="B248" s="148"/>
      <c r="C248" s="148" t="s">
        <v>18268</v>
      </c>
      <c r="D248" s="150">
        <v>43943</v>
      </c>
      <c r="E248" s="113" t="s">
        <v>18267</v>
      </c>
      <c r="F248" s="256" t="s">
        <v>14409</v>
      </c>
      <c r="G248" s="258">
        <v>1.23</v>
      </c>
      <c r="H248" s="152"/>
      <c r="I248" s="160">
        <f t="shared" si="3"/>
        <v>29901.530000000021</v>
      </c>
    </row>
    <row r="249" spans="2:9" ht="19.5" hidden="1" x14ac:dyDescent="0.25">
      <c r="B249" s="148"/>
      <c r="C249" s="148" t="s">
        <v>18266</v>
      </c>
      <c r="D249" s="150">
        <v>43943</v>
      </c>
      <c r="E249" s="113" t="s">
        <v>18265</v>
      </c>
      <c r="F249" s="256">
        <v>12</v>
      </c>
      <c r="G249" s="255">
        <v>30.37</v>
      </c>
      <c r="H249" s="152"/>
      <c r="I249" s="160">
        <f t="shared" si="3"/>
        <v>29931.90000000002</v>
      </c>
    </row>
    <row r="250" spans="2:9" ht="19.5" hidden="1" x14ac:dyDescent="0.25">
      <c r="B250" s="148"/>
      <c r="C250" s="148" t="s">
        <v>18264</v>
      </c>
      <c r="D250" s="150">
        <v>43943</v>
      </c>
      <c r="E250" s="113" t="s">
        <v>18263</v>
      </c>
      <c r="F250" s="256">
        <v>12</v>
      </c>
      <c r="G250" s="255">
        <v>28.63</v>
      </c>
      <c r="H250" s="152"/>
      <c r="I250" s="160">
        <f t="shared" si="3"/>
        <v>29960.530000000021</v>
      </c>
    </row>
    <row r="251" spans="2:9" hidden="1" x14ac:dyDescent="0.25">
      <c r="B251" s="148"/>
      <c r="C251" s="148" t="s">
        <v>18262</v>
      </c>
      <c r="D251" s="150">
        <v>43943</v>
      </c>
      <c r="E251" s="113" t="s">
        <v>18261</v>
      </c>
      <c r="F251" s="256" t="s">
        <v>18712</v>
      </c>
      <c r="G251" s="160">
        <v>3.9</v>
      </c>
      <c r="H251" s="152"/>
      <c r="I251" s="160">
        <f t="shared" si="3"/>
        <v>29964.430000000022</v>
      </c>
    </row>
    <row r="252" spans="2:9" hidden="1" x14ac:dyDescent="0.25">
      <c r="B252" s="148"/>
      <c r="C252" s="148" t="s">
        <v>18260</v>
      </c>
      <c r="D252" s="150">
        <v>43943</v>
      </c>
      <c r="E252" s="113" t="s">
        <v>18259</v>
      </c>
      <c r="F252" s="256" t="s">
        <v>14436</v>
      </c>
      <c r="G252" s="160">
        <v>7.04</v>
      </c>
      <c r="H252" s="152"/>
      <c r="I252" s="160">
        <f t="shared" si="3"/>
        <v>29971.470000000023</v>
      </c>
    </row>
    <row r="253" spans="2:9" hidden="1" x14ac:dyDescent="0.25">
      <c r="B253" s="148"/>
      <c r="C253" s="148" t="s">
        <v>18258</v>
      </c>
      <c r="D253" s="150">
        <v>43944</v>
      </c>
      <c r="E253" s="113" t="s">
        <v>18257</v>
      </c>
      <c r="F253" s="256" t="s">
        <v>14436</v>
      </c>
      <c r="G253" s="160">
        <v>13.74</v>
      </c>
      <c r="H253" s="152"/>
      <c r="I253" s="160">
        <f t="shared" si="3"/>
        <v>29985.210000000025</v>
      </c>
    </row>
    <row r="254" spans="2:9" ht="19.5" hidden="1" x14ac:dyDescent="0.25">
      <c r="B254" s="148"/>
      <c r="C254" s="148" t="s">
        <v>18256</v>
      </c>
      <c r="D254" s="150">
        <v>43944</v>
      </c>
      <c r="E254" s="113" t="s">
        <v>18255</v>
      </c>
      <c r="F254" s="256" t="s">
        <v>14436</v>
      </c>
      <c r="G254" s="160">
        <v>5.25</v>
      </c>
      <c r="H254" s="152"/>
      <c r="I254" s="160">
        <f t="shared" si="3"/>
        <v>29990.460000000025</v>
      </c>
    </row>
    <row r="255" spans="2:9" hidden="1" x14ac:dyDescent="0.25">
      <c r="B255" s="148"/>
      <c r="C255" s="148" t="s">
        <v>18254</v>
      </c>
      <c r="D255" s="150">
        <v>43944</v>
      </c>
      <c r="E255" s="113" t="s">
        <v>18253</v>
      </c>
      <c r="F255" s="256" t="s">
        <v>14436</v>
      </c>
      <c r="G255" s="160">
        <v>6.94</v>
      </c>
      <c r="H255" s="152"/>
      <c r="I255" s="160">
        <f t="shared" si="3"/>
        <v>29997.400000000023</v>
      </c>
    </row>
    <row r="256" spans="2:9" ht="19.5" hidden="1" x14ac:dyDescent="0.25">
      <c r="B256" s="148"/>
      <c r="C256" s="148" t="s">
        <v>18252</v>
      </c>
      <c r="D256" s="150">
        <v>43944</v>
      </c>
      <c r="E256" s="113" t="s">
        <v>18251</v>
      </c>
      <c r="F256" s="256" t="s">
        <v>14409</v>
      </c>
      <c r="G256" s="258">
        <v>7.46</v>
      </c>
      <c r="H256" s="152"/>
      <c r="I256" s="160">
        <f t="shared" si="3"/>
        <v>30004.860000000022</v>
      </c>
    </row>
    <row r="257" spans="2:9" ht="19.5" hidden="1" x14ac:dyDescent="0.25">
      <c r="B257" s="148"/>
      <c r="C257" s="148" t="s">
        <v>18250</v>
      </c>
      <c r="D257" s="150">
        <v>43944</v>
      </c>
      <c r="E257" s="113" t="s">
        <v>18249</v>
      </c>
      <c r="F257" s="256">
        <v>13</v>
      </c>
      <c r="G257" s="255">
        <v>6.76</v>
      </c>
      <c r="H257" s="152"/>
      <c r="I257" s="160">
        <f t="shared" si="3"/>
        <v>30011.620000000021</v>
      </c>
    </row>
    <row r="258" spans="2:9" hidden="1" x14ac:dyDescent="0.25">
      <c r="B258" s="148"/>
      <c r="C258" s="148" t="s">
        <v>18248</v>
      </c>
      <c r="D258" s="150">
        <v>43944</v>
      </c>
      <c r="E258" s="113" t="s">
        <v>18247</v>
      </c>
      <c r="F258" s="256">
        <v>13</v>
      </c>
      <c r="G258" s="255">
        <v>8.3800000000000008</v>
      </c>
      <c r="H258" s="152"/>
      <c r="I258" s="160">
        <f t="shared" si="3"/>
        <v>30020.000000000022</v>
      </c>
    </row>
    <row r="259" spans="2:9" ht="19.5" hidden="1" x14ac:dyDescent="0.25">
      <c r="B259" s="148"/>
      <c r="C259" s="148" t="s">
        <v>18246</v>
      </c>
      <c r="D259" s="150">
        <v>43944</v>
      </c>
      <c r="E259" s="113" t="s">
        <v>18245</v>
      </c>
      <c r="F259" s="256">
        <v>13</v>
      </c>
      <c r="G259" s="255">
        <v>3.95</v>
      </c>
      <c r="H259" s="152"/>
      <c r="I259" s="160">
        <f t="shared" si="3"/>
        <v>30023.950000000023</v>
      </c>
    </row>
    <row r="260" spans="2:9" hidden="1" x14ac:dyDescent="0.25">
      <c r="B260" s="148"/>
      <c r="C260" s="148" t="s">
        <v>18244</v>
      </c>
      <c r="D260" s="150">
        <v>43944</v>
      </c>
      <c r="E260" s="113" t="s">
        <v>18243</v>
      </c>
      <c r="F260" s="256">
        <v>13</v>
      </c>
      <c r="G260" s="255">
        <v>9.0399999999999991</v>
      </c>
      <c r="H260" s="152"/>
      <c r="I260" s="160">
        <f t="shared" si="3"/>
        <v>30032.990000000023</v>
      </c>
    </row>
    <row r="261" spans="2:9" hidden="1" x14ac:dyDescent="0.25">
      <c r="B261" s="148"/>
      <c r="C261" s="148" t="s">
        <v>18242</v>
      </c>
      <c r="D261" s="150">
        <v>43944</v>
      </c>
      <c r="E261" s="113" t="s">
        <v>18241</v>
      </c>
      <c r="F261" s="256">
        <v>13</v>
      </c>
      <c r="G261" s="255">
        <v>15.52</v>
      </c>
      <c r="H261" s="152"/>
      <c r="I261" s="160">
        <f t="shared" si="3"/>
        <v>30048.510000000024</v>
      </c>
    </row>
    <row r="262" spans="2:9" hidden="1" x14ac:dyDescent="0.25">
      <c r="B262" s="148"/>
      <c r="C262" s="148" t="s">
        <v>18240</v>
      </c>
      <c r="D262" s="150">
        <v>43944</v>
      </c>
      <c r="E262" s="113" t="s">
        <v>18239</v>
      </c>
      <c r="F262" s="256">
        <v>13</v>
      </c>
      <c r="G262" s="255">
        <v>3.17</v>
      </c>
      <c r="H262" s="152"/>
      <c r="I262" s="160">
        <f t="shared" si="3"/>
        <v>30051.680000000022</v>
      </c>
    </row>
    <row r="263" spans="2:9" ht="19.5" hidden="1" x14ac:dyDescent="0.25">
      <c r="B263" s="148"/>
      <c r="C263" s="148" t="s">
        <v>18238</v>
      </c>
      <c r="D263" s="150">
        <v>43944</v>
      </c>
      <c r="E263" s="113" t="s">
        <v>18237</v>
      </c>
      <c r="F263" s="256">
        <v>13</v>
      </c>
      <c r="G263" s="255">
        <v>1.94</v>
      </c>
      <c r="H263" s="152"/>
      <c r="I263" s="160">
        <f t="shared" si="3"/>
        <v>30053.620000000021</v>
      </c>
    </row>
    <row r="264" spans="2:9" ht="19.5" hidden="1" x14ac:dyDescent="0.25">
      <c r="B264" s="148"/>
      <c r="C264" s="148" t="s">
        <v>18236</v>
      </c>
      <c r="D264" s="150">
        <v>43944</v>
      </c>
      <c r="E264" s="113" t="s">
        <v>18235</v>
      </c>
      <c r="F264" s="256">
        <v>13</v>
      </c>
      <c r="G264" s="255">
        <v>1.41</v>
      </c>
      <c r="H264" s="152"/>
      <c r="I264" s="160">
        <f t="shared" si="3"/>
        <v>30055.030000000021</v>
      </c>
    </row>
    <row r="265" spans="2:9" hidden="1" x14ac:dyDescent="0.25">
      <c r="B265" s="148"/>
      <c r="C265" s="148" t="s">
        <v>18234</v>
      </c>
      <c r="D265" s="150">
        <v>43945</v>
      </c>
      <c r="E265" s="113" t="s">
        <v>18233</v>
      </c>
      <c r="F265" s="256" t="s">
        <v>14436</v>
      </c>
      <c r="G265" s="160">
        <v>38.64</v>
      </c>
      <c r="H265" s="152"/>
      <c r="I265" s="160">
        <f t="shared" si="3"/>
        <v>30093.67000000002</v>
      </c>
    </row>
    <row r="266" spans="2:9" hidden="1" x14ac:dyDescent="0.25">
      <c r="B266" s="148"/>
      <c r="C266" s="148" t="s">
        <v>18232</v>
      </c>
      <c r="D266" s="150">
        <v>43945</v>
      </c>
      <c r="E266" s="113" t="s">
        <v>18231</v>
      </c>
      <c r="F266" s="256" t="s">
        <v>14436</v>
      </c>
      <c r="G266" s="160">
        <v>17.899999999999999</v>
      </c>
      <c r="H266" s="152"/>
      <c r="I266" s="160">
        <f t="shared" si="3"/>
        <v>30111.570000000022</v>
      </c>
    </row>
    <row r="267" spans="2:9" ht="19.5" hidden="1" x14ac:dyDescent="0.25">
      <c r="B267" s="148"/>
      <c r="C267" s="148" t="s">
        <v>18230</v>
      </c>
      <c r="D267" s="150">
        <v>43945</v>
      </c>
      <c r="E267" s="113" t="s">
        <v>18229</v>
      </c>
      <c r="F267" s="256">
        <v>14</v>
      </c>
      <c r="G267" s="255">
        <v>2.96</v>
      </c>
      <c r="H267" s="152"/>
      <c r="I267" s="160">
        <f t="shared" si="3"/>
        <v>30114.530000000021</v>
      </c>
    </row>
    <row r="268" spans="2:9" hidden="1" x14ac:dyDescent="0.25">
      <c r="B268" s="148"/>
      <c r="C268" s="148" t="s">
        <v>18228</v>
      </c>
      <c r="D268" s="150">
        <v>43945</v>
      </c>
      <c r="E268" s="113" t="s">
        <v>18227</v>
      </c>
      <c r="F268" s="256">
        <v>14</v>
      </c>
      <c r="G268" s="255">
        <v>10.66</v>
      </c>
      <c r="H268" s="152"/>
      <c r="I268" s="160">
        <f t="shared" si="3"/>
        <v>30125.190000000021</v>
      </c>
    </row>
    <row r="269" spans="2:9" ht="19.5" hidden="1" x14ac:dyDescent="0.25">
      <c r="B269" s="148"/>
      <c r="C269" s="148" t="s">
        <v>18226</v>
      </c>
      <c r="D269" s="150">
        <v>43945</v>
      </c>
      <c r="E269" s="113" t="s">
        <v>18225</v>
      </c>
      <c r="F269" s="256">
        <v>14</v>
      </c>
      <c r="G269" s="255">
        <v>6.72</v>
      </c>
      <c r="H269" s="152"/>
      <c r="I269" s="160">
        <f t="shared" si="3"/>
        <v>30131.910000000022</v>
      </c>
    </row>
    <row r="270" spans="2:9" ht="19.5" hidden="1" x14ac:dyDescent="0.25">
      <c r="B270" s="148"/>
      <c r="C270" s="148" t="s">
        <v>18224</v>
      </c>
      <c r="D270" s="150">
        <v>43945</v>
      </c>
      <c r="E270" s="113" t="s">
        <v>18223</v>
      </c>
      <c r="F270" s="256" t="s">
        <v>14436</v>
      </c>
      <c r="G270" s="160">
        <v>13.88</v>
      </c>
      <c r="H270" s="152"/>
      <c r="I270" s="160">
        <f t="shared" si="3"/>
        <v>30145.790000000023</v>
      </c>
    </row>
    <row r="271" spans="2:9" ht="19.5" hidden="1" x14ac:dyDescent="0.25">
      <c r="B271" s="148"/>
      <c r="C271" s="148" t="s">
        <v>18222</v>
      </c>
      <c r="D271" s="150">
        <v>43945</v>
      </c>
      <c r="E271" s="113" t="s">
        <v>18221</v>
      </c>
      <c r="F271" s="256" t="s">
        <v>14409</v>
      </c>
      <c r="G271" s="152"/>
      <c r="H271" s="319">
        <v>83.03</v>
      </c>
      <c r="I271" s="160">
        <f t="shared" si="3"/>
        <v>30062.760000000024</v>
      </c>
    </row>
    <row r="272" spans="2:9" ht="19.5" hidden="1" x14ac:dyDescent="0.25">
      <c r="B272" s="148"/>
      <c r="C272" s="148" t="s">
        <v>18220</v>
      </c>
      <c r="D272" s="150">
        <v>43946</v>
      </c>
      <c r="E272" s="113" t="s">
        <v>18219</v>
      </c>
      <c r="F272" s="256" t="s">
        <v>14436</v>
      </c>
      <c r="G272" s="160">
        <v>7.67</v>
      </c>
      <c r="H272" s="152"/>
      <c r="I272" s="160">
        <f t="shared" si="3"/>
        <v>30070.430000000022</v>
      </c>
    </row>
    <row r="273" spans="2:9" x14ac:dyDescent="0.25">
      <c r="B273" s="148"/>
      <c r="C273" s="148" t="s">
        <v>18218</v>
      </c>
      <c r="D273" s="150">
        <v>43948</v>
      </c>
      <c r="E273" s="113" t="s">
        <v>18217</v>
      </c>
      <c r="F273" s="257" t="s">
        <v>14433</v>
      </c>
      <c r="G273" s="152"/>
      <c r="H273" s="161">
        <v>5000</v>
      </c>
      <c r="I273" s="160">
        <f t="shared" si="3"/>
        <v>25070.430000000022</v>
      </c>
    </row>
    <row r="274" spans="2:9" hidden="1" x14ac:dyDescent="0.25">
      <c r="B274" s="148"/>
      <c r="C274" s="148" t="s">
        <v>18216</v>
      </c>
      <c r="D274" s="150">
        <v>43948</v>
      </c>
      <c r="E274" s="113" t="s">
        <v>18215</v>
      </c>
      <c r="F274" s="256" t="s">
        <v>14436</v>
      </c>
      <c r="G274" s="160">
        <v>7.21</v>
      </c>
      <c r="H274" s="152"/>
      <c r="I274" s="160">
        <f t="shared" si="3"/>
        <v>25077.640000000021</v>
      </c>
    </row>
    <row r="275" spans="2:9" hidden="1" x14ac:dyDescent="0.25">
      <c r="B275" s="148"/>
      <c r="C275" s="148" t="s">
        <v>18214</v>
      </c>
      <c r="D275" s="150">
        <v>43948</v>
      </c>
      <c r="E275" s="113" t="s">
        <v>18213</v>
      </c>
      <c r="F275" s="256" t="s">
        <v>14436</v>
      </c>
      <c r="G275" s="160">
        <v>45.21</v>
      </c>
      <c r="H275" s="152"/>
      <c r="I275" s="160">
        <f t="shared" si="3"/>
        <v>25122.85000000002</v>
      </c>
    </row>
    <row r="276" spans="2:9" ht="19.5" hidden="1" x14ac:dyDescent="0.25">
      <c r="B276" s="148"/>
      <c r="C276" s="148" t="s">
        <v>18212</v>
      </c>
      <c r="D276" s="150">
        <v>43948</v>
      </c>
      <c r="E276" s="113" t="s">
        <v>18211</v>
      </c>
      <c r="F276" s="256" t="s">
        <v>14436</v>
      </c>
      <c r="G276" s="160">
        <v>6.43</v>
      </c>
      <c r="H276" s="152"/>
      <c r="I276" s="160">
        <f t="shared" ref="I276:I339" si="4">+I275+G276-H276</f>
        <v>25129.280000000021</v>
      </c>
    </row>
    <row r="277" spans="2:9" hidden="1" x14ac:dyDescent="0.25">
      <c r="B277" s="148"/>
      <c r="C277" s="148" t="s">
        <v>18210</v>
      </c>
      <c r="D277" s="150">
        <v>43948</v>
      </c>
      <c r="E277" s="113" t="s">
        <v>18209</v>
      </c>
      <c r="F277" s="256" t="s">
        <v>14436</v>
      </c>
      <c r="G277" s="160">
        <v>38.67</v>
      </c>
      <c r="H277" s="152"/>
      <c r="I277" s="160">
        <f t="shared" si="4"/>
        <v>25167.950000000019</v>
      </c>
    </row>
    <row r="278" spans="2:9" hidden="1" x14ac:dyDescent="0.25">
      <c r="B278" s="148"/>
      <c r="C278" s="148" t="s">
        <v>18208</v>
      </c>
      <c r="D278" s="150">
        <v>43948</v>
      </c>
      <c r="E278" s="113" t="s">
        <v>18207</v>
      </c>
      <c r="F278" s="256" t="s">
        <v>14436</v>
      </c>
      <c r="G278" s="160">
        <v>35.54</v>
      </c>
      <c r="H278" s="152"/>
      <c r="I278" s="160">
        <f t="shared" si="4"/>
        <v>25203.49000000002</v>
      </c>
    </row>
    <row r="279" spans="2:9" hidden="1" x14ac:dyDescent="0.25">
      <c r="B279" s="148"/>
      <c r="C279" s="148" t="s">
        <v>18206</v>
      </c>
      <c r="D279" s="150">
        <v>43948</v>
      </c>
      <c r="E279" s="113" t="s">
        <v>18205</v>
      </c>
      <c r="F279" s="256">
        <v>15</v>
      </c>
      <c r="G279" s="255">
        <v>8.3800000000000008</v>
      </c>
      <c r="H279" s="152"/>
      <c r="I279" s="160">
        <f t="shared" si="4"/>
        <v>25211.870000000021</v>
      </c>
    </row>
    <row r="280" spans="2:9" ht="19.5" hidden="1" x14ac:dyDescent="0.25">
      <c r="B280" s="148"/>
      <c r="C280" s="148" t="s">
        <v>18204</v>
      </c>
      <c r="D280" s="150">
        <v>43948</v>
      </c>
      <c r="E280" s="113" t="s">
        <v>18203</v>
      </c>
      <c r="F280" s="256">
        <v>15</v>
      </c>
      <c r="G280" s="255">
        <v>75.209999999999994</v>
      </c>
      <c r="H280" s="152"/>
      <c r="I280" s="160">
        <f t="shared" si="4"/>
        <v>25287.08000000002</v>
      </c>
    </row>
    <row r="281" spans="2:9" hidden="1" x14ac:dyDescent="0.25">
      <c r="B281" s="148"/>
      <c r="C281" s="148" t="s">
        <v>18202</v>
      </c>
      <c r="D281" s="150">
        <v>43948</v>
      </c>
      <c r="E281" s="113" t="s">
        <v>18201</v>
      </c>
      <c r="F281" s="256">
        <v>15</v>
      </c>
      <c r="G281" s="255">
        <v>19.5</v>
      </c>
      <c r="H281" s="152"/>
      <c r="I281" s="160">
        <f t="shared" si="4"/>
        <v>25306.58000000002</v>
      </c>
    </row>
    <row r="282" spans="2:9" hidden="1" x14ac:dyDescent="0.25">
      <c r="B282" s="148"/>
      <c r="C282" s="148" t="s">
        <v>18200</v>
      </c>
      <c r="D282" s="150">
        <v>43948</v>
      </c>
      <c r="E282" s="113" t="s">
        <v>18199</v>
      </c>
      <c r="F282" s="256">
        <v>15</v>
      </c>
      <c r="G282" s="255">
        <v>4.55</v>
      </c>
      <c r="H282" s="152"/>
      <c r="I282" s="160">
        <f t="shared" si="4"/>
        <v>25311.130000000019</v>
      </c>
    </row>
    <row r="283" spans="2:9" ht="19.5" hidden="1" x14ac:dyDescent="0.25">
      <c r="B283" s="148"/>
      <c r="C283" s="148" t="s">
        <v>18198</v>
      </c>
      <c r="D283" s="150">
        <v>43948</v>
      </c>
      <c r="E283" s="113" t="s">
        <v>18197</v>
      </c>
      <c r="F283" s="256">
        <v>15</v>
      </c>
      <c r="G283" s="255">
        <v>0.11</v>
      </c>
      <c r="H283" s="152"/>
      <c r="I283" s="160">
        <f t="shared" si="4"/>
        <v>25311.24000000002</v>
      </c>
    </row>
    <row r="284" spans="2:9" ht="19.5" hidden="1" x14ac:dyDescent="0.25">
      <c r="B284" s="148"/>
      <c r="C284" s="148" t="s">
        <v>18196</v>
      </c>
      <c r="D284" s="150">
        <v>43948</v>
      </c>
      <c r="E284" s="113" t="s">
        <v>18195</v>
      </c>
      <c r="F284" s="256">
        <v>15</v>
      </c>
      <c r="G284" s="255">
        <v>3.27</v>
      </c>
      <c r="H284" s="152"/>
      <c r="I284" s="160">
        <f t="shared" si="4"/>
        <v>25314.51000000002</v>
      </c>
    </row>
    <row r="285" spans="2:9" ht="19.5" hidden="1" x14ac:dyDescent="0.25">
      <c r="B285" s="148"/>
      <c r="C285" s="148" t="s">
        <v>18194</v>
      </c>
      <c r="D285" s="150">
        <v>43948</v>
      </c>
      <c r="E285" s="113" t="s">
        <v>18193</v>
      </c>
      <c r="F285" s="256">
        <v>15</v>
      </c>
      <c r="G285" s="255">
        <v>5.14</v>
      </c>
      <c r="H285" s="152"/>
      <c r="I285" s="160">
        <f t="shared" si="4"/>
        <v>25319.65000000002</v>
      </c>
    </row>
    <row r="286" spans="2:9" ht="19.5" hidden="1" x14ac:dyDescent="0.25">
      <c r="B286" s="148"/>
      <c r="C286" s="148" t="s">
        <v>18192</v>
      </c>
      <c r="D286" s="150">
        <v>43948</v>
      </c>
      <c r="E286" s="113" t="s">
        <v>18191</v>
      </c>
      <c r="F286" s="256">
        <v>15</v>
      </c>
      <c r="G286" s="255">
        <v>4.3</v>
      </c>
      <c r="H286" s="152"/>
      <c r="I286" s="160">
        <f t="shared" si="4"/>
        <v>25323.950000000019</v>
      </c>
    </row>
    <row r="287" spans="2:9" hidden="1" x14ac:dyDescent="0.25">
      <c r="B287" s="148"/>
      <c r="C287" s="148" t="s">
        <v>18190</v>
      </c>
      <c r="D287" s="150">
        <v>43948</v>
      </c>
      <c r="E287" s="113" t="s">
        <v>18189</v>
      </c>
      <c r="F287" s="256">
        <v>15</v>
      </c>
      <c r="G287" s="255">
        <v>5.23</v>
      </c>
      <c r="H287" s="152"/>
      <c r="I287" s="160">
        <f t="shared" si="4"/>
        <v>25329.180000000018</v>
      </c>
    </row>
    <row r="288" spans="2:9" hidden="1" x14ac:dyDescent="0.25">
      <c r="B288" s="148"/>
      <c r="C288" s="148" t="s">
        <v>18188</v>
      </c>
      <c r="D288" s="150">
        <v>43948</v>
      </c>
      <c r="E288" s="113" t="s">
        <v>18187</v>
      </c>
      <c r="F288" s="256" t="s">
        <v>14436</v>
      </c>
      <c r="G288" s="160">
        <v>2568.23</v>
      </c>
      <c r="H288" s="152"/>
      <c r="I288" s="160">
        <f t="shared" si="4"/>
        <v>27897.410000000018</v>
      </c>
    </row>
    <row r="289" spans="2:9" ht="19.5" hidden="1" x14ac:dyDescent="0.25">
      <c r="B289" s="148"/>
      <c r="C289" s="148" t="s">
        <v>18186</v>
      </c>
      <c r="D289" s="150">
        <v>43948</v>
      </c>
      <c r="E289" s="113" t="s">
        <v>18185</v>
      </c>
      <c r="F289" s="256" t="s">
        <v>14436</v>
      </c>
      <c r="G289" s="160">
        <v>4148.0200000000004</v>
      </c>
      <c r="H289" s="152"/>
      <c r="I289" s="160">
        <f t="shared" si="4"/>
        <v>32045.430000000018</v>
      </c>
    </row>
    <row r="290" spans="2:9" ht="19.5" hidden="1" x14ac:dyDescent="0.25">
      <c r="B290" s="148"/>
      <c r="C290" s="148" t="s">
        <v>18184</v>
      </c>
      <c r="D290" s="150">
        <v>43949</v>
      </c>
      <c r="E290" s="113" t="s">
        <v>18183</v>
      </c>
      <c r="F290" s="256" t="s">
        <v>14436</v>
      </c>
      <c r="G290" s="160">
        <v>17</v>
      </c>
      <c r="H290" s="152"/>
      <c r="I290" s="160">
        <f t="shared" si="4"/>
        <v>32062.430000000018</v>
      </c>
    </row>
    <row r="291" spans="2:9" hidden="1" x14ac:dyDescent="0.25">
      <c r="B291" s="148" t="s">
        <v>14412</v>
      </c>
      <c r="C291" s="148" t="s">
        <v>18182</v>
      </c>
      <c r="D291" s="150">
        <v>43949</v>
      </c>
      <c r="E291" s="113" t="s">
        <v>18181</v>
      </c>
      <c r="F291" s="256"/>
      <c r="G291" s="258">
        <v>8.66</v>
      </c>
      <c r="H291" s="152"/>
      <c r="I291" s="160">
        <f t="shared" si="4"/>
        <v>32071.090000000018</v>
      </c>
    </row>
    <row r="292" spans="2:9" ht="19.5" hidden="1" x14ac:dyDescent="0.25">
      <c r="B292" s="148" t="s">
        <v>14412</v>
      </c>
      <c r="C292" s="148" t="s">
        <v>18180</v>
      </c>
      <c r="D292" s="150">
        <v>43949</v>
      </c>
      <c r="E292" s="113" t="s">
        <v>18179</v>
      </c>
      <c r="F292" s="256"/>
      <c r="G292" s="258">
        <v>25.14</v>
      </c>
      <c r="H292" s="152"/>
      <c r="I292" s="160">
        <f t="shared" si="4"/>
        <v>32096.230000000018</v>
      </c>
    </row>
    <row r="293" spans="2:9" ht="19.5" hidden="1" x14ac:dyDescent="0.25">
      <c r="B293" s="148" t="s">
        <v>14412</v>
      </c>
      <c r="C293" s="148" t="s">
        <v>18178</v>
      </c>
      <c r="D293" s="150">
        <v>43949</v>
      </c>
      <c r="E293" s="113" t="s">
        <v>18177</v>
      </c>
      <c r="F293" s="256"/>
      <c r="G293" s="258">
        <v>11.11</v>
      </c>
      <c r="H293" s="152"/>
      <c r="I293" s="160">
        <f t="shared" si="4"/>
        <v>32107.340000000018</v>
      </c>
    </row>
    <row r="294" spans="2:9" ht="19.5" hidden="1" x14ac:dyDescent="0.25">
      <c r="B294" s="148" t="s">
        <v>14412</v>
      </c>
      <c r="C294" s="148" t="s">
        <v>18176</v>
      </c>
      <c r="D294" s="150">
        <v>43949</v>
      </c>
      <c r="E294" s="113" t="s">
        <v>18175</v>
      </c>
      <c r="F294" s="256"/>
      <c r="G294" s="258">
        <v>6.77</v>
      </c>
      <c r="H294" s="152"/>
      <c r="I294" s="160">
        <f t="shared" si="4"/>
        <v>32114.110000000019</v>
      </c>
    </row>
    <row r="295" spans="2:9" ht="19.5" hidden="1" x14ac:dyDescent="0.25">
      <c r="B295" s="148" t="s">
        <v>14412</v>
      </c>
      <c r="C295" s="148" t="s">
        <v>18174</v>
      </c>
      <c r="D295" s="150">
        <v>43949</v>
      </c>
      <c r="E295" s="113" t="s">
        <v>18173</v>
      </c>
      <c r="F295" s="256"/>
      <c r="G295" s="258">
        <v>30.39</v>
      </c>
      <c r="H295" s="152"/>
      <c r="I295" s="160">
        <f t="shared" si="4"/>
        <v>32144.500000000018</v>
      </c>
    </row>
    <row r="296" spans="2:9" ht="19.5" hidden="1" x14ac:dyDescent="0.25">
      <c r="B296" s="148" t="s">
        <v>14412</v>
      </c>
      <c r="C296" s="148" t="s">
        <v>18172</v>
      </c>
      <c r="D296" s="150">
        <v>43949</v>
      </c>
      <c r="E296" s="113" t="s">
        <v>18171</v>
      </c>
      <c r="F296" s="256"/>
      <c r="G296" s="258">
        <v>5.9</v>
      </c>
      <c r="H296" s="152"/>
      <c r="I296" s="160">
        <f t="shared" si="4"/>
        <v>32150.40000000002</v>
      </c>
    </row>
    <row r="297" spans="2:9" hidden="1" x14ac:dyDescent="0.25">
      <c r="B297" s="148" t="s">
        <v>14412</v>
      </c>
      <c r="C297" s="148" t="s">
        <v>18170</v>
      </c>
      <c r="D297" s="150">
        <v>43949</v>
      </c>
      <c r="E297" s="113" t="s">
        <v>18169</v>
      </c>
      <c r="F297" s="256"/>
      <c r="G297" s="258">
        <v>1.71</v>
      </c>
      <c r="H297" s="152"/>
      <c r="I297" s="160">
        <f t="shared" si="4"/>
        <v>32152.110000000019</v>
      </c>
    </row>
    <row r="298" spans="2:9" hidden="1" x14ac:dyDescent="0.25">
      <c r="B298" s="148" t="s">
        <v>14412</v>
      </c>
      <c r="C298" s="148" t="s">
        <v>18168</v>
      </c>
      <c r="D298" s="150">
        <v>43949</v>
      </c>
      <c r="E298" s="113" t="s">
        <v>18167</v>
      </c>
      <c r="F298" s="256"/>
      <c r="G298" s="258">
        <v>6.64</v>
      </c>
      <c r="H298" s="152"/>
      <c r="I298" s="160">
        <f t="shared" si="4"/>
        <v>32158.750000000018</v>
      </c>
    </row>
    <row r="299" spans="2:9" ht="19.5" hidden="1" x14ac:dyDescent="0.25">
      <c r="B299" s="148" t="s">
        <v>14412</v>
      </c>
      <c r="C299" s="148" t="s">
        <v>18166</v>
      </c>
      <c r="D299" s="150">
        <v>43949</v>
      </c>
      <c r="E299" s="113" t="s">
        <v>18165</v>
      </c>
      <c r="F299" s="256"/>
      <c r="G299" s="258">
        <v>4.6900000000000004</v>
      </c>
      <c r="H299" s="152"/>
      <c r="I299" s="160">
        <f t="shared" si="4"/>
        <v>32163.440000000017</v>
      </c>
    </row>
    <row r="300" spans="2:9" ht="19.5" hidden="1" x14ac:dyDescent="0.25">
      <c r="B300" s="148" t="s">
        <v>14412</v>
      </c>
      <c r="C300" s="148" t="s">
        <v>18164</v>
      </c>
      <c r="D300" s="150">
        <v>43949</v>
      </c>
      <c r="E300" s="113" t="s">
        <v>18163</v>
      </c>
      <c r="F300" s="256"/>
      <c r="G300" s="258">
        <v>10.02</v>
      </c>
      <c r="H300" s="152"/>
      <c r="I300" s="160">
        <f t="shared" si="4"/>
        <v>32173.460000000017</v>
      </c>
    </row>
    <row r="301" spans="2:9" hidden="1" x14ac:dyDescent="0.25">
      <c r="B301" s="148" t="s">
        <v>14412</v>
      </c>
      <c r="C301" s="148" t="s">
        <v>18162</v>
      </c>
      <c r="D301" s="150">
        <v>43949</v>
      </c>
      <c r="E301" s="113" t="s">
        <v>18161</v>
      </c>
      <c r="F301" s="256"/>
      <c r="G301" s="258">
        <v>23.08</v>
      </c>
      <c r="H301" s="152"/>
      <c r="I301" s="160">
        <f t="shared" si="4"/>
        <v>32196.540000000019</v>
      </c>
    </row>
    <row r="302" spans="2:9" ht="19.5" hidden="1" x14ac:dyDescent="0.25">
      <c r="B302" s="148" t="s">
        <v>14412</v>
      </c>
      <c r="C302" s="148" t="s">
        <v>18160</v>
      </c>
      <c r="D302" s="150">
        <v>43949</v>
      </c>
      <c r="E302" s="113" t="s">
        <v>18159</v>
      </c>
      <c r="F302" s="256"/>
      <c r="G302" s="258">
        <v>6.28</v>
      </c>
      <c r="H302" s="152"/>
      <c r="I302" s="160">
        <f t="shared" si="4"/>
        <v>32202.820000000018</v>
      </c>
    </row>
    <row r="303" spans="2:9" ht="19.5" hidden="1" x14ac:dyDescent="0.25">
      <c r="B303" s="148" t="s">
        <v>14412</v>
      </c>
      <c r="C303" s="148" t="s">
        <v>18158</v>
      </c>
      <c r="D303" s="150">
        <v>43949</v>
      </c>
      <c r="E303" s="113" t="s">
        <v>18157</v>
      </c>
      <c r="F303" s="256"/>
      <c r="G303" s="258">
        <v>6.76</v>
      </c>
      <c r="H303" s="152"/>
      <c r="I303" s="160">
        <f t="shared" si="4"/>
        <v>32209.580000000016</v>
      </c>
    </row>
    <row r="304" spans="2:9" hidden="1" x14ac:dyDescent="0.25">
      <c r="B304" s="148" t="s">
        <v>14412</v>
      </c>
      <c r="C304" s="148" t="s">
        <v>18156</v>
      </c>
      <c r="D304" s="150">
        <v>43949</v>
      </c>
      <c r="E304" s="113" t="s">
        <v>18155</v>
      </c>
      <c r="F304" s="256"/>
      <c r="G304" s="258">
        <v>10.039999999999999</v>
      </c>
      <c r="H304" s="152"/>
      <c r="I304" s="160">
        <f t="shared" si="4"/>
        <v>32219.620000000017</v>
      </c>
    </row>
    <row r="305" spans="2:9" hidden="1" x14ac:dyDescent="0.25">
      <c r="B305" s="148" t="s">
        <v>14412</v>
      </c>
      <c r="C305" s="148" t="s">
        <v>18154</v>
      </c>
      <c r="D305" s="150">
        <v>43949</v>
      </c>
      <c r="E305" s="113" t="s">
        <v>18153</v>
      </c>
      <c r="F305" s="256"/>
      <c r="G305" s="258">
        <v>3.18</v>
      </c>
      <c r="H305" s="152"/>
      <c r="I305" s="160">
        <f t="shared" si="4"/>
        <v>32222.800000000017</v>
      </c>
    </row>
    <row r="306" spans="2:9" ht="19.5" hidden="1" x14ac:dyDescent="0.25">
      <c r="B306" s="148"/>
      <c r="C306" s="148" t="s">
        <v>18152</v>
      </c>
      <c r="D306" s="150">
        <v>43949</v>
      </c>
      <c r="E306" s="113" t="s">
        <v>18151</v>
      </c>
      <c r="F306" s="256">
        <v>16</v>
      </c>
      <c r="G306" s="255">
        <v>16.760000000000002</v>
      </c>
      <c r="H306" s="152"/>
      <c r="I306" s="160">
        <f t="shared" si="4"/>
        <v>32239.560000000016</v>
      </c>
    </row>
    <row r="307" spans="2:9" ht="19.5" hidden="1" x14ac:dyDescent="0.25">
      <c r="B307" s="148"/>
      <c r="C307" s="148" t="s">
        <v>18150</v>
      </c>
      <c r="D307" s="150">
        <v>43949</v>
      </c>
      <c r="E307" s="113" t="s">
        <v>18149</v>
      </c>
      <c r="F307" s="256">
        <v>16</v>
      </c>
      <c r="G307" s="255">
        <v>8.85</v>
      </c>
      <c r="H307" s="152"/>
      <c r="I307" s="160">
        <f t="shared" si="4"/>
        <v>32248.410000000014</v>
      </c>
    </row>
    <row r="308" spans="2:9" hidden="1" x14ac:dyDescent="0.25">
      <c r="B308" s="148"/>
      <c r="C308" s="148" t="s">
        <v>18148</v>
      </c>
      <c r="D308" s="150">
        <v>43949</v>
      </c>
      <c r="E308" s="113" t="s">
        <v>18147</v>
      </c>
      <c r="F308" s="256" t="s">
        <v>14436</v>
      </c>
      <c r="G308" s="160">
        <v>4</v>
      </c>
      <c r="H308" s="152"/>
      <c r="I308" s="160">
        <f t="shared" si="4"/>
        <v>32252.410000000014</v>
      </c>
    </row>
    <row r="309" spans="2:9" ht="19.5" x14ac:dyDescent="0.25">
      <c r="B309" s="148"/>
      <c r="C309" s="148" t="s">
        <v>1104</v>
      </c>
      <c r="D309" s="150">
        <v>43949</v>
      </c>
      <c r="E309" s="113" t="s">
        <v>18146</v>
      </c>
      <c r="F309" s="257" t="s">
        <v>14433</v>
      </c>
      <c r="G309" s="152"/>
      <c r="H309" s="161">
        <v>116.99</v>
      </c>
      <c r="I309" s="160">
        <f t="shared" si="4"/>
        <v>32135.420000000013</v>
      </c>
    </row>
    <row r="310" spans="2:9" ht="19.5" hidden="1" x14ac:dyDescent="0.25">
      <c r="B310" s="148"/>
      <c r="C310" s="148" t="s">
        <v>18145</v>
      </c>
      <c r="D310" s="150">
        <v>43950</v>
      </c>
      <c r="E310" s="113" t="s">
        <v>18144</v>
      </c>
      <c r="F310" s="256" t="s">
        <v>14436</v>
      </c>
      <c r="G310" s="160">
        <v>58.59</v>
      </c>
      <c r="H310" s="152"/>
      <c r="I310" s="160">
        <f t="shared" si="4"/>
        <v>32194.010000000013</v>
      </c>
    </row>
    <row r="311" spans="2:9" ht="19.5" hidden="1" x14ac:dyDescent="0.25">
      <c r="B311" s="148" t="s">
        <v>14412</v>
      </c>
      <c r="C311" s="148" t="s">
        <v>18143</v>
      </c>
      <c r="D311" s="150">
        <v>43950</v>
      </c>
      <c r="E311" s="113" t="s">
        <v>18142</v>
      </c>
      <c r="F311" s="256"/>
      <c r="G311" s="258">
        <v>9.84</v>
      </c>
      <c r="H311" s="152"/>
      <c r="I311" s="160">
        <f t="shared" si="4"/>
        <v>32203.850000000013</v>
      </c>
    </row>
    <row r="312" spans="2:9" hidden="1" x14ac:dyDescent="0.25">
      <c r="B312" s="148" t="s">
        <v>14412</v>
      </c>
      <c r="C312" s="148" t="s">
        <v>18141</v>
      </c>
      <c r="D312" s="150">
        <v>43950</v>
      </c>
      <c r="E312" s="113" t="s">
        <v>18140</v>
      </c>
      <c r="F312" s="256"/>
      <c r="G312" s="258">
        <v>5.32</v>
      </c>
      <c r="H312" s="152"/>
      <c r="I312" s="160">
        <f t="shared" si="4"/>
        <v>32209.170000000013</v>
      </c>
    </row>
    <row r="313" spans="2:9" ht="19.5" hidden="1" x14ac:dyDescent="0.25">
      <c r="B313" s="148" t="s">
        <v>14412</v>
      </c>
      <c r="C313" s="148" t="s">
        <v>18139</v>
      </c>
      <c r="D313" s="150">
        <v>43950</v>
      </c>
      <c r="E313" s="113" t="s">
        <v>18138</v>
      </c>
      <c r="F313" s="256"/>
      <c r="G313" s="258">
        <v>12.9</v>
      </c>
      <c r="H313" s="152"/>
      <c r="I313" s="160">
        <f t="shared" si="4"/>
        <v>32222.070000000014</v>
      </c>
    </row>
    <row r="314" spans="2:9" ht="19.5" hidden="1" x14ac:dyDescent="0.25">
      <c r="B314" s="148" t="s">
        <v>14412</v>
      </c>
      <c r="C314" s="148" t="s">
        <v>18137</v>
      </c>
      <c r="D314" s="150">
        <v>43950</v>
      </c>
      <c r="E314" s="113" t="s">
        <v>18136</v>
      </c>
      <c r="F314" s="256"/>
      <c r="G314" s="258">
        <v>3.65</v>
      </c>
      <c r="H314" s="152"/>
      <c r="I314" s="160">
        <f t="shared" si="4"/>
        <v>32225.720000000016</v>
      </c>
    </row>
    <row r="315" spans="2:9" hidden="1" x14ac:dyDescent="0.25">
      <c r="B315" s="148" t="s">
        <v>14412</v>
      </c>
      <c r="C315" s="148" t="s">
        <v>18135</v>
      </c>
      <c r="D315" s="150">
        <v>43950</v>
      </c>
      <c r="E315" s="113" t="s">
        <v>18134</v>
      </c>
      <c r="F315" s="256"/>
      <c r="G315" s="258">
        <v>5.13</v>
      </c>
      <c r="H315" s="152"/>
      <c r="I315" s="160">
        <f t="shared" si="4"/>
        <v>32230.850000000017</v>
      </c>
    </row>
    <row r="316" spans="2:9" ht="19.5" hidden="1" x14ac:dyDescent="0.25">
      <c r="B316" s="148" t="s">
        <v>14412</v>
      </c>
      <c r="C316" s="148" t="s">
        <v>18133</v>
      </c>
      <c r="D316" s="150">
        <v>43950</v>
      </c>
      <c r="E316" s="113" t="s">
        <v>18132</v>
      </c>
      <c r="F316" s="256"/>
      <c r="G316" s="258">
        <v>8.33</v>
      </c>
      <c r="H316" s="152"/>
      <c r="I316" s="160">
        <f t="shared" si="4"/>
        <v>32239.180000000018</v>
      </c>
    </row>
    <row r="317" spans="2:9" ht="19.5" hidden="1" x14ac:dyDescent="0.25">
      <c r="B317" s="148" t="s">
        <v>14412</v>
      </c>
      <c r="C317" s="148" t="s">
        <v>18131</v>
      </c>
      <c r="D317" s="150">
        <v>43950</v>
      </c>
      <c r="E317" s="113" t="s">
        <v>18130</v>
      </c>
      <c r="F317" s="256"/>
      <c r="G317" s="258">
        <v>12.44</v>
      </c>
      <c r="H317" s="152"/>
      <c r="I317" s="160">
        <f t="shared" si="4"/>
        <v>32251.620000000017</v>
      </c>
    </row>
    <row r="318" spans="2:9" ht="19.5" hidden="1" x14ac:dyDescent="0.25">
      <c r="B318" s="148" t="s">
        <v>14412</v>
      </c>
      <c r="C318" s="148" t="s">
        <v>18129</v>
      </c>
      <c r="D318" s="150">
        <v>43950</v>
      </c>
      <c r="E318" s="113" t="s">
        <v>18128</v>
      </c>
      <c r="F318" s="256"/>
      <c r="G318" s="258">
        <v>10.49</v>
      </c>
      <c r="H318" s="152"/>
      <c r="I318" s="160">
        <f t="shared" si="4"/>
        <v>32262.110000000019</v>
      </c>
    </row>
    <row r="319" spans="2:9" ht="19.5" hidden="1" x14ac:dyDescent="0.25">
      <c r="B319" s="148" t="s">
        <v>14412</v>
      </c>
      <c r="C319" s="148" t="s">
        <v>18127</v>
      </c>
      <c r="D319" s="150">
        <v>43950</v>
      </c>
      <c r="E319" s="113" t="s">
        <v>18126</v>
      </c>
      <c r="F319" s="256"/>
      <c r="G319" s="258">
        <v>3.37</v>
      </c>
      <c r="H319" s="152"/>
      <c r="I319" s="160">
        <f t="shared" si="4"/>
        <v>32265.480000000018</v>
      </c>
    </row>
    <row r="320" spans="2:9" hidden="1" x14ac:dyDescent="0.25">
      <c r="B320" s="148" t="s">
        <v>14412</v>
      </c>
      <c r="C320" s="148" t="s">
        <v>18125</v>
      </c>
      <c r="D320" s="150">
        <v>43950</v>
      </c>
      <c r="E320" s="113" t="s">
        <v>18124</v>
      </c>
      <c r="F320" s="256"/>
      <c r="G320" s="258">
        <v>3.36</v>
      </c>
      <c r="H320" s="152"/>
      <c r="I320" s="160">
        <f t="shared" si="4"/>
        <v>32268.840000000018</v>
      </c>
    </row>
    <row r="321" spans="2:9" ht="19.5" hidden="1" x14ac:dyDescent="0.25">
      <c r="B321" s="148" t="s">
        <v>14412</v>
      </c>
      <c r="C321" s="148" t="s">
        <v>18123</v>
      </c>
      <c r="D321" s="150">
        <v>43950</v>
      </c>
      <c r="E321" s="113" t="s">
        <v>18122</v>
      </c>
      <c r="F321" s="256"/>
      <c r="G321" s="258">
        <v>9.35</v>
      </c>
      <c r="H321" s="152"/>
      <c r="I321" s="160">
        <f t="shared" si="4"/>
        <v>32278.190000000017</v>
      </c>
    </row>
    <row r="322" spans="2:9" ht="19.5" hidden="1" x14ac:dyDescent="0.25">
      <c r="B322" s="148" t="s">
        <v>14412</v>
      </c>
      <c r="C322" s="148" t="s">
        <v>18121</v>
      </c>
      <c r="D322" s="150">
        <v>43950</v>
      </c>
      <c r="E322" s="113" t="s">
        <v>18120</v>
      </c>
      <c r="F322" s="256"/>
      <c r="G322" s="258">
        <v>19.579999999999998</v>
      </c>
      <c r="H322" s="152"/>
      <c r="I322" s="160">
        <f t="shared" si="4"/>
        <v>32297.770000000019</v>
      </c>
    </row>
    <row r="323" spans="2:9" hidden="1" x14ac:dyDescent="0.25">
      <c r="B323" s="148" t="s">
        <v>14412</v>
      </c>
      <c r="C323" s="148" t="s">
        <v>18119</v>
      </c>
      <c r="D323" s="150">
        <v>43950</v>
      </c>
      <c r="E323" s="113" t="s">
        <v>18118</v>
      </c>
      <c r="F323" s="256"/>
      <c r="G323" s="258">
        <v>4.28</v>
      </c>
      <c r="H323" s="152"/>
      <c r="I323" s="160">
        <f t="shared" si="4"/>
        <v>32302.050000000017</v>
      </c>
    </row>
    <row r="324" spans="2:9" ht="19.5" hidden="1" x14ac:dyDescent="0.25">
      <c r="B324" s="148" t="s">
        <v>14412</v>
      </c>
      <c r="C324" s="148" t="s">
        <v>18117</v>
      </c>
      <c r="D324" s="150">
        <v>43950</v>
      </c>
      <c r="E324" s="113" t="s">
        <v>18116</v>
      </c>
      <c r="F324" s="256"/>
      <c r="G324" s="258">
        <v>16.84</v>
      </c>
      <c r="H324" s="152"/>
      <c r="I324" s="160">
        <f t="shared" si="4"/>
        <v>32318.890000000018</v>
      </c>
    </row>
    <row r="325" spans="2:9" ht="19.5" hidden="1" x14ac:dyDescent="0.25">
      <c r="B325" s="148" t="s">
        <v>14412</v>
      </c>
      <c r="C325" s="148" t="s">
        <v>18115</v>
      </c>
      <c r="D325" s="150">
        <v>43950</v>
      </c>
      <c r="E325" s="113" t="s">
        <v>18114</v>
      </c>
      <c r="F325" s="256"/>
      <c r="G325" s="258">
        <v>7.53</v>
      </c>
      <c r="H325" s="152"/>
      <c r="I325" s="160">
        <f t="shared" si="4"/>
        <v>32326.420000000016</v>
      </c>
    </row>
    <row r="326" spans="2:9" ht="19.5" hidden="1" x14ac:dyDescent="0.25">
      <c r="B326" s="148" t="s">
        <v>14412</v>
      </c>
      <c r="C326" s="148" t="s">
        <v>18113</v>
      </c>
      <c r="D326" s="150">
        <v>43950</v>
      </c>
      <c r="E326" s="113" t="s">
        <v>18112</v>
      </c>
      <c r="F326" s="256"/>
      <c r="G326" s="258">
        <v>16.68</v>
      </c>
      <c r="H326" s="152"/>
      <c r="I326" s="160">
        <f t="shared" si="4"/>
        <v>32343.100000000017</v>
      </c>
    </row>
    <row r="327" spans="2:9" ht="19.5" hidden="1" x14ac:dyDescent="0.25">
      <c r="B327" s="148" t="s">
        <v>14412</v>
      </c>
      <c r="C327" s="148" t="s">
        <v>18111</v>
      </c>
      <c r="D327" s="150">
        <v>43950</v>
      </c>
      <c r="E327" s="113" t="s">
        <v>18110</v>
      </c>
      <c r="F327" s="256"/>
      <c r="G327" s="258">
        <v>14.72</v>
      </c>
      <c r="H327" s="152"/>
      <c r="I327" s="160">
        <f t="shared" si="4"/>
        <v>32357.820000000018</v>
      </c>
    </row>
    <row r="328" spans="2:9" ht="19.5" hidden="1" x14ac:dyDescent="0.25">
      <c r="B328" s="148"/>
      <c r="C328" s="148" t="s">
        <v>18109</v>
      </c>
      <c r="D328" s="150">
        <v>43950</v>
      </c>
      <c r="E328" s="113" t="s">
        <v>18108</v>
      </c>
      <c r="F328" s="256">
        <v>17</v>
      </c>
      <c r="G328" s="255">
        <v>16.760000000000002</v>
      </c>
      <c r="H328" s="152"/>
      <c r="I328" s="160">
        <f t="shared" si="4"/>
        <v>32374.580000000016</v>
      </c>
    </row>
    <row r="329" spans="2:9" hidden="1" x14ac:dyDescent="0.25">
      <c r="B329" s="148"/>
      <c r="C329" s="148" t="s">
        <v>18107</v>
      </c>
      <c r="D329" s="150">
        <v>43950</v>
      </c>
      <c r="E329" s="113" t="s">
        <v>18106</v>
      </c>
      <c r="F329" s="256">
        <v>17</v>
      </c>
      <c r="G329" s="255">
        <v>2.34</v>
      </c>
      <c r="H329" s="152"/>
      <c r="I329" s="160">
        <f t="shared" si="4"/>
        <v>32376.920000000016</v>
      </c>
    </row>
    <row r="330" spans="2:9" ht="19.5" hidden="1" x14ac:dyDescent="0.25">
      <c r="B330" s="148"/>
      <c r="C330" s="148" t="s">
        <v>18105</v>
      </c>
      <c r="D330" s="150">
        <v>43950</v>
      </c>
      <c r="E330" s="113" t="s">
        <v>18104</v>
      </c>
      <c r="F330" s="256">
        <v>17</v>
      </c>
      <c r="G330" s="255">
        <v>15.3</v>
      </c>
      <c r="H330" s="152"/>
      <c r="I330" s="160">
        <f t="shared" si="4"/>
        <v>32392.220000000016</v>
      </c>
    </row>
    <row r="331" spans="2:9" ht="19.5" hidden="1" x14ac:dyDescent="0.25">
      <c r="B331" s="148"/>
      <c r="C331" s="148" t="s">
        <v>18103</v>
      </c>
      <c r="D331" s="150">
        <v>43950</v>
      </c>
      <c r="E331" s="113" t="s">
        <v>18102</v>
      </c>
      <c r="F331" s="256">
        <v>17</v>
      </c>
      <c r="G331" s="255">
        <v>13.88</v>
      </c>
      <c r="H331" s="152"/>
      <c r="I331" s="160">
        <f t="shared" si="4"/>
        <v>32406.100000000017</v>
      </c>
    </row>
    <row r="332" spans="2:9" hidden="1" x14ac:dyDescent="0.25">
      <c r="B332" s="148"/>
      <c r="C332" s="148" t="s">
        <v>18101</v>
      </c>
      <c r="D332" s="150">
        <v>43950</v>
      </c>
      <c r="E332" s="113" t="s">
        <v>18100</v>
      </c>
      <c r="F332" s="256">
        <v>17</v>
      </c>
      <c r="G332" s="255">
        <v>3.09</v>
      </c>
      <c r="H332" s="152"/>
      <c r="I332" s="160">
        <f t="shared" si="4"/>
        <v>32409.190000000017</v>
      </c>
    </row>
    <row r="333" spans="2:9" hidden="1" x14ac:dyDescent="0.25">
      <c r="B333" s="148"/>
      <c r="C333" s="148" t="s">
        <v>18099</v>
      </c>
      <c r="D333" s="150">
        <v>43950</v>
      </c>
      <c r="E333" s="113" t="s">
        <v>18098</v>
      </c>
      <c r="F333" s="256">
        <v>17</v>
      </c>
      <c r="G333" s="255">
        <v>1.68</v>
      </c>
      <c r="H333" s="152"/>
      <c r="I333" s="160">
        <f t="shared" si="4"/>
        <v>32410.870000000017</v>
      </c>
    </row>
    <row r="334" spans="2:9" ht="19.5" hidden="1" x14ac:dyDescent="0.25">
      <c r="B334" s="148"/>
      <c r="C334" s="148" t="s">
        <v>18097</v>
      </c>
      <c r="D334" s="150">
        <v>43950</v>
      </c>
      <c r="E334" s="113" t="s">
        <v>18096</v>
      </c>
      <c r="F334" s="256" t="s">
        <v>14436</v>
      </c>
      <c r="G334" s="160">
        <v>34.909999999999997</v>
      </c>
      <c r="H334" s="152"/>
      <c r="I334" s="160">
        <f t="shared" si="4"/>
        <v>32445.780000000017</v>
      </c>
    </row>
    <row r="335" spans="2:9" ht="19.5" x14ac:dyDescent="0.25">
      <c r="B335" s="148"/>
      <c r="C335" s="148" t="s">
        <v>16349</v>
      </c>
      <c r="D335" s="150">
        <v>43950</v>
      </c>
      <c r="E335" s="113" t="s">
        <v>18095</v>
      </c>
      <c r="F335" s="257" t="s">
        <v>14433</v>
      </c>
      <c r="G335" s="152"/>
      <c r="H335" s="161">
        <v>11.79</v>
      </c>
      <c r="I335" s="160">
        <f t="shared" si="4"/>
        <v>32433.990000000016</v>
      </c>
    </row>
    <row r="336" spans="2:9" hidden="1" x14ac:dyDescent="0.25">
      <c r="B336" s="148"/>
      <c r="C336" s="148" t="s">
        <v>18094</v>
      </c>
      <c r="D336" s="150">
        <v>43951</v>
      </c>
      <c r="E336" s="113" t="s">
        <v>18093</v>
      </c>
      <c r="F336" s="256" t="s">
        <v>14436</v>
      </c>
      <c r="G336" s="160">
        <v>8.3800000000000008</v>
      </c>
      <c r="H336" s="152"/>
      <c r="I336" s="160">
        <f t="shared" si="4"/>
        <v>32442.370000000017</v>
      </c>
    </row>
    <row r="337" spans="2:9" ht="19.5" hidden="1" x14ac:dyDescent="0.25">
      <c r="B337" s="148"/>
      <c r="C337" s="148" t="s">
        <v>18092</v>
      </c>
      <c r="D337" s="150">
        <v>43951</v>
      </c>
      <c r="E337" s="113" t="s">
        <v>18091</v>
      </c>
      <c r="F337" s="256" t="s">
        <v>14436</v>
      </c>
      <c r="G337" s="160">
        <v>3.36</v>
      </c>
      <c r="H337" s="152"/>
      <c r="I337" s="160">
        <f t="shared" si="4"/>
        <v>32445.730000000018</v>
      </c>
    </row>
    <row r="338" spans="2:9" hidden="1" x14ac:dyDescent="0.25">
      <c r="B338" s="148"/>
      <c r="C338" s="148" t="s">
        <v>18090</v>
      </c>
      <c r="D338" s="150">
        <v>43951</v>
      </c>
      <c r="E338" s="113" t="s">
        <v>18089</v>
      </c>
      <c r="F338" s="256" t="s">
        <v>14436</v>
      </c>
      <c r="G338" s="160">
        <v>3.63</v>
      </c>
      <c r="H338" s="152"/>
      <c r="I338" s="160">
        <f t="shared" si="4"/>
        <v>32449.360000000019</v>
      </c>
    </row>
    <row r="339" spans="2:9" hidden="1" x14ac:dyDescent="0.25">
      <c r="B339" s="148"/>
      <c r="C339" s="148" t="s">
        <v>18088</v>
      </c>
      <c r="D339" s="150">
        <v>43951</v>
      </c>
      <c r="E339" s="113" t="s">
        <v>18087</v>
      </c>
      <c r="F339" s="256" t="s">
        <v>14436</v>
      </c>
      <c r="G339" s="160">
        <v>2.33</v>
      </c>
      <c r="H339" s="152"/>
      <c r="I339" s="160">
        <f t="shared" si="4"/>
        <v>32451.690000000021</v>
      </c>
    </row>
    <row r="340" spans="2:9" hidden="1" x14ac:dyDescent="0.25">
      <c r="B340" s="148"/>
      <c r="C340" s="148" t="s">
        <v>18086</v>
      </c>
      <c r="D340" s="150">
        <v>43951</v>
      </c>
      <c r="E340" s="113" t="s">
        <v>18085</v>
      </c>
      <c r="F340" s="256" t="s">
        <v>14436</v>
      </c>
      <c r="G340" s="160">
        <v>8.3800000000000008</v>
      </c>
      <c r="H340" s="152"/>
      <c r="I340" s="160">
        <f t="shared" ref="I340:I364" si="5">+I339+G340-H340</f>
        <v>32460.070000000022</v>
      </c>
    </row>
    <row r="341" spans="2:9" hidden="1" x14ac:dyDescent="0.25">
      <c r="B341" s="148" t="s">
        <v>14412</v>
      </c>
      <c r="C341" s="148" t="s">
        <v>18084</v>
      </c>
      <c r="D341" s="150">
        <v>43951</v>
      </c>
      <c r="E341" s="113" t="s">
        <v>18083</v>
      </c>
      <c r="F341" s="256"/>
      <c r="G341" s="258">
        <v>3.37</v>
      </c>
      <c r="H341" s="152"/>
      <c r="I341" s="160">
        <f t="shared" si="5"/>
        <v>32463.440000000021</v>
      </c>
    </row>
    <row r="342" spans="2:9" ht="19.5" hidden="1" x14ac:dyDescent="0.25">
      <c r="B342" s="148" t="s">
        <v>14412</v>
      </c>
      <c r="C342" s="148" t="s">
        <v>18082</v>
      </c>
      <c r="D342" s="150">
        <v>43951</v>
      </c>
      <c r="E342" s="113" t="s">
        <v>18081</v>
      </c>
      <c r="F342" s="256"/>
      <c r="G342" s="258">
        <v>5.04</v>
      </c>
      <c r="H342" s="152"/>
      <c r="I342" s="160">
        <f t="shared" si="5"/>
        <v>32468.480000000021</v>
      </c>
    </row>
    <row r="343" spans="2:9" hidden="1" x14ac:dyDescent="0.25">
      <c r="B343" s="148" t="s">
        <v>14412</v>
      </c>
      <c r="C343" s="148" t="s">
        <v>18080</v>
      </c>
      <c r="D343" s="150">
        <v>43951</v>
      </c>
      <c r="E343" s="113" t="s">
        <v>18079</v>
      </c>
      <c r="F343" s="256"/>
      <c r="G343" s="258">
        <v>3.36</v>
      </c>
      <c r="H343" s="152"/>
      <c r="I343" s="160">
        <f t="shared" si="5"/>
        <v>32471.840000000022</v>
      </c>
    </row>
    <row r="344" spans="2:9" hidden="1" x14ac:dyDescent="0.25">
      <c r="B344" s="148" t="s">
        <v>14412</v>
      </c>
      <c r="C344" s="148" t="s">
        <v>18078</v>
      </c>
      <c r="D344" s="150">
        <v>43951</v>
      </c>
      <c r="E344" s="113" t="s">
        <v>18077</v>
      </c>
      <c r="F344" s="256"/>
      <c r="G344" s="258">
        <v>3.74</v>
      </c>
      <c r="H344" s="152"/>
      <c r="I344" s="160">
        <f t="shared" si="5"/>
        <v>32475.580000000024</v>
      </c>
    </row>
    <row r="345" spans="2:9" ht="19.5" hidden="1" x14ac:dyDescent="0.25">
      <c r="B345" s="148" t="s">
        <v>14412</v>
      </c>
      <c r="C345" s="148" t="s">
        <v>18076</v>
      </c>
      <c r="D345" s="150">
        <v>43951</v>
      </c>
      <c r="E345" s="113" t="s">
        <v>18075</v>
      </c>
      <c r="F345" s="256"/>
      <c r="G345" s="258">
        <v>6.94</v>
      </c>
      <c r="H345" s="152"/>
      <c r="I345" s="160">
        <f t="shared" si="5"/>
        <v>32482.520000000022</v>
      </c>
    </row>
    <row r="346" spans="2:9" ht="19.5" hidden="1" x14ac:dyDescent="0.25">
      <c r="B346" s="148" t="s">
        <v>14412</v>
      </c>
      <c r="C346" s="148" t="s">
        <v>18074</v>
      </c>
      <c r="D346" s="150">
        <v>43951</v>
      </c>
      <c r="E346" s="113" t="s">
        <v>18073</v>
      </c>
      <c r="F346" s="256"/>
      <c r="G346" s="258">
        <v>3.9</v>
      </c>
      <c r="H346" s="152"/>
      <c r="I346" s="160">
        <f t="shared" si="5"/>
        <v>32486.420000000024</v>
      </c>
    </row>
    <row r="347" spans="2:9" ht="19.5" hidden="1" x14ac:dyDescent="0.25">
      <c r="B347" s="148" t="s">
        <v>14412</v>
      </c>
      <c r="C347" s="148" t="s">
        <v>18072</v>
      </c>
      <c r="D347" s="150">
        <v>43951</v>
      </c>
      <c r="E347" s="113" t="s">
        <v>18071</v>
      </c>
      <c r="F347" s="256"/>
      <c r="G347" s="258">
        <v>19.66</v>
      </c>
      <c r="H347" s="152"/>
      <c r="I347" s="160">
        <f t="shared" si="5"/>
        <v>32506.080000000024</v>
      </c>
    </row>
    <row r="348" spans="2:9" ht="19.5" hidden="1" x14ac:dyDescent="0.25">
      <c r="B348" s="148" t="s">
        <v>14412</v>
      </c>
      <c r="C348" s="148" t="s">
        <v>18070</v>
      </c>
      <c r="D348" s="150">
        <v>43951</v>
      </c>
      <c r="E348" s="113" t="s">
        <v>18069</v>
      </c>
      <c r="F348" s="256"/>
      <c r="G348" s="258">
        <v>3.45</v>
      </c>
      <c r="H348" s="152"/>
      <c r="I348" s="160">
        <f t="shared" si="5"/>
        <v>32509.530000000024</v>
      </c>
    </row>
    <row r="349" spans="2:9" ht="19.5" hidden="1" x14ac:dyDescent="0.25">
      <c r="B349" s="148" t="s">
        <v>14412</v>
      </c>
      <c r="C349" s="148" t="s">
        <v>18068</v>
      </c>
      <c r="D349" s="150">
        <v>43951</v>
      </c>
      <c r="E349" s="113" t="s">
        <v>18067</v>
      </c>
      <c r="F349" s="256"/>
      <c r="G349" s="258">
        <v>3.8</v>
      </c>
      <c r="H349" s="152"/>
      <c r="I349" s="160">
        <f t="shared" si="5"/>
        <v>32513.330000000024</v>
      </c>
    </row>
    <row r="350" spans="2:9" hidden="1" x14ac:dyDescent="0.25">
      <c r="B350" s="148" t="s">
        <v>14412</v>
      </c>
      <c r="C350" s="148" t="s">
        <v>18066</v>
      </c>
      <c r="D350" s="150">
        <v>43951</v>
      </c>
      <c r="E350" s="113" t="s">
        <v>18065</v>
      </c>
      <c r="F350" s="256"/>
      <c r="G350" s="258">
        <v>34.76</v>
      </c>
      <c r="H350" s="152"/>
      <c r="I350" s="160">
        <f t="shared" si="5"/>
        <v>32548.090000000022</v>
      </c>
    </row>
    <row r="351" spans="2:9" ht="19.5" hidden="1" x14ac:dyDescent="0.25">
      <c r="B351" s="148" t="s">
        <v>14412</v>
      </c>
      <c r="C351" s="148" t="s">
        <v>18064</v>
      </c>
      <c r="D351" s="150">
        <v>43951</v>
      </c>
      <c r="E351" s="113" t="s">
        <v>18063</v>
      </c>
      <c r="F351" s="256"/>
      <c r="G351" s="258">
        <v>5.76</v>
      </c>
      <c r="H351" s="152"/>
      <c r="I351" s="160">
        <f t="shared" si="5"/>
        <v>32553.85000000002</v>
      </c>
    </row>
    <row r="352" spans="2:9" ht="19.5" hidden="1" x14ac:dyDescent="0.25">
      <c r="B352" s="148" t="s">
        <v>14412</v>
      </c>
      <c r="C352" s="148" t="s">
        <v>18062</v>
      </c>
      <c r="D352" s="150">
        <v>43951</v>
      </c>
      <c r="E352" s="113" t="s">
        <v>18061</v>
      </c>
      <c r="F352" s="256"/>
      <c r="G352" s="258">
        <v>10.76</v>
      </c>
      <c r="H352" s="152"/>
      <c r="I352" s="160">
        <f t="shared" si="5"/>
        <v>32564.610000000019</v>
      </c>
    </row>
    <row r="353" spans="2:9" hidden="1" x14ac:dyDescent="0.25">
      <c r="B353" s="148" t="s">
        <v>14412</v>
      </c>
      <c r="C353" s="148" t="s">
        <v>18060</v>
      </c>
      <c r="D353" s="150">
        <v>43951</v>
      </c>
      <c r="E353" s="113" t="s">
        <v>18059</v>
      </c>
      <c r="F353" s="256"/>
      <c r="G353" s="258">
        <v>0.96</v>
      </c>
      <c r="H353" s="152"/>
      <c r="I353" s="160">
        <f t="shared" si="5"/>
        <v>32565.570000000018</v>
      </c>
    </row>
    <row r="354" spans="2:9" ht="19.5" hidden="1" x14ac:dyDescent="0.25">
      <c r="B354" s="148" t="s">
        <v>14412</v>
      </c>
      <c r="C354" s="148" t="s">
        <v>18058</v>
      </c>
      <c r="D354" s="150">
        <v>43951</v>
      </c>
      <c r="E354" s="113" t="s">
        <v>18057</v>
      </c>
      <c r="F354" s="256"/>
      <c r="G354" s="258">
        <v>70.08</v>
      </c>
      <c r="H354" s="152"/>
      <c r="I354" s="160">
        <f t="shared" si="5"/>
        <v>32635.65000000002</v>
      </c>
    </row>
    <row r="355" spans="2:9" hidden="1" x14ac:dyDescent="0.25">
      <c r="B355" s="148"/>
      <c r="C355" s="148" t="s">
        <v>18056</v>
      </c>
      <c r="D355" s="150">
        <v>43951</v>
      </c>
      <c r="E355" s="113" t="s">
        <v>18055</v>
      </c>
      <c r="F355" s="256">
        <v>18</v>
      </c>
      <c r="G355" s="255">
        <v>12.03</v>
      </c>
      <c r="H355" s="152"/>
      <c r="I355" s="160">
        <f t="shared" si="5"/>
        <v>32647.680000000018</v>
      </c>
    </row>
    <row r="356" spans="2:9" hidden="1" x14ac:dyDescent="0.25">
      <c r="B356" s="148"/>
      <c r="C356" s="148" t="s">
        <v>18054</v>
      </c>
      <c r="D356" s="150">
        <v>43951</v>
      </c>
      <c r="E356" s="113" t="s">
        <v>18053</v>
      </c>
      <c r="F356" s="256">
        <v>18</v>
      </c>
      <c r="G356" s="255">
        <v>25.58</v>
      </c>
      <c r="H356" s="152"/>
      <c r="I356" s="160">
        <f t="shared" si="5"/>
        <v>32673.26000000002</v>
      </c>
    </row>
    <row r="357" spans="2:9" hidden="1" x14ac:dyDescent="0.25">
      <c r="B357" s="148"/>
      <c r="C357" s="148" t="s">
        <v>18052</v>
      </c>
      <c r="D357" s="150">
        <v>43951</v>
      </c>
      <c r="E357" s="113" t="s">
        <v>18051</v>
      </c>
      <c r="F357" s="256">
        <v>18</v>
      </c>
      <c r="G357" s="255">
        <v>1.94</v>
      </c>
      <c r="H357" s="152"/>
      <c r="I357" s="160">
        <f t="shared" si="5"/>
        <v>32675.200000000019</v>
      </c>
    </row>
    <row r="358" spans="2:9" hidden="1" x14ac:dyDescent="0.25">
      <c r="B358" s="148"/>
      <c r="C358" s="148" t="s">
        <v>18050</v>
      </c>
      <c r="D358" s="150">
        <v>43951</v>
      </c>
      <c r="E358" s="113" t="s">
        <v>18049</v>
      </c>
      <c r="F358" s="256">
        <v>18</v>
      </c>
      <c r="G358" s="255">
        <v>1.68</v>
      </c>
      <c r="H358" s="152"/>
      <c r="I358" s="160">
        <f t="shared" si="5"/>
        <v>32676.880000000019</v>
      </c>
    </row>
    <row r="359" spans="2:9" hidden="1" x14ac:dyDescent="0.25">
      <c r="B359" s="148"/>
      <c r="C359" s="148" t="s">
        <v>18048</v>
      </c>
      <c r="D359" s="150">
        <v>43951</v>
      </c>
      <c r="E359" s="113" t="s">
        <v>18047</v>
      </c>
      <c r="F359" s="256" t="s">
        <v>14436</v>
      </c>
      <c r="G359" s="160">
        <v>7.83</v>
      </c>
      <c r="H359" s="152"/>
      <c r="I359" s="160">
        <f t="shared" si="5"/>
        <v>32684.710000000021</v>
      </c>
    </row>
    <row r="360" spans="2:9" hidden="1" x14ac:dyDescent="0.25">
      <c r="B360" s="148"/>
      <c r="C360" s="148" t="s">
        <v>18046</v>
      </c>
      <c r="D360" s="150">
        <v>43951</v>
      </c>
      <c r="E360" s="113" t="s">
        <v>18045</v>
      </c>
      <c r="F360" s="256" t="s">
        <v>14436</v>
      </c>
      <c r="G360" s="160">
        <v>25.93</v>
      </c>
      <c r="H360" s="152"/>
      <c r="I360" s="160">
        <f t="shared" si="5"/>
        <v>32710.640000000021</v>
      </c>
    </row>
    <row r="361" spans="2:9" ht="19.5" hidden="1" x14ac:dyDescent="0.25">
      <c r="B361" s="148"/>
      <c r="C361" s="148" t="s">
        <v>18044</v>
      </c>
      <c r="D361" s="150">
        <v>43951</v>
      </c>
      <c r="E361" s="113" t="s">
        <v>18043</v>
      </c>
      <c r="F361" s="256" t="s">
        <v>14436</v>
      </c>
      <c r="G361" s="160">
        <v>714.41</v>
      </c>
      <c r="H361" s="152"/>
      <c r="I361" s="160">
        <f t="shared" si="5"/>
        <v>33425.050000000025</v>
      </c>
    </row>
    <row r="362" spans="2:9" ht="19.5" hidden="1" x14ac:dyDescent="0.25">
      <c r="B362" s="148"/>
      <c r="C362" s="148" t="s">
        <v>18042</v>
      </c>
      <c r="D362" s="150">
        <v>43951</v>
      </c>
      <c r="E362" s="113" t="s">
        <v>18041</v>
      </c>
      <c r="F362" s="256" t="s">
        <v>14436</v>
      </c>
      <c r="G362" s="160">
        <v>3004.25</v>
      </c>
      <c r="H362" s="152"/>
      <c r="I362" s="160">
        <f t="shared" si="5"/>
        <v>36429.300000000025</v>
      </c>
    </row>
    <row r="363" spans="2:9" ht="19.5" x14ac:dyDescent="0.25">
      <c r="B363" s="148"/>
      <c r="C363" s="148" t="s">
        <v>16368</v>
      </c>
      <c r="D363" s="150">
        <v>43951</v>
      </c>
      <c r="E363" s="113" t="s">
        <v>18040</v>
      </c>
      <c r="F363" s="257" t="s">
        <v>14433</v>
      </c>
      <c r="G363" s="152"/>
      <c r="H363" s="161">
        <v>1663.42</v>
      </c>
      <c r="I363" s="160">
        <f t="shared" si="5"/>
        <v>34765.880000000026</v>
      </c>
    </row>
    <row r="364" spans="2:9" ht="19.5" x14ac:dyDescent="0.25">
      <c r="B364" s="148"/>
      <c r="C364" s="148" t="s">
        <v>18039</v>
      </c>
      <c r="D364" s="150">
        <v>43951</v>
      </c>
      <c r="E364" s="113" t="s">
        <v>18038</v>
      </c>
      <c r="F364" s="257" t="s">
        <v>14433</v>
      </c>
      <c r="G364" s="152"/>
      <c r="H364" s="161">
        <v>3011.76</v>
      </c>
      <c r="I364" s="160">
        <f t="shared" si="5"/>
        <v>31754.120000000024</v>
      </c>
    </row>
    <row r="365" spans="2:9" hidden="1" x14ac:dyDescent="0.25">
      <c r="B365" s="109"/>
      <c r="C365" s="109" t="s">
        <v>323</v>
      </c>
      <c r="D365" s="151">
        <v>40955.480000000003</v>
      </c>
      <c r="E365" s="313"/>
      <c r="F365" s="318"/>
      <c r="G365" s="152"/>
      <c r="H365" s="153" t="s">
        <v>320</v>
      </c>
      <c r="I365" s="162">
        <f>+I364</f>
        <v>31754.120000000024</v>
      </c>
    </row>
    <row r="368" spans="2:9" x14ac:dyDescent="0.2">
      <c r="E368" s="114" t="s">
        <v>319</v>
      </c>
      <c r="I368" s="273" t="s">
        <v>318</v>
      </c>
    </row>
  </sheetData>
  <autoFilter ref="A17:K365" xr:uid="{B2F460B6-40DD-49D1-9A7C-575A47310FA3}">
    <filterColumn colId="5">
      <filters>
        <filter val="ND"/>
      </filters>
    </filterColumn>
  </autoFilter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70C09-14A2-4744-B07E-1CFB9C82FF1E}">
  <sheetPr>
    <pageSetUpPr fitToPage="1"/>
  </sheetPr>
  <dimension ref="A1:G156"/>
  <sheetViews>
    <sheetView topLeftCell="A49" workbookViewId="0">
      <selection activeCell="A60" sqref="A60:XFD61"/>
    </sheetView>
  </sheetViews>
  <sheetFormatPr baseColWidth="10" defaultRowHeight="15" x14ac:dyDescent="0.25"/>
  <cols>
    <col min="2" max="2" width="45.42578125" style="188" customWidth="1"/>
    <col min="3" max="3" width="7.7109375" style="210" customWidth="1"/>
    <col min="4" max="4" width="13.7109375" bestFit="1" customWidth="1"/>
    <col min="5" max="5" width="17.28515625" bestFit="1" customWidth="1"/>
    <col min="6" max="6" width="10.42578125" bestFit="1" customWidth="1"/>
    <col min="7" max="7" width="10.7109375" customWidth="1"/>
  </cols>
  <sheetData>
    <row r="1" spans="1:6" ht="15.75" x14ac:dyDescent="0.25">
      <c r="A1" s="384" t="s">
        <v>14419</v>
      </c>
      <c r="B1" s="384"/>
      <c r="C1" s="384"/>
      <c r="D1" s="384"/>
      <c r="E1" s="384"/>
      <c r="F1" s="384"/>
    </row>
    <row r="2" spans="1:6" ht="15.75" x14ac:dyDescent="0.25">
      <c r="A2" s="123" t="s">
        <v>2772</v>
      </c>
      <c r="B2" s="206" t="s">
        <v>2773</v>
      </c>
      <c r="C2" s="208" t="s">
        <v>11</v>
      </c>
      <c r="D2" s="123" t="s">
        <v>2774</v>
      </c>
      <c r="E2" s="123" t="s">
        <v>7</v>
      </c>
      <c r="F2" s="123" t="s">
        <v>2775</v>
      </c>
    </row>
    <row r="3" spans="1:6" ht="15.75" x14ac:dyDescent="0.25">
      <c r="A3" s="203" t="str">
        <f>"3909086"</f>
        <v>3909086</v>
      </c>
      <c r="B3" s="207" t="s">
        <v>2962</v>
      </c>
      <c r="C3" s="209">
        <v>2.2200000000000002</v>
      </c>
      <c r="D3" s="203">
        <v>323654</v>
      </c>
      <c r="E3" s="205">
        <v>43922.415219907409</v>
      </c>
      <c r="F3" s="123">
        <v>4545</v>
      </c>
    </row>
    <row r="4" spans="1:6" ht="15.75" x14ac:dyDescent="0.25">
      <c r="A4" s="203" t="str">
        <f>"3907257"</f>
        <v>3907257</v>
      </c>
      <c r="B4" s="207" t="s">
        <v>2956</v>
      </c>
      <c r="C4" s="209">
        <v>0.44</v>
      </c>
      <c r="D4" s="203">
        <v>322969</v>
      </c>
      <c r="E4" s="205">
        <v>43922.454965277779</v>
      </c>
      <c r="F4" s="123">
        <v>4546</v>
      </c>
    </row>
    <row r="5" spans="1:6" ht="15.75" x14ac:dyDescent="0.25">
      <c r="A5" s="203" t="str">
        <f>"3903121"</f>
        <v>3903121</v>
      </c>
      <c r="B5" s="207" t="s">
        <v>2794</v>
      </c>
      <c r="C5" s="209">
        <v>5.04</v>
      </c>
      <c r="D5" s="203">
        <v>323039</v>
      </c>
      <c r="E5" s="205">
        <v>43922.528611111113</v>
      </c>
      <c r="F5" s="123">
        <v>4547</v>
      </c>
    </row>
    <row r="6" spans="1:6" ht="15.75" x14ac:dyDescent="0.25">
      <c r="A6" s="203" t="str">
        <f>"3907791"</f>
        <v>3907791</v>
      </c>
      <c r="B6" s="207" t="s">
        <v>5726</v>
      </c>
      <c r="C6" s="209">
        <v>4.87</v>
      </c>
      <c r="D6" s="203">
        <v>323357</v>
      </c>
      <c r="E6" s="205">
        <v>43922.563877314817</v>
      </c>
      <c r="F6" s="123">
        <v>4548</v>
      </c>
    </row>
    <row r="7" spans="1:6" ht="15.75" x14ac:dyDescent="0.25">
      <c r="A7" s="203" t="str">
        <f>"3903064"</f>
        <v>3903064</v>
      </c>
      <c r="B7" s="207" t="s">
        <v>5760</v>
      </c>
      <c r="C7" s="209">
        <v>16.12</v>
      </c>
      <c r="D7" s="203">
        <v>322978</v>
      </c>
      <c r="E7" s="205">
        <v>43922.680034722223</v>
      </c>
      <c r="F7" s="123">
        <v>4549</v>
      </c>
    </row>
    <row r="8" spans="1:6" ht="15.75" x14ac:dyDescent="0.25">
      <c r="A8" s="203" t="str">
        <f>"3960091"</f>
        <v>3960091</v>
      </c>
      <c r="B8" s="207" t="s">
        <v>5810</v>
      </c>
      <c r="C8" s="209">
        <v>8.51</v>
      </c>
      <c r="D8" s="203">
        <v>322811</v>
      </c>
      <c r="E8" s="205">
        <v>43922.736041666663</v>
      </c>
      <c r="F8" s="123">
        <v>4550</v>
      </c>
    </row>
    <row r="9" spans="1:6" ht="15.75" x14ac:dyDescent="0.25">
      <c r="A9" s="203" t="str">
        <f>"3902746"</f>
        <v>3902746</v>
      </c>
      <c r="B9" s="207" t="s">
        <v>5822</v>
      </c>
      <c r="C9" s="209">
        <v>5.05</v>
      </c>
      <c r="D9" s="203">
        <v>324437</v>
      </c>
      <c r="E9" s="205">
        <v>43922.872499999998</v>
      </c>
      <c r="F9" s="123">
        <v>4551</v>
      </c>
    </row>
    <row r="10" spans="1:6" ht="15.75" x14ac:dyDescent="0.25">
      <c r="A10" s="203" t="str">
        <f>"3909981"</f>
        <v>3909981</v>
      </c>
      <c r="B10" s="207" t="s">
        <v>2845</v>
      </c>
      <c r="C10" s="209">
        <v>6.94</v>
      </c>
      <c r="D10" s="203">
        <v>323137</v>
      </c>
      <c r="E10" s="205">
        <v>43922.921712962961</v>
      </c>
      <c r="F10" s="123">
        <v>4552</v>
      </c>
    </row>
    <row r="11" spans="1:6" ht="15.75" x14ac:dyDescent="0.25">
      <c r="A11" s="203" t="str">
        <f>"3960232"</f>
        <v>3960232</v>
      </c>
      <c r="B11" s="207" t="s">
        <v>2859</v>
      </c>
      <c r="C11" s="209">
        <v>12.3</v>
      </c>
      <c r="D11" s="203">
        <v>322723</v>
      </c>
      <c r="E11" s="205">
        <v>43922.921712962961</v>
      </c>
      <c r="F11" s="123">
        <v>4553</v>
      </c>
    </row>
    <row r="12" spans="1:6" ht="15.75" x14ac:dyDescent="0.25">
      <c r="A12" s="203" t="str">
        <f>"3903292"</f>
        <v>3903292</v>
      </c>
      <c r="B12" s="207" t="s">
        <v>2869</v>
      </c>
      <c r="C12" s="209">
        <v>11.45</v>
      </c>
      <c r="D12" s="203">
        <v>323240</v>
      </c>
      <c r="E12" s="205">
        <v>43922.921712962961</v>
      </c>
      <c r="F12" s="123">
        <v>4554</v>
      </c>
    </row>
    <row r="13" spans="1:6" ht="15.75" x14ac:dyDescent="0.25">
      <c r="A13" s="203" t="str">
        <f>"3950328"</f>
        <v>3950328</v>
      </c>
      <c r="B13" s="207" t="s">
        <v>2848</v>
      </c>
      <c r="C13" s="209">
        <v>8.68</v>
      </c>
      <c r="D13" s="203">
        <v>322804</v>
      </c>
      <c r="E13" s="205">
        <v>43922.921712962961</v>
      </c>
      <c r="F13" s="123">
        <v>4555</v>
      </c>
    </row>
    <row r="14" spans="1:6" ht="15.75" x14ac:dyDescent="0.25">
      <c r="A14" s="203" t="str">
        <f>"3900963"</f>
        <v>3900963</v>
      </c>
      <c r="B14" s="207" t="s">
        <v>5796</v>
      </c>
      <c r="C14" s="209">
        <v>4.29</v>
      </c>
      <c r="D14" s="203">
        <v>323217</v>
      </c>
      <c r="E14" s="205">
        <v>43922.921712962961</v>
      </c>
      <c r="F14" s="123">
        <v>4556</v>
      </c>
    </row>
    <row r="15" spans="1:6" ht="15.75" x14ac:dyDescent="0.25">
      <c r="A15" s="203" t="str">
        <f>"3960256"</f>
        <v>3960256</v>
      </c>
      <c r="B15" s="207" t="s">
        <v>2843</v>
      </c>
      <c r="C15" s="209">
        <v>17.899999999999999</v>
      </c>
      <c r="D15" s="203">
        <v>322651</v>
      </c>
      <c r="E15" s="205">
        <v>43922.921712962961</v>
      </c>
      <c r="F15" s="123">
        <v>4557</v>
      </c>
    </row>
    <row r="16" spans="1:6" ht="15.75" x14ac:dyDescent="0.25">
      <c r="A16" s="203" t="str">
        <f>"3950041"</f>
        <v>3950041</v>
      </c>
      <c r="B16" s="207" t="s">
        <v>2850</v>
      </c>
      <c r="C16" s="209">
        <v>4.1900000000000004</v>
      </c>
      <c r="D16" s="203">
        <v>322654</v>
      </c>
      <c r="E16" s="205">
        <v>43922.921712962961</v>
      </c>
      <c r="F16" s="123">
        <v>4558</v>
      </c>
    </row>
    <row r="17" spans="1:6" ht="15.75" x14ac:dyDescent="0.25">
      <c r="A17" s="203" t="str">
        <f>"3900389"</f>
        <v>3900389</v>
      </c>
      <c r="B17" s="207" t="s">
        <v>2844</v>
      </c>
      <c r="C17" s="209">
        <v>4.7300000000000004</v>
      </c>
      <c r="D17" s="203">
        <v>324144</v>
      </c>
      <c r="E17" s="205">
        <v>43922.921712962961</v>
      </c>
      <c r="F17" s="123">
        <v>4559</v>
      </c>
    </row>
    <row r="18" spans="1:6" ht="15.75" x14ac:dyDescent="0.25">
      <c r="A18" s="203" t="str">
        <f>"3909223"</f>
        <v>3909223</v>
      </c>
      <c r="B18" s="207" t="s">
        <v>2846</v>
      </c>
      <c r="C18" s="209">
        <v>2.23</v>
      </c>
      <c r="D18" s="203">
        <v>323956</v>
      </c>
      <c r="E18" s="205">
        <v>43922.921712962961</v>
      </c>
      <c r="F18" s="123">
        <v>4560</v>
      </c>
    </row>
    <row r="19" spans="1:6" ht="15.75" x14ac:dyDescent="0.25">
      <c r="A19" s="203" t="str">
        <f>"3903282"</f>
        <v>3903282</v>
      </c>
      <c r="B19" s="207" t="s">
        <v>2847</v>
      </c>
      <c r="C19" s="209">
        <v>1.92</v>
      </c>
      <c r="D19" s="203">
        <v>324475</v>
      </c>
      <c r="E19" s="205">
        <v>43922.921712962961</v>
      </c>
      <c r="F19" s="123">
        <v>4561</v>
      </c>
    </row>
    <row r="20" spans="1:6" ht="15.75" x14ac:dyDescent="0.25">
      <c r="A20" s="203" t="str">
        <f>"3940013"</f>
        <v>3940013</v>
      </c>
      <c r="B20" s="207" t="s">
        <v>2854</v>
      </c>
      <c r="C20" s="209">
        <v>8.3800000000000008</v>
      </c>
      <c r="D20" s="203">
        <v>322634</v>
      </c>
      <c r="E20" s="205">
        <v>43922.921712962961</v>
      </c>
      <c r="F20" s="123">
        <v>4562</v>
      </c>
    </row>
    <row r="21" spans="1:6" ht="15.75" x14ac:dyDescent="0.25">
      <c r="A21" s="203" t="str">
        <f>"3903098"</f>
        <v>3903098</v>
      </c>
      <c r="B21" s="207" t="s">
        <v>2849</v>
      </c>
      <c r="C21" s="209">
        <v>20.5</v>
      </c>
      <c r="D21" s="203">
        <v>322986</v>
      </c>
      <c r="E21" s="205">
        <v>43922.921712962961</v>
      </c>
      <c r="F21" s="123">
        <v>4563</v>
      </c>
    </row>
    <row r="22" spans="1:6" ht="15.75" x14ac:dyDescent="0.25">
      <c r="A22" s="203" t="str">
        <f>"3906324"</f>
        <v>3906324</v>
      </c>
      <c r="B22" s="207" t="s">
        <v>2855</v>
      </c>
      <c r="C22" s="209">
        <v>4.1900000000000004</v>
      </c>
      <c r="D22" s="203">
        <v>322894</v>
      </c>
      <c r="E22" s="205">
        <v>43922.921712962961</v>
      </c>
      <c r="F22" s="123">
        <v>4564</v>
      </c>
    </row>
    <row r="23" spans="1:6" ht="15.75" x14ac:dyDescent="0.25">
      <c r="A23" s="203" t="str">
        <f>"3920281"</f>
        <v>3920281</v>
      </c>
      <c r="B23" s="207" t="s">
        <v>2851</v>
      </c>
      <c r="C23" s="209">
        <v>7.82</v>
      </c>
      <c r="D23" s="203">
        <v>322631</v>
      </c>
      <c r="E23" s="205">
        <v>43922.921712962961</v>
      </c>
      <c r="F23" s="123">
        <v>4565</v>
      </c>
    </row>
    <row r="24" spans="1:6" ht="15.75" x14ac:dyDescent="0.25">
      <c r="A24" s="203" t="str">
        <f>"3908927"</f>
        <v>3908927</v>
      </c>
      <c r="B24" s="207" t="s">
        <v>2852</v>
      </c>
      <c r="C24" s="209">
        <v>1.68</v>
      </c>
      <c r="D24" s="203">
        <v>323377</v>
      </c>
      <c r="E24" s="205">
        <v>43922.921712962961</v>
      </c>
      <c r="F24" s="123">
        <v>4566</v>
      </c>
    </row>
    <row r="25" spans="1:6" ht="15.75" x14ac:dyDescent="0.25">
      <c r="A25" s="203" t="str">
        <f>"3945272"</f>
        <v>3945272</v>
      </c>
      <c r="B25" s="207" t="s">
        <v>2853</v>
      </c>
      <c r="C25" s="209">
        <v>4.1900000000000004</v>
      </c>
      <c r="D25" s="203">
        <v>322871</v>
      </c>
      <c r="E25" s="205">
        <v>43922.921712962961</v>
      </c>
      <c r="F25" s="123">
        <v>4567</v>
      </c>
    </row>
    <row r="26" spans="1:6" ht="15.75" x14ac:dyDescent="0.25">
      <c r="A26" s="203" t="str">
        <f>"3901113"</f>
        <v>3901113</v>
      </c>
      <c r="B26" s="207" t="s">
        <v>2856</v>
      </c>
      <c r="C26" s="209">
        <v>1.68</v>
      </c>
      <c r="D26" s="203">
        <v>323400</v>
      </c>
      <c r="E26" s="205">
        <v>43922.921712962961</v>
      </c>
      <c r="F26" s="123">
        <v>4568</v>
      </c>
    </row>
    <row r="27" spans="1:6" ht="15.75" x14ac:dyDescent="0.25">
      <c r="A27" s="203" t="str">
        <f>"3900676"</f>
        <v>3900676</v>
      </c>
      <c r="B27" s="207" t="s">
        <v>5795</v>
      </c>
      <c r="C27" s="209">
        <v>0.82</v>
      </c>
      <c r="D27" s="203">
        <v>324696</v>
      </c>
      <c r="E27" s="205">
        <v>43922.921712962961</v>
      </c>
      <c r="F27" s="123">
        <v>4569</v>
      </c>
    </row>
    <row r="28" spans="1:6" ht="15.75" x14ac:dyDescent="0.25">
      <c r="A28" s="203" t="str">
        <f>"3945262"</f>
        <v>3945262</v>
      </c>
      <c r="B28" s="207" t="s">
        <v>2857</v>
      </c>
      <c r="C28" s="209">
        <v>3.36</v>
      </c>
      <c r="D28" s="203">
        <v>322874</v>
      </c>
      <c r="E28" s="205">
        <v>43922.921712962961</v>
      </c>
      <c r="F28" s="123">
        <v>4570</v>
      </c>
    </row>
    <row r="29" spans="1:6" ht="15.75" x14ac:dyDescent="0.25">
      <c r="A29" s="203" t="str">
        <f>"3902750"</f>
        <v>3902750</v>
      </c>
      <c r="B29" s="207" t="s">
        <v>2824</v>
      </c>
      <c r="C29" s="209">
        <v>13.54</v>
      </c>
      <c r="D29" s="203">
        <v>322857</v>
      </c>
      <c r="E29" s="205">
        <v>43922.921712962961</v>
      </c>
      <c r="F29" s="123">
        <v>4571</v>
      </c>
    </row>
    <row r="30" spans="1:6" ht="15.75" x14ac:dyDescent="0.25">
      <c r="A30" s="203" t="str">
        <f>"3960364"</f>
        <v>3960364</v>
      </c>
      <c r="B30" s="207" t="s">
        <v>2839</v>
      </c>
      <c r="C30" s="209">
        <v>8.3800000000000008</v>
      </c>
      <c r="D30" s="203">
        <v>322737</v>
      </c>
      <c r="E30" s="205">
        <v>43922.921712962961</v>
      </c>
      <c r="F30" s="123">
        <v>4572</v>
      </c>
    </row>
    <row r="31" spans="1:6" ht="15.75" x14ac:dyDescent="0.25">
      <c r="A31" s="203" t="str">
        <f>"3960315"</f>
        <v>3960315</v>
      </c>
      <c r="B31" s="207" t="s">
        <v>2826</v>
      </c>
      <c r="C31" s="209">
        <v>4.8499999999999996</v>
      </c>
      <c r="D31" s="203">
        <v>322799</v>
      </c>
      <c r="E31" s="205">
        <v>43922.921712962961</v>
      </c>
      <c r="F31" s="123">
        <v>4573</v>
      </c>
    </row>
    <row r="32" spans="1:6" ht="15.75" x14ac:dyDescent="0.25">
      <c r="A32" s="203" t="str">
        <f>"3900349"</f>
        <v>3900349</v>
      </c>
      <c r="B32" s="207" t="s">
        <v>2827</v>
      </c>
      <c r="C32" s="209">
        <v>1.85</v>
      </c>
      <c r="D32" s="203">
        <v>324127</v>
      </c>
      <c r="E32" s="205">
        <v>43922.921712962961</v>
      </c>
      <c r="F32" s="123">
        <v>4574</v>
      </c>
    </row>
    <row r="33" spans="1:7" ht="15.75" x14ac:dyDescent="0.25">
      <c r="A33" s="203" t="str">
        <f>"3945284"</f>
        <v>3945284</v>
      </c>
      <c r="B33" s="207" t="s">
        <v>2842</v>
      </c>
      <c r="C33" s="209">
        <v>14.02</v>
      </c>
      <c r="D33" s="203">
        <v>322873</v>
      </c>
      <c r="E33" s="205">
        <v>43922.921712962961</v>
      </c>
      <c r="F33" s="123">
        <v>4575</v>
      </c>
      <c r="G33" s="171"/>
    </row>
    <row r="34" spans="1:7" ht="15.75" x14ac:dyDescent="0.25">
      <c r="A34" s="203" t="str">
        <f>"3945102"</f>
        <v>3945102</v>
      </c>
      <c r="B34" s="207" t="s">
        <v>2835</v>
      </c>
      <c r="C34" s="209">
        <v>8.3800000000000008</v>
      </c>
      <c r="D34" s="203">
        <v>322722</v>
      </c>
      <c r="E34" s="205">
        <v>43922.921712962961</v>
      </c>
      <c r="F34" s="123">
        <v>4576</v>
      </c>
    </row>
    <row r="35" spans="1:7" ht="15.75" x14ac:dyDescent="0.25">
      <c r="A35" s="203" t="str">
        <f>"3907239"</f>
        <v>3907239</v>
      </c>
      <c r="B35" s="207" t="s">
        <v>2836</v>
      </c>
      <c r="C35" s="209">
        <v>6.94</v>
      </c>
      <c r="D35" s="203">
        <v>322965</v>
      </c>
      <c r="E35" s="205">
        <v>43922.921712962961</v>
      </c>
      <c r="F35" s="123">
        <v>4577</v>
      </c>
    </row>
    <row r="36" spans="1:7" ht="15.75" x14ac:dyDescent="0.25">
      <c r="A36" s="203" t="str">
        <f>"3903781"</f>
        <v>3903781</v>
      </c>
      <c r="B36" s="207" t="s">
        <v>2830</v>
      </c>
      <c r="C36" s="209">
        <v>7.82</v>
      </c>
      <c r="D36" s="203">
        <v>322866</v>
      </c>
      <c r="E36" s="205">
        <v>43922.921712962961</v>
      </c>
      <c r="F36" s="123">
        <v>4578</v>
      </c>
    </row>
    <row r="37" spans="1:7" ht="15.75" x14ac:dyDescent="0.25">
      <c r="A37" s="203" t="str">
        <f>"3903061"</f>
        <v>3903061</v>
      </c>
      <c r="B37" s="207" t="s">
        <v>2832</v>
      </c>
      <c r="C37" s="209">
        <v>6.94</v>
      </c>
      <c r="D37" s="203">
        <v>322977</v>
      </c>
      <c r="E37" s="205">
        <v>43922.921712962961</v>
      </c>
      <c r="F37" s="123">
        <v>4579</v>
      </c>
    </row>
    <row r="38" spans="1:7" ht="15.75" x14ac:dyDescent="0.25">
      <c r="A38" s="203" t="str">
        <f>"3902419"</f>
        <v>3902419</v>
      </c>
      <c r="B38" s="207" t="s">
        <v>2821</v>
      </c>
      <c r="C38" s="209">
        <v>3.74</v>
      </c>
      <c r="D38" s="203">
        <v>323889</v>
      </c>
      <c r="E38" s="205">
        <v>43922.921712962961</v>
      </c>
      <c r="F38" s="123">
        <v>4580</v>
      </c>
    </row>
    <row r="39" spans="1:7" ht="15.75" x14ac:dyDescent="0.25">
      <c r="A39" s="203" t="str">
        <f>"3950033"</f>
        <v>3950033</v>
      </c>
      <c r="B39" s="207" t="s">
        <v>2828</v>
      </c>
      <c r="C39" s="209">
        <v>8.3800000000000008</v>
      </c>
      <c r="D39" s="203">
        <v>322655</v>
      </c>
      <c r="E39" s="205">
        <v>43922.921712962961</v>
      </c>
      <c r="F39" s="123">
        <v>4581</v>
      </c>
    </row>
    <row r="40" spans="1:7" ht="15.75" x14ac:dyDescent="0.25">
      <c r="A40" s="203" t="str">
        <f>"3945221"</f>
        <v>3945221</v>
      </c>
      <c r="B40" s="207" t="s">
        <v>5751</v>
      </c>
      <c r="C40" s="209">
        <v>6.72</v>
      </c>
      <c r="D40" s="203">
        <v>322853</v>
      </c>
      <c r="E40" s="205">
        <v>43922.921712962961</v>
      </c>
      <c r="F40" s="123">
        <v>4582</v>
      </c>
    </row>
    <row r="41" spans="1:7" ht="15.75" x14ac:dyDescent="0.25">
      <c r="A41" s="203" t="str">
        <f>"3903127"</f>
        <v>3903127</v>
      </c>
      <c r="B41" s="207" t="s">
        <v>2840</v>
      </c>
      <c r="C41" s="209">
        <v>1.68</v>
      </c>
      <c r="D41" s="203">
        <v>323054</v>
      </c>
      <c r="E41" s="205">
        <v>43922.921712962961</v>
      </c>
      <c r="F41" s="123">
        <v>4583</v>
      </c>
    </row>
    <row r="42" spans="1:7" ht="15.75" x14ac:dyDescent="0.25">
      <c r="A42" s="203" t="str">
        <f>"3945105"</f>
        <v>3945105</v>
      </c>
      <c r="B42" s="207" t="s">
        <v>5750</v>
      </c>
      <c r="C42" s="209">
        <v>8.3800000000000008</v>
      </c>
      <c r="D42" s="203">
        <v>322729</v>
      </c>
      <c r="E42" s="205">
        <v>43922.921712962961</v>
      </c>
      <c r="F42" s="123">
        <v>4584</v>
      </c>
    </row>
    <row r="43" spans="1:7" ht="15.75" x14ac:dyDescent="0.25">
      <c r="A43" s="203" t="str">
        <f>"3907541"</f>
        <v>3907541</v>
      </c>
      <c r="B43" s="207" t="s">
        <v>2841</v>
      </c>
      <c r="C43" s="209">
        <v>3.62</v>
      </c>
      <c r="D43" s="203">
        <v>323073</v>
      </c>
      <c r="E43" s="205">
        <v>43922.921712962961</v>
      </c>
      <c r="F43" s="123">
        <v>4585</v>
      </c>
    </row>
    <row r="44" spans="1:7" ht="15.75" x14ac:dyDescent="0.25">
      <c r="A44" s="203" t="str">
        <f>"3909936"</f>
        <v>3909936</v>
      </c>
      <c r="B44" s="207" t="s">
        <v>2820</v>
      </c>
      <c r="C44" s="209">
        <v>5.26</v>
      </c>
      <c r="D44" s="203">
        <v>323207</v>
      </c>
      <c r="E44" s="205">
        <v>43922.921712962961</v>
      </c>
      <c r="F44" s="123">
        <v>4586</v>
      </c>
    </row>
    <row r="45" spans="1:7" ht="15.75" x14ac:dyDescent="0.25">
      <c r="A45" s="203" t="str">
        <f>"3960277"</f>
        <v>3960277</v>
      </c>
      <c r="B45" s="207" t="s">
        <v>2838</v>
      </c>
      <c r="C45" s="209">
        <v>8.75</v>
      </c>
      <c r="D45" s="203">
        <v>322668</v>
      </c>
      <c r="E45" s="205">
        <v>43922.921712962961</v>
      </c>
      <c r="F45" s="123">
        <v>4587</v>
      </c>
    </row>
    <row r="46" spans="1:7" ht="15.75" x14ac:dyDescent="0.25">
      <c r="A46" s="203" t="str">
        <f>"3960212"</f>
        <v>3960212</v>
      </c>
      <c r="B46" s="207" t="s">
        <v>2837</v>
      </c>
      <c r="C46" s="209">
        <v>8.44</v>
      </c>
      <c r="D46" s="203">
        <v>322683</v>
      </c>
      <c r="E46" s="205">
        <v>43922.921712962961</v>
      </c>
      <c r="F46" s="123">
        <v>4588</v>
      </c>
    </row>
    <row r="47" spans="1:7" ht="15.75" x14ac:dyDescent="0.25">
      <c r="A47" s="203" t="str">
        <f>"3901398"</f>
        <v>3901398</v>
      </c>
      <c r="B47" s="207" t="s">
        <v>2829</v>
      </c>
      <c r="C47" s="209">
        <v>4.12</v>
      </c>
      <c r="D47" s="203">
        <v>324285</v>
      </c>
      <c r="E47" s="205">
        <v>43922.921712962961</v>
      </c>
      <c r="F47" s="123">
        <v>4589</v>
      </c>
    </row>
    <row r="48" spans="1:7" ht="15.75" x14ac:dyDescent="0.25">
      <c r="A48" s="203" t="str">
        <f>"3909039"</f>
        <v>3909039</v>
      </c>
      <c r="B48" s="207" t="s">
        <v>2833</v>
      </c>
      <c r="C48" s="209">
        <v>1.68</v>
      </c>
      <c r="D48" s="203">
        <v>323642</v>
      </c>
      <c r="E48" s="205">
        <v>43922.921712962961</v>
      </c>
      <c r="F48" s="123">
        <v>4590</v>
      </c>
    </row>
    <row r="49" spans="1:6" ht="15.75" x14ac:dyDescent="0.25">
      <c r="A49" s="203" t="str">
        <f>"3906802"</f>
        <v>3906802</v>
      </c>
      <c r="B49" s="207" t="s">
        <v>2822</v>
      </c>
      <c r="C49" s="209">
        <v>1.68</v>
      </c>
      <c r="D49" s="203">
        <v>323757</v>
      </c>
      <c r="E49" s="205">
        <v>43922.921712962961</v>
      </c>
      <c r="F49" s="123">
        <v>4591</v>
      </c>
    </row>
    <row r="50" spans="1:6" ht="15.75" x14ac:dyDescent="0.25">
      <c r="A50" s="203" t="str">
        <f>"3945435"</f>
        <v>3945435</v>
      </c>
      <c r="B50" s="207" t="s">
        <v>2834</v>
      </c>
      <c r="C50" s="209">
        <v>8.3800000000000008</v>
      </c>
      <c r="D50" s="203">
        <v>322769</v>
      </c>
      <c r="E50" s="205">
        <v>43922.921712962961</v>
      </c>
      <c r="F50" s="123">
        <v>4592</v>
      </c>
    </row>
    <row r="51" spans="1:6" ht="15.75" x14ac:dyDescent="0.25">
      <c r="A51" s="203" t="str">
        <f>"3903467"</f>
        <v>3903467</v>
      </c>
      <c r="B51" s="207" t="s">
        <v>2823</v>
      </c>
      <c r="C51" s="209">
        <v>1.92</v>
      </c>
      <c r="D51" s="203">
        <v>323289</v>
      </c>
      <c r="E51" s="205">
        <v>43922.921712962961</v>
      </c>
      <c r="F51" s="123">
        <v>4593</v>
      </c>
    </row>
    <row r="52" spans="1:6" ht="15.75" x14ac:dyDescent="0.25">
      <c r="A52" s="203" t="str">
        <f>"3903364"</f>
        <v>3903364</v>
      </c>
      <c r="B52" s="207" t="s">
        <v>2825</v>
      </c>
      <c r="C52" s="209">
        <v>6.14</v>
      </c>
      <c r="D52" s="203">
        <v>323338</v>
      </c>
      <c r="E52" s="205">
        <v>43922.921712962961</v>
      </c>
      <c r="F52" s="123">
        <v>4594</v>
      </c>
    </row>
    <row r="53" spans="1:6" ht="15.75" x14ac:dyDescent="0.25">
      <c r="A53" s="203" t="str">
        <f>"3945038"</f>
        <v>3945038</v>
      </c>
      <c r="B53" s="207" t="s">
        <v>2867</v>
      </c>
      <c r="C53" s="209">
        <v>15.3</v>
      </c>
      <c r="D53" s="203">
        <v>324883</v>
      </c>
      <c r="E53" s="205">
        <v>43922.921712962961</v>
      </c>
      <c r="F53" s="123">
        <v>4595</v>
      </c>
    </row>
    <row r="54" spans="1:6" ht="15.75" x14ac:dyDescent="0.25">
      <c r="A54" s="203" t="str">
        <f>"3901033"</f>
        <v>3901033</v>
      </c>
      <c r="B54" s="207" t="s">
        <v>2868</v>
      </c>
      <c r="C54" s="209">
        <v>34.94</v>
      </c>
      <c r="D54" s="203">
        <v>324888</v>
      </c>
      <c r="E54" s="205">
        <v>43922.921712962961</v>
      </c>
      <c r="F54" s="123">
        <v>4596</v>
      </c>
    </row>
    <row r="55" spans="1:6" ht="15.75" x14ac:dyDescent="0.25">
      <c r="A55" s="203" t="str">
        <f>"3909054"</f>
        <v>3909054</v>
      </c>
      <c r="B55" s="207" t="s">
        <v>2864</v>
      </c>
      <c r="C55" s="209">
        <v>1.95</v>
      </c>
      <c r="D55" s="203">
        <v>325118</v>
      </c>
      <c r="E55" s="205">
        <v>43922.921712962961</v>
      </c>
      <c r="F55" s="123">
        <v>4597</v>
      </c>
    </row>
    <row r="56" spans="1:6" ht="15.75" x14ac:dyDescent="0.25">
      <c r="A56" s="203" t="str">
        <f>"3907922"</f>
        <v>3907922</v>
      </c>
      <c r="B56" s="207" t="s">
        <v>2860</v>
      </c>
      <c r="C56" s="209">
        <v>1.68</v>
      </c>
      <c r="D56" s="203">
        <v>325114</v>
      </c>
      <c r="E56" s="205">
        <v>43922.921712962961</v>
      </c>
      <c r="F56" s="123">
        <v>4598</v>
      </c>
    </row>
    <row r="57" spans="1:6" ht="15.75" x14ac:dyDescent="0.25">
      <c r="A57" s="203" t="str">
        <f>"3908672"</f>
        <v>3908672</v>
      </c>
      <c r="B57" s="207" t="s">
        <v>2863</v>
      </c>
      <c r="C57" s="209">
        <v>2.2599999999999998</v>
      </c>
      <c r="D57" s="203">
        <v>324991</v>
      </c>
      <c r="E57" s="205">
        <v>43922.921712962961</v>
      </c>
      <c r="F57" s="123">
        <v>4599</v>
      </c>
    </row>
    <row r="58" spans="1:6" ht="15.75" x14ac:dyDescent="0.25">
      <c r="A58" s="203" t="str">
        <f>"3906796"</f>
        <v>3906796</v>
      </c>
      <c r="B58" s="207" t="s">
        <v>2861</v>
      </c>
      <c r="C58" s="209">
        <v>9.39</v>
      </c>
      <c r="D58" s="203">
        <v>325131</v>
      </c>
      <c r="E58" s="205">
        <v>43922.921712962961</v>
      </c>
      <c r="F58" s="123">
        <v>4600</v>
      </c>
    </row>
    <row r="59" spans="1:6" ht="15.75" x14ac:dyDescent="0.25">
      <c r="A59" s="203" t="str">
        <f>"3908716"</f>
        <v>3908716</v>
      </c>
      <c r="B59" s="207" t="s">
        <v>2862</v>
      </c>
      <c r="C59" s="209">
        <v>32.4</v>
      </c>
      <c r="D59" s="203">
        <v>325000</v>
      </c>
      <c r="E59" s="205">
        <v>43922.921712962961</v>
      </c>
      <c r="F59" s="123">
        <v>4601</v>
      </c>
    </row>
    <row r="60" spans="1:6" s="164" customFormat="1" x14ac:dyDescent="0.25">
      <c r="A60" s="115"/>
      <c r="B60" s="115" t="s">
        <v>5691</v>
      </c>
      <c r="C60" s="167">
        <f>SUM(C3:C59)</f>
        <v>419.03</v>
      </c>
      <c r="D60" s="115">
        <v>1</v>
      </c>
      <c r="E60" s="163"/>
      <c r="F60" s="115"/>
    </row>
    <row r="61" spans="1:6" x14ac:dyDescent="0.25">
      <c r="A61" s="118"/>
      <c r="B61" s="116"/>
      <c r="C61" s="166"/>
      <c r="D61" s="118"/>
      <c r="E61" s="117"/>
      <c r="F61" s="118"/>
    </row>
    <row r="62" spans="1:6" ht="15.75" x14ac:dyDescent="0.25">
      <c r="A62" s="203" t="str">
        <f>"3901461"</f>
        <v>3901461</v>
      </c>
      <c r="B62" s="207" t="s">
        <v>2931</v>
      </c>
      <c r="C62" s="209">
        <v>15.3</v>
      </c>
      <c r="D62" s="203">
        <v>324894</v>
      </c>
      <c r="E62" s="205">
        <v>43927.641585648147</v>
      </c>
      <c r="F62" s="123">
        <v>4747</v>
      </c>
    </row>
    <row r="63" spans="1:6" s="164" customFormat="1" x14ac:dyDescent="0.25">
      <c r="A63" s="115"/>
      <c r="B63" s="115" t="s">
        <v>5691</v>
      </c>
      <c r="C63" s="167">
        <f>SUM(C62)</f>
        <v>15.3</v>
      </c>
      <c r="D63" s="115">
        <v>2</v>
      </c>
      <c r="E63" s="163"/>
      <c r="F63" s="115"/>
    </row>
    <row r="64" spans="1:6" x14ac:dyDescent="0.25">
      <c r="A64" s="118"/>
      <c r="B64" s="116"/>
      <c r="C64" s="166"/>
      <c r="D64" s="118"/>
      <c r="E64" s="117"/>
      <c r="F64" s="118"/>
    </row>
    <row r="65" spans="1:6" ht="15.75" x14ac:dyDescent="0.25">
      <c r="A65" s="203" t="str">
        <f>"3903064"</f>
        <v>3903064</v>
      </c>
      <c r="B65" s="207" t="s">
        <v>5760</v>
      </c>
      <c r="C65" s="209">
        <v>16.12</v>
      </c>
      <c r="D65" s="203">
        <v>322978</v>
      </c>
      <c r="E65" s="205">
        <v>43928.435740740744</v>
      </c>
      <c r="F65" s="123" t="s">
        <v>5821</v>
      </c>
    </row>
    <row r="66" spans="1:6" ht="15.75" x14ac:dyDescent="0.25">
      <c r="A66" s="203" t="str">
        <f>"3903516"</f>
        <v>3903516</v>
      </c>
      <c r="B66" s="207" t="s">
        <v>2785</v>
      </c>
      <c r="C66" s="209">
        <v>5.76</v>
      </c>
      <c r="D66" s="203">
        <v>323805</v>
      </c>
      <c r="E66" s="205">
        <v>43928.475104166668</v>
      </c>
      <c r="F66" s="123">
        <v>4760</v>
      </c>
    </row>
    <row r="67" spans="1:6" ht="15.75" x14ac:dyDescent="0.25">
      <c r="A67" s="203" t="str">
        <f>"3908182"</f>
        <v>3908182</v>
      </c>
      <c r="B67" s="207" t="s">
        <v>5820</v>
      </c>
      <c r="C67" s="209">
        <v>0.16</v>
      </c>
      <c r="D67" s="203">
        <v>324781</v>
      </c>
      <c r="E67" s="205">
        <v>43928.684606481482</v>
      </c>
      <c r="F67" s="123">
        <v>4761</v>
      </c>
    </row>
    <row r="68" spans="1:6" s="164" customFormat="1" x14ac:dyDescent="0.25">
      <c r="A68" s="115"/>
      <c r="B68" s="115" t="s">
        <v>5691</v>
      </c>
      <c r="C68" s="167">
        <f>SUM(C65:C67)</f>
        <v>22.040000000000003</v>
      </c>
      <c r="D68" s="115">
        <v>3</v>
      </c>
      <c r="E68" s="163"/>
      <c r="F68" s="115"/>
    </row>
    <row r="69" spans="1:6" x14ac:dyDescent="0.25">
      <c r="A69" s="118"/>
      <c r="B69" s="116"/>
      <c r="C69" s="166"/>
      <c r="D69" s="118"/>
      <c r="E69" s="117"/>
      <c r="F69" s="118"/>
    </row>
    <row r="70" spans="1:6" ht="15.75" x14ac:dyDescent="0.25">
      <c r="A70" s="203" t="str">
        <f>"3907862"</f>
        <v>3907862</v>
      </c>
      <c r="B70" s="207" t="s">
        <v>2997</v>
      </c>
      <c r="C70" s="209">
        <v>4.41</v>
      </c>
      <c r="D70" s="203">
        <v>323472</v>
      </c>
      <c r="E70" s="205">
        <v>43930.346863425926</v>
      </c>
      <c r="F70" s="123">
        <v>4839</v>
      </c>
    </row>
    <row r="71" spans="1:6" ht="15.75" x14ac:dyDescent="0.25">
      <c r="A71" s="203" t="str">
        <f>"3960105"</f>
        <v>3960105</v>
      </c>
      <c r="B71" s="207" t="s">
        <v>5819</v>
      </c>
      <c r="C71" s="209">
        <v>9.59</v>
      </c>
      <c r="D71" s="203">
        <v>322788</v>
      </c>
      <c r="E71" s="205">
        <v>43930.48642361111</v>
      </c>
      <c r="F71" s="123">
        <v>4840</v>
      </c>
    </row>
    <row r="72" spans="1:6" s="164" customFormat="1" x14ac:dyDescent="0.25">
      <c r="A72" s="115"/>
      <c r="B72" s="115" t="s">
        <v>5691</v>
      </c>
      <c r="C72" s="167">
        <f>SUM(C70:C71)</f>
        <v>14</v>
      </c>
      <c r="D72" s="115">
        <v>4</v>
      </c>
      <c r="E72" s="163"/>
      <c r="F72" s="115"/>
    </row>
    <row r="73" spans="1:6" x14ac:dyDescent="0.25">
      <c r="A73" s="118"/>
      <c r="B73" s="116"/>
      <c r="C73" s="166"/>
      <c r="D73" s="118"/>
      <c r="E73" s="117"/>
      <c r="F73" s="118"/>
    </row>
    <row r="74" spans="1:6" ht="15.75" x14ac:dyDescent="0.25">
      <c r="A74" s="203" t="str">
        <f>"3930231"</f>
        <v>3930231</v>
      </c>
      <c r="B74" s="207" t="s">
        <v>5741</v>
      </c>
      <c r="C74" s="209">
        <v>6.69</v>
      </c>
      <c r="D74" s="203">
        <v>323504</v>
      </c>
      <c r="E74" s="205">
        <v>43934.759930555556</v>
      </c>
      <c r="F74" s="123">
        <v>4872</v>
      </c>
    </row>
    <row r="75" spans="1:6" ht="15.75" x14ac:dyDescent="0.25">
      <c r="A75" s="203" t="str">
        <f>"23923168"</f>
        <v>23923168</v>
      </c>
      <c r="B75" s="207" t="s">
        <v>5818</v>
      </c>
      <c r="C75" s="209">
        <v>4.58</v>
      </c>
      <c r="D75" s="203">
        <v>1539</v>
      </c>
      <c r="E75" s="205">
        <v>43934.443993055553</v>
      </c>
      <c r="F75" s="123">
        <v>4873</v>
      </c>
    </row>
    <row r="76" spans="1:6" ht="15.75" x14ac:dyDescent="0.25">
      <c r="A76" s="203" t="str">
        <f>"23923173"</f>
        <v>23923173</v>
      </c>
      <c r="B76" s="207" t="s">
        <v>5818</v>
      </c>
      <c r="C76" s="209">
        <v>3.36</v>
      </c>
      <c r="D76" s="203">
        <v>1541</v>
      </c>
      <c r="E76" s="205">
        <v>43934.447048611109</v>
      </c>
      <c r="F76" s="123">
        <v>4874</v>
      </c>
    </row>
    <row r="77" spans="1:6" ht="15.75" x14ac:dyDescent="0.25">
      <c r="A77" s="203" t="str">
        <f>"3945113"</f>
        <v>3945113</v>
      </c>
      <c r="B77" s="207" t="s">
        <v>2790</v>
      </c>
      <c r="C77" s="209">
        <v>8.3800000000000008</v>
      </c>
      <c r="D77" s="203">
        <v>322740</v>
      </c>
      <c r="E77" s="205">
        <v>43934.529988425929</v>
      </c>
      <c r="F77" s="123">
        <v>4875</v>
      </c>
    </row>
    <row r="78" spans="1:6" ht="15.75" x14ac:dyDescent="0.25">
      <c r="A78" s="203" t="str">
        <f>"3902009"</f>
        <v>3902009</v>
      </c>
      <c r="B78" s="207" t="s">
        <v>2890</v>
      </c>
      <c r="C78" s="209">
        <v>3.36</v>
      </c>
      <c r="D78" s="203">
        <v>325039</v>
      </c>
      <c r="E78" s="205">
        <v>43934.577280092592</v>
      </c>
      <c r="F78" s="123">
        <v>4876</v>
      </c>
    </row>
    <row r="79" spans="1:6" s="164" customFormat="1" x14ac:dyDescent="0.25">
      <c r="A79" s="115"/>
      <c r="B79" s="115" t="s">
        <v>5691</v>
      </c>
      <c r="C79" s="167">
        <f>SUM(C74:C78)</f>
        <v>26.369999999999997</v>
      </c>
      <c r="D79" s="115">
        <v>5</v>
      </c>
      <c r="E79" s="163"/>
      <c r="F79" s="115"/>
    </row>
    <row r="80" spans="1:6" x14ac:dyDescent="0.25">
      <c r="A80" s="118"/>
      <c r="B80" s="116"/>
      <c r="C80" s="166"/>
      <c r="D80" s="118"/>
      <c r="E80" s="117"/>
      <c r="F80" s="118"/>
    </row>
    <row r="81" spans="1:6" ht="15.75" x14ac:dyDescent="0.25">
      <c r="A81" s="203" t="str">
        <f>"3960269"</f>
        <v>3960269</v>
      </c>
      <c r="B81" s="207" t="s">
        <v>2927</v>
      </c>
      <c r="C81" s="209">
        <v>12.3</v>
      </c>
      <c r="D81" s="203">
        <v>322644</v>
      </c>
      <c r="E81" s="205">
        <v>43935.452499999999</v>
      </c>
      <c r="F81" s="123">
        <v>4884</v>
      </c>
    </row>
    <row r="82" spans="1:6" ht="15.75" x14ac:dyDescent="0.25">
      <c r="A82" s="203" t="str">
        <f>"3960310"</f>
        <v>3960310</v>
      </c>
      <c r="B82" s="207" t="s">
        <v>2870</v>
      </c>
      <c r="C82" s="209">
        <v>10.32</v>
      </c>
      <c r="D82" s="203">
        <v>322795</v>
      </c>
      <c r="E82" s="205">
        <v>43935.456678240742</v>
      </c>
      <c r="F82" s="123">
        <v>4885</v>
      </c>
    </row>
    <row r="83" spans="1:6" ht="15.75" x14ac:dyDescent="0.25">
      <c r="A83" s="203" t="str">
        <f>"3900244"</f>
        <v>3900244</v>
      </c>
      <c r="B83" s="207" t="s">
        <v>2926</v>
      </c>
      <c r="C83" s="209">
        <v>12.86</v>
      </c>
      <c r="D83" s="203">
        <v>325236</v>
      </c>
      <c r="E83" s="205">
        <v>43935.494884259257</v>
      </c>
      <c r="F83" s="123">
        <v>4886</v>
      </c>
    </row>
    <row r="84" spans="1:6" ht="15.75" x14ac:dyDescent="0.25">
      <c r="A84" s="203" t="str">
        <f>"3960375"</f>
        <v>3960375</v>
      </c>
      <c r="B84" s="207" t="s">
        <v>2936</v>
      </c>
      <c r="C84" s="209">
        <v>4.1900000000000004</v>
      </c>
      <c r="D84" s="203">
        <v>322760</v>
      </c>
      <c r="E84" s="205">
        <v>43935.511678240742</v>
      </c>
      <c r="F84" s="123">
        <v>4887</v>
      </c>
    </row>
    <row r="85" spans="1:6" ht="15.75" x14ac:dyDescent="0.25">
      <c r="A85" s="203" t="str">
        <f>"3901995"</f>
        <v>3901995</v>
      </c>
      <c r="B85" s="207" t="s">
        <v>5817</v>
      </c>
      <c r="C85" s="209">
        <v>20.59</v>
      </c>
      <c r="D85" s="203">
        <v>324043</v>
      </c>
      <c r="E85" s="205">
        <v>43935.607106481482</v>
      </c>
      <c r="F85" s="123">
        <v>4888</v>
      </c>
    </row>
    <row r="86" spans="1:6" ht="15.75" x14ac:dyDescent="0.25">
      <c r="A86" s="203" t="str">
        <f>"3960274"</f>
        <v>3960274</v>
      </c>
      <c r="B86" s="207" t="s">
        <v>2798</v>
      </c>
      <c r="C86" s="209">
        <v>6.96</v>
      </c>
      <c r="D86" s="203">
        <v>322647</v>
      </c>
      <c r="E86" s="205">
        <v>43935.736701388887</v>
      </c>
      <c r="F86" s="123">
        <v>4889</v>
      </c>
    </row>
    <row r="87" spans="1:6" s="164" customFormat="1" x14ac:dyDescent="0.25">
      <c r="A87" s="115"/>
      <c r="B87" s="115" t="s">
        <v>5691</v>
      </c>
      <c r="C87" s="167">
        <f>SUM(C81:C86)</f>
        <v>67.22</v>
      </c>
      <c r="D87" s="115">
        <v>6</v>
      </c>
      <c r="E87" s="163"/>
      <c r="F87" s="115"/>
    </row>
    <row r="88" spans="1:6" x14ac:dyDescent="0.25">
      <c r="A88" s="118"/>
      <c r="B88" s="116"/>
      <c r="C88" s="166"/>
      <c r="D88" s="118"/>
      <c r="E88" s="117"/>
      <c r="F88" s="118"/>
    </row>
    <row r="89" spans="1:6" ht="15.75" x14ac:dyDescent="0.25">
      <c r="A89" s="203" t="str">
        <f>"3907960"</f>
        <v>3907960</v>
      </c>
      <c r="B89" s="207" t="s">
        <v>2916</v>
      </c>
      <c r="C89" s="209">
        <v>8.48</v>
      </c>
      <c r="D89" s="203">
        <v>323870</v>
      </c>
      <c r="E89" s="205">
        <v>43936.558055555557</v>
      </c>
      <c r="F89" s="123">
        <v>4949</v>
      </c>
    </row>
    <row r="90" spans="1:6" s="164" customFormat="1" x14ac:dyDescent="0.25">
      <c r="A90" s="115"/>
      <c r="B90" s="115" t="s">
        <v>5691</v>
      </c>
      <c r="C90" s="167">
        <f>SUM(C89)</f>
        <v>8.48</v>
      </c>
      <c r="D90" s="115">
        <v>7</v>
      </c>
      <c r="E90" s="163"/>
      <c r="F90" s="115"/>
    </row>
    <row r="91" spans="1:6" x14ac:dyDescent="0.25">
      <c r="A91" s="118"/>
      <c r="B91" s="116"/>
      <c r="C91" s="166"/>
      <c r="D91" s="118"/>
      <c r="E91" s="117"/>
      <c r="F91" s="118"/>
    </row>
    <row r="92" spans="1:6" ht="15.75" x14ac:dyDescent="0.25">
      <c r="A92" s="203" t="str">
        <f>"3908639"</f>
        <v>3908639</v>
      </c>
      <c r="B92" s="207" t="s">
        <v>2906</v>
      </c>
      <c r="C92" s="209">
        <v>3.92</v>
      </c>
      <c r="D92" s="203">
        <v>325210</v>
      </c>
      <c r="E92" s="205">
        <v>43937.544710648152</v>
      </c>
      <c r="F92" s="123">
        <v>4964</v>
      </c>
    </row>
    <row r="93" spans="1:6" ht="15.75" x14ac:dyDescent="0.25">
      <c r="A93" s="203" t="str">
        <f>"3930394"</f>
        <v>3930394</v>
      </c>
      <c r="B93" s="207" t="s">
        <v>2813</v>
      </c>
      <c r="C93" s="209">
        <v>2.36</v>
      </c>
      <c r="D93" s="203">
        <v>323861</v>
      </c>
      <c r="E93" s="205">
        <v>43937.776620370372</v>
      </c>
      <c r="F93" s="123">
        <v>4965</v>
      </c>
    </row>
    <row r="94" spans="1:6" s="164" customFormat="1" x14ac:dyDescent="0.25">
      <c r="A94" s="115"/>
      <c r="B94" s="115" t="s">
        <v>5691</v>
      </c>
      <c r="C94" s="167">
        <f>SUM(C92:C93)</f>
        <v>6.2799999999999994</v>
      </c>
      <c r="D94" s="115">
        <v>8</v>
      </c>
      <c r="E94" s="163"/>
      <c r="F94" s="115"/>
    </row>
    <row r="95" spans="1:6" x14ac:dyDescent="0.25">
      <c r="A95" s="118"/>
      <c r="B95" s="116"/>
      <c r="C95" s="166"/>
      <c r="D95" s="118"/>
      <c r="E95" s="117"/>
      <c r="F95" s="118"/>
    </row>
    <row r="96" spans="1:6" ht="15.75" x14ac:dyDescent="0.25">
      <c r="A96" s="203" t="str">
        <f>"3906750"</f>
        <v>3906750</v>
      </c>
      <c r="B96" s="207" t="s">
        <v>2911</v>
      </c>
      <c r="C96" s="209">
        <v>8.7899999999999991</v>
      </c>
      <c r="D96" s="203">
        <v>323589</v>
      </c>
      <c r="E96" s="205">
        <v>43938.580300925925</v>
      </c>
      <c r="F96" s="123">
        <v>4996</v>
      </c>
    </row>
    <row r="97" spans="1:6" s="164" customFormat="1" x14ac:dyDescent="0.25">
      <c r="A97" s="115"/>
      <c r="B97" s="115" t="s">
        <v>5691</v>
      </c>
      <c r="C97" s="167">
        <f>SUM(C95:C96)</f>
        <v>8.7899999999999991</v>
      </c>
      <c r="D97" s="115">
        <v>9</v>
      </c>
      <c r="E97" s="163"/>
      <c r="F97" s="115"/>
    </row>
    <row r="98" spans="1:6" x14ac:dyDescent="0.25">
      <c r="A98" s="118"/>
      <c r="B98" s="116"/>
      <c r="C98" s="166"/>
      <c r="D98" s="118"/>
      <c r="E98" s="117"/>
      <c r="F98" s="118"/>
    </row>
    <row r="99" spans="1:6" ht="15.75" x14ac:dyDescent="0.25">
      <c r="A99" s="203" t="str">
        <f>"3960252"</f>
        <v>3960252</v>
      </c>
      <c r="B99" s="207" t="s">
        <v>5816</v>
      </c>
      <c r="C99" s="209">
        <v>9.18</v>
      </c>
      <c r="D99" s="203">
        <v>322718</v>
      </c>
      <c r="E99" s="205">
        <v>43941.827199074076</v>
      </c>
      <c r="F99" s="123">
        <v>5028</v>
      </c>
    </row>
    <row r="100" spans="1:6" s="164" customFormat="1" x14ac:dyDescent="0.25">
      <c r="A100" s="115"/>
      <c r="B100" s="115" t="s">
        <v>5691</v>
      </c>
      <c r="C100" s="167">
        <f>SUM(C98:C99)</f>
        <v>9.18</v>
      </c>
      <c r="D100" s="115">
        <v>10</v>
      </c>
      <c r="E100" s="163"/>
      <c r="F100" s="115"/>
    </row>
    <row r="101" spans="1:6" x14ac:dyDescent="0.25">
      <c r="A101" s="118"/>
      <c r="B101" s="116"/>
      <c r="C101" s="166"/>
      <c r="D101" s="118"/>
      <c r="E101" s="117"/>
      <c r="F101" s="118"/>
    </row>
    <row r="102" spans="1:6" ht="15.75" x14ac:dyDescent="0.25">
      <c r="A102" s="203" t="str">
        <f>"3960259"</f>
        <v>3960259</v>
      </c>
      <c r="B102" s="207" t="s">
        <v>5815</v>
      </c>
      <c r="C102" s="209">
        <v>23.46</v>
      </c>
      <c r="D102" s="203">
        <v>319876</v>
      </c>
      <c r="E102" s="205">
        <v>43942.378310185188</v>
      </c>
      <c r="F102" s="123">
        <v>5053</v>
      </c>
    </row>
    <row r="103" spans="1:6" ht="15.75" x14ac:dyDescent="0.25">
      <c r="A103" s="203" t="str">
        <f>"3960369"</f>
        <v>3960369</v>
      </c>
      <c r="B103" s="207" t="s">
        <v>2937</v>
      </c>
      <c r="C103" s="209">
        <v>8.3800000000000008</v>
      </c>
      <c r="D103" s="203">
        <v>322744</v>
      </c>
      <c r="E103" s="205">
        <v>43942.40520833333</v>
      </c>
      <c r="F103" s="123">
        <v>5050</v>
      </c>
    </row>
    <row r="104" spans="1:6" ht="15.75" x14ac:dyDescent="0.25">
      <c r="A104" s="203" t="str">
        <f>"3909067"</f>
        <v>3909067</v>
      </c>
      <c r="B104" s="207" t="s">
        <v>5814</v>
      </c>
      <c r="C104" s="209">
        <v>10.65</v>
      </c>
      <c r="D104" s="203">
        <v>323649</v>
      </c>
      <c r="E104" s="205">
        <v>43942.708564814813</v>
      </c>
      <c r="F104" s="123">
        <v>5051</v>
      </c>
    </row>
    <row r="105" spans="1:6" ht="15.75" x14ac:dyDescent="0.25">
      <c r="A105" s="203" t="str">
        <f>"3945208"</f>
        <v>3945208</v>
      </c>
      <c r="B105" s="207" t="s">
        <v>5813</v>
      </c>
      <c r="C105" s="209">
        <v>8.3800000000000008</v>
      </c>
      <c r="D105" s="203">
        <v>322848</v>
      </c>
      <c r="E105" s="205">
        <v>43942.748703703706</v>
      </c>
      <c r="F105" s="123">
        <v>5052</v>
      </c>
    </row>
    <row r="106" spans="1:6" s="164" customFormat="1" x14ac:dyDescent="0.25">
      <c r="A106" s="115"/>
      <c r="B106" s="115" t="s">
        <v>5691</v>
      </c>
      <c r="C106" s="167">
        <f>SUM(C102:C105)</f>
        <v>50.870000000000005</v>
      </c>
      <c r="D106" s="115">
        <v>11</v>
      </c>
      <c r="E106" s="163"/>
      <c r="F106" s="115"/>
    </row>
    <row r="107" spans="1:6" x14ac:dyDescent="0.25">
      <c r="A107" s="118"/>
      <c r="B107" s="116"/>
      <c r="C107" s="166"/>
      <c r="D107" s="118"/>
      <c r="E107" s="117"/>
      <c r="F107" s="118"/>
    </row>
    <row r="108" spans="1:6" ht="15.75" x14ac:dyDescent="0.25">
      <c r="A108" s="203" t="str">
        <f>"3960357"</f>
        <v>3960357</v>
      </c>
      <c r="B108" s="207" t="s">
        <v>5729</v>
      </c>
      <c r="C108" s="209">
        <v>30.37</v>
      </c>
      <c r="D108" s="203">
        <v>325549</v>
      </c>
      <c r="E108" s="205">
        <v>43943.61550925926</v>
      </c>
      <c r="F108" s="123">
        <v>5081</v>
      </c>
    </row>
    <row r="109" spans="1:6" ht="15.75" x14ac:dyDescent="0.25">
      <c r="A109" s="203" t="str">
        <f>"3906769"</f>
        <v>3906769</v>
      </c>
      <c r="B109" s="207" t="s">
        <v>5812</v>
      </c>
      <c r="C109" s="209">
        <v>28.63</v>
      </c>
      <c r="D109" s="203">
        <v>326349</v>
      </c>
      <c r="E109" s="205">
        <v>43943.672847222224</v>
      </c>
      <c r="F109" s="123">
        <v>5082</v>
      </c>
    </row>
    <row r="110" spans="1:6" s="164" customFormat="1" x14ac:dyDescent="0.25">
      <c r="A110" s="115"/>
      <c r="B110" s="115" t="s">
        <v>5691</v>
      </c>
      <c r="C110" s="167">
        <f>SUM(C108:C109)</f>
        <v>59</v>
      </c>
      <c r="D110" s="115">
        <v>12</v>
      </c>
      <c r="E110" s="163"/>
      <c r="F110" s="115"/>
    </row>
    <row r="111" spans="1:6" x14ac:dyDescent="0.25">
      <c r="A111" s="118"/>
      <c r="B111" s="116"/>
      <c r="C111" s="166"/>
      <c r="D111" s="118"/>
      <c r="E111" s="117"/>
      <c r="F111" s="118"/>
    </row>
    <row r="112" spans="1:6" ht="15.75" x14ac:dyDescent="0.25">
      <c r="A112" s="203" t="str">
        <f>"3906902"</f>
        <v>3906902</v>
      </c>
      <c r="B112" s="207" t="s">
        <v>5811</v>
      </c>
      <c r="C112" s="209">
        <v>6.76</v>
      </c>
      <c r="D112" s="203">
        <v>326675</v>
      </c>
      <c r="E112" s="205">
        <v>43944.38857638889</v>
      </c>
      <c r="F112" s="123">
        <v>5145</v>
      </c>
    </row>
    <row r="113" spans="1:6" ht="15.75" x14ac:dyDescent="0.25">
      <c r="A113" s="203" t="str">
        <f>"3945410"</f>
        <v>3945410</v>
      </c>
      <c r="B113" s="207" t="s">
        <v>5702</v>
      </c>
      <c r="C113" s="209">
        <v>8.3800000000000008</v>
      </c>
      <c r="D113" s="203">
        <v>325521</v>
      </c>
      <c r="E113" s="205">
        <v>43944.422581018516</v>
      </c>
      <c r="F113" s="123">
        <v>5146</v>
      </c>
    </row>
    <row r="114" spans="1:6" ht="15.75" x14ac:dyDescent="0.25">
      <c r="A114" s="203" t="str">
        <f>"3900174"</f>
        <v>3900174</v>
      </c>
      <c r="B114" s="207" t="s">
        <v>5701</v>
      </c>
      <c r="C114" s="209">
        <v>3.95</v>
      </c>
      <c r="D114" s="203">
        <v>326838</v>
      </c>
      <c r="E114" s="205">
        <v>43944.495983796296</v>
      </c>
      <c r="F114" s="123">
        <v>5147</v>
      </c>
    </row>
    <row r="115" spans="1:6" ht="15.75" x14ac:dyDescent="0.25">
      <c r="A115" s="203" t="str">
        <f>"3902164"</f>
        <v>3902164</v>
      </c>
      <c r="B115" s="207" t="s">
        <v>5742</v>
      </c>
      <c r="C115" s="209">
        <v>9.0399999999999991</v>
      </c>
      <c r="D115" s="203">
        <v>326722</v>
      </c>
      <c r="E115" s="205">
        <v>43944.52685185185</v>
      </c>
      <c r="F115" s="123">
        <v>5148</v>
      </c>
    </row>
    <row r="116" spans="1:6" ht="15.75" x14ac:dyDescent="0.25">
      <c r="A116" s="203" t="str">
        <f>"3960091"</f>
        <v>3960091</v>
      </c>
      <c r="B116" s="207" t="s">
        <v>5810</v>
      </c>
      <c r="C116" s="209">
        <v>15.52</v>
      </c>
      <c r="D116" s="203">
        <v>325568</v>
      </c>
      <c r="E116" s="205">
        <v>43944.588275462964</v>
      </c>
      <c r="F116" s="123">
        <v>5149</v>
      </c>
    </row>
    <row r="117" spans="1:6" ht="15.75" x14ac:dyDescent="0.25">
      <c r="A117" s="203" t="str">
        <f>"3900383"</f>
        <v>3900383</v>
      </c>
      <c r="B117" s="207" t="s">
        <v>2974</v>
      </c>
      <c r="C117" s="209">
        <v>3.17</v>
      </c>
      <c r="D117" s="203">
        <v>326918</v>
      </c>
      <c r="E117" s="205">
        <v>43944.600775462961</v>
      </c>
      <c r="F117" s="123">
        <v>5150</v>
      </c>
    </row>
    <row r="118" spans="1:6" ht="15.75" x14ac:dyDescent="0.25">
      <c r="A118" s="203" t="str">
        <f>"3903082"</f>
        <v>3903082</v>
      </c>
      <c r="B118" s="207" t="s">
        <v>5784</v>
      </c>
      <c r="C118" s="209">
        <v>1.94</v>
      </c>
      <c r="D118" s="203">
        <v>325208</v>
      </c>
      <c r="E118" s="205">
        <v>43944.609467592592</v>
      </c>
      <c r="F118" s="123">
        <v>5151</v>
      </c>
    </row>
    <row r="119" spans="1:6" ht="15.75" x14ac:dyDescent="0.25">
      <c r="A119" s="203" t="str">
        <f>"3908129"</f>
        <v>3908129</v>
      </c>
      <c r="B119" s="207" t="s">
        <v>5809</v>
      </c>
      <c r="C119" s="209">
        <v>1.41</v>
      </c>
      <c r="D119" s="203">
        <v>327537</v>
      </c>
      <c r="E119" s="205">
        <v>43944.716631944444</v>
      </c>
      <c r="F119" s="123">
        <v>5152</v>
      </c>
    </row>
    <row r="120" spans="1:6" s="164" customFormat="1" x14ac:dyDescent="0.25">
      <c r="A120" s="115"/>
      <c r="B120" s="115" t="s">
        <v>5691</v>
      </c>
      <c r="C120" s="167">
        <f>SUM(C112:C119)</f>
        <v>50.169999999999995</v>
      </c>
      <c r="D120" s="115">
        <v>13</v>
      </c>
      <c r="E120" s="163"/>
      <c r="F120" s="115"/>
    </row>
    <row r="121" spans="1:6" x14ac:dyDescent="0.25">
      <c r="A121" s="118"/>
      <c r="B121" s="116"/>
      <c r="C121" s="166"/>
      <c r="D121" s="118"/>
      <c r="E121" s="117"/>
      <c r="F121" s="118"/>
    </row>
    <row r="122" spans="1:6" ht="15.75" x14ac:dyDescent="0.25">
      <c r="A122" s="203" t="str">
        <f>"3907279"</f>
        <v>3907279</v>
      </c>
      <c r="B122" s="207" t="s">
        <v>5808</v>
      </c>
      <c r="C122" s="209">
        <v>2.96</v>
      </c>
      <c r="D122" s="203">
        <v>327396</v>
      </c>
      <c r="E122" s="205">
        <v>43945.371481481481</v>
      </c>
      <c r="F122" s="123">
        <v>5207</v>
      </c>
    </row>
    <row r="123" spans="1:6" ht="15.75" x14ac:dyDescent="0.25">
      <c r="A123" s="203" t="str">
        <f>"3907618"</f>
        <v>3907618</v>
      </c>
      <c r="B123" s="207" t="s">
        <v>2783</v>
      </c>
      <c r="C123" s="209">
        <v>10.66</v>
      </c>
      <c r="D123" s="203">
        <v>327499</v>
      </c>
      <c r="E123" s="205">
        <v>43945.402037037034</v>
      </c>
      <c r="F123" s="123">
        <v>5208</v>
      </c>
    </row>
    <row r="124" spans="1:6" ht="15.75" x14ac:dyDescent="0.25">
      <c r="A124" s="203" t="str">
        <f>"3909053"</f>
        <v>3909053</v>
      </c>
      <c r="B124" s="207" t="s">
        <v>5807</v>
      </c>
      <c r="C124" s="209">
        <v>6.72</v>
      </c>
      <c r="D124" s="203">
        <v>326416</v>
      </c>
      <c r="E124" s="205">
        <v>43945.501539351855</v>
      </c>
      <c r="F124" s="123">
        <v>5209</v>
      </c>
    </row>
    <row r="125" spans="1:6" s="164" customFormat="1" x14ac:dyDescent="0.25">
      <c r="A125" s="115"/>
      <c r="B125" s="115" t="s">
        <v>5691</v>
      </c>
      <c r="C125" s="167">
        <f>SUM(C122:C124)</f>
        <v>20.34</v>
      </c>
      <c r="D125" s="115">
        <v>14</v>
      </c>
      <c r="E125" s="163"/>
      <c r="F125" s="115"/>
    </row>
    <row r="126" spans="1:6" x14ac:dyDescent="0.25">
      <c r="A126" s="118"/>
      <c r="B126" s="116"/>
      <c r="C126" s="166"/>
      <c r="D126" s="118"/>
      <c r="E126" s="117"/>
      <c r="F126" s="118"/>
    </row>
    <row r="127" spans="1:6" ht="15.75" x14ac:dyDescent="0.25">
      <c r="A127" s="203" t="str">
        <f>"3960344"</f>
        <v>3960344</v>
      </c>
      <c r="B127" s="207" t="s">
        <v>2953</v>
      </c>
      <c r="C127" s="209">
        <v>8.3800000000000008</v>
      </c>
      <c r="D127" s="203">
        <v>325489</v>
      </c>
      <c r="E127" s="205">
        <v>43948.684027777781</v>
      </c>
      <c r="F127" s="123">
        <v>5239</v>
      </c>
    </row>
    <row r="128" spans="1:6" ht="15.75" x14ac:dyDescent="0.25">
      <c r="A128" s="203" t="str">
        <f>"3960320"</f>
        <v>3960320</v>
      </c>
      <c r="B128" s="207" t="s">
        <v>5806</v>
      </c>
      <c r="C128" s="209">
        <v>75.209999999999994</v>
      </c>
      <c r="D128" s="203">
        <v>325577</v>
      </c>
      <c r="E128" s="205">
        <v>43948.86277777778</v>
      </c>
      <c r="F128" s="123">
        <v>5240</v>
      </c>
    </row>
    <row r="129" spans="1:6" ht="15.75" x14ac:dyDescent="0.25">
      <c r="A129" s="203" t="str">
        <f>"3908064"</f>
        <v>3908064</v>
      </c>
      <c r="B129" s="207" t="s">
        <v>2976</v>
      </c>
      <c r="C129" s="209">
        <v>19.5</v>
      </c>
      <c r="D129" s="203">
        <v>326698</v>
      </c>
      <c r="E129" s="205">
        <v>43948.431770833333</v>
      </c>
      <c r="F129" s="123">
        <v>5241</v>
      </c>
    </row>
    <row r="130" spans="1:6" ht="15.75" x14ac:dyDescent="0.25">
      <c r="A130" s="203" t="str">
        <f>"3930394"</f>
        <v>3930394</v>
      </c>
      <c r="B130" s="207" t="s">
        <v>2813</v>
      </c>
      <c r="C130" s="209">
        <v>4.55</v>
      </c>
      <c r="D130" s="203">
        <v>326632</v>
      </c>
      <c r="E130" s="205">
        <v>43948.700092592589</v>
      </c>
      <c r="F130" s="123">
        <v>5242</v>
      </c>
    </row>
    <row r="131" spans="1:6" ht="15.75" x14ac:dyDescent="0.25">
      <c r="A131" s="203" t="str">
        <f>"3907257"</f>
        <v>3907257</v>
      </c>
      <c r="B131" s="207" t="s">
        <v>2956</v>
      </c>
      <c r="C131" s="209">
        <v>0.11</v>
      </c>
      <c r="D131" s="203">
        <v>325729</v>
      </c>
      <c r="E131" s="205">
        <v>43948.431168981479</v>
      </c>
      <c r="F131" s="123">
        <v>5243</v>
      </c>
    </row>
    <row r="132" spans="1:6" ht="15.75" x14ac:dyDescent="0.25">
      <c r="A132" s="203" t="str">
        <f>"3908224"</f>
        <v>3908224</v>
      </c>
      <c r="B132" s="207" t="s">
        <v>5805</v>
      </c>
      <c r="C132" s="209">
        <v>3.27</v>
      </c>
      <c r="D132" s="203">
        <v>327579</v>
      </c>
      <c r="E132" s="205">
        <v>43948.7346875</v>
      </c>
      <c r="F132" s="123">
        <v>5244</v>
      </c>
    </row>
    <row r="133" spans="1:6" ht="15.75" x14ac:dyDescent="0.25">
      <c r="A133" s="203" t="str">
        <f>"3909929"</f>
        <v>3909929</v>
      </c>
      <c r="B133" s="207" t="s">
        <v>2981</v>
      </c>
      <c r="C133" s="209">
        <v>5.14</v>
      </c>
      <c r="D133" s="203">
        <v>325853</v>
      </c>
      <c r="E133" s="205">
        <v>43948.771122685182</v>
      </c>
      <c r="F133" s="123">
        <v>5245</v>
      </c>
    </row>
    <row r="134" spans="1:6" ht="15.75" x14ac:dyDescent="0.25">
      <c r="A134" s="203" t="str">
        <f>"3903841"</f>
        <v>3903841</v>
      </c>
      <c r="B134" s="207" t="s">
        <v>5780</v>
      </c>
      <c r="C134" s="209">
        <v>4.3</v>
      </c>
      <c r="D134" s="203">
        <v>327279</v>
      </c>
      <c r="E134" s="205">
        <v>43948.786840277775</v>
      </c>
      <c r="F134" s="123">
        <v>5246</v>
      </c>
    </row>
    <row r="135" spans="1:6" ht="15.75" x14ac:dyDescent="0.25">
      <c r="A135" s="203" t="str">
        <f>"3900343"</f>
        <v>3900343</v>
      </c>
      <c r="B135" s="207" t="s">
        <v>5804</v>
      </c>
      <c r="C135" s="209">
        <v>5.23</v>
      </c>
      <c r="D135" s="203">
        <v>325244</v>
      </c>
      <c r="E135" s="205">
        <v>43948.87158564815</v>
      </c>
      <c r="F135" s="123">
        <v>5247</v>
      </c>
    </row>
    <row r="136" spans="1:6" s="164" customFormat="1" x14ac:dyDescent="0.25">
      <c r="A136" s="115"/>
      <c r="B136" s="115" t="s">
        <v>5691</v>
      </c>
      <c r="C136" s="167">
        <f>SUM(C127:C135)</f>
        <v>125.68999999999998</v>
      </c>
      <c r="D136" s="115">
        <v>15</v>
      </c>
      <c r="E136" s="163"/>
      <c r="F136" s="115"/>
    </row>
    <row r="137" spans="1:6" x14ac:dyDescent="0.25">
      <c r="A137" s="118"/>
      <c r="B137" s="116"/>
      <c r="C137" s="166"/>
      <c r="D137" s="118"/>
      <c r="E137" s="117"/>
      <c r="F137" s="118"/>
    </row>
    <row r="138" spans="1:6" ht="15.75" x14ac:dyDescent="0.25">
      <c r="A138" s="203" t="str">
        <f>"3960392"</f>
        <v>3960392</v>
      </c>
      <c r="B138" s="207" t="s">
        <v>2872</v>
      </c>
      <c r="C138" s="209">
        <v>16.760000000000002</v>
      </c>
      <c r="D138" s="203">
        <v>325546</v>
      </c>
      <c r="E138" s="205">
        <v>43949.693599537037</v>
      </c>
      <c r="F138" s="123">
        <v>5279</v>
      </c>
    </row>
    <row r="139" spans="1:6" ht="15.75" x14ac:dyDescent="0.25">
      <c r="A139" s="203" t="str">
        <f>"3902256"</f>
        <v>3902256</v>
      </c>
      <c r="B139" s="207" t="s">
        <v>5803</v>
      </c>
      <c r="C139" s="209">
        <v>8.85</v>
      </c>
      <c r="D139" s="203">
        <v>326188</v>
      </c>
      <c r="E139" s="205">
        <v>43949.699178240742</v>
      </c>
      <c r="F139" s="123">
        <v>5280</v>
      </c>
    </row>
    <row r="140" spans="1:6" s="164" customFormat="1" x14ac:dyDescent="0.25">
      <c r="A140" s="115"/>
      <c r="B140" s="115" t="s">
        <v>5691</v>
      </c>
      <c r="C140" s="167">
        <f>SUM(C138:C139)</f>
        <v>25.61</v>
      </c>
      <c r="D140" s="115">
        <v>16</v>
      </c>
      <c r="E140" s="163"/>
      <c r="F140" s="115"/>
    </row>
    <row r="141" spans="1:6" x14ac:dyDescent="0.25">
      <c r="A141" s="118"/>
      <c r="B141" s="116"/>
      <c r="C141" s="166"/>
      <c r="D141" s="118"/>
      <c r="E141" s="117"/>
      <c r="F141" s="118"/>
    </row>
    <row r="142" spans="1:6" ht="15.75" x14ac:dyDescent="0.25">
      <c r="A142" s="203" t="str">
        <f>"3960323"</f>
        <v>3960323</v>
      </c>
      <c r="B142" s="207" t="s">
        <v>5802</v>
      </c>
      <c r="C142" s="209">
        <v>16.760000000000002</v>
      </c>
      <c r="D142" s="203">
        <v>325571</v>
      </c>
      <c r="E142" s="205">
        <v>43950.375868055555</v>
      </c>
      <c r="F142" s="123">
        <v>5328</v>
      </c>
    </row>
    <row r="143" spans="1:6" ht="15.75" x14ac:dyDescent="0.25">
      <c r="A143" s="203" t="str">
        <f>"3902247"</f>
        <v>3902247</v>
      </c>
      <c r="B143" s="207" t="s">
        <v>3002</v>
      </c>
      <c r="C143" s="209">
        <v>2.34</v>
      </c>
      <c r="D143" s="203">
        <v>326749</v>
      </c>
      <c r="E143" s="205">
        <v>43950.397581018522</v>
      </c>
      <c r="F143" s="123">
        <v>5329</v>
      </c>
    </row>
    <row r="144" spans="1:6" ht="15.75" x14ac:dyDescent="0.25">
      <c r="A144" s="203" t="str">
        <f>"3920065"</f>
        <v>3920065</v>
      </c>
      <c r="B144" s="207" t="s">
        <v>2895</v>
      </c>
      <c r="C144" s="209">
        <v>15.3</v>
      </c>
      <c r="D144" s="203">
        <v>324874</v>
      </c>
      <c r="E144" s="205">
        <v>43950.436805555553</v>
      </c>
      <c r="F144" s="123">
        <v>5330</v>
      </c>
    </row>
    <row r="145" spans="1:6" ht="15.75" x14ac:dyDescent="0.25">
      <c r="A145" s="203" t="str">
        <f>"3907152"</f>
        <v>3907152</v>
      </c>
      <c r="B145" s="207" t="s">
        <v>5703</v>
      </c>
      <c r="C145" s="209">
        <v>13.88</v>
      </c>
      <c r="D145" s="203">
        <v>325700</v>
      </c>
      <c r="E145" s="205">
        <v>43950.542048611111</v>
      </c>
      <c r="F145" s="123">
        <v>5331</v>
      </c>
    </row>
    <row r="146" spans="1:6" ht="15.75" x14ac:dyDescent="0.25">
      <c r="A146" s="203" t="str">
        <f>"3907535"</f>
        <v>3907535</v>
      </c>
      <c r="B146" s="207" t="s">
        <v>2977</v>
      </c>
      <c r="C146" s="209">
        <v>1.68</v>
      </c>
      <c r="D146" s="203">
        <v>325897</v>
      </c>
      <c r="E146" s="205">
        <v>43950.572013888886</v>
      </c>
      <c r="F146" s="123">
        <v>5333</v>
      </c>
    </row>
    <row r="147" spans="1:6" ht="15.75" x14ac:dyDescent="0.25">
      <c r="A147" s="203" t="str">
        <f>"3909086"</f>
        <v>3909086</v>
      </c>
      <c r="B147" s="207" t="s">
        <v>2962</v>
      </c>
      <c r="C147" s="209">
        <v>3.09</v>
      </c>
      <c r="D147" s="203">
        <v>326424</v>
      </c>
      <c r="E147" s="205">
        <v>43950.642592592594</v>
      </c>
      <c r="F147" s="123">
        <v>5332</v>
      </c>
    </row>
    <row r="148" spans="1:6" s="164" customFormat="1" x14ac:dyDescent="0.25">
      <c r="A148" s="115"/>
      <c r="B148" s="115" t="s">
        <v>5691</v>
      </c>
      <c r="C148" s="167">
        <f>SUM(C142:C147)</f>
        <v>53.050000000000011</v>
      </c>
      <c r="D148" s="115">
        <v>17</v>
      </c>
      <c r="E148" s="163"/>
      <c r="F148" s="115"/>
    </row>
    <row r="149" spans="1:6" x14ac:dyDescent="0.25">
      <c r="A149" s="118"/>
      <c r="B149" s="116"/>
      <c r="C149" s="166"/>
      <c r="D149" s="118"/>
      <c r="E149" s="117"/>
      <c r="F149" s="118"/>
    </row>
    <row r="150" spans="1:6" ht="15.75" x14ac:dyDescent="0.25">
      <c r="A150" s="203" t="str">
        <f>"3960310"</f>
        <v>3960310</v>
      </c>
      <c r="B150" s="207" t="s">
        <v>2870</v>
      </c>
      <c r="C150" s="209">
        <v>12.03</v>
      </c>
      <c r="D150" s="203">
        <v>325552</v>
      </c>
      <c r="E150" s="205">
        <v>43951.34171296296</v>
      </c>
      <c r="F150" s="123">
        <v>5385</v>
      </c>
    </row>
    <row r="151" spans="1:6" ht="15.75" x14ac:dyDescent="0.25">
      <c r="A151" s="203" t="str">
        <f>"3960265"</f>
        <v>3960265</v>
      </c>
      <c r="B151" s="207" t="s">
        <v>2999</v>
      </c>
      <c r="C151" s="209">
        <v>25.58</v>
      </c>
      <c r="D151" s="203">
        <v>325399</v>
      </c>
      <c r="E151" s="205">
        <v>43951.495717592596</v>
      </c>
      <c r="F151" s="123">
        <v>5386</v>
      </c>
    </row>
    <row r="152" spans="1:6" ht="15.75" x14ac:dyDescent="0.25">
      <c r="A152" s="203" t="str">
        <f>"3903105"</f>
        <v>3903105</v>
      </c>
      <c r="B152" s="207" t="s">
        <v>2903</v>
      </c>
      <c r="C152" s="209">
        <v>1.94</v>
      </c>
      <c r="D152" s="203">
        <v>325212</v>
      </c>
      <c r="E152" s="205">
        <v>43951.523634259262</v>
      </c>
      <c r="F152" s="123">
        <v>5387</v>
      </c>
    </row>
    <row r="153" spans="1:6" ht="15.75" x14ac:dyDescent="0.25">
      <c r="A153" s="203" t="str">
        <f>"3900576"</f>
        <v>3900576</v>
      </c>
      <c r="B153" s="207" t="s">
        <v>2995</v>
      </c>
      <c r="C153" s="209">
        <v>1.68</v>
      </c>
      <c r="D153" s="203">
        <v>326986</v>
      </c>
      <c r="E153" s="205">
        <v>43951.863645833335</v>
      </c>
      <c r="F153" s="123">
        <v>5388</v>
      </c>
    </row>
    <row r="154" spans="1:6" s="164" customFormat="1" x14ac:dyDescent="0.25">
      <c r="A154" s="115"/>
      <c r="B154" s="115" t="s">
        <v>5691</v>
      </c>
      <c r="C154" s="167">
        <f>SUM(C150:C153)</f>
        <v>41.23</v>
      </c>
      <c r="D154" s="115">
        <v>18</v>
      </c>
      <c r="E154" s="163"/>
      <c r="F154" s="115"/>
    </row>
    <row r="155" spans="1:6" s="164" customFormat="1" x14ac:dyDescent="0.25">
      <c r="A155" s="115"/>
      <c r="B155" s="115"/>
      <c r="C155" s="167"/>
      <c r="D155" s="115"/>
      <c r="E155" s="163"/>
      <c r="F155" s="115"/>
    </row>
    <row r="156" spans="1:6" s="212" customFormat="1" x14ac:dyDescent="0.25">
      <c r="A156" s="211"/>
      <c r="C156" s="213"/>
      <c r="D156" s="211"/>
      <c r="E156" s="214"/>
      <c r="F156" s="211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2" fitToHeight="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BCEA2-3005-44E0-92D9-13DE80750778}">
  <sheetPr>
    <pageSetUpPr fitToPage="1"/>
  </sheetPr>
  <dimension ref="A1:K153"/>
  <sheetViews>
    <sheetView topLeftCell="A88" workbookViewId="0">
      <selection activeCell="A102" sqref="A102:XFD105"/>
    </sheetView>
  </sheetViews>
  <sheetFormatPr baseColWidth="10" defaultColWidth="27" defaultRowHeight="15.75" x14ac:dyDescent="0.25"/>
  <cols>
    <col min="1" max="1" width="9.85546875" style="137" bestFit="1" customWidth="1"/>
    <col min="2" max="2" width="9" style="137" bestFit="1" customWidth="1"/>
    <col min="3" max="3" width="36.28515625" style="215" customWidth="1"/>
    <col min="4" max="4" width="9.85546875" style="137" bestFit="1" customWidth="1"/>
    <col min="5" max="5" width="11" style="142" customWidth="1"/>
    <col min="6" max="6" width="15.42578125" style="137" bestFit="1" customWidth="1"/>
    <col min="7" max="7" width="8.7109375" style="137" bestFit="1" customWidth="1"/>
    <col min="8" max="8" width="6.85546875" style="137" customWidth="1"/>
    <col min="9" max="10" width="27" style="137"/>
    <col min="11" max="11" width="1.5703125" style="137" bestFit="1" customWidth="1"/>
    <col min="12" max="16384" width="27" style="137"/>
  </cols>
  <sheetData>
    <row r="1" spans="1:8" ht="16.5" thickBot="1" x14ac:dyDescent="0.3">
      <c r="A1" s="380" t="s">
        <v>9342</v>
      </c>
      <c r="B1" s="381"/>
      <c r="C1" s="381"/>
      <c r="D1" s="381"/>
      <c r="E1" s="381"/>
      <c r="F1" s="381"/>
      <c r="G1" s="143"/>
      <c r="H1" s="201"/>
    </row>
    <row r="2" spans="1:8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ht="31.5" x14ac:dyDescent="0.25">
      <c r="A3" s="134" t="s">
        <v>9333</v>
      </c>
      <c r="B3" s="134" t="s">
        <v>9341</v>
      </c>
      <c r="C3" s="132" t="s">
        <v>9340</v>
      </c>
      <c r="D3" s="134" t="s">
        <v>4241</v>
      </c>
      <c r="E3" s="139">
        <v>6.08</v>
      </c>
      <c r="F3" s="134" t="s">
        <v>4240</v>
      </c>
      <c r="G3" s="134" t="s">
        <v>3007</v>
      </c>
      <c r="H3" s="123">
        <v>4541</v>
      </c>
    </row>
    <row r="4" spans="1:8" ht="31.5" x14ac:dyDescent="0.25">
      <c r="A4" s="134" t="s">
        <v>9333</v>
      </c>
      <c r="B4" s="134" t="s">
        <v>9339</v>
      </c>
      <c r="C4" s="132" t="s">
        <v>9338</v>
      </c>
      <c r="D4" s="134" t="s">
        <v>5423</v>
      </c>
      <c r="E4" s="139">
        <v>3.46</v>
      </c>
      <c r="F4" s="134" t="s">
        <v>5422</v>
      </c>
      <c r="G4" s="134" t="s">
        <v>3007</v>
      </c>
      <c r="H4" s="123">
        <v>4542</v>
      </c>
    </row>
    <row r="5" spans="1:8" ht="31.5" x14ac:dyDescent="0.25">
      <c r="A5" s="134" t="s">
        <v>9333</v>
      </c>
      <c r="B5" s="134" t="s">
        <v>9337</v>
      </c>
      <c r="C5" s="132" t="s">
        <v>9336</v>
      </c>
      <c r="D5" s="134" t="s">
        <v>9335</v>
      </c>
      <c r="E5" s="139">
        <v>15.77</v>
      </c>
      <c r="F5" s="134" t="s">
        <v>9334</v>
      </c>
      <c r="G5" s="134" t="s">
        <v>3007</v>
      </c>
      <c r="H5" s="123">
        <v>4543</v>
      </c>
    </row>
    <row r="6" spans="1:8" ht="31.5" x14ac:dyDescent="0.25">
      <c r="A6" s="134" t="s">
        <v>9333</v>
      </c>
      <c r="B6" s="134" t="s">
        <v>9332</v>
      </c>
      <c r="C6" s="132" t="s">
        <v>9331</v>
      </c>
      <c r="D6" s="134" t="s">
        <v>6402</v>
      </c>
      <c r="E6" s="139">
        <v>4.41</v>
      </c>
      <c r="F6" s="134" t="s">
        <v>6401</v>
      </c>
      <c r="G6" s="134" t="s">
        <v>3007</v>
      </c>
      <c r="H6" s="123">
        <v>4544</v>
      </c>
    </row>
    <row r="7" spans="1:8" ht="31.5" x14ac:dyDescent="0.25">
      <c r="A7" s="134" t="s">
        <v>9326</v>
      </c>
      <c r="B7" s="134" t="s">
        <v>9330</v>
      </c>
      <c r="C7" s="132" t="s">
        <v>9329</v>
      </c>
      <c r="D7" s="134" t="s">
        <v>5618</v>
      </c>
      <c r="E7" s="139">
        <v>2.3199999999999998</v>
      </c>
      <c r="F7" s="134" t="s">
        <v>5617</v>
      </c>
      <c r="G7" s="134" t="s">
        <v>3007</v>
      </c>
      <c r="H7" s="123">
        <v>4612</v>
      </c>
    </row>
    <row r="8" spans="1:8" ht="31.5" x14ac:dyDescent="0.25">
      <c r="A8" s="134" t="s">
        <v>9326</v>
      </c>
      <c r="B8" s="134" t="s">
        <v>9328</v>
      </c>
      <c r="C8" s="132" t="s">
        <v>9327</v>
      </c>
      <c r="D8" s="134" t="s">
        <v>7258</v>
      </c>
      <c r="E8" s="139">
        <v>11.38</v>
      </c>
      <c r="F8" s="134" t="s">
        <v>7257</v>
      </c>
      <c r="G8" s="134" t="s">
        <v>3007</v>
      </c>
      <c r="H8" s="123">
        <v>4613</v>
      </c>
    </row>
    <row r="9" spans="1:8" ht="31.5" x14ac:dyDescent="0.25">
      <c r="A9" s="134" t="s">
        <v>9326</v>
      </c>
      <c r="B9" s="134" t="s">
        <v>9275</v>
      </c>
      <c r="C9" s="132" t="s">
        <v>9325</v>
      </c>
      <c r="D9" s="134" t="s">
        <v>4867</v>
      </c>
      <c r="E9" s="139">
        <v>4.26</v>
      </c>
      <c r="F9" s="134" t="s">
        <v>4866</v>
      </c>
      <c r="G9" s="134" t="s">
        <v>3007</v>
      </c>
      <c r="H9" s="123">
        <v>4614</v>
      </c>
    </row>
    <row r="10" spans="1:8" ht="31.5" x14ac:dyDescent="0.25">
      <c r="A10" s="134" t="s">
        <v>9310</v>
      </c>
      <c r="B10" s="134" t="s">
        <v>9324</v>
      </c>
      <c r="C10" s="132" t="s">
        <v>9323</v>
      </c>
      <c r="D10" s="134" t="s">
        <v>9322</v>
      </c>
      <c r="E10" s="139">
        <v>0.25</v>
      </c>
      <c r="F10" s="134" t="s">
        <v>9321</v>
      </c>
      <c r="G10" s="134" t="s">
        <v>3007</v>
      </c>
      <c r="H10" s="123">
        <v>4650</v>
      </c>
    </row>
    <row r="11" spans="1:8" ht="31.5" x14ac:dyDescent="0.25">
      <c r="A11" s="134" t="s">
        <v>9310</v>
      </c>
      <c r="B11" s="134" t="s">
        <v>9320</v>
      </c>
      <c r="C11" s="132" t="s">
        <v>9319</v>
      </c>
      <c r="D11" s="134" t="s">
        <v>4783</v>
      </c>
      <c r="E11" s="139">
        <v>3.96</v>
      </c>
      <c r="F11" s="134" t="s">
        <v>4782</v>
      </c>
      <c r="G11" s="134" t="s">
        <v>3007</v>
      </c>
      <c r="H11" s="123">
        <v>4651</v>
      </c>
    </row>
    <row r="12" spans="1:8" ht="31.5" x14ac:dyDescent="0.25">
      <c r="A12" s="134" t="s">
        <v>9310</v>
      </c>
      <c r="B12" s="134" t="s">
        <v>9318</v>
      </c>
      <c r="C12" s="132" t="s">
        <v>9317</v>
      </c>
      <c r="D12" s="134" t="s">
        <v>7248</v>
      </c>
      <c r="E12" s="139">
        <v>5.29</v>
      </c>
      <c r="F12" s="134" t="s">
        <v>7247</v>
      </c>
      <c r="G12" s="134" t="s">
        <v>3007</v>
      </c>
      <c r="H12" s="123">
        <v>4652</v>
      </c>
    </row>
    <row r="13" spans="1:8" ht="31.5" x14ac:dyDescent="0.25">
      <c r="A13" s="134" t="s">
        <v>9310</v>
      </c>
      <c r="B13" s="134" t="s">
        <v>9316</v>
      </c>
      <c r="C13" s="132" t="s">
        <v>9315</v>
      </c>
      <c r="D13" s="134" t="s">
        <v>9314</v>
      </c>
      <c r="E13" s="139">
        <v>22.92</v>
      </c>
      <c r="F13" s="134" t="s">
        <v>9313</v>
      </c>
      <c r="G13" s="134" t="s">
        <v>3007</v>
      </c>
      <c r="H13" s="123">
        <v>4653</v>
      </c>
    </row>
    <row r="14" spans="1:8" ht="31.5" x14ac:dyDescent="0.25">
      <c r="A14" s="134" t="s">
        <v>9310</v>
      </c>
      <c r="B14" s="134" t="s">
        <v>9312</v>
      </c>
      <c r="C14" s="132" t="s">
        <v>9311</v>
      </c>
      <c r="D14" s="134" t="s">
        <v>5646</v>
      </c>
      <c r="E14" s="139">
        <v>2.17</v>
      </c>
      <c r="F14" s="134" t="s">
        <v>5645</v>
      </c>
      <c r="G14" s="134" t="s">
        <v>3007</v>
      </c>
      <c r="H14" s="123">
        <v>4654</v>
      </c>
    </row>
    <row r="15" spans="1:8" ht="31.5" x14ac:dyDescent="0.25">
      <c r="A15" s="134" t="s">
        <v>9310</v>
      </c>
      <c r="B15" s="134" t="s">
        <v>9309</v>
      </c>
      <c r="C15" s="132" t="s">
        <v>9308</v>
      </c>
      <c r="D15" s="134" t="s">
        <v>6996</v>
      </c>
      <c r="E15" s="139">
        <v>8.02</v>
      </c>
      <c r="F15" s="134" t="s">
        <v>6995</v>
      </c>
      <c r="G15" s="134" t="s">
        <v>3007</v>
      </c>
      <c r="H15" s="123">
        <v>4655</v>
      </c>
    </row>
    <row r="16" spans="1:8" ht="31.5" x14ac:dyDescent="0.25">
      <c r="A16" s="134" t="s">
        <v>9307</v>
      </c>
      <c r="B16" s="134" t="s">
        <v>9306</v>
      </c>
      <c r="C16" s="132" t="s">
        <v>9305</v>
      </c>
      <c r="D16" s="134" t="s">
        <v>5444</v>
      </c>
      <c r="E16" s="139">
        <v>2.02</v>
      </c>
      <c r="F16" s="134" t="s">
        <v>5443</v>
      </c>
      <c r="G16" s="134" t="s">
        <v>3007</v>
      </c>
      <c r="H16" s="123">
        <v>4656</v>
      </c>
    </row>
    <row r="17" spans="1:8" ht="31.5" x14ac:dyDescent="0.25">
      <c r="A17" s="134" t="s">
        <v>9296</v>
      </c>
      <c r="B17" s="134" t="s">
        <v>9304</v>
      </c>
      <c r="C17" s="132" t="s">
        <v>9303</v>
      </c>
      <c r="D17" s="134" t="s">
        <v>4901</v>
      </c>
      <c r="E17" s="139">
        <v>1.71</v>
      </c>
      <c r="F17" s="134" t="s">
        <v>4900</v>
      </c>
      <c r="G17" s="134" t="s">
        <v>3007</v>
      </c>
      <c r="H17" s="123">
        <v>4657</v>
      </c>
    </row>
    <row r="18" spans="1:8" ht="31.5" x14ac:dyDescent="0.25">
      <c r="A18" s="134" t="s">
        <v>9296</v>
      </c>
      <c r="B18" s="134" t="s">
        <v>9302</v>
      </c>
      <c r="C18" s="132" t="s">
        <v>9301</v>
      </c>
      <c r="D18" s="134" t="s">
        <v>8607</v>
      </c>
      <c r="E18" s="139">
        <v>0.5</v>
      </c>
      <c r="F18" s="134" t="s">
        <v>8606</v>
      </c>
      <c r="G18" s="134" t="s">
        <v>3007</v>
      </c>
      <c r="H18" s="123">
        <v>4658</v>
      </c>
    </row>
    <row r="19" spans="1:8" ht="31.5" x14ac:dyDescent="0.25">
      <c r="A19" s="134" t="s">
        <v>9296</v>
      </c>
      <c r="B19" s="134" t="s">
        <v>9300</v>
      </c>
      <c r="C19" s="132" t="s">
        <v>9299</v>
      </c>
      <c r="D19" s="134" t="s">
        <v>5285</v>
      </c>
      <c r="E19" s="139">
        <v>8.9700000000000006</v>
      </c>
      <c r="F19" s="134" t="s">
        <v>5284</v>
      </c>
      <c r="G19" s="134" t="s">
        <v>3007</v>
      </c>
      <c r="H19" s="123">
        <v>4659</v>
      </c>
    </row>
    <row r="20" spans="1:8" ht="31.5" x14ac:dyDescent="0.25">
      <c r="A20" s="134" t="s">
        <v>9296</v>
      </c>
      <c r="B20" s="134" t="s">
        <v>9298</v>
      </c>
      <c r="C20" s="132" t="s">
        <v>9297</v>
      </c>
      <c r="D20" s="134" t="s">
        <v>3627</v>
      </c>
      <c r="E20" s="139">
        <v>10.3</v>
      </c>
      <c r="F20" s="134" t="s">
        <v>3626</v>
      </c>
      <c r="G20" s="134" t="s">
        <v>3007</v>
      </c>
      <c r="H20" s="123">
        <v>4660</v>
      </c>
    </row>
    <row r="21" spans="1:8" ht="31.5" x14ac:dyDescent="0.25">
      <c r="A21" s="134" t="s">
        <v>9296</v>
      </c>
      <c r="B21" s="134" t="s">
        <v>9295</v>
      </c>
      <c r="C21" s="132" t="s">
        <v>9294</v>
      </c>
      <c r="D21" s="134" t="s">
        <v>4587</v>
      </c>
      <c r="E21" s="139">
        <v>9.16</v>
      </c>
      <c r="F21" s="134" t="s">
        <v>4586</v>
      </c>
      <c r="G21" s="134" t="s">
        <v>3007</v>
      </c>
      <c r="H21" s="123">
        <v>4661</v>
      </c>
    </row>
    <row r="22" spans="1:8" ht="31.5" x14ac:dyDescent="0.25">
      <c r="A22" s="134" t="s">
        <v>9289</v>
      </c>
      <c r="B22" s="134" t="s">
        <v>9293</v>
      </c>
      <c r="C22" s="132" t="s">
        <v>9292</v>
      </c>
      <c r="D22" s="134" t="s">
        <v>5265</v>
      </c>
      <c r="E22" s="139">
        <v>2.84</v>
      </c>
      <c r="F22" s="134" t="s">
        <v>5264</v>
      </c>
      <c r="G22" s="134" t="s">
        <v>3007</v>
      </c>
      <c r="H22" s="123">
        <v>4744</v>
      </c>
    </row>
    <row r="23" spans="1:8" ht="31.5" x14ac:dyDescent="0.25">
      <c r="A23" s="134" t="s">
        <v>9289</v>
      </c>
      <c r="B23" s="134" t="s">
        <v>9291</v>
      </c>
      <c r="C23" s="132" t="s">
        <v>9290</v>
      </c>
      <c r="D23" s="134" t="s">
        <v>3434</v>
      </c>
      <c r="E23" s="139">
        <v>8.3800000000000008</v>
      </c>
      <c r="F23" s="134" t="s">
        <v>3433</v>
      </c>
      <c r="G23" s="134" t="s">
        <v>3007</v>
      </c>
      <c r="H23" s="123">
        <v>4745</v>
      </c>
    </row>
    <row r="24" spans="1:8" ht="31.5" x14ac:dyDescent="0.25">
      <c r="A24" s="134" t="s">
        <v>9289</v>
      </c>
      <c r="B24" s="134" t="s">
        <v>9288</v>
      </c>
      <c r="C24" s="132" t="s">
        <v>9287</v>
      </c>
      <c r="D24" s="134" t="s">
        <v>4293</v>
      </c>
      <c r="E24" s="139">
        <v>5.2</v>
      </c>
      <c r="F24" s="134" t="s">
        <v>4292</v>
      </c>
      <c r="G24" s="134" t="s">
        <v>3007</v>
      </c>
      <c r="H24" s="123">
        <v>4746</v>
      </c>
    </row>
    <row r="25" spans="1:8" ht="31.5" x14ac:dyDescent="0.25">
      <c r="A25" s="134" t="s">
        <v>9284</v>
      </c>
      <c r="B25" s="134" t="s">
        <v>9286</v>
      </c>
      <c r="C25" s="132" t="s">
        <v>9285</v>
      </c>
      <c r="D25" s="134" t="s">
        <v>6061</v>
      </c>
      <c r="E25" s="139">
        <v>4.08</v>
      </c>
      <c r="F25" s="134" t="s">
        <v>6060</v>
      </c>
      <c r="G25" s="134" t="s">
        <v>3007</v>
      </c>
      <c r="H25" s="123">
        <v>4758</v>
      </c>
    </row>
    <row r="26" spans="1:8" ht="31.5" x14ac:dyDescent="0.25">
      <c r="A26" s="134" t="s">
        <v>9284</v>
      </c>
      <c r="B26" s="134" t="s">
        <v>5287</v>
      </c>
      <c r="C26" s="132" t="s">
        <v>9283</v>
      </c>
      <c r="D26" s="134" t="s">
        <v>4297</v>
      </c>
      <c r="E26" s="139">
        <v>7.42</v>
      </c>
      <c r="F26" s="134" t="s">
        <v>4296</v>
      </c>
      <c r="G26" s="134" t="s">
        <v>3007</v>
      </c>
      <c r="H26" s="123">
        <v>4759</v>
      </c>
    </row>
    <row r="27" spans="1:8" ht="31.5" x14ac:dyDescent="0.25">
      <c r="A27" s="134" t="s">
        <v>9276</v>
      </c>
      <c r="B27" s="134" t="s">
        <v>9282</v>
      </c>
      <c r="C27" s="132" t="s">
        <v>9281</v>
      </c>
      <c r="D27" s="134" t="s">
        <v>9280</v>
      </c>
      <c r="E27" s="139">
        <v>30.4</v>
      </c>
      <c r="F27" s="134" t="s">
        <v>9279</v>
      </c>
      <c r="G27" s="134" t="s">
        <v>3007</v>
      </c>
      <c r="H27" s="123">
        <v>4768</v>
      </c>
    </row>
    <row r="28" spans="1:8" ht="31.5" x14ac:dyDescent="0.25">
      <c r="A28" s="134" t="s">
        <v>9276</v>
      </c>
      <c r="B28" s="134" t="s">
        <v>9278</v>
      </c>
      <c r="C28" s="132" t="s">
        <v>9277</v>
      </c>
      <c r="D28" s="134" t="s">
        <v>9052</v>
      </c>
      <c r="E28" s="139">
        <v>1.68</v>
      </c>
      <c r="F28" s="134" t="s">
        <v>9051</v>
      </c>
      <c r="G28" s="134" t="s">
        <v>3007</v>
      </c>
      <c r="H28" s="123">
        <v>4769</v>
      </c>
    </row>
    <row r="29" spans="1:8" ht="31.5" x14ac:dyDescent="0.25">
      <c r="A29" s="134" t="s">
        <v>9276</v>
      </c>
      <c r="B29" s="134" t="s">
        <v>9275</v>
      </c>
      <c r="C29" s="132" t="s">
        <v>9274</v>
      </c>
      <c r="D29" s="134" t="s">
        <v>9273</v>
      </c>
      <c r="E29" s="139">
        <v>10.61</v>
      </c>
      <c r="F29" s="134" t="s">
        <v>9272</v>
      </c>
      <c r="G29" s="134" t="s">
        <v>3007</v>
      </c>
      <c r="H29" s="123">
        <v>4770</v>
      </c>
    </row>
    <row r="30" spans="1:8" ht="31.5" x14ac:dyDescent="0.25">
      <c r="A30" s="134" t="s">
        <v>9257</v>
      </c>
      <c r="B30" s="134" t="s">
        <v>9271</v>
      </c>
      <c r="C30" s="132" t="s">
        <v>9270</v>
      </c>
      <c r="D30" s="134" t="s">
        <v>5376</v>
      </c>
      <c r="E30" s="139">
        <v>2.97</v>
      </c>
      <c r="F30" s="134" t="s">
        <v>5375</v>
      </c>
      <c r="G30" s="134" t="s">
        <v>3007</v>
      </c>
      <c r="H30" s="124">
        <v>4833</v>
      </c>
    </row>
    <row r="31" spans="1:8" ht="31.5" x14ac:dyDescent="0.25">
      <c r="A31" s="134" t="s">
        <v>9257</v>
      </c>
      <c r="B31" s="134" t="s">
        <v>9269</v>
      </c>
      <c r="C31" s="132" t="s">
        <v>9268</v>
      </c>
      <c r="D31" s="134" t="s">
        <v>9267</v>
      </c>
      <c r="E31" s="139">
        <v>32.590000000000003</v>
      </c>
      <c r="F31" s="134" t="s">
        <v>9266</v>
      </c>
      <c r="G31" s="134" t="s">
        <v>3007</v>
      </c>
      <c r="H31" s="124">
        <v>4834</v>
      </c>
    </row>
    <row r="32" spans="1:8" ht="31.5" x14ac:dyDescent="0.25">
      <c r="A32" s="134" t="s">
        <v>9257</v>
      </c>
      <c r="B32" s="134" t="s">
        <v>9265</v>
      </c>
      <c r="C32" s="132" t="s">
        <v>9264</v>
      </c>
      <c r="D32" s="134" t="s">
        <v>6066</v>
      </c>
      <c r="E32" s="139">
        <v>6.14</v>
      </c>
      <c r="F32" s="134" t="s">
        <v>3266</v>
      </c>
      <c r="G32" s="134" t="s">
        <v>3007</v>
      </c>
      <c r="H32" s="124">
        <v>4835</v>
      </c>
    </row>
    <row r="33" spans="1:8" ht="31.5" x14ac:dyDescent="0.25">
      <c r="A33" s="134" t="s">
        <v>9257</v>
      </c>
      <c r="B33" s="134" t="s">
        <v>9263</v>
      </c>
      <c r="C33" s="132" t="s">
        <v>9262</v>
      </c>
      <c r="D33" s="134" t="s">
        <v>9261</v>
      </c>
      <c r="E33" s="139">
        <v>12.57</v>
      </c>
      <c r="F33" s="134" t="s">
        <v>9260</v>
      </c>
      <c r="G33" s="134" t="s">
        <v>3007</v>
      </c>
      <c r="H33" s="124">
        <v>4836</v>
      </c>
    </row>
    <row r="34" spans="1:8" ht="31.5" x14ac:dyDescent="0.25">
      <c r="A34" s="134" t="s">
        <v>9257</v>
      </c>
      <c r="B34" s="134" t="s">
        <v>9259</v>
      </c>
      <c r="C34" s="132" t="s">
        <v>9258</v>
      </c>
      <c r="D34" s="134" t="s">
        <v>8211</v>
      </c>
      <c r="E34" s="139">
        <v>3.38</v>
      </c>
      <c r="F34" s="134" t="s">
        <v>8210</v>
      </c>
      <c r="G34" s="134" t="s">
        <v>3007</v>
      </c>
      <c r="H34" s="124">
        <v>4837</v>
      </c>
    </row>
    <row r="35" spans="1:8" ht="31.5" x14ac:dyDescent="0.25">
      <c r="A35" s="134" t="s">
        <v>9257</v>
      </c>
      <c r="B35" s="134" t="s">
        <v>9256</v>
      </c>
      <c r="C35" s="132" t="s">
        <v>9255</v>
      </c>
      <c r="D35" s="134" t="s">
        <v>9254</v>
      </c>
      <c r="E35" s="139">
        <v>7.49</v>
      </c>
      <c r="F35" s="134" t="s">
        <v>9253</v>
      </c>
      <c r="G35" s="134" t="s">
        <v>3007</v>
      </c>
      <c r="H35" s="124">
        <v>4838</v>
      </c>
    </row>
    <row r="36" spans="1:8" ht="31.5" x14ac:dyDescent="0.25">
      <c r="A36" s="134" t="s">
        <v>9244</v>
      </c>
      <c r="B36" s="134" t="s">
        <v>9252</v>
      </c>
      <c r="C36" s="132" t="s">
        <v>9251</v>
      </c>
      <c r="D36" s="134" t="s">
        <v>5309</v>
      </c>
      <c r="E36" s="139">
        <v>6.6</v>
      </c>
      <c r="F36" s="134" t="s">
        <v>5308</v>
      </c>
      <c r="G36" s="134" t="s">
        <v>3007</v>
      </c>
      <c r="H36" s="124">
        <v>4845</v>
      </c>
    </row>
    <row r="37" spans="1:8" ht="31.5" x14ac:dyDescent="0.25">
      <c r="A37" s="134" t="s">
        <v>9244</v>
      </c>
      <c r="B37" s="134" t="s">
        <v>9250</v>
      </c>
      <c r="C37" s="132" t="s">
        <v>9249</v>
      </c>
      <c r="D37" s="134" t="s">
        <v>9248</v>
      </c>
      <c r="E37" s="139">
        <v>5.04</v>
      </c>
      <c r="F37" s="134" t="s">
        <v>9247</v>
      </c>
      <c r="G37" s="134" t="s">
        <v>3007</v>
      </c>
      <c r="H37" s="124">
        <v>4846</v>
      </c>
    </row>
    <row r="38" spans="1:8" ht="31.5" x14ac:dyDescent="0.25">
      <c r="A38" s="134" t="s">
        <v>9244</v>
      </c>
      <c r="B38" s="134" t="s">
        <v>9246</v>
      </c>
      <c r="C38" s="132" t="s">
        <v>9245</v>
      </c>
      <c r="D38" s="134" t="s">
        <v>5032</v>
      </c>
      <c r="E38" s="139">
        <v>3.29</v>
      </c>
      <c r="F38" s="134" t="s">
        <v>5031</v>
      </c>
      <c r="G38" s="134" t="s">
        <v>3007</v>
      </c>
      <c r="H38" s="123">
        <v>4847</v>
      </c>
    </row>
    <row r="39" spans="1:8" ht="31.5" x14ac:dyDescent="0.25">
      <c r="A39" s="134" t="s">
        <v>9244</v>
      </c>
      <c r="B39" s="134" t="s">
        <v>9243</v>
      </c>
      <c r="C39" s="132" t="s">
        <v>9242</v>
      </c>
      <c r="D39" s="134" t="s">
        <v>5298</v>
      </c>
      <c r="E39" s="139">
        <v>3.12</v>
      </c>
      <c r="F39" s="134" t="s">
        <v>5297</v>
      </c>
      <c r="G39" s="134" t="s">
        <v>3007</v>
      </c>
      <c r="H39" s="123">
        <v>4848</v>
      </c>
    </row>
    <row r="40" spans="1:8" ht="31.5" x14ac:dyDescent="0.25">
      <c r="A40" s="134" t="s">
        <v>9241</v>
      </c>
      <c r="B40" s="134" t="s">
        <v>9240</v>
      </c>
      <c r="C40" s="132" t="s">
        <v>9239</v>
      </c>
      <c r="D40" s="134" t="s">
        <v>7571</v>
      </c>
      <c r="E40" s="139">
        <v>38.75</v>
      </c>
      <c r="F40" s="134" t="s">
        <v>7570</v>
      </c>
      <c r="G40" s="134" t="s">
        <v>3007</v>
      </c>
      <c r="H40" s="123">
        <v>4849</v>
      </c>
    </row>
    <row r="41" spans="1:8" s="200" customFormat="1" x14ac:dyDescent="0.25">
      <c r="A41" s="198"/>
      <c r="B41" s="198"/>
      <c r="C41" s="198" t="s">
        <v>5691</v>
      </c>
      <c r="D41" s="198" t="s">
        <v>14408</v>
      </c>
      <c r="E41" s="199">
        <f>SUM(E3:E40)</f>
        <v>315.50000000000006</v>
      </c>
      <c r="F41" s="198"/>
      <c r="G41" s="198"/>
      <c r="H41" s="172"/>
    </row>
    <row r="42" spans="1:8" s="195" customFormat="1" ht="16.5" thickBot="1" x14ac:dyDescent="0.3">
      <c r="A42" s="193"/>
      <c r="B42" s="193"/>
      <c r="C42" s="193" t="s">
        <v>14410</v>
      </c>
      <c r="D42" s="193"/>
      <c r="E42" s="197">
        <f>-0.67-97.53</f>
        <v>-98.2</v>
      </c>
      <c r="F42" s="193"/>
      <c r="G42" s="193"/>
      <c r="H42" s="123"/>
    </row>
    <row r="43" spans="1:8" s="195" customFormat="1" x14ac:dyDescent="0.25">
      <c r="A43" s="193"/>
      <c r="B43" s="193"/>
      <c r="C43" s="193" t="s">
        <v>5691</v>
      </c>
      <c r="D43" s="193"/>
      <c r="E43" s="196">
        <f>SUM(E41:E42)</f>
        <v>217.30000000000007</v>
      </c>
      <c r="F43" s="193"/>
      <c r="G43" s="193"/>
      <c r="H43" s="123"/>
    </row>
    <row r="44" spans="1:8" s="195" customFormat="1" x14ac:dyDescent="0.25">
      <c r="A44" s="193"/>
      <c r="B44" s="193"/>
      <c r="C44" s="193"/>
      <c r="D44" s="193"/>
      <c r="E44" s="196"/>
      <c r="F44" s="193"/>
      <c r="G44" s="193"/>
      <c r="H44" s="123"/>
    </row>
    <row r="45" spans="1:8" ht="31.5" x14ac:dyDescent="0.25">
      <c r="A45" s="134" t="s">
        <v>9231</v>
      </c>
      <c r="B45" s="134" t="s">
        <v>9238</v>
      </c>
      <c r="C45" s="132" t="s">
        <v>9237</v>
      </c>
      <c r="D45" s="134" t="s">
        <v>6250</v>
      </c>
      <c r="E45" s="139">
        <v>11.1</v>
      </c>
      <c r="F45" s="134" t="s">
        <v>6249</v>
      </c>
      <c r="G45" s="134" t="s">
        <v>3007</v>
      </c>
      <c r="H45" s="123">
        <v>4865</v>
      </c>
    </row>
    <row r="46" spans="1:8" ht="31.5" x14ac:dyDescent="0.25">
      <c r="A46" s="134" t="s">
        <v>9231</v>
      </c>
      <c r="B46" s="134" t="s">
        <v>5192</v>
      </c>
      <c r="C46" s="132" t="s">
        <v>9236</v>
      </c>
      <c r="D46" s="134" t="s">
        <v>7407</v>
      </c>
      <c r="E46" s="139">
        <v>2.72</v>
      </c>
      <c r="F46" s="134" t="s">
        <v>7406</v>
      </c>
      <c r="G46" s="134" t="s">
        <v>3007</v>
      </c>
      <c r="H46" s="123">
        <v>4866</v>
      </c>
    </row>
    <row r="47" spans="1:8" ht="31.5" x14ac:dyDescent="0.25">
      <c r="A47" s="134" t="s">
        <v>9231</v>
      </c>
      <c r="B47" s="134" t="s">
        <v>9235</v>
      </c>
      <c r="C47" s="132" t="s">
        <v>9234</v>
      </c>
      <c r="D47" s="134" t="s">
        <v>3579</v>
      </c>
      <c r="E47" s="139">
        <v>7.54</v>
      </c>
      <c r="F47" s="134" t="s">
        <v>3578</v>
      </c>
      <c r="G47" s="134" t="s">
        <v>3007</v>
      </c>
      <c r="H47" s="123">
        <v>4867</v>
      </c>
    </row>
    <row r="48" spans="1:8" ht="31.5" x14ac:dyDescent="0.25">
      <c r="A48" s="134" t="s">
        <v>9231</v>
      </c>
      <c r="B48" s="134" t="s">
        <v>9233</v>
      </c>
      <c r="C48" s="132" t="s">
        <v>9232</v>
      </c>
      <c r="D48" s="134" t="s">
        <v>4309</v>
      </c>
      <c r="E48" s="139">
        <v>4.1900000000000004</v>
      </c>
      <c r="F48" s="134" t="s">
        <v>4308</v>
      </c>
      <c r="G48" s="134" t="s">
        <v>3007</v>
      </c>
      <c r="H48" s="123">
        <v>4868</v>
      </c>
    </row>
    <row r="49" spans="1:11" ht="31.5" x14ac:dyDescent="0.25">
      <c r="A49" s="134" t="s">
        <v>9231</v>
      </c>
      <c r="B49" s="134" t="s">
        <v>9230</v>
      </c>
      <c r="C49" s="132" t="s">
        <v>9229</v>
      </c>
      <c r="D49" s="134" t="s">
        <v>7240</v>
      </c>
      <c r="E49" s="139">
        <v>5.97</v>
      </c>
      <c r="F49" s="134" t="s">
        <v>7239</v>
      </c>
      <c r="G49" s="134" t="s">
        <v>3007</v>
      </c>
      <c r="H49" s="123">
        <v>4869</v>
      </c>
    </row>
    <row r="50" spans="1:11" ht="31.5" x14ac:dyDescent="0.25">
      <c r="A50" s="134" t="s">
        <v>9212</v>
      </c>
      <c r="B50" s="134" t="s">
        <v>9228</v>
      </c>
      <c r="C50" s="132" t="s">
        <v>9227</v>
      </c>
      <c r="D50" s="134" t="s">
        <v>5238</v>
      </c>
      <c r="E50" s="139">
        <v>16.62</v>
      </c>
      <c r="F50" s="134" t="s">
        <v>5237</v>
      </c>
      <c r="G50" s="134" t="s">
        <v>3007</v>
      </c>
      <c r="H50" s="123">
        <v>4877</v>
      </c>
    </row>
    <row r="51" spans="1:11" ht="31.5" x14ac:dyDescent="0.25">
      <c r="A51" s="134" t="s">
        <v>9212</v>
      </c>
      <c r="B51" s="134" t="s">
        <v>9226</v>
      </c>
      <c r="C51" s="132" t="s">
        <v>9225</v>
      </c>
      <c r="D51" s="134" t="s">
        <v>6537</v>
      </c>
      <c r="E51" s="139">
        <v>1.99</v>
      </c>
      <c r="F51" s="134" t="s">
        <v>6536</v>
      </c>
      <c r="G51" s="134" t="s">
        <v>3007</v>
      </c>
      <c r="H51" s="123">
        <v>4878</v>
      </c>
      <c r="K51" s="137" t="s">
        <v>5521</v>
      </c>
    </row>
    <row r="52" spans="1:11" ht="31.5" x14ac:dyDescent="0.25">
      <c r="A52" s="134" t="s">
        <v>9212</v>
      </c>
      <c r="B52" s="134" t="s">
        <v>9224</v>
      </c>
      <c r="C52" s="132" t="s">
        <v>9223</v>
      </c>
      <c r="D52" s="134" t="s">
        <v>9222</v>
      </c>
      <c r="E52" s="139">
        <v>6.21</v>
      </c>
      <c r="F52" s="134" t="s">
        <v>9221</v>
      </c>
      <c r="G52" s="134" t="s">
        <v>3007</v>
      </c>
      <c r="H52" s="123">
        <v>4879</v>
      </c>
    </row>
    <row r="53" spans="1:11" ht="31.5" x14ac:dyDescent="0.25">
      <c r="A53" s="134" t="s">
        <v>9212</v>
      </c>
      <c r="B53" s="134" t="s">
        <v>9220</v>
      </c>
      <c r="C53" s="132" t="s">
        <v>9219</v>
      </c>
      <c r="D53" s="134" t="s">
        <v>9218</v>
      </c>
      <c r="E53" s="139">
        <v>24.6</v>
      </c>
      <c r="F53" s="134" t="s">
        <v>9217</v>
      </c>
      <c r="G53" s="134" t="s">
        <v>3007</v>
      </c>
      <c r="H53" s="123">
        <v>4880</v>
      </c>
    </row>
    <row r="54" spans="1:11" ht="31.5" x14ac:dyDescent="0.25">
      <c r="A54" s="134" t="s">
        <v>9212</v>
      </c>
      <c r="B54" s="134" t="s">
        <v>9216</v>
      </c>
      <c r="C54" s="132" t="s">
        <v>9215</v>
      </c>
      <c r="D54" s="134" t="s">
        <v>7039</v>
      </c>
      <c r="E54" s="139">
        <v>4.3099999999999996</v>
      </c>
      <c r="F54" s="134" t="s">
        <v>7038</v>
      </c>
      <c r="G54" s="134" t="s">
        <v>3007</v>
      </c>
      <c r="H54" s="123">
        <v>4882</v>
      </c>
    </row>
    <row r="55" spans="1:11" ht="31.5" x14ac:dyDescent="0.25">
      <c r="A55" s="134" t="s">
        <v>9212</v>
      </c>
      <c r="B55" s="134" t="s">
        <v>9214</v>
      </c>
      <c r="C55" s="132" t="s">
        <v>9213</v>
      </c>
      <c r="D55" s="134" t="s">
        <v>7042</v>
      </c>
      <c r="E55" s="139">
        <v>9.43</v>
      </c>
      <c r="F55" s="134" t="s">
        <v>7038</v>
      </c>
      <c r="G55" s="134" t="s">
        <v>3007</v>
      </c>
      <c r="H55" s="123">
        <v>4881</v>
      </c>
    </row>
    <row r="56" spans="1:11" ht="31.5" x14ac:dyDescent="0.25">
      <c r="A56" s="134" t="s">
        <v>9212</v>
      </c>
      <c r="B56" s="134" t="s">
        <v>9211</v>
      </c>
      <c r="C56" s="132" t="s">
        <v>9210</v>
      </c>
      <c r="D56" s="134" t="s">
        <v>6514</v>
      </c>
      <c r="E56" s="139">
        <v>1.87</v>
      </c>
      <c r="F56" s="134" t="s">
        <v>6513</v>
      </c>
      <c r="G56" s="134" t="s">
        <v>3007</v>
      </c>
      <c r="H56" s="123">
        <v>4883</v>
      </c>
    </row>
    <row r="57" spans="1:11" ht="31.5" x14ac:dyDescent="0.25">
      <c r="A57" s="134" t="s">
        <v>9195</v>
      </c>
      <c r="B57" s="134" t="s">
        <v>9209</v>
      </c>
      <c r="C57" s="132" t="s">
        <v>9208</v>
      </c>
      <c r="D57" s="134" t="s">
        <v>4346</v>
      </c>
      <c r="E57" s="139">
        <v>5.29</v>
      </c>
      <c r="F57" s="134" t="s">
        <v>4345</v>
      </c>
      <c r="G57" s="134" t="s">
        <v>3007</v>
      </c>
      <c r="H57" s="123">
        <v>4939</v>
      </c>
    </row>
    <row r="58" spans="1:11" ht="31.5" x14ac:dyDescent="0.25">
      <c r="A58" s="134" t="s">
        <v>9195</v>
      </c>
      <c r="B58" s="134" t="s">
        <v>9207</v>
      </c>
      <c r="C58" s="132" t="s">
        <v>9206</v>
      </c>
      <c r="D58" s="134" t="s">
        <v>6699</v>
      </c>
      <c r="E58" s="139">
        <v>8.15</v>
      </c>
      <c r="F58" s="134" t="s">
        <v>6698</v>
      </c>
      <c r="G58" s="134" t="s">
        <v>3007</v>
      </c>
      <c r="H58" s="123">
        <v>4940</v>
      </c>
    </row>
    <row r="59" spans="1:11" ht="31.5" x14ac:dyDescent="0.25">
      <c r="A59" s="134" t="s">
        <v>9195</v>
      </c>
      <c r="B59" s="134" t="s">
        <v>9205</v>
      </c>
      <c r="C59" s="132" t="s">
        <v>9204</v>
      </c>
      <c r="D59" s="134" t="s">
        <v>8399</v>
      </c>
      <c r="E59" s="139">
        <v>3.73</v>
      </c>
      <c r="F59" s="134" t="s">
        <v>8398</v>
      </c>
      <c r="G59" s="134" t="s">
        <v>3007</v>
      </c>
      <c r="H59" s="123">
        <v>4941</v>
      </c>
    </row>
    <row r="60" spans="1:11" ht="31.5" x14ac:dyDescent="0.25">
      <c r="A60" s="134" t="s">
        <v>9195</v>
      </c>
      <c r="B60" s="134" t="s">
        <v>9203</v>
      </c>
      <c r="C60" s="132" t="s">
        <v>9202</v>
      </c>
      <c r="D60" s="134" t="s">
        <v>9201</v>
      </c>
      <c r="E60" s="139">
        <v>1.68</v>
      </c>
      <c r="F60" s="134" t="s">
        <v>9200</v>
      </c>
      <c r="G60" s="134" t="s">
        <v>3007</v>
      </c>
      <c r="H60" s="123">
        <v>4942</v>
      </c>
    </row>
    <row r="61" spans="1:11" ht="31.5" x14ac:dyDescent="0.25">
      <c r="A61" s="134" t="s">
        <v>9195</v>
      </c>
      <c r="B61" s="134" t="s">
        <v>9199</v>
      </c>
      <c r="C61" s="132" t="s">
        <v>9198</v>
      </c>
      <c r="D61" s="134" t="s">
        <v>6057</v>
      </c>
      <c r="E61" s="139">
        <v>1.81</v>
      </c>
      <c r="F61" s="134" t="s">
        <v>6056</v>
      </c>
      <c r="G61" s="134" t="s">
        <v>3007</v>
      </c>
      <c r="H61" s="123">
        <v>4943</v>
      </c>
    </row>
    <row r="62" spans="1:11" ht="31.5" x14ac:dyDescent="0.25">
      <c r="A62" s="134" t="s">
        <v>9195</v>
      </c>
      <c r="B62" s="134" t="s">
        <v>9197</v>
      </c>
      <c r="C62" s="132" t="s">
        <v>9196</v>
      </c>
      <c r="D62" s="134" t="s">
        <v>4021</v>
      </c>
      <c r="E62" s="139">
        <v>7.59</v>
      </c>
      <c r="F62" s="134" t="s">
        <v>4020</v>
      </c>
      <c r="G62" s="134" t="s">
        <v>3007</v>
      </c>
      <c r="H62" s="123">
        <v>4944</v>
      </c>
    </row>
    <row r="63" spans="1:11" ht="31.5" x14ac:dyDescent="0.25">
      <c r="A63" s="134" t="s">
        <v>9195</v>
      </c>
      <c r="B63" s="134" t="s">
        <v>9194</v>
      </c>
      <c r="C63" s="132" t="s">
        <v>9193</v>
      </c>
      <c r="D63" s="134" t="s">
        <v>5388</v>
      </c>
      <c r="E63" s="139">
        <v>1.85</v>
      </c>
      <c r="F63" s="134" t="s">
        <v>5387</v>
      </c>
      <c r="G63" s="134" t="s">
        <v>3007</v>
      </c>
      <c r="H63" s="123">
        <v>4945</v>
      </c>
    </row>
    <row r="64" spans="1:11" ht="31.5" x14ac:dyDescent="0.25">
      <c r="A64" s="134" t="s">
        <v>9172</v>
      </c>
      <c r="B64" s="134" t="s">
        <v>9192</v>
      </c>
      <c r="C64" s="132" t="s">
        <v>9191</v>
      </c>
      <c r="D64" s="134" t="s">
        <v>9190</v>
      </c>
      <c r="E64" s="139">
        <v>2.2400000000000002</v>
      </c>
      <c r="F64" s="134" t="s">
        <v>9189</v>
      </c>
      <c r="G64" s="134" t="s">
        <v>3007</v>
      </c>
      <c r="H64" s="123">
        <v>4954</v>
      </c>
    </row>
    <row r="65" spans="1:8" ht="31.5" x14ac:dyDescent="0.25">
      <c r="A65" s="134" t="s">
        <v>9172</v>
      </c>
      <c r="B65" s="134" t="s">
        <v>9188</v>
      </c>
      <c r="C65" s="132" t="s">
        <v>9187</v>
      </c>
      <c r="D65" s="134" t="s">
        <v>7585</v>
      </c>
      <c r="E65" s="139">
        <v>8.2799999999999994</v>
      </c>
      <c r="F65" s="134" t="s">
        <v>7584</v>
      </c>
      <c r="G65" s="134" t="s">
        <v>3007</v>
      </c>
      <c r="H65" s="123">
        <v>4955</v>
      </c>
    </row>
    <row r="66" spans="1:8" ht="31.5" x14ac:dyDescent="0.25">
      <c r="A66" s="134" t="s">
        <v>9172</v>
      </c>
      <c r="B66" s="134" t="s">
        <v>9186</v>
      </c>
      <c r="C66" s="132" t="s">
        <v>9185</v>
      </c>
      <c r="D66" s="134" t="s">
        <v>6714</v>
      </c>
      <c r="E66" s="139">
        <v>5.07</v>
      </c>
      <c r="F66" s="134" t="s">
        <v>6713</v>
      </c>
      <c r="G66" s="134" t="s">
        <v>3007</v>
      </c>
      <c r="H66" s="123">
        <v>4956</v>
      </c>
    </row>
    <row r="67" spans="1:8" ht="31.5" x14ac:dyDescent="0.25">
      <c r="A67" s="134" t="s">
        <v>9172</v>
      </c>
      <c r="B67" s="134" t="s">
        <v>9184</v>
      </c>
      <c r="C67" s="132" t="s">
        <v>9183</v>
      </c>
      <c r="D67" s="134" t="s">
        <v>5396</v>
      </c>
      <c r="E67" s="139">
        <v>3.33</v>
      </c>
      <c r="F67" s="134" t="s">
        <v>5395</v>
      </c>
      <c r="G67" s="134" t="s">
        <v>3007</v>
      </c>
      <c r="H67" s="123">
        <v>4957</v>
      </c>
    </row>
    <row r="68" spans="1:8" ht="31.5" x14ac:dyDescent="0.25">
      <c r="A68" s="134" t="s">
        <v>9172</v>
      </c>
      <c r="B68" s="134" t="s">
        <v>9182</v>
      </c>
      <c r="C68" s="132" t="s">
        <v>9181</v>
      </c>
      <c r="D68" s="134" t="s">
        <v>5584</v>
      </c>
      <c r="E68" s="139">
        <v>2.54</v>
      </c>
      <c r="F68" s="134" t="s">
        <v>5583</v>
      </c>
      <c r="G68" s="134" t="s">
        <v>3007</v>
      </c>
      <c r="H68" s="123">
        <v>4958</v>
      </c>
    </row>
    <row r="69" spans="1:8" ht="31.5" x14ac:dyDescent="0.25">
      <c r="A69" s="134" t="s">
        <v>9172</v>
      </c>
      <c r="B69" s="134" t="s">
        <v>9180</v>
      </c>
      <c r="C69" s="132" t="s">
        <v>9179</v>
      </c>
      <c r="D69" s="134" t="s">
        <v>3082</v>
      </c>
      <c r="E69" s="139">
        <v>4.1399999999999997</v>
      </c>
      <c r="F69" s="134" t="s">
        <v>3081</v>
      </c>
      <c r="G69" s="134" t="s">
        <v>3007</v>
      </c>
      <c r="H69" s="123">
        <v>4959</v>
      </c>
    </row>
    <row r="70" spans="1:8" ht="31.5" x14ac:dyDescent="0.25">
      <c r="A70" s="134" t="s">
        <v>9172</v>
      </c>
      <c r="B70" s="134" t="s">
        <v>9178</v>
      </c>
      <c r="C70" s="132" t="s">
        <v>9177</v>
      </c>
      <c r="D70" s="134" t="s">
        <v>4933</v>
      </c>
      <c r="E70" s="139">
        <v>4.9800000000000004</v>
      </c>
      <c r="F70" s="134" t="s">
        <v>4932</v>
      </c>
      <c r="G70" s="134" t="s">
        <v>3007</v>
      </c>
      <c r="H70" s="123">
        <v>4960</v>
      </c>
    </row>
    <row r="71" spans="1:8" ht="31.5" x14ac:dyDescent="0.25">
      <c r="A71" s="134" t="s">
        <v>9172</v>
      </c>
      <c r="B71" s="134" t="s">
        <v>9176</v>
      </c>
      <c r="C71" s="132" t="s">
        <v>9175</v>
      </c>
      <c r="D71" s="134" t="s">
        <v>9174</v>
      </c>
      <c r="E71" s="139">
        <v>13.59</v>
      </c>
      <c r="F71" s="134" t="s">
        <v>9173</v>
      </c>
      <c r="G71" s="134" t="s">
        <v>3007</v>
      </c>
      <c r="H71" s="123">
        <v>4961</v>
      </c>
    </row>
    <row r="72" spans="1:8" ht="31.5" x14ac:dyDescent="0.25">
      <c r="A72" s="134" t="s">
        <v>9172</v>
      </c>
      <c r="B72" s="134" t="s">
        <v>9171</v>
      </c>
      <c r="C72" s="132" t="s">
        <v>9170</v>
      </c>
      <c r="D72" s="134" t="s">
        <v>3546</v>
      </c>
      <c r="E72" s="139">
        <v>11.52</v>
      </c>
      <c r="F72" s="134" t="s">
        <v>3545</v>
      </c>
      <c r="G72" s="134" t="s">
        <v>3007</v>
      </c>
      <c r="H72" s="123">
        <v>4962</v>
      </c>
    </row>
    <row r="73" spans="1:8" ht="31.5" x14ac:dyDescent="0.25">
      <c r="A73" s="134" t="s">
        <v>9149</v>
      </c>
      <c r="B73" s="134" t="s">
        <v>9169</v>
      </c>
      <c r="C73" s="132" t="s">
        <v>9168</v>
      </c>
      <c r="D73" s="134" t="s">
        <v>8578</v>
      </c>
      <c r="E73" s="139">
        <v>2.2200000000000002</v>
      </c>
      <c r="F73" s="134" t="s">
        <v>8577</v>
      </c>
      <c r="G73" s="134" t="s">
        <v>3007</v>
      </c>
      <c r="H73" s="123">
        <v>4980</v>
      </c>
    </row>
    <row r="74" spans="1:8" ht="31.5" x14ac:dyDescent="0.25">
      <c r="A74" s="134" t="s">
        <v>9149</v>
      </c>
      <c r="B74" s="134" t="s">
        <v>9167</v>
      </c>
      <c r="C74" s="132" t="s">
        <v>9166</v>
      </c>
      <c r="D74" s="134" t="s">
        <v>9165</v>
      </c>
      <c r="E74" s="139">
        <v>15.81</v>
      </c>
      <c r="F74" s="134" t="s">
        <v>9164</v>
      </c>
      <c r="G74" s="134" t="s">
        <v>3007</v>
      </c>
      <c r="H74" s="123">
        <v>4981</v>
      </c>
    </row>
    <row r="75" spans="1:8" ht="31.5" x14ac:dyDescent="0.25">
      <c r="A75" s="134" t="s">
        <v>9149</v>
      </c>
      <c r="B75" s="134" t="s">
        <v>9163</v>
      </c>
      <c r="C75" s="132" t="s">
        <v>9162</v>
      </c>
      <c r="D75" s="134" t="s">
        <v>7668</v>
      </c>
      <c r="E75" s="139">
        <v>5.14</v>
      </c>
      <c r="F75" s="134" t="s">
        <v>7667</v>
      </c>
      <c r="G75" s="134" t="s">
        <v>3007</v>
      </c>
      <c r="H75" s="123">
        <v>4982</v>
      </c>
    </row>
    <row r="76" spans="1:8" ht="31.5" x14ac:dyDescent="0.25">
      <c r="A76" s="134" t="s">
        <v>9149</v>
      </c>
      <c r="B76" s="134" t="s">
        <v>9161</v>
      </c>
      <c r="C76" s="132" t="s">
        <v>9160</v>
      </c>
      <c r="D76" s="134" t="s">
        <v>8675</v>
      </c>
      <c r="E76" s="139">
        <v>1.68</v>
      </c>
      <c r="F76" s="134" t="s">
        <v>8674</v>
      </c>
      <c r="G76" s="134" t="s">
        <v>3007</v>
      </c>
      <c r="H76" s="123">
        <v>4983</v>
      </c>
    </row>
    <row r="77" spans="1:8" ht="31.5" x14ac:dyDescent="0.25">
      <c r="A77" s="134" t="s">
        <v>9149</v>
      </c>
      <c r="B77" s="134" t="s">
        <v>9159</v>
      </c>
      <c r="C77" s="132" t="s">
        <v>9158</v>
      </c>
      <c r="D77" s="134" t="s">
        <v>3158</v>
      </c>
      <c r="E77" s="139">
        <v>5.8</v>
      </c>
      <c r="F77" s="134" t="s">
        <v>3157</v>
      </c>
      <c r="G77" s="134" t="s">
        <v>3007</v>
      </c>
      <c r="H77" s="123">
        <v>4984</v>
      </c>
    </row>
    <row r="78" spans="1:8" ht="31.5" x14ac:dyDescent="0.25">
      <c r="A78" s="134" t="s">
        <v>9149</v>
      </c>
      <c r="B78" s="134" t="s">
        <v>9157</v>
      </c>
      <c r="C78" s="132" t="s">
        <v>9156</v>
      </c>
      <c r="D78" s="134" t="s">
        <v>6028</v>
      </c>
      <c r="E78" s="139">
        <v>1.89</v>
      </c>
      <c r="F78" s="134" t="s">
        <v>6027</v>
      </c>
      <c r="G78" s="134" t="s">
        <v>3007</v>
      </c>
      <c r="H78" s="123">
        <v>4985</v>
      </c>
    </row>
    <row r="79" spans="1:8" ht="31.5" x14ac:dyDescent="0.25">
      <c r="A79" s="134" t="s">
        <v>9149</v>
      </c>
      <c r="B79" s="134" t="s">
        <v>9155</v>
      </c>
      <c r="C79" s="132" t="s">
        <v>9154</v>
      </c>
      <c r="D79" s="134" t="s">
        <v>4305</v>
      </c>
      <c r="E79" s="139">
        <v>21.45</v>
      </c>
      <c r="F79" s="134" t="s">
        <v>4304</v>
      </c>
      <c r="G79" s="134" t="s">
        <v>3007</v>
      </c>
      <c r="H79" s="123">
        <v>4986</v>
      </c>
    </row>
    <row r="80" spans="1:8" ht="31.5" x14ac:dyDescent="0.25">
      <c r="A80" s="134" t="s">
        <v>9149</v>
      </c>
      <c r="B80" s="134" t="s">
        <v>9153</v>
      </c>
      <c r="C80" s="132" t="s">
        <v>9152</v>
      </c>
      <c r="D80" s="134" t="s">
        <v>4396</v>
      </c>
      <c r="E80" s="139">
        <v>7.13</v>
      </c>
      <c r="F80" s="134" t="s">
        <v>4395</v>
      </c>
      <c r="G80" s="134" t="s">
        <v>3007</v>
      </c>
      <c r="H80" s="123">
        <v>4987</v>
      </c>
    </row>
    <row r="81" spans="1:11" ht="31.5" x14ac:dyDescent="0.25">
      <c r="A81" s="134" t="s">
        <v>9149</v>
      </c>
      <c r="B81" s="134" t="s">
        <v>9151</v>
      </c>
      <c r="C81" s="132" t="s">
        <v>9150</v>
      </c>
      <c r="D81" s="134" t="s">
        <v>7160</v>
      </c>
      <c r="E81" s="139">
        <v>5.75</v>
      </c>
      <c r="F81" s="134" t="s">
        <v>7159</v>
      </c>
      <c r="G81" s="134" t="s">
        <v>3007</v>
      </c>
      <c r="H81" s="123">
        <v>4988</v>
      </c>
    </row>
    <row r="82" spans="1:11" ht="31.5" x14ac:dyDescent="0.25">
      <c r="A82" s="134" t="s">
        <v>9149</v>
      </c>
      <c r="B82" s="134" t="s">
        <v>9148</v>
      </c>
      <c r="C82" s="132" t="s">
        <v>9147</v>
      </c>
      <c r="D82" s="134" t="s">
        <v>9146</v>
      </c>
      <c r="E82" s="139">
        <v>20.82</v>
      </c>
      <c r="F82" s="134" t="s">
        <v>9145</v>
      </c>
      <c r="G82" s="134" t="s">
        <v>3007</v>
      </c>
      <c r="H82" s="123">
        <v>4989</v>
      </c>
    </row>
    <row r="83" spans="1:11" ht="31.5" x14ac:dyDescent="0.25">
      <c r="A83" s="134" t="s">
        <v>9142</v>
      </c>
      <c r="B83" s="134" t="s">
        <v>9144</v>
      </c>
      <c r="C83" s="132" t="s">
        <v>9143</v>
      </c>
      <c r="D83" s="134" t="s">
        <v>3800</v>
      </c>
      <c r="E83" s="139">
        <v>1.68</v>
      </c>
      <c r="F83" s="134" t="s">
        <v>3799</v>
      </c>
      <c r="G83" s="134" t="s">
        <v>3007</v>
      </c>
      <c r="H83" s="123">
        <v>4990</v>
      </c>
    </row>
    <row r="84" spans="1:11" ht="31.5" x14ac:dyDescent="0.25">
      <c r="A84" s="134" t="s">
        <v>9142</v>
      </c>
      <c r="B84" s="134" t="s">
        <v>9141</v>
      </c>
      <c r="C84" s="132" t="s">
        <v>9140</v>
      </c>
      <c r="D84" s="134" t="s">
        <v>4265</v>
      </c>
      <c r="E84" s="139">
        <v>9.26</v>
      </c>
      <c r="F84" s="134" t="s">
        <v>4264</v>
      </c>
      <c r="G84" s="134" t="s">
        <v>3007</v>
      </c>
      <c r="H84" s="123">
        <v>4991</v>
      </c>
    </row>
    <row r="85" spans="1:11" ht="31.5" x14ac:dyDescent="0.25">
      <c r="A85" s="134" t="s">
        <v>9131</v>
      </c>
      <c r="B85" s="134" t="s">
        <v>9139</v>
      </c>
      <c r="C85" s="132" t="s">
        <v>9138</v>
      </c>
      <c r="D85" s="134" t="s">
        <v>6842</v>
      </c>
      <c r="E85" s="139">
        <v>6.28</v>
      </c>
      <c r="F85" s="134" t="s">
        <v>6841</v>
      </c>
      <c r="G85" s="134" t="s">
        <v>3007</v>
      </c>
      <c r="H85" s="123">
        <v>4992</v>
      </c>
    </row>
    <row r="86" spans="1:11" ht="31.5" x14ac:dyDescent="0.25">
      <c r="A86" s="134" t="s">
        <v>9131</v>
      </c>
      <c r="B86" s="134" t="s">
        <v>9137</v>
      </c>
      <c r="C86" s="132" t="s">
        <v>9136</v>
      </c>
      <c r="D86" s="134" t="s">
        <v>9135</v>
      </c>
      <c r="E86" s="139">
        <v>8.34</v>
      </c>
      <c r="F86" s="134" t="s">
        <v>9134</v>
      </c>
      <c r="G86" s="134" t="s">
        <v>3007</v>
      </c>
      <c r="H86" s="123">
        <v>4993</v>
      </c>
    </row>
    <row r="87" spans="1:11" ht="31.5" x14ac:dyDescent="0.25">
      <c r="A87" s="134" t="s">
        <v>9131</v>
      </c>
      <c r="B87" s="134" t="s">
        <v>9133</v>
      </c>
      <c r="C87" s="132" t="s">
        <v>9132</v>
      </c>
      <c r="D87" s="134" t="s">
        <v>3623</v>
      </c>
      <c r="E87" s="139">
        <v>5.61</v>
      </c>
      <c r="F87" s="134" t="s">
        <v>3622</v>
      </c>
      <c r="G87" s="134" t="s">
        <v>3007</v>
      </c>
      <c r="H87" s="123">
        <v>4994</v>
      </c>
    </row>
    <row r="88" spans="1:11" ht="31.5" x14ac:dyDescent="0.25">
      <c r="A88" s="134" t="s">
        <v>9131</v>
      </c>
      <c r="B88" s="134" t="s">
        <v>9130</v>
      </c>
      <c r="C88" s="132" t="s">
        <v>9129</v>
      </c>
      <c r="D88" s="134" t="s">
        <v>3127</v>
      </c>
      <c r="E88" s="139">
        <v>5.79</v>
      </c>
      <c r="F88" s="134" t="s">
        <v>3126</v>
      </c>
      <c r="G88" s="134" t="s">
        <v>3007</v>
      </c>
      <c r="H88" s="123">
        <v>4995</v>
      </c>
    </row>
    <row r="89" spans="1:11" ht="31.5" x14ac:dyDescent="0.25">
      <c r="A89" s="134" t="s">
        <v>9106</v>
      </c>
      <c r="B89" s="134" t="s">
        <v>9128</v>
      </c>
      <c r="C89" s="132" t="s">
        <v>9127</v>
      </c>
      <c r="D89" s="134" t="s">
        <v>4384</v>
      </c>
      <c r="E89" s="139">
        <v>1.68</v>
      </c>
      <c r="F89" s="134" t="s">
        <v>4383</v>
      </c>
      <c r="G89" s="134" t="s">
        <v>3007</v>
      </c>
      <c r="H89" s="123">
        <v>5018</v>
      </c>
    </row>
    <row r="90" spans="1:11" ht="31.5" x14ac:dyDescent="0.25">
      <c r="A90" s="134" t="s">
        <v>9106</v>
      </c>
      <c r="B90" s="134" t="s">
        <v>9126</v>
      </c>
      <c r="C90" s="132" t="s">
        <v>9125</v>
      </c>
      <c r="D90" s="134" t="s">
        <v>3009</v>
      </c>
      <c r="E90" s="139">
        <v>4.3899999999999997</v>
      </c>
      <c r="F90" s="134" t="s">
        <v>3008</v>
      </c>
      <c r="G90" s="134" t="s">
        <v>3007</v>
      </c>
      <c r="H90" s="123">
        <v>5019</v>
      </c>
      <c r="I90" s="202"/>
      <c r="K90" s="123"/>
    </row>
    <row r="91" spans="1:11" ht="31.5" x14ac:dyDescent="0.25">
      <c r="A91" s="134" t="s">
        <v>9106</v>
      </c>
      <c r="B91" s="134" t="s">
        <v>9124</v>
      </c>
      <c r="C91" s="132" t="s">
        <v>9123</v>
      </c>
      <c r="D91" s="134" t="s">
        <v>3317</v>
      </c>
      <c r="E91" s="139">
        <v>1.74</v>
      </c>
      <c r="F91" s="134" t="s">
        <v>3316</v>
      </c>
      <c r="G91" s="134" t="s">
        <v>3007</v>
      </c>
      <c r="H91" s="123">
        <v>5020</v>
      </c>
    </row>
    <row r="92" spans="1:11" ht="31.5" x14ac:dyDescent="0.25">
      <c r="A92" s="134" t="s">
        <v>9106</v>
      </c>
      <c r="B92" s="134" t="s">
        <v>9122</v>
      </c>
      <c r="C92" s="132" t="s">
        <v>9121</v>
      </c>
      <c r="D92" s="134" t="s">
        <v>5226</v>
      </c>
      <c r="E92" s="139">
        <v>1.68</v>
      </c>
      <c r="F92" s="134" t="s">
        <v>5225</v>
      </c>
      <c r="G92" s="134" t="s">
        <v>3007</v>
      </c>
      <c r="H92" s="123">
        <v>5021</v>
      </c>
    </row>
    <row r="93" spans="1:11" ht="31.5" x14ac:dyDescent="0.25">
      <c r="A93" s="134" t="s">
        <v>9106</v>
      </c>
      <c r="B93" s="134" t="s">
        <v>9120</v>
      </c>
      <c r="C93" s="132" t="s">
        <v>9119</v>
      </c>
      <c r="D93" s="134" t="s">
        <v>5281</v>
      </c>
      <c r="E93" s="139">
        <v>4.16</v>
      </c>
      <c r="F93" s="134" t="s">
        <v>5280</v>
      </c>
      <c r="G93" s="134" t="s">
        <v>3007</v>
      </c>
      <c r="H93" s="123">
        <v>5022</v>
      </c>
    </row>
    <row r="94" spans="1:11" ht="31.5" x14ac:dyDescent="0.25">
      <c r="A94" s="134" t="s">
        <v>9106</v>
      </c>
      <c r="B94" s="134" t="s">
        <v>9118</v>
      </c>
      <c r="C94" s="132" t="s">
        <v>9117</v>
      </c>
      <c r="D94" s="134" t="s">
        <v>4771</v>
      </c>
      <c r="E94" s="139">
        <v>3.69</v>
      </c>
      <c r="F94" s="134" t="s">
        <v>4770</v>
      </c>
      <c r="G94" s="134" t="s">
        <v>3007</v>
      </c>
      <c r="H94" s="123">
        <v>5023</v>
      </c>
    </row>
    <row r="95" spans="1:11" ht="31.5" x14ac:dyDescent="0.25">
      <c r="A95" s="134" t="s">
        <v>9106</v>
      </c>
      <c r="B95" s="134" t="s">
        <v>9116</v>
      </c>
      <c r="C95" s="132" t="s">
        <v>9115</v>
      </c>
      <c r="D95" s="134" t="s">
        <v>9114</v>
      </c>
      <c r="E95" s="139">
        <v>6.39</v>
      </c>
      <c r="F95" s="134" t="s">
        <v>9113</v>
      </c>
      <c r="G95" s="134" t="s">
        <v>3007</v>
      </c>
      <c r="H95" s="123">
        <v>5024</v>
      </c>
    </row>
    <row r="96" spans="1:11" ht="31.5" x14ac:dyDescent="0.25">
      <c r="A96" s="134" t="s">
        <v>9106</v>
      </c>
      <c r="B96" s="134" t="s">
        <v>9112</v>
      </c>
      <c r="C96" s="132" t="s">
        <v>9111</v>
      </c>
      <c r="D96" s="134" t="s">
        <v>9110</v>
      </c>
      <c r="E96" s="139">
        <v>4.88</v>
      </c>
      <c r="F96" s="134" t="s">
        <v>9109</v>
      </c>
      <c r="G96" s="134" t="s">
        <v>3007</v>
      </c>
      <c r="H96" s="123">
        <v>5025</v>
      </c>
    </row>
    <row r="97" spans="1:8" ht="31.5" x14ac:dyDescent="0.25">
      <c r="A97" s="134" t="s">
        <v>9106</v>
      </c>
      <c r="B97" s="134" t="s">
        <v>9108</v>
      </c>
      <c r="C97" s="132" t="s">
        <v>9107</v>
      </c>
      <c r="D97" s="134" t="s">
        <v>3107</v>
      </c>
      <c r="E97" s="139">
        <v>1.76</v>
      </c>
      <c r="F97" s="134" t="s">
        <v>3106</v>
      </c>
      <c r="G97" s="134" t="s">
        <v>3007</v>
      </c>
      <c r="H97" s="123">
        <v>5026</v>
      </c>
    </row>
    <row r="98" spans="1:8" ht="31.5" x14ac:dyDescent="0.25">
      <c r="A98" s="134" t="s">
        <v>9106</v>
      </c>
      <c r="B98" s="134" t="s">
        <v>9105</v>
      </c>
      <c r="C98" s="132" t="s">
        <v>9104</v>
      </c>
      <c r="D98" s="134" t="s">
        <v>4245</v>
      </c>
      <c r="E98" s="139">
        <v>21.07</v>
      </c>
      <c r="F98" s="134" t="s">
        <v>4244</v>
      </c>
      <c r="G98" s="134" t="s">
        <v>3007</v>
      </c>
      <c r="H98" s="123">
        <v>5027</v>
      </c>
    </row>
    <row r="99" spans="1:8" ht="31.5" x14ac:dyDescent="0.25">
      <c r="A99" s="134" t="s">
        <v>9103</v>
      </c>
      <c r="B99" s="134" t="s">
        <v>9102</v>
      </c>
      <c r="C99" s="132" t="s">
        <v>9101</v>
      </c>
      <c r="D99" s="134" t="s">
        <v>9100</v>
      </c>
      <c r="E99" s="139">
        <v>7.94</v>
      </c>
      <c r="F99" s="134" t="s">
        <v>9099</v>
      </c>
      <c r="G99" s="134" t="s">
        <v>3007</v>
      </c>
      <c r="H99" s="123">
        <v>5045</v>
      </c>
    </row>
    <row r="100" spans="1:8" ht="31.5" x14ac:dyDescent="0.25">
      <c r="A100" s="134" t="s">
        <v>9098</v>
      </c>
      <c r="B100" s="134" t="s">
        <v>9097</v>
      </c>
      <c r="C100" s="132" t="s">
        <v>9096</v>
      </c>
      <c r="D100" s="134" t="s">
        <v>9095</v>
      </c>
      <c r="E100" s="139">
        <v>1.23</v>
      </c>
      <c r="F100" s="134" t="s">
        <v>9094</v>
      </c>
      <c r="G100" s="134" t="s">
        <v>3007</v>
      </c>
      <c r="H100" s="124">
        <v>5078</v>
      </c>
    </row>
    <row r="101" spans="1:8" ht="31.5" x14ac:dyDescent="0.25">
      <c r="A101" s="134" t="s">
        <v>9093</v>
      </c>
      <c r="B101" s="134" t="s">
        <v>9092</v>
      </c>
      <c r="C101" s="132" t="s">
        <v>9091</v>
      </c>
      <c r="D101" s="134" t="s">
        <v>9090</v>
      </c>
      <c r="E101" s="139">
        <v>7.46</v>
      </c>
      <c r="F101" s="134" t="s">
        <v>9089</v>
      </c>
      <c r="G101" s="134" t="s">
        <v>3007</v>
      </c>
      <c r="H101" s="123">
        <v>5128</v>
      </c>
    </row>
    <row r="102" spans="1:8" s="200" customFormat="1" x14ac:dyDescent="0.25">
      <c r="A102" s="198"/>
      <c r="B102" s="198"/>
      <c r="C102" s="198" t="s">
        <v>5691</v>
      </c>
      <c r="D102" s="198" t="s">
        <v>14409</v>
      </c>
      <c r="E102" s="199">
        <f>SUM(E45:E101)</f>
        <v>375.06</v>
      </c>
      <c r="F102" s="198"/>
      <c r="G102" s="198"/>
      <c r="H102" s="172"/>
    </row>
    <row r="103" spans="1:8" s="195" customFormat="1" ht="16.5" thickBot="1" x14ac:dyDescent="0.3">
      <c r="A103" s="193"/>
      <c r="B103" s="193"/>
      <c r="C103" s="193" t="s">
        <v>14410</v>
      </c>
      <c r="D103" s="193"/>
      <c r="E103" s="197">
        <v>-83.03</v>
      </c>
      <c r="F103" s="193"/>
      <c r="G103" s="193"/>
      <c r="H103" s="123"/>
    </row>
    <row r="104" spans="1:8" s="195" customFormat="1" x14ac:dyDescent="0.25">
      <c r="A104" s="193"/>
      <c r="B104" s="193"/>
      <c r="C104" s="193" t="s">
        <v>5691</v>
      </c>
      <c r="D104" s="193"/>
      <c r="E104" s="196">
        <f>SUM(E102:E103)</f>
        <v>292.02999999999997</v>
      </c>
      <c r="F104" s="193"/>
      <c r="G104" s="193"/>
      <c r="H104" s="123"/>
    </row>
    <row r="105" spans="1:8" s="195" customFormat="1" x14ac:dyDescent="0.25">
      <c r="A105" s="193"/>
      <c r="B105" s="193"/>
      <c r="C105" s="193"/>
      <c r="D105" s="193"/>
      <c r="E105" s="196"/>
      <c r="F105" s="193"/>
      <c r="G105" s="193"/>
      <c r="H105" s="123"/>
    </row>
    <row r="106" spans="1:8" ht="31.5" x14ac:dyDescent="0.25">
      <c r="A106" s="134" t="s">
        <v>9055</v>
      </c>
      <c r="B106" s="134" t="s">
        <v>9088</v>
      </c>
      <c r="C106" s="132" t="s">
        <v>9087</v>
      </c>
      <c r="D106" s="134" t="s">
        <v>8355</v>
      </c>
      <c r="E106" s="139">
        <v>8.66</v>
      </c>
      <c r="F106" s="134" t="s">
        <v>8354</v>
      </c>
      <c r="G106" s="134" t="s">
        <v>3007</v>
      </c>
      <c r="H106" s="123">
        <v>5264</v>
      </c>
    </row>
    <row r="107" spans="1:8" ht="31.5" x14ac:dyDescent="0.25">
      <c r="A107" s="134" t="s">
        <v>9055</v>
      </c>
      <c r="B107" s="134" t="s">
        <v>9086</v>
      </c>
      <c r="C107" s="132" t="s">
        <v>9085</v>
      </c>
      <c r="D107" s="134" t="s">
        <v>9084</v>
      </c>
      <c r="E107" s="139">
        <v>25.14</v>
      </c>
      <c r="F107" s="134" t="s">
        <v>9083</v>
      </c>
      <c r="G107" s="134" t="s">
        <v>3007</v>
      </c>
      <c r="H107" s="123">
        <v>5265</v>
      </c>
    </row>
    <row r="108" spans="1:8" ht="31.5" x14ac:dyDescent="0.25">
      <c r="A108" s="134" t="s">
        <v>9055</v>
      </c>
      <c r="B108" s="134" t="s">
        <v>9082</v>
      </c>
      <c r="C108" s="132" t="s">
        <v>9081</v>
      </c>
      <c r="D108" s="134" t="s">
        <v>6317</v>
      </c>
      <c r="E108" s="139">
        <v>11.11</v>
      </c>
      <c r="F108" s="134" t="s">
        <v>6316</v>
      </c>
      <c r="G108" s="134" t="s">
        <v>3007</v>
      </c>
      <c r="H108" s="123">
        <v>5266</v>
      </c>
    </row>
    <row r="109" spans="1:8" ht="31.5" x14ac:dyDescent="0.25">
      <c r="A109" s="134" t="s">
        <v>9055</v>
      </c>
      <c r="B109" s="134" t="s">
        <v>9080</v>
      </c>
      <c r="C109" s="132" t="s">
        <v>9079</v>
      </c>
      <c r="D109" s="134" t="s">
        <v>9078</v>
      </c>
      <c r="E109" s="139">
        <v>6.77</v>
      </c>
      <c r="F109" s="134" t="s">
        <v>9077</v>
      </c>
      <c r="G109" s="134" t="s">
        <v>3007</v>
      </c>
      <c r="H109" s="123">
        <v>5267</v>
      </c>
    </row>
    <row r="110" spans="1:8" ht="31.5" x14ac:dyDescent="0.25">
      <c r="A110" s="134" t="s">
        <v>9055</v>
      </c>
      <c r="B110" s="134" t="s">
        <v>9076</v>
      </c>
      <c r="C110" s="132" t="s">
        <v>9075</v>
      </c>
      <c r="D110" s="134" t="s">
        <v>9074</v>
      </c>
      <c r="E110" s="139">
        <v>30.39</v>
      </c>
      <c r="F110" s="134" t="s">
        <v>9073</v>
      </c>
      <c r="G110" s="134" t="s">
        <v>3007</v>
      </c>
      <c r="H110" s="123">
        <v>5268</v>
      </c>
    </row>
    <row r="111" spans="1:8" ht="31.5" x14ac:dyDescent="0.25">
      <c r="A111" s="134" t="s">
        <v>9055</v>
      </c>
      <c r="B111" s="134" t="s">
        <v>9072</v>
      </c>
      <c r="C111" s="132" t="s">
        <v>9071</v>
      </c>
      <c r="D111" s="134" t="s">
        <v>3551</v>
      </c>
      <c r="E111" s="139">
        <v>5.9</v>
      </c>
      <c r="F111" s="134" t="s">
        <v>3550</v>
      </c>
      <c r="G111" s="134" t="s">
        <v>3007</v>
      </c>
      <c r="H111" s="123">
        <v>5269</v>
      </c>
    </row>
    <row r="112" spans="1:8" ht="31.5" x14ac:dyDescent="0.25">
      <c r="A112" s="134" t="s">
        <v>9055</v>
      </c>
      <c r="B112" s="134" t="s">
        <v>9070</v>
      </c>
      <c r="C112" s="132" t="s">
        <v>9069</v>
      </c>
      <c r="D112" s="134" t="s">
        <v>3276</v>
      </c>
      <c r="E112" s="139">
        <v>1.71</v>
      </c>
      <c r="F112" s="134" t="s">
        <v>3275</v>
      </c>
      <c r="G112" s="134" t="s">
        <v>3007</v>
      </c>
      <c r="H112" s="123">
        <v>5270</v>
      </c>
    </row>
    <row r="113" spans="1:8" ht="31.5" x14ac:dyDescent="0.25">
      <c r="A113" s="134" t="s">
        <v>9055</v>
      </c>
      <c r="B113" s="134" t="s">
        <v>4101</v>
      </c>
      <c r="C113" s="132" t="s">
        <v>9068</v>
      </c>
      <c r="D113" s="134" t="s">
        <v>6495</v>
      </c>
      <c r="E113" s="139">
        <v>6.64</v>
      </c>
      <c r="F113" s="134" t="s">
        <v>6494</v>
      </c>
      <c r="G113" s="134" t="s">
        <v>3007</v>
      </c>
      <c r="H113" s="123">
        <v>5271</v>
      </c>
    </row>
    <row r="114" spans="1:8" ht="31.5" x14ac:dyDescent="0.25">
      <c r="A114" s="134" t="s">
        <v>9055</v>
      </c>
      <c r="B114" s="134" t="s">
        <v>9067</v>
      </c>
      <c r="C114" s="132" t="s">
        <v>9066</v>
      </c>
      <c r="D114" s="134" t="s">
        <v>8912</v>
      </c>
      <c r="E114" s="139">
        <v>4.6900000000000004</v>
      </c>
      <c r="F114" s="134" t="s">
        <v>8911</v>
      </c>
      <c r="G114" s="134" t="s">
        <v>3007</v>
      </c>
      <c r="H114" s="123">
        <v>5272</v>
      </c>
    </row>
    <row r="115" spans="1:8" ht="31.5" x14ac:dyDescent="0.25">
      <c r="A115" s="134" t="s">
        <v>9055</v>
      </c>
      <c r="B115" s="134" t="s">
        <v>9065</v>
      </c>
      <c r="C115" s="132" t="s">
        <v>9064</v>
      </c>
      <c r="D115" s="134" t="s">
        <v>5106</v>
      </c>
      <c r="E115" s="139">
        <v>10.02</v>
      </c>
      <c r="F115" s="134" t="s">
        <v>5105</v>
      </c>
      <c r="G115" s="134" t="s">
        <v>3007</v>
      </c>
      <c r="H115" s="123">
        <v>5273</v>
      </c>
    </row>
    <row r="116" spans="1:8" ht="31.5" x14ac:dyDescent="0.25">
      <c r="A116" s="134" t="s">
        <v>9055</v>
      </c>
      <c r="B116" s="134" t="s">
        <v>9063</v>
      </c>
      <c r="C116" s="132" t="s">
        <v>9062</v>
      </c>
      <c r="D116" s="134" t="s">
        <v>3466</v>
      </c>
      <c r="E116" s="139">
        <v>23.08</v>
      </c>
      <c r="F116" s="134" t="s">
        <v>3465</v>
      </c>
      <c r="G116" s="134" t="s">
        <v>3007</v>
      </c>
      <c r="H116" s="123">
        <v>5274</v>
      </c>
    </row>
    <row r="117" spans="1:8" ht="31.5" x14ac:dyDescent="0.25">
      <c r="A117" s="134" t="s">
        <v>9055</v>
      </c>
      <c r="B117" s="134" t="s">
        <v>9061</v>
      </c>
      <c r="C117" s="132" t="s">
        <v>9060</v>
      </c>
      <c r="D117" s="134" t="s">
        <v>4112</v>
      </c>
      <c r="E117" s="139">
        <v>6.28</v>
      </c>
      <c r="F117" s="134" t="s">
        <v>4111</v>
      </c>
      <c r="G117" s="134" t="s">
        <v>3007</v>
      </c>
      <c r="H117" s="123">
        <v>5275</v>
      </c>
    </row>
    <row r="118" spans="1:8" ht="31.5" x14ac:dyDescent="0.25">
      <c r="A118" s="134" t="s">
        <v>9055</v>
      </c>
      <c r="B118" s="134" t="s">
        <v>9059</v>
      </c>
      <c r="C118" s="132" t="s">
        <v>9058</v>
      </c>
      <c r="D118" s="134" t="s">
        <v>5186</v>
      </c>
      <c r="E118" s="139">
        <v>6.76</v>
      </c>
      <c r="F118" s="134" t="s">
        <v>5185</v>
      </c>
      <c r="G118" s="134" t="s">
        <v>3007</v>
      </c>
      <c r="H118" s="123">
        <v>5276</v>
      </c>
    </row>
    <row r="119" spans="1:8" ht="31.5" x14ac:dyDescent="0.25">
      <c r="A119" s="134" t="s">
        <v>9055</v>
      </c>
      <c r="B119" s="134" t="s">
        <v>9057</v>
      </c>
      <c r="C119" s="132" t="s">
        <v>9056</v>
      </c>
      <c r="D119" s="134" t="s">
        <v>7258</v>
      </c>
      <c r="E119" s="139">
        <v>10.039999999999999</v>
      </c>
      <c r="F119" s="134" t="s">
        <v>7257</v>
      </c>
      <c r="G119" s="134" t="s">
        <v>3007</v>
      </c>
      <c r="H119" s="123">
        <v>5277</v>
      </c>
    </row>
    <row r="120" spans="1:8" ht="31.5" x14ac:dyDescent="0.25">
      <c r="A120" s="134" t="s">
        <v>9055</v>
      </c>
      <c r="B120" s="134" t="s">
        <v>9054</v>
      </c>
      <c r="C120" s="132" t="s">
        <v>9053</v>
      </c>
      <c r="D120" s="134" t="s">
        <v>9052</v>
      </c>
      <c r="E120" s="139">
        <v>3.18</v>
      </c>
      <c r="F120" s="134" t="s">
        <v>9051</v>
      </c>
      <c r="G120" s="134" t="s">
        <v>3007</v>
      </c>
      <c r="H120" s="123">
        <v>5278</v>
      </c>
    </row>
    <row r="121" spans="1:8" ht="31.5" x14ac:dyDescent="0.25">
      <c r="A121" s="134" t="s">
        <v>9018</v>
      </c>
      <c r="B121" s="134" t="s">
        <v>9050</v>
      </c>
      <c r="C121" s="132" t="s">
        <v>9049</v>
      </c>
      <c r="D121" s="134" t="s">
        <v>7019</v>
      </c>
      <c r="E121" s="139">
        <v>9.84</v>
      </c>
      <c r="F121" s="134" t="s">
        <v>7018</v>
      </c>
      <c r="G121" s="134" t="s">
        <v>3007</v>
      </c>
      <c r="H121" s="123">
        <v>5311</v>
      </c>
    </row>
    <row r="122" spans="1:8" ht="31.5" x14ac:dyDescent="0.25">
      <c r="A122" s="134" t="s">
        <v>9018</v>
      </c>
      <c r="B122" s="134" t="s">
        <v>9048</v>
      </c>
      <c r="C122" s="132" t="s">
        <v>9047</v>
      </c>
      <c r="D122" s="134" t="s">
        <v>4176</v>
      </c>
      <c r="E122" s="139">
        <v>5.32</v>
      </c>
      <c r="F122" s="134" t="s">
        <v>4175</v>
      </c>
      <c r="G122" s="134" t="s">
        <v>3007</v>
      </c>
      <c r="H122" s="123">
        <v>5312</v>
      </c>
    </row>
    <row r="123" spans="1:8" ht="31.5" x14ac:dyDescent="0.25">
      <c r="A123" s="134" t="s">
        <v>9018</v>
      </c>
      <c r="B123" s="134" t="s">
        <v>9046</v>
      </c>
      <c r="C123" s="132" t="s">
        <v>9045</v>
      </c>
      <c r="D123" s="134" t="s">
        <v>3235</v>
      </c>
      <c r="E123" s="139">
        <v>12.9</v>
      </c>
      <c r="F123" s="134" t="s">
        <v>3234</v>
      </c>
      <c r="G123" s="134" t="s">
        <v>3007</v>
      </c>
      <c r="H123" s="123">
        <v>5313</v>
      </c>
    </row>
    <row r="124" spans="1:8" ht="31.5" x14ac:dyDescent="0.25">
      <c r="A124" s="134" t="s">
        <v>9018</v>
      </c>
      <c r="B124" s="134" t="s">
        <v>9044</v>
      </c>
      <c r="C124" s="132" t="s">
        <v>9043</v>
      </c>
      <c r="D124" s="134" t="s">
        <v>4465</v>
      </c>
      <c r="E124" s="139">
        <v>3.65</v>
      </c>
      <c r="F124" s="134" t="s">
        <v>4464</v>
      </c>
      <c r="G124" s="134" t="s">
        <v>3007</v>
      </c>
      <c r="H124" s="123">
        <v>5314</v>
      </c>
    </row>
    <row r="125" spans="1:8" ht="31.5" x14ac:dyDescent="0.25">
      <c r="A125" s="134" t="s">
        <v>9018</v>
      </c>
      <c r="B125" s="134" t="s">
        <v>9042</v>
      </c>
      <c r="C125" s="132" t="s">
        <v>9041</v>
      </c>
      <c r="D125" s="134" t="s">
        <v>5294</v>
      </c>
      <c r="E125" s="139">
        <v>5.13</v>
      </c>
      <c r="F125" s="134" t="s">
        <v>5293</v>
      </c>
      <c r="G125" s="134" t="s">
        <v>3007</v>
      </c>
      <c r="H125" s="123">
        <v>5315</v>
      </c>
    </row>
    <row r="126" spans="1:8" ht="31.5" x14ac:dyDescent="0.25">
      <c r="A126" s="134" t="s">
        <v>9018</v>
      </c>
      <c r="B126" s="134" t="s">
        <v>9040</v>
      </c>
      <c r="C126" s="132" t="s">
        <v>9039</v>
      </c>
      <c r="D126" s="134" t="s">
        <v>4013</v>
      </c>
      <c r="E126" s="139">
        <v>8.33</v>
      </c>
      <c r="F126" s="134" t="s">
        <v>4012</v>
      </c>
      <c r="G126" s="134" t="s">
        <v>3007</v>
      </c>
      <c r="H126" s="123">
        <v>5316</v>
      </c>
    </row>
    <row r="127" spans="1:8" ht="31.5" x14ac:dyDescent="0.25">
      <c r="A127" s="134" t="s">
        <v>9018</v>
      </c>
      <c r="B127" s="134" t="s">
        <v>9038</v>
      </c>
      <c r="C127" s="132" t="s">
        <v>9037</v>
      </c>
      <c r="D127" s="134" t="s">
        <v>8116</v>
      </c>
      <c r="E127" s="139">
        <v>12.44</v>
      </c>
      <c r="F127" s="134" t="s">
        <v>8115</v>
      </c>
      <c r="G127" s="134" t="s">
        <v>3007</v>
      </c>
      <c r="H127" s="123">
        <v>5317</v>
      </c>
    </row>
    <row r="128" spans="1:8" ht="31.5" x14ac:dyDescent="0.25">
      <c r="A128" s="134" t="s">
        <v>9018</v>
      </c>
      <c r="B128" s="134" t="s">
        <v>9036</v>
      </c>
      <c r="C128" s="132" t="s">
        <v>9035</v>
      </c>
      <c r="D128" s="134" t="s">
        <v>7058</v>
      </c>
      <c r="E128" s="139">
        <v>10.49</v>
      </c>
      <c r="F128" s="134" t="s">
        <v>7057</v>
      </c>
      <c r="G128" s="134" t="s">
        <v>3007</v>
      </c>
      <c r="H128" s="123">
        <v>5318</v>
      </c>
    </row>
    <row r="129" spans="1:8" ht="31.5" x14ac:dyDescent="0.25">
      <c r="A129" s="134" t="s">
        <v>9018</v>
      </c>
      <c r="B129" s="134" t="s">
        <v>9034</v>
      </c>
      <c r="C129" s="132" t="s">
        <v>9033</v>
      </c>
      <c r="D129" s="134" t="s">
        <v>3219</v>
      </c>
      <c r="E129" s="139">
        <v>3.37</v>
      </c>
      <c r="F129" s="134" t="s">
        <v>3218</v>
      </c>
      <c r="G129" s="134" t="s">
        <v>3007</v>
      </c>
      <c r="H129" s="123">
        <v>5319</v>
      </c>
    </row>
    <row r="130" spans="1:8" ht="31.5" x14ac:dyDescent="0.25">
      <c r="A130" s="134" t="s">
        <v>9018</v>
      </c>
      <c r="B130" s="134" t="s">
        <v>9032</v>
      </c>
      <c r="C130" s="132" t="s">
        <v>9031</v>
      </c>
      <c r="D130" s="134" t="s">
        <v>5673</v>
      </c>
      <c r="E130" s="139">
        <v>3.36</v>
      </c>
      <c r="F130" s="134" t="s">
        <v>5672</v>
      </c>
      <c r="G130" s="134" t="s">
        <v>3007</v>
      </c>
      <c r="H130" s="123">
        <v>5320</v>
      </c>
    </row>
    <row r="131" spans="1:8" ht="31.5" x14ac:dyDescent="0.25">
      <c r="A131" s="134" t="s">
        <v>9018</v>
      </c>
      <c r="B131" s="134" t="s">
        <v>9030</v>
      </c>
      <c r="C131" s="132" t="s">
        <v>9029</v>
      </c>
      <c r="D131" s="134" t="s">
        <v>3369</v>
      </c>
      <c r="E131" s="139">
        <v>9.35</v>
      </c>
      <c r="F131" s="134" t="s">
        <v>3368</v>
      </c>
      <c r="G131" s="134" t="s">
        <v>3007</v>
      </c>
      <c r="H131" s="123">
        <v>5321</v>
      </c>
    </row>
    <row r="132" spans="1:8" ht="31.5" x14ac:dyDescent="0.25">
      <c r="A132" s="134" t="s">
        <v>9018</v>
      </c>
      <c r="B132" s="134" t="s">
        <v>9028</v>
      </c>
      <c r="C132" s="132" t="s">
        <v>9027</v>
      </c>
      <c r="D132" s="134" t="s">
        <v>4953</v>
      </c>
      <c r="E132" s="139">
        <v>19.579999999999998</v>
      </c>
      <c r="F132" s="134" t="s">
        <v>4952</v>
      </c>
      <c r="G132" s="134" t="s">
        <v>3007</v>
      </c>
      <c r="H132" s="123">
        <v>5322</v>
      </c>
    </row>
    <row r="133" spans="1:8" ht="31.5" x14ac:dyDescent="0.25">
      <c r="A133" s="134" t="s">
        <v>9018</v>
      </c>
      <c r="B133" s="134" t="s">
        <v>9026</v>
      </c>
      <c r="C133" s="132" t="s">
        <v>9025</v>
      </c>
      <c r="D133" s="134" t="s">
        <v>4697</v>
      </c>
      <c r="E133" s="139">
        <v>4.28</v>
      </c>
      <c r="F133" s="134" t="s">
        <v>4696</v>
      </c>
      <c r="G133" s="134" t="s">
        <v>3007</v>
      </c>
      <c r="H133" s="123">
        <v>5323</v>
      </c>
    </row>
    <row r="134" spans="1:8" ht="31.5" x14ac:dyDescent="0.25">
      <c r="A134" s="134" t="s">
        <v>9018</v>
      </c>
      <c r="B134" s="134" t="s">
        <v>9024</v>
      </c>
      <c r="C134" s="132" t="s">
        <v>9023</v>
      </c>
      <c r="D134" s="134" t="s">
        <v>6090</v>
      </c>
      <c r="E134" s="139">
        <v>16.84</v>
      </c>
      <c r="F134" s="134" t="s">
        <v>6089</v>
      </c>
      <c r="G134" s="134" t="s">
        <v>3007</v>
      </c>
      <c r="H134" s="123">
        <v>5324</v>
      </c>
    </row>
    <row r="135" spans="1:8" ht="31.5" x14ac:dyDescent="0.25">
      <c r="A135" s="134" t="s">
        <v>9018</v>
      </c>
      <c r="B135" s="134" t="s">
        <v>9022</v>
      </c>
      <c r="C135" s="132" t="s">
        <v>9021</v>
      </c>
      <c r="D135" s="134" t="s">
        <v>5305</v>
      </c>
      <c r="E135" s="139">
        <v>7.53</v>
      </c>
      <c r="F135" s="134" t="s">
        <v>5304</v>
      </c>
      <c r="G135" s="134" t="s">
        <v>3007</v>
      </c>
      <c r="H135" s="123">
        <v>5325</v>
      </c>
    </row>
    <row r="136" spans="1:8" ht="31.5" x14ac:dyDescent="0.25">
      <c r="A136" s="134" t="s">
        <v>9018</v>
      </c>
      <c r="B136" s="134" t="s">
        <v>9020</v>
      </c>
      <c r="C136" s="132" t="s">
        <v>9019</v>
      </c>
      <c r="D136" s="134" t="s">
        <v>7619</v>
      </c>
      <c r="E136" s="139">
        <v>16.68</v>
      </c>
      <c r="F136" s="134" t="s">
        <v>3574</v>
      </c>
      <c r="G136" s="134" t="s">
        <v>3007</v>
      </c>
      <c r="H136" s="123">
        <v>5326</v>
      </c>
    </row>
    <row r="137" spans="1:8" ht="31.5" x14ac:dyDescent="0.25">
      <c r="A137" s="134" t="s">
        <v>9018</v>
      </c>
      <c r="B137" s="134" t="s">
        <v>9017</v>
      </c>
      <c r="C137" s="132" t="s">
        <v>9016</v>
      </c>
      <c r="D137" s="134" t="s">
        <v>5996</v>
      </c>
      <c r="E137" s="139">
        <v>14.72</v>
      </c>
      <c r="F137" s="134" t="s">
        <v>5995</v>
      </c>
      <c r="G137" s="134" t="s">
        <v>3007</v>
      </c>
      <c r="H137" s="123">
        <v>5327</v>
      </c>
    </row>
    <row r="138" spans="1:8" ht="31.5" x14ac:dyDescent="0.25">
      <c r="A138" s="134" t="s">
        <v>8988</v>
      </c>
      <c r="B138" s="134" t="s">
        <v>9015</v>
      </c>
      <c r="C138" s="132" t="s">
        <v>9014</v>
      </c>
      <c r="D138" s="134" t="s">
        <v>6862</v>
      </c>
      <c r="E138" s="139">
        <v>3.37</v>
      </c>
      <c r="F138" s="134" t="s">
        <v>6861</v>
      </c>
      <c r="G138" s="134" t="s">
        <v>3007</v>
      </c>
      <c r="H138" s="123">
        <v>5371</v>
      </c>
    </row>
    <row r="139" spans="1:8" ht="31.5" x14ac:dyDescent="0.25">
      <c r="A139" s="134" t="s">
        <v>8988</v>
      </c>
      <c r="B139" s="134" t="s">
        <v>9013</v>
      </c>
      <c r="C139" s="132" t="s">
        <v>9012</v>
      </c>
      <c r="D139" s="134" t="s">
        <v>3953</v>
      </c>
      <c r="E139" s="139">
        <v>5.04</v>
      </c>
      <c r="F139" s="134" t="s">
        <v>3952</v>
      </c>
      <c r="G139" s="134" t="s">
        <v>3007</v>
      </c>
      <c r="H139" s="123">
        <v>5372</v>
      </c>
    </row>
    <row r="140" spans="1:8" ht="31.5" x14ac:dyDescent="0.25">
      <c r="A140" s="134" t="s">
        <v>8988</v>
      </c>
      <c r="B140" s="134" t="s">
        <v>9011</v>
      </c>
      <c r="C140" s="132" t="s">
        <v>9010</v>
      </c>
      <c r="D140" s="134" t="s">
        <v>3711</v>
      </c>
      <c r="E140" s="139">
        <v>3.74</v>
      </c>
      <c r="F140" s="134" t="s">
        <v>3707</v>
      </c>
      <c r="G140" s="134" t="s">
        <v>3007</v>
      </c>
      <c r="H140" s="123">
        <v>5374</v>
      </c>
    </row>
    <row r="141" spans="1:8" ht="31.5" x14ac:dyDescent="0.25">
      <c r="A141" s="134" t="s">
        <v>8988</v>
      </c>
      <c r="B141" s="134" t="s">
        <v>9009</v>
      </c>
      <c r="C141" s="132" t="s">
        <v>9008</v>
      </c>
      <c r="D141" s="134" t="s">
        <v>3708</v>
      </c>
      <c r="E141" s="139">
        <v>3.36</v>
      </c>
      <c r="F141" s="134" t="s">
        <v>3707</v>
      </c>
      <c r="G141" s="134" t="s">
        <v>3007</v>
      </c>
      <c r="H141" s="123">
        <v>5373</v>
      </c>
    </row>
    <row r="142" spans="1:8" ht="31.5" x14ac:dyDescent="0.25">
      <c r="A142" s="134" t="s">
        <v>8988</v>
      </c>
      <c r="B142" s="134" t="s">
        <v>9007</v>
      </c>
      <c r="C142" s="132" t="s">
        <v>9006</v>
      </c>
      <c r="D142" s="134" t="s">
        <v>3285</v>
      </c>
      <c r="E142" s="139">
        <v>6.94</v>
      </c>
      <c r="F142" s="134" t="s">
        <v>3284</v>
      </c>
      <c r="G142" s="134" t="s">
        <v>3007</v>
      </c>
      <c r="H142" s="123">
        <v>5375</v>
      </c>
    </row>
    <row r="143" spans="1:8" ht="31.5" x14ac:dyDescent="0.25">
      <c r="A143" s="134" t="s">
        <v>8988</v>
      </c>
      <c r="B143" s="134" t="s">
        <v>9005</v>
      </c>
      <c r="C143" s="132" t="s">
        <v>9004</v>
      </c>
      <c r="D143" s="134" t="s">
        <v>3154</v>
      </c>
      <c r="E143" s="139">
        <v>3.9</v>
      </c>
      <c r="F143" s="134" t="s">
        <v>3153</v>
      </c>
      <c r="G143" s="134" t="s">
        <v>3007</v>
      </c>
      <c r="H143" s="123">
        <v>5376</v>
      </c>
    </row>
    <row r="144" spans="1:8" ht="31.5" x14ac:dyDescent="0.25">
      <c r="A144" s="134" t="s">
        <v>8988</v>
      </c>
      <c r="B144" s="134" t="s">
        <v>9003</v>
      </c>
      <c r="C144" s="132" t="s">
        <v>9002</v>
      </c>
      <c r="D144" s="134" t="s">
        <v>3844</v>
      </c>
      <c r="E144" s="139">
        <v>19.66</v>
      </c>
      <c r="F144" s="134" t="s">
        <v>3843</v>
      </c>
      <c r="G144" s="134" t="s">
        <v>3007</v>
      </c>
      <c r="H144" s="123">
        <v>5377</v>
      </c>
    </row>
    <row r="145" spans="1:8" ht="31.5" x14ac:dyDescent="0.25">
      <c r="A145" s="134" t="s">
        <v>8988</v>
      </c>
      <c r="B145" s="134" t="s">
        <v>5985</v>
      </c>
      <c r="C145" s="132" t="s">
        <v>9001</v>
      </c>
      <c r="D145" s="134" t="s">
        <v>7909</v>
      </c>
      <c r="E145" s="139">
        <v>3.45</v>
      </c>
      <c r="F145" s="134" t="s">
        <v>7908</v>
      </c>
      <c r="G145" s="134" t="s">
        <v>3007</v>
      </c>
      <c r="H145" s="123">
        <v>5378</v>
      </c>
    </row>
    <row r="146" spans="1:8" ht="31.5" x14ac:dyDescent="0.25">
      <c r="A146" s="134" t="s">
        <v>8988</v>
      </c>
      <c r="B146" s="134" t="s">
        <v>9000</v>
      </c>
      <c r="C146" s="132" t="s">
        <v>8999</v>
      </c>
      <c r="D146" s="134" t="s">
        <v>3579</v>
      </c>
      <c r="E146" s="139">
        <v>3.8</v>
      </c>
      <c r="F146" s="134" t="s">
        <v>3578</v>
      </c>
      <c r="G146" s="134" t="s">
        <v>3007</v>
      </c>
      <c r="H146" s="123">
        <v>5379</v>
      </c>
    </row>
    <row r="147" spans="1:8" ht="31.5" x14ac:dyDescent="0.25">
      <c r="A147" s="134" t="s">
        <v>8988</v>
      </c>
      <c r="B147" s="134" t="s">
        <v>8998</v>
      </c>
      <c r="C147" s="132" t="s">
        <v>8997</v>
      </c>
      <c r="D147" s="134" t="s">
        <v>3627</v>
      </c>
      <c r="E147" s="139">
        <v>34.76</v>
      </c>
      <c r="F147" s="134" t="s">
        <v>3626</v>
      </c>
      <c r="G147" s="134" t="s">
        <v>3007</v>
      </c>
      <c r="H147" s="123">
        <v>5380</v>
      </c>
    </row>
    <row r="148" spans="1:8" ht="31.5" x14ac:dyDescent="0.25">
      <c r="A148" s="134" t="s">
        <v>8988</v>
      </c>
      <c r="B148" s="134" t="s">
        <v>8996</v>
      </c>
      <c r="C148" s="132" t="s">
        <v>8995</v>
      </c>
      <c r="D148" s="134" t="s">
        <v>6470</v>
      </c>
      <c r="E148" s="139">
        <v>5.76</v>
      </c>
      <c r="F148" s="134" t="s">
        <v>6469</v>
      </c>
      <c r="G148" s="134" t="s">
        <v>3007</v>
      </c>
      <c r="H148" s="123">
        <v>5381</v>
      </c>
    </row>
    <row r="149" spans="1:8" ht="31.5" x14ac:dyDescent="0.25">
      <c r="A149" s="134" t="s">
        <v>8988</v>
      </c>
      <c r="B149" s="134" t="s">
        <v>8994</v>
      </c>
      <c r="C149" s="132" t="s">
        <v>8993</v>
      </c>
      <c r="D149" s="134" t="s">
        <v>8992</v>
      </c>
      <c r="E149" s="139">
        <v>10.76</v>
      </c>
      <c r="F149" s="134" t="s">
        <v>8991</v>
      </c>
      <c r="G149" s="134" t="s">
        <v>3007</v>
      </c>
      <c r="H149" s="123">
        <v>5382</v>
      </c>
    </row>
    <row r="150" spans="1:8" ht="31.5" x14ac:dyDescent="0.25">
      <c r="A150" s="134" t="s">
        <v>8988</v>
      </c>
      <c r="B150" s="134" t="s">
        <v>8990</v>
      </c>
      <c r="C150" s="132" t="s">
        <v>8989</v>
      </c>
      <c r="D150" s="134" t="s">
        <v>8607</v>
      </c>
      <c r="E150" s="139">
        <v>0.96</v>
      </c>
      <c r="F150" s="134" t="s">
        <v>8606</v>
      </c>
      <c r="G150" s="134" t="s">
        <v>3007</v>
      </c>
      <c r="H150" s="123">
        <v>5383</v>
      </c>
    </row>
    <row r="151" spans="1:8" ht="31.5" x14ac:dyDescent="0.25">
      <c r="A151" s="134" t="s">
        <v>8988</v>
      </c>
      <c r="B151" s="134" t="s">
        <v>8987</v>
      </c>
      <c r="C151" s="132" t="s">
        <v>8986</v>
      </c>
      <c r="D151" s="134" t="s">
        <v>7645</v>
      </c>
      <c r="E151" s="139">
        <v>70.08</v>
      </c>
      <c r="F151" s="134" t="s">
        <v>7644</v>
      </c>
      <c r="G151" s="134" t="s">
        <v>3007</v>
      </c>
      <c r="H151" s="123">
        <v>5384</v>
      </c>
    </row>
    <row r="152" spans="1:8" s="200" customFormat="1" x14ac:dyDescent="0.25">
      <c r="A152" s="198"/>
      <c r="B152" s="198"/>
      <c r="C152" s="198" t="s">
        <v>5691</v>
      </c>
      <c r="D152" s="198" t="s">
        <v>14412</v>
      </c>
      <c r="E152" s="199">
        <f>SUM(E106:E151)</f>
        <v>499.75999999999993</v>
      </c>
      <c r="F152" s="198"/>
      <c r="G152" s="198"/>
      <c r="H152" s="172"/>
    </row>
    <row r="153" spans="1:8" x14ac:dyDescent="0.25">
      <c r="A153" s="134"/>
      <c r="B153" s="134"/>
      <c r="C153" s="132"/>
      <c r="D153" s="134"/>
      <c r="E153" s="139"/>
      <c r="F153" s="134"/>
      <c r="G153" s="144"/>
      <c r="H153" s="203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2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6C627-119A-43C4-98AA-CF724AFF285D}">
  <sheetPr>
    <pageSetUpPr fitToPage="1"/>
  </sheetPr>
  <dimension ref="A1:L97"/>
  <sheetViews>
    <sheetView topLeftCell="A73" zoomScaleNormal="100" workbookViewId="0">
      <selection activeCell="F87" sqref="F87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8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8" x14ac:dyDescent="0.2">
      <c r="A2" s="1"/>
      <c r="B2" s="2"/>
      <c r="C2" s="3"/>
      <c r="D2" s="3"/>
      <c r="E2" s="3"/>
      <c r="F2" s="4"/>
      <c r="G2" s="3"/>
      <c r="H2" s="5"/>
    </row>
    <row r="3" spans="1:8" x14ac:dyDescent="0.2">
      <c r="A3" s="1"/>
      <c r="B3" s="2"/>
      <c r="C3" s="3"/>
      <c r="D3" s="3"/>
      <c r="E3" s="3"/>
      <c r="F3" s="4"/>
      <c r="G3" s="3"/>
      <c r="H3" s="5"/>
    </row>
    <row r="4" spans="1:8" x14ac:dyDescent="0.2">
      <c r="A4" s="1" t="s">
        <v>1</v>
      </c>
      <c r="B4" s="1"/>
      <c r="D4" s="6"/>
      <c r="E4" s="6"/>
      <c r="G4" s="6"/>
    </row>
    <row r="5" spans="1:8" x14ac:dyDescent="0.2">
      <c r="A5" s="8"/>
      <c r="B5" s="2"/>
      <c r="C5" s="3"/>
      <c r="D5" s="3"/>
      <c r="E5" s="3"/>
      <c r="F5" s="4"/>
      <c r="G5" s="3"/>
      <c r="H5" s="5"/>
    </row>
    <row r="6" spans="1:8" x14ac:dyDescent="0.2">
      <c r="A6" s="8"/>
      <c r="B6" s="2"/>
      <c r="C6" s="3"/>
      <c r="D6" s="3"/>
      <c r="E6" s="3"/>
      <c r="F6" s="4"/>
      <c r="G6" s="3"/>
      <c r="H6" s="5"/>
    </row>
    <row r="7" spans="1:8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8" x14ac:dyDescent="0.2">
      <c r="A8" s="8"/>
      <c r="B8" s="2"/>
      <c r="C8" s="3"/>
      <c r="D8" s="3"/>
      <c r="E8" s="3"/>
      <c r="F8" s="4"/>
      <c r="G8" s="3"/>
      <c r="H8" s="5"/>
    </row>
    <row r="9" spans="1:8" ht="13.5" customHeight="1" x14ac:dyDescent="0.2">
      <c r="A9" s="10" t="s">
        <v>18713</v>
      </c>
      <c r="B9" s="10"/>
      <c r="C9" s="11"/>
      <c r="D9" s="3"/>
      <c r="E9" s="3"/>
      <c r="F9" s="4"/>
      <c r="G9" s="12" t="s">
        <v>4</v>
      </c>
      <c r="H9" s="13">
        <v>30009.62</v>
      </c>
    </row>
    <row r="10" spans="1:8" x14ac:dyDescent="0.2">
      <c r="A10" s="3"/>
      <c r="B10" s="9"/>
      <c r="C10" s="3"/>
      <c r="D10" s="3"/>
      <c r="E10" s="3"/>
      <c r="F10" s="4"/>
      <c r="G10" s="3"/>
      <c r="H10" s="5"/>
    </row>
    <row r="11" spans="1:8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8" ht="12.75" customHeight="1" x14ac:dyDescent="0.2">
      <c r="A12" s="14"/>
      <c r="B12" s="18" t="s">
        <v>6</v>
      </c>
      <c r="C12" s="3"/>
      <c r="D12" s="16"/>
      <c r="E12" s="16"/>
      <c r="F12" s="17"/>
      <c r="G12" s="3"/>
      <c r="H12" s="5"/>
    </row>
    <row r="13" spans="1:8" x14ac:dyDescent="0.2">
      <c r="A13" s="14"/>
      <c r="B13" s="9"/>
      <c r="C13" s="3"/>
      <c r="D13" s="16"/>
      <c r="E13" s="16"/>
      <c r="F13" s="17"/>
      <c r="G13" s="3"/>
      <c r="H13" s="5"/>
    </row>
    <row r="14" spans="1:8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8" x14ac:dyDescent="0.2">
      <c r="A15" s="23"/>
      <c r="B15" s="24"/>
      <c r="C15" s="34"/>
      <c r="D15" s="35"/>
      <c r="E15" s="26"/>
      <c r="F15" s="36"/>
      <c r="G15" s="3"/>
      <c r="H15" s="5"/>
    </row>
    <row r="16" spans="1:8" x14ac:dyDescent="0.2">
      <c r="A16" s="37"/>
      <c r="B16" s="38"/>
      <c r="C16" s="39"/>
      <c r="D16" s="40"/>
      <c r="E16" s="22"/>
      <c r="F16" s="41"/>
      <c r="G16" s="3"/>
      <c r="H16" s="13">
        <f>SUM(F15:F15)</f>
        <v>0</v>
      </c>
    </row>
    <row r="17" spans="1:9" x14ac:dyDescent="0.2">
      <c r="A17" s="19"/>
      <c r="B17" s="42"/>
      <c r="C17" s="3"/>
      <c r="D17" s="22"/>
      <c r="E17" s="22"/>
      <c r="F17" s="43"/>
      <c r="G17" s="12"/>
      <c r="H17" s="5"/>
    </row>
    <row r="18" spans="1:9" x14ac:dyDescent="0.2">
      <c r="A18" s="3"/>
      <c r="B18" s="44" t="s">
        <v>5</v>
      </c>
      <c r="C18" s="3"/>
      <c r="D18" s="16"/>
      <c r="E18" s="16"/>
      <c r="F18" s="22" t="s">
        <v>11</v>
      </c>
      <c r="G18" s="3"/>
      <c r="H18" s="5"/>
    </row>
    <row r="19" spans="1:9" ht="13.5" customHeight="1" x14ac:dyDescent="0.2">
      <c r="A19" s="21" t="s">
        <v>7</v>
      </c>
      <c r="B19" s="18" t="s">
        <v>14</v>
      </c>
      <c r="C19" s="3"/>
      <c r="D19" s="16"/>
      <c r="E19" s="16"/>
      <c r="F19" s="43"/>
      <c r="G19" s="3"/>
      <c r="H19" s="5"/>
    </row>
    <row r="20" spans="1:9" ht="13.5" customHeight="1" x14ac:dyDescent="0.2">
      <c r="A20" s="54"/>
      <c r="B20" s="55"/>
      <c r="D20" s="51"/>
      <c r="E20" s="51"/>
      <c r="F20" s="56"/>
      <c r="H20" s="57"/>
    </row>
    <row r="21" spans="1:9" x14ac:dyDescent="0.2">
      <c r="A21" s="58"/>
      <c r="D21" s="51"/>
      <c r="E21" s="51"/>
      <c r="F21" s="57"/>
      <c r="H21" s="60">
        <f>SUM(F20:F20)</f>
        <v>0</v>
      </c>
    </row>
    <row r="22" spans="1:9" s="64" customFormat="1" x14ac:dyDescent="0.2">
      <c r="A22" s="61"/>
      <c r="B22" s="62" t="s">
        <v>29</v>
      </c>
      <c r="C22" s="63"/>
      <c r="D22" s="63"/>
      <c r="E22" s="63"/>
      <c r="G22" s="65"/>
    </row>
    <row r="23" spans="1:9" s="64" customFormat="1" x14ac:dyDescent="0.2">
      <c r="A23" s="21" t="s">
        <v>7</v>
      </c>
      <c r="B23" s="62" t="s">
        <v>30</v>
      </c>
      <c r="C23" s="63"/>
      <c r="D23" s="63"/>
      <c r="E23" s="63"/>
      <c r="F23" s="22" t="s">
        <v>11</v>
      </c>
      <c r="G23" s="65"/>
    </row>
    <row r="24" spans="1:9" x14ac:dyDescent="0.2">
      <c r="A24" s="45"/>
      <c r="B24" s="66"/>
      <c r="D24" s="51"/>
      <c r="E24" s="51"/>
      <c r="F24" s="56"/>
      <c r="G24" s="3"/>
      <c r="H24" s="5"/>
    </row>
    <row r="25" spans="1:9" x14ac:dyDescent="0.2">
      <c r="A25" s="75"/>
      <c r="B25" s="2"/>
      <c r="C25" s="3"/>
      <c r="D25" s="16"/>
      <c r="E25" s="16"/>
      <c r="F25" s="76"/>
      <c r="G25" s="3"/>
      <c r="H25" s="60">
        <f>SUM(F24:F24)</f>
        <v>0</v>
      </c>
    </row>
    <row r="26" spans="1:9" x14ac:dyDescent="0.2">
      <c r="C26" s="3"/>
      <c r="D26" s="16"/>
      <c r="E26" s="16"/>
      <c r="F26" s="76"/>
      <c r="G26" s="3"/>
      <c r="H26" s="5"/>
    </row>
    <row r="27" spans="1:9" x14ac:dyDescent="0.2">
      <c r="B27" s="62" t="s">
        <v>29</v>
      </c>
      <c r="C27" s="3"/>
      <c r="D27" s="16"/>
      <c r="E27" s="16"/>
      <c r="F27" s="22" t="s">
        <v>11</v>
      </c>
      <c r="G27" s="3"/>
      <c r="H27" s="5"/>
    </row>
    <row r="28" spans="1:9" x14ac:dyDescent="0.2">
      <c r="A28" s="21" t="s">
        <v>7</v>
      </c>
      <c r="B28" s="18" t="s">
        <v>44</v>
      </c>
      <c r="C28" s="3"/>
      <c r="D28" s="16"/>
      <c r="E28" s="16"/>
      <c r="F28" s="12"/>
      <c r="G28" s="3"/>
      <c r="H28" s="5"/>
    </row>
    <row r="29" spans="1:9" ht="15" x14ac:dyDescent="0.2">
      <c r="A29" s="150">
        <v>43902</v>
      </c>
      <c r="B29" s="113" t="s">
        <v>16923</v>
      </c>
      <c r="C29" s="148" t="s">
        <v>16924</v>
      </c>
      <c r="D29" s="68"/>
      <c r="E29" s="25"/>
      <c r="F29" s="160">
        <v>8.3800000000000008</v>
      </c>
      <c r="G29" s="3"/>
      <c r="I29" s="33"/>
    </row>
    <row r="30" spans="1:9" ht="15" x14ac:dyDescent="0.2">
      <c r="A30" s="150">
        <v>43902</v>
      </c>
      <c r="B30" s="113" t="s">
        <v>16921</v>
      </c>
      <c r="C30" s="148" t="s">
        <v>16922</v>
      </c>
      <c r="D30" s="68"/>
      <c r="E30" s="25"/>
      <c r="F30" s="160">
        <v>15.32</v>
      </c>
      <c r="G30" s="3"/>
      <c r="I30" s="33"/>
    </row>
    <row r="31" spans="1:9" ht="15" x14ac:dyDescent="0.2">
      <c r="A31" s="150">
        <v>43902</v>
      </c>
      <c r="B31" s="113" t="s">
        <v>16919</v>
      </c>
      <c r="C31" s="148" t="s">
        <v>16920</v>
      </c>
      <c r="D31" s="68"/>
      <c r="E31" s="25"/>
      <c r="F31" s="160">
        <v>15.3</v>
      </c>
      <c r="G31" s="3"/>
      <c r="I31" s="33"/>
    </row>
    <row r="32" spans="1:9" ht="15" x14ac:dyDescent="0.2">
      <c r="A32" s="150">
        <v>43902</v>
      </c>
      <c r="B32" s="113" t="s">
        <v>16917</v>
      </c>
      <c r="C32" s="148" t="s">
        <v>16918</v>
      </c>
      <c r="D32" s="68"/>
      <c r="E32" s="25"/>
      <c r="F32" s="160">
        <v>1</v>
      </c>
      <c r="G32" s="3"/>
      <c r="I32" s="33"/>
    </row>
    <row r="33" spans="1:9" ht="15" x14ac:dyDescent="0.2">
      <c r="A33" s="150">
        <v>43902</v>
      </c>
      <c r="B33" s="113" t="s">
        <v>16915</v>
      </c>
      <c r="C33" s="148" t="s">
        <v>16916</v>
      </c>
      <c r="D33" s="68"/>
      <c r="E33" s="25"/>
      <c r="F33" s="160">
        <v>30.16</v>
      </c>
      <c r="G33" s="3"/>
      <c r="I33" s="33"/>
    </row>
    <row r="34" spans="1:9" ht="19.5" x14ac:dyDescent="0.2">
      <c r="A34" s="150">
        <v>43902</v>
      </c>
      <c r="B34" s="113" t="s">
        <v>16913</v>
      </c>
      <c r="C34" s="148" t="s">
        <v>16914</v>
      </c>
      <c r="D34" s="68"/>
      <c r="E34" s="25"/>
      <c r="F34" s="160">
        <v>9.82</v>
      </c>
      <c r="G34" s="3"/>
      <c r="I34" s="33"/>
    </row>
    <row r="35" spans="1:9" ht="19.5" x14ac:dyDescent="0.2">
      <c r="A35" s="150">
        <v>43903</v>
      </c>
      <c r="B35" s="113" t="s">
        <v>16785</v>
      </c>
      <c r="C35" s="148" t="s">
        <v>16786</v>
      </c>
      <c r="D35" s="68"/>
      <c r="E35" s="25"/>
      <c r="F35" s="160">
        <v>47.67</v>
      </c>
      <c r="G35" s="3"/>
      <c r="I35" s="33"/>
    </row>
    <row r="36" spans="1:9" ht="15" x14ac:dyDescent="0.2">
      <c r="A36" s="150">
        <v>43903</v>
      </c>
      <c r="B36" s="113" t="s">
        <v>16783</v>
      </c>
      <c r="C36" s="148" t="s">
        <v>16784</v>
      </c>
      <c r="D36" s="68"/>
      <c r="E36" s="25"/>
      <c r="F36" s="160">
        <v>44.13</v>
      </c>
      <c r="G36" s="3"/>
      <c r="I36" s="33"/>
    </row>
    <row r="37" spans="1:9" ht="15" x14ac:dyDescent="0.2">
      <c r="A37" s="150">
        <v>43903</v>
      </c>
      <c r="B37" s="113" t="s">
        <v>16777</v>
      </c>
      <c r="C37" s="148" t="s">
        <v>16778</v>
      </c>
      <c r="D37" s="68"/>
      <c r="E37" s="25"/>
      <c r="F37" s="160">
        <v>15.3</v>
      </c>
      <c r="G37" s="3"/>
      <c r="I37" s="33"/>
    </row>
    <row r="38" spans="1:9" ht="15" x14ac:dyDescent="0.2">
      <c r="A38" s="150">
        <v>43903</v>
      </c>
      <c r="B38" s="113" t="s">
        <v>16775</v>
      </c>
      <c r="C38" s="148" t="s">
        <v>16776</v>
      </c>
      <c r="D38" s="68"/>
      <c r="E38" s="25"/>
      <c r="F38" s="160">
        <v>75.319999999999993</v>
      </c>
      <c r="G38" s="3"/>
      <c r="I38" s="33"/>
    </row>
    <row r="39" spans="1:9" ht="15" x14ac:dyDescent="0.2">
      <c r="A39" s="150">
        <v>43949</v>
      </c>
      <c r="B39" s="113" t="s">
        <v>18181</v>
      </c>
      <c r="C39" s="148" t="s">
        <v>18182</v>
      </c>
      <c r="D39" s="68"/>
      <c r="E39" s="25"/>
      <c r="F39" s="258">
        <v>8.66</v>
      </c>
      <c r="G39" s="3"/>
      <c r="I39" s="33"/>
    </row>
    <row r="40" spans="1:9" ht="19.5" x14ac:dyDescent="0.2">
      <c r="A40" s="150">
        <v>43949</v>
      </c>
      <c r="B40" s="113" t="s">
        <v>18179</v>
      </c>
      <c r="C40" s="148" t="s">
        <v>18180</v>
      </c>
      <c r="D40" s="68"/>
      <c r="E40" s="25"/>
      <c r="F40" s="258">
        <v>25.14</v>
      </c>
      <c r="G40" s="3"/>
      <c r="I40" s="33"/>
    </row>
    <row r="41" spans="1:9" ht="15" x14ac:dyDescent="0.2">
      <c r="A41" s="150">
        <v>43949</v>
      </c>
      <c r="B41" s="113" t="s">
        <v>18177</v>
      </c>
      <c r="C41" s="148" t="s">
        <v>18178</v>
      </c>
      <c r="D41" s="68"/>
      <c r="E41" s="25"/>
      <c r="F41" s="258">
        <v>11.11</v>
      </c>
      <c r="G41" s="3"/>
      <c r="I41" s="33"/>
    </row>
    <row r="42" spans="1:9" ht="19.5" x14ac:dyDescent="0.2">
      <c r="A42" s="150">
        <v>43949</v>
      </c>
      <c r="B42" s="113" t="s">
        <v>18175</v>
      </c>
      <c r="C42" s="148" t="s">
        <v>18176</v>
      </c>
      <c r="D42" s="68"/>
      <c r="E42" s="25"/>
      <c r="F42" s="258">
        <v>6.77</v>
      </c>
      <c r="G42" s="3"/>
      <c r="I42" s="33"/>
    </row>
    <row r="43" spans="1:9" ht="15" x14ac:dyDescent="0.2">
      <c r="A43" s="150">
        <v>43949</v>
      </c>
      <c r="B43" s="113" t="s">
        <v>18173</v>
      </c>
      <c r="C43" s="148" t="s">
        <v>18174</v>
      </c>
      <c r="D43" s="68"/>
      <c r="E43" s="25"/>
      <c r="F43" s="258">
        <v>30.39</v>
      </c>
      <c r="G43" s="3"/>
      <c r="I43" s="33"/>
    </row>
    <row r="44" spans="1:9" ht="19.5" x14ac:dyDescent="0.2">
      <c r="A44" s="150">
        <v>43949</v>
      </c>
      <c r="B44" s="113" t="s">
        <v>18171</v>
      </c>
      <c r="C44" s="148" t="s">
        <v>18172</v>
      </c>
      <c r="D44" s="68"/>
      <c r="E44" s="25"/>
      <c r="F44" s="258">
        <v>5.9</v>
      </c>
      <c r="G44" s="3"/>
      <c r="I44" s="33"/>
    </row>
    <row r="45" spans="1:9" ht="15" x14ac:dyDescent="0.2">
      <c r="A45" s="150">
        <v>43949</v>
      </c>
      <c r="B45" s="113" t="s">
        <v>18169</v>
      </c>
      <c r="C45" s="148" t="s">
        <v>18170</v>
      </c>
      <c r="D45" s="68"/>
      <c r="E45" s="25"/>
      <c r="F45" s="258">
        <v>1.71</v>
      </c>
      <c r="G45" s="3"/>
      <c r="I45" s="33"/>
    </row>
    <row r="46" spans="1:9" ht="15" x14ac:dyDescent="0.2">
      <c r="A46" s="150">
        <v>43949</v>
      </c>
      <c r="B46" s="113" t="s">
        <v>18167</v>
      </c>
      <c r="C46" s="148" t="s">
        <v>18168</v>
      </c>
      <c r="D46" s="68"/>
      <c r="E46" s="25"/>
      <c r="F46" s="258">
        <v>6.64</v>
      </c>
      <c r="G46" s="3"/>
      <c r="I46" s="33"/>
    </row>
    <row r="47" spans="1:9" ht="15" x14ac:dyDescent="0.2">
      <c r="A47" s="150">
        <v>43949</v>
      </c>
      <c r="B47" s="113" t="s">
        <v>18165</v>
      </c>
      <c r="C47" s="148" t="s">
        <v>18166</v>
      </c>
      <c r="D47" s="68"/>
      <c r="E47" s="25"/>
      <c r="F47" s="258">
        <v>4.6900000000000004</v>
      </c>
      <c r="G47" s="3"/>
      <c r="I47" s="33"/>
    </row>
    <row r="48" spans="1:9" ht="15" x14ac:dyDescent="0.2">
      <c r="A48" s="150">
        <v>43949</v>
      </c>
      <c r="B48" s="113" t="s">
        <v>18163</v>
      </c>
      <c r="C48" s="148" t="s">
        <v>18164</v>
      </c>
      <c r="D48" s="68"/>
      <c r="E48" s="25"/>
      <c r="F48" s="258">
        <v>10.02</v>
      </c>
      <c r="G48" s="3"/>
      <c r="I48" s="33"/>
    </row>
    <row r="49" spans="1:9" ht="15" x14ac:dyDescent="0.2">
      <c r="A49" s="150">
        <v>43949</v>
      </c>
      <c r="B49" s="113" t="s">
        <v>18161</v>
      </c>
      <c r="C49" s="148" t="s">
        <v>18162</v>
      </c>
      <c r="D49" s="68"/>
      <c r="E49" s="25"/>
      <c r="F49" s="258">
        <v>23.08</v>
      </c>
      <c r="G49" s="3"/>
      <c r="I49" s="33"/>
    </row>
    <row r="50" spans="1:9" ht="19.5" x14ac:dyDescent="0.2">
      <c r="A50" s="150">
        <v>43949</v>
      </c>
      <c r="B50" s="113" t="s">
        <v>18159</v>
      </c>
      <c r="C50" s="148" t="s">
        <v>18160</v>
      </c>
      <c r="D50" s="68"/>
      <c r="E50" s="25"/>
      <c r="F50" s="258">
        <v>6.28</v>
      </c>
      <c r="G50" s="3"/>
      <c r="I50" s="33"/>
    </row>
    <row r="51" spans="1:9" ht="19.5" x14ac:dyDescent="0.2">
      <c r="A51" s="150">
        <v>43949</v>
      </c>
      <c r="B51" s="113" t="s">
        <v>18157</v>
      </c>
      <c r="C51" s="148" t="s">
        <v>18158</v>
      </c>
      <c r="D51" s="68"/>
      <c r="E51" s="25"/>
      <c r="F51" s="258">
        <v>6.76</v>
      </c>
      <c r="G51" s="3"/>
      <c r="I51" s="33"/>
    </row>
    <row r="52" spans="1:9" ht="15" x14ac:dyDescent="0.2">
      <c r="A52" s="150">
        <v>43949</v>
      </c>
      <c r="B52" s="113" t="s">
        <v>18155</v>
      </c>
      <c r="C52" s="148" t="s">
        <v>18156</v>
      </c>
      <c r="D52" s="68"/>
      <c r="E52" s="25"/>
      <c r="F52" s="258">
        <v>10.039999999999999</v>
      </c>
      <c r="G52" s="3"/>
      <c r="I52" s="33"/>
    </row>
    <row r="53" spans="1:9" ht="15" x14ac:dyDescent="0.2">
      <c r="A53" s="150">
        <v>43949</v>
      </c>
      <c r="B53" s="113" t="s">
        <v>18153</v>
      </c>
      <c r="C53" s="148" t="s">
        <v>18154</v>
      </c>
      <c r="D53" s="68"/>
      <c r="E53" s="25"/>
      <c r="F53" s="258">
        <v>3.18</v>
      </c>
      <c r="G53" s="3"/>
      <c r="I53" s="33"/>
    </row>
    <row r="54" spans="1:9" ht="15" x14ac:dyDescent="0.2">
      <c r="A54" s="150">
        <v>43950</v>
      </c>
      <c r="B54" s="113" t="s">
        <v>18142</v>
      </c>
      <c r="C54" s="148" t="s">
        <v>18143</v>
      </c>
      <c r="D54" s="68"/>
      <c r="E54" s="25"/>
      <c r="F54" s="258">
        <v>9.84</v>
      </c>
      <c r="G54" s="3"/>
      <c r="I54" s="33"/>
    </row>
    <row r="55" spans="1:9" ht="15" x14ac:dyDescent="0.2">
      <c r="A55" s="150">
        <v>43950</v>
      </c>
      <c r="B55" s="113" t="s">
        <v>18140</v>
      </c>
      <c r="C55" s="148" t="s">
        <v>18141</v>
      </c>
      <c r="D55" s="68"/>
      <c r="E55" s="25"/>
      <c r="F55" s="258">
        <v>5.32</v>
      </c>
      <c r="G55" s="3"/>
      <c r="I55" s="33"/>
    </row>
    <row r="56" spans="1:9" ht="15" x14ac:dyDescent="0.2">
      <c r="A56" s="150">
        <v>43950</v>
      </c>
      <c r="B56" s="113" t="s">
        <v>18138</v>
      </c>
      <c r="C56" s="148" t="s">
        <v>18139</v>
      </c>
      <c r="D56" s="68"/>
      <c r="E56" s="25"/>
      <c r="F56" s="258">
        <v>12.9</v>
      </c>
      <c r="G56" s="3"/>
      <c r="I56" s="33"/>
    </row>
    <row r="57" spans="1:9" ht="15" x14ac:dyDescent="0.2">
      <c r="A57" s="150">
        <v>43950</v>
      </c>
      <c r="B57" s="113" t="s">
        <v>18136</v>
      </c>
      <c r="C57" s="148" t="s">
        <v>18137</v>
      </c>
      <c r="D57" s="68"/>
      <c r="E57" s="25"/>
      <c r="F57" s="258">
        <v>3.65</v>
      </c>
      <c r="G57" s="3"/>
      <c r="I57" s="33"/>
    </row>
    <row r="58" spans="1:9" ht="15" x14ac:dyDescent="0.2">
      <c r="A58" s="150">
        <v>43950</v>
      </c>
      <c r="B58" s="113" t="s">
        <v>18134</v>
      </c>
      <c r="C58" s="148" t="s">
        <v>18135</v>
      </c>
      <c r="D58" s="68"/>
      <c r="E58" s="25"/>
      <c r="F58" s="258">
        <v>5.13</v>
      </c>
      <c r="G58" s="3"/>
      <c r="I58" s="33"/>
    </row>
    <row r="59" spans="1:9" ht="15" x14ac:dyDescent="0.2">
      <c r="A59" s="150">
        <v>43950</v>
      </c>
      <c r="B59" s="113" t="s">
        <v>18132</v>
      </c>
      <c r="C59" s="148" t="s">
        <v>18133</v>
      </c>
      <c r="D59" s="68"/>
      <c r="E59" s="25"/>
      <c r="F59" s="258">
        <v>8.33</v>
      </c>
      <c r="G59" s="3"/>
      <c r="I59" s="33"/>
    </row>
    <row r="60" spans="1:9" ht="15" x14ac:dyDescent="0.2">
      <c r="A60" s="150">
        <v>43950</v>
      </c>
      <c r="B60" s="113" t="s">
        <v>18130</v>
      </c>
      <c r="C60" s="148" t="s">
        <v>18131</v>
      </c>
      <c r="D60" s="68"/>
      <c r="E60" s="25"/>
      <c r="F60" s="258">
        <v>12.44</v>
      </c>
      <c r="G60" s="3"/>
      <c r="I60" s="33"/>
    </row>
    <row r="61" spans="1:9" ht="15" x14ac:dyDescent="0.2">
      <c r="A61" s="150">
        <v>43950</v>
      </c>
      <c r="B61" s="113" t="s">
        <v>18128</v>
      </c>
      <c r="C61" s="148" t="s">
        <v>18129</v>
      </c>
      <c r="D61" s="68"/>
      <c r="E61" s="25"/>
      <c r="F61" s="258">
        <v>10.49</v>
      </c>
      <c r="G61" s="3"/>
      <c r="I61" s="33"/>
    </row>
    <row r="62" spans="1:9" ht="15" x14ac:dyDescent="0.2">
      <c r="A62" s="150">
        <v>43950</v>
      </c>
      <c r="B62" s="113" t="s">
        <v>18126</v>
      </c>
      <c r="C62" s="148" t="s">
        <v>18127</v>
      </c>
      <c r="D62" s="68"/>
      <c r="E62" s="25"/>
      <c r="F62" s="258">
        <v>3.37</v>
      </c>
      <c r="G62" s="3"/>
      <c r="I62" s="33"/>
    </row>
    <row r="63" spans="1:9" ht="15" x14ac:dyDescent="0.2">
      <c r="A63" s="150">
        <v>43950</v>
      </c>
      <c r="B63" s="113" t="s">
        <v>18124</v>
      </c>
      <c r="C63" s="148" t="s">
        <v>18125</v>
      </c>
      <c r="D63" s="68"/>
      <c r="E63" s="25"/>
      <c r="F63" s="258">
        <v>3.36</v>
      </c>
      <c r="G63" s="3"/>
      <c r="I63" s="33"/>
    </row>
    <row r="64" spans="1:9" ht="19.5" x14ac:dyDescent="0.2">
      <c r="A64" s="150">
        <v>43950</v>
      </c>
      <c r="B64" s="113" t="s">
        <v>18122</v>
      </c>
      <c r="C64" s="148" t="s">
        <v>18123</v>
      </c>
      <c r="D64" s="68"/>
      <c r="E64" s="25"/>
      <c r="F64" s="258">
        <v>9.35</v>
      </c>
      <c r="G64" s="3"/>
      <c r="I64" s="33"/>
    </row>
    <row r="65" spans="1:9" ht="15" x14ac:dyDescent="0.2">
      <c r="A65" s="150">
        <v>43950</v>
      </c>
      <c r="B65" s="113" t="s">
        <v>18120</v>
      </c>
      <c r="C65" s="148" t="s">
        <v>18121</v>
      </c>
      <c r="D65" s="68"/>
      <c r="E65" s="25"/>
      <c r="F65" s="258">
        <v>19.579999999999998</v>
      </c>
      <c r="G65" s="3"/>
      <c r="I65" s="33"/>
    </row>
    <row r="66" spans="1:9" ht="15" x14ac:dyDescent="0.2">
      <c r="A66" s="150">
        <v>43950</v>
      </c>
      <c r="B66" s="113" t="s">
        <v>18118</v>
      </c>
      <c r="C66" s="148" t="s">
        <v>18119</v>
      </c>
      <c r="D66" s="68"/>
      <c r="E66" s="25"/>
      <c r="F66" s="258">
        <v>4.28</v>
      </c>
      <c r="G66" s="3"/>
      <c r="I66" s="33"/>
    </row>
    <row r="67" spans="1:9" ht="15" x14ac:dyDescent="0.2">
      <c r="A67" s="150">
        <v>43950</v>
      </c>
      <c r="B67" s="113" t="s">
        <v>18116</v>
      </c>
      <c r="C67" s="148" t="s">
        <v>18117</v>
      </c>
      <c r="D67" s="68"/>
      <c r="E67" s="25"/>
      <c r="F67" s="258">
        <v>16.84</v>
      </c>
      <c r="G67" s="3"/>
      <c r="I67" s="33"/>
    </row>
    <row r="68" spans="1:9" ht="19.5" x14ac:dyDescent="0.2">
      <c r="A68" s="150">
        <v>43950</v>
      </c>
      <c r="B68" s="113" t="s">
        <v>18114</v>
      </c>
      <c r="C68" s="148" t="s">
        <v>18115</v>
      </c>
      <c r="D68" s="68"/>
      <c r="E68" s="25"/>
      <c r="F68" s="258">
        <v>7.53</v>
      </c>
      <c r="G68" s="3"/>
      <c r="I68" s="33"/>
    </row>
    <row r="69" spans="1:9" ht="15" x14ac:dyDescent="0.2">
      <c r="A69" s="150">
        <v>43950</v>
      </c>
      <c r="B69" s="113" t="s">
        <v>18112</v>
      </c>
      <c r="C69" s="148" t="s">
        <v>18113</v>
      </c>
      <c r="D69" s="68"/>
      <c r="E69" s="25"/>
      <c r="F69" s="258">
        <v>16.68</v>
      </c>
      <c r="G69" s="3"/>
      <c r="I69" s="33"/>
    </row>
    <row r="70" spans="1:9" ht="15" x14ac:dyDescent="0.2">
      <c r="A70" s="150">
        <v>43950</v>
      </c>
      <c r="B70" s="113" t="s">
        <v>18110</v>
      </c>
      <c r="C70" s="148" t="s">
        <v>18111</v>
      </c>
      <c r="D70" s="68"/>
      <c r="E70" s="25"/>
      <c r="F70" s="258">
        <v>14.72</v>
      </c>
      <c r="G70" s="3"/>
      <c r="I70" s="33"/>
    </row>
    <row r="71" spans="1:9" ht="15" x14ac:dyDescent="0.2">
      <c r="A71" s="150">
        <v>43951</v>
      </c>
      <c r="B71" s="113" t="s">
        <v>18083</v>
      </c>
      <c r="C71" s="148" t="s">
        <v>18084</v>
      </c>
      <c r="D71" s="68"/>
      <c r="E71" s="25"/>
      <c r="F71" s="258">
        <v>3.37</v>
      </c>
      <c r="G71" s="3"/>
      <c r="I71" s="33"/>
    </row>
    <row r="72" spans="1:9" ht="15" x14ac:dyDescent="0.2">
      <c r="A72" s="150">
        <v>43951</v>
      </c>
      <c r="B72" s="113" t="s">
        <v>18081</v>
      </c>
      <c r="C72" s="148" t="s">
        <v>18082</v>
      </c>
      <c r="D72" s="68"/>
      <c r="E72" s="25"/>
      <c r="F72" s="258">
        <v>5.04</v>
      </c>
      <c r="G72" s="3"/>
      <c r="I72" s="33"/>
    </row>
    <row r="73" spans="1:9" ht="15" x14ac:dyDescent="0.2">
      <c r="A73" s="150">
        <v>43951</v>
      </c>
      <c r="B73" s="113" t="s">
        <v>18079</v>
      </c>
      <c r="C73" s="148" t="s">
        <v>18080</v>
      </c>
      <c r="D73" s="68"/>
      <c r="E73" s="25"/>
      <c r="F73" s="258">
        <v>3.36</v>
      </c>
      <c r="G73" s="3"/>
      <c r="I73" s="33"/>
    </row>
    <row r="74" spans="1:9" ht="15" x14ac:dyDescent="0.2">
      <c r="A74" s="150">
        <v>43951</v>
      </c>
      <c r="B74" s="113" t="s">
        <v>18077</v>
      </c>
      <c r="C74" s="148" t="s">
        <v>18078</v>
      </c>
      <c r="D74" s="68"/>
      <c r="E74" s="25"/>
      <c r="F74" s="258">
        <v>3.74</v>
      </c>
      <c r="G74" s="3"/>
      <c r="I74" s="33"/>
    </row>
    <row r="75" spans="1:9" ht="19.5" x14ac:dyDescent="0.2">
      <c r="A75" s="150">
        <v>43951</v>
      </c>
      <c r="B75" s="113" t="s">
        <v>18075</v>
      </c>
      <c r="C75" s="148" t="s">
        <v>18076</v>
      </c>
      <c r="D75" s="68"/>
      <c r="E75" s="25"/>
      <c r="F75" s="258">
        <v>6.94</v>
      </c>
      <c r="G75" s="3"/>
      <c r="I75" s="33"/>
    </row>
    <row r="76" spans="1:9" ht="15" x14ac:dyDescent="0.2">
      <c r="A76" s="150">
        <v>43951</v>
      </c>
      <c r="B76" s="113" t="s">
        <v>18073</v>
      </c>
      <c r="C76" s="148" t="s">
        <v>18074</v>
      </c>
      <c r="D76" s="68"/>
      <c r="E76" s="25"/>
      <c r="F76" s="258">
        <v>3.9</v>
      </c>
      <c r="G76" s="3"/>
      <c r="I76" s="33"/>
    </row>
    <row r="77" spans="1:9" ht="19.5" x14ac:dyDescent="0.2">
      <c r="A77" s="150">
        <v>43951</v>
      </c>
      <c r="B77" s="113" t="s">
        <v>18071</v>
      </c>
      <c r="C77" s="148" t="s">
        <v>18072</v>
      </c>
      <c r="D77" s="68"/>
      <c r="E77" s="25"/>
      <c r="F77" s="258">
        <v>19.66</v>
      </c>
      <c r="G77" s="3"/>
      <c r="I77" s="33"/>
    </row>
    <row r="78" spans="1:9" ht="15" x14ac:dyDescent="0.2">
      <c r="A78" s="150">
        <v>43951</v>
      </c>
      <c r="B78" s="113" t="s">
        <v>18069</v>
      </c>
      <c r="C78" s="148" t="s">
        <v>18070</v>
      </c>
      <c r="D78" s="68"/>
      <c r="E78" s="25"/>
      <c r="F78" s="258">
        <v>3.45</v>
      </c>
      <c r="G78" s="3"/>
      <c r="I78" s="33"/>
    </row>
    <row r="79" spans="1:9" ht="15" x14ac:dyDescent="0.2">
      <c r="A79" s="150">
        <v>43951</v>
      </c>
      <c r="B79" s="113" t="s">
        <v>18067</v>
      </c>
      <c r="C79" s="148" t="s">
        <v>18068</v>
      </c>
      <c r="D79" s="68"/>
      <c r="E79" s="25"/>
      <c r="F79" s="258">
        <v>3.8</v>
      </c>
      <c r="G79" s="3"/>
      <c r="I79" s="33"/>
    </row>
    <row r="80" spans="1:9" ht="15" x14ac:dyDescent="0.2">
      <c r="A80" s="150">
        <v>43951</v>
      </c>
      <c r="B80" s="113" t="s">
        <v>18065</v>
      </c>
      <c r="C80" s="148" t="s">
        <v>18066</v>
      </c>
      <c r="D80" s="68"/>
      <c r="E80" s="25"/>
      <c r="F80" s="258">
        <v>34.76</v>
      </c>
      <c r="G80" s="3"/>
      <c r="I80" s="33"/>
    </row>
    <row r="81" spans="1:12" ht="15" x14ac:dyDescent="0.2">
      <c r="A81" s="150">
        <v>43951</v>
      </c>
      <c r="B81" s="113" t="s">
        <v>18063</v>
      </c>
      <c r="C81" s="148" t="s">
        <v>18064</v>
      </c>
      <c r="D81" s="68"/>
      <c r="E81" s="25"/>
      <c r="F81" s="258">
        <v>5.76</v>
      </c>
      <c r="G81" s="3"/>
      <c r="I81" s="33"/>
    </row>
    <row r="82" spans="1:12" ht="19.5" x14ac:dyDescent="0.2">
      <c r="A82" s="150">
        <v>43951</v>
      </c>
      <c r="B82" s="113" t="s">
        <v>18061</v>
      </c>
      <c r="C82" s="148" t="s">
        <v>18062</v>
      </c>
      <c r="D82" s="68"/>
      <c r="E82" s="25"/>
      <c r="F82" s="258">
        <v>10.76</v>
      </c>
      <c r="G82" s="3"/>
      <c r="I82" s="33"/>
    </row>
    <row r="83" spans="1:12" ht="15" x14ac:dyDescent="0.2">
      <c r="A83" s="150">
        <v>43951</v>
      </c>
      <c r="B83" s="113" t="s">
        <v>18059</v>
      </c>
      <c r="C83" s="148" t="s">
        <v>18060</v>
      </c>
      <c r="D83" s="68"/>
      <c r="E83" s="25"/>
      <c r="F83" s="258">
        <v>0.96</v>
      </c>
      <c r="G83" s="3"/>
      <c r="I83" s="33"/>
    </row>
    <row r="84" spans="1:12" ht="15" x14ac:dyDescent="0.2">
      <c r="A84" s="150">
        <v>43951</v>
      </c>
      <c r="B84" s="113" t="s">
        <v>18057</v>
      </c>
      <c r="C84" s="148" t="s">
        <v>18058</v>
      </c>
      <c r="D84" s="68"/>
      <c r="E84" s="25"/>
      <c r="F84" s="258">
        <v>70.08</v>
      </c>
      <c r="G84" s="3"/>
      <c r="I84" s="33"/>
    </row>
    <row r="85" spans="1:12" ht="12.75" x14ac:dyDescent="0.2">
      <c r="A85" s="37"/>
      <c r="B85" s="91"/>
      <c r="C85" s="39"/>
      <c r="D85" s="16"/>
      <c r="E85" s="16"/>
      <c r="F85" s="92"/>
      <c r="G85" s="3"/>
      <c r="H85" s="301">
        <f>SUM(F29:F85)</f>
        <v>762.15999999999985</v>
      </c>
    </row>
    <row r="86" spans="1:12" x14ac:dyDescent="0.2">
      <c r="A86" s="3"/>
      <c r="B86" s="2"/>
      <c r="C86" s="3"/>
      <c r="D86" s="3"/>
      <c r="E86" s="3"/>
      <c r="F86" s="5"/>
      <c r="G86" s="3"/>
      <c r="H86" s="5"/>
    </row>
    <row r="87" spans="1:12" s="99" customFormat="1" ht="20.25" customHeight="1" thickBot="1" x14ac:dyDescent="0.3">
      <c r="A87" s="93"/>
      <c r="B87" s="94" t="s">
        <v>18714</v>
      </c>
      <c r="C87" s="95"/>
      <c r="D87" s="93"/>
      <c r="E87" s="93"/>
      <c r="F87" s="96"/>
      <c r="G87" s="97" t="s">
        <v>4</v>
      </c>
      <c r="H87" s="302">
        <f>+H9-H16-H21+H25+H85</f>
        <v>30771.78</v>
      </c>
      <c r="I87" s="303"/>
      <c r="J87" s="303"/>
    </row>
    <row r="88" spans="1:12" ht="13.5" thickTop="1" x14ac:dyDescent="0.2">
      <c r="A88" s="3"/>
      <c r="B88" s="2"/>
      <c r="C88" s="3"/>
      <c r="D88" s="3"/>
      <c r="E88" s="3"/>
      <c r="F88" s="5"/>
      <c r="G88" s="3"/>
      <c r="H88" s="304"/>
      <c r="I88" s="305"/>
      <c r="J88" s="306">
        <f>+'BP ABR-20'!I365</f>
        <v>31754.120000000024</v>
      </c>
    </row>
    <row r="89" spans="1:12" ht="12.75" x14ac:dyDescent="0.2">
      <c r="A89" s="3"/>
      <c r="B89" s="2"/>
      <c r="C89" s="3"/>
      <c r="D89" s="3"/>
      <c r="E89" s="3"/>
      <c r="F89" s="5"/>
      <c r="G89" s="3"/>
      <c r="H89" s="305"/>
      <c r="I89" s="305"/>
      <c r="J89" s="304"/>
    </row>
    <row r="90" spans="1:12" ht="12.75" x14ac:dyDescent="0.2">
      <c r="A90" s="3"/>
      <c r="B90" s="2"/>
      <c r="C90" s="3"/>
      <c r="D90" s="3"/>
      <c r="E90" s="3"/>
      <c r="G90" s="3"/>
      <c r="H90" s="305"/>
      <c r="I90" s="305"/>
      <c r="J90" s="304"/>
    </row>
    <row r="91" spans="1:12" ht="23.25" customHeight="1" thickBot="1" x14ac:dyDescent="0.25">
      <c r="A91" s="3"/>
      <c r="C91" s="100"/>
      <c r="D91" s="101"/>
      <c r="E91" s="3"/>
      <c r="F91" s="102"/>
      <c r="G91" s="3"/>
      <c r="H91" s="304"/>
      <c r="I91" s="305"/>
      <c r="J91" s="302">
        <f>+H87-J88</f>
        <v>-982.34000000002561</v>
      </c>
      <c r="L91" s="57"/>
    </row>
    <row r="92" spans="1:12" ht="26.25" customHeight="1" thickTop="1" x14ac:dyDescent="0.2">
      <c r="A92" s="3"/>
      <c r="C92" s="378" t="s">
        <v>314</v>
      </c>
      <c r="D92" s="378"/>
      <c r="E92" s="3"/>
      <c r="F92" s="378" t="s">
        <v>315</v>
      </c>
      <c r="G92" s="378"/>
      <c r="H92" s="304"/>
      <c r="I92" s="305"/>
      <c r="J92" s="305"/>
    </row>
    <row r="93" spans="1:12" ht="23.25" customHeight="1" thickBot="1" x14ac:dyDescent="0.25">
      <c r="H93" s="305"/>
      <c r="I93" s="305"/>
      <c r="J93" s="302">
        <f>+H87-J91</f>
        <v>31754.120000000024</v>
      </c>
    </row>
    <row r="94" spans="1:12" ht="13.5" thickTop="1" x14ac:dyDescent="0.2">
      <c r="H94" s="305"/>
      <c r="I94" s="305"/>
      <c r="J94" s="305"/>
      <c r="L94" s="57"/>
    </row>
    <row r="96" spans="1:12" x14ac:dyDescent="0.2">
      <c r="L96" s="57"/>
    </row>
    <row r="97" spans="1:10" x14ac:dyDescent="0.2">
      <c r="A97" s="6"/>
      <c r="B97" s="6"/>
      <c r="C97" s="6"/>
      <c r="D97" s="6"/>
      <c r="E97" s="6"/>
      <c r="G97" s="6"/>
      <c r="J97" s="57"/>
    </row>
  </sheetData>
  <mergeCells count="2">
    <mergeCell ref="C92:D92"/>
    <mergeCell ref="F92:G92"/>
  </mergeCells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B476-98C2-4FCD-82F0-16345118F234}">
  <dimension ref="A2:I669"/>
  <sheetViews>
    <sheetView topLeftCell="A16" workbookViewId="0">
      <pane xSplit="5" ySplit="2" topLeftCell="F654" activePane="bottomRight" state="frozen"/>
      <selection activeCell="A16" sqref="A16"/>
      <selection pane="topRight" activeCell="F16" sqref="F16"/>
      <selection pane="bottomLeft" activeCell="A18" sqref="A18"/>
      <selection pane="bottomRight" activeCell="G23" sqref="G23"/>
    </sheetView>
  </sheetViews>
  <sheetFormatPr baseColWidth="10" defaultColWidth="11.5703125" defaultRowHeight="15.75" x14ac:dyDescent="0.2"/>
  <cols>
    <col min="1" max="1" width="11.5703125" style="103"/>
    <col min="2" max="4" width="11.5703125" style="145"/>
    <col min="5" max="5" width="58" style="111" customWidth="1"/>
    <col min="6" max="6" width="7.5703125" style="257" customWidth="1"/>
    <col min="7" max="7" width="13.85546875" style="103" bestFit="1" customWidth="1"/>
    <col min="8" max="8" width="12.42578125" style="103" bestFit="1" customWidth="1"/>
    <col min="9" max="9" width="13.85546875" style="103" bestFit="1" customWidth="1"/>
    <col min="10" max="16384" width="11.5703125" style="103"/>
  </cols>
  <sheetData>
    <row r="2" spans="1:9" ht="19.5" x14ac:dyDescent="0.2">
      <c r="E2" s="110" t="s">
        <v>2771</v>
      </c>
      <c r="H2" s="104" t="s">
        <v>2770</v>
      </c>
      <c r="I2" s="312">
        <v>1</v>
      </c>
    </row>
    <row r="3" spans="1:9" x14ac:dyDescent="0.2">
      <c r="H3" s="104" t="s">
        <v>2769</v>
      </c>
      <c r="I3" s="311">
        <v>44170</v>
      </c>
    </row>
    <row r="5" spans="1:9" x14ac:dyDescent="0.2">
      <c r="A5" s="112" t="s">
        <v>2768</v>
      </c>
      <c r="B5" s="146" t="s">
        <v>19987</v>
      </c>
      <c r="C5" s="146" t="s">
        <v>2767</v>
      </c>
      <c r="D5" s="146" t="s">
        <v>19987</v>
      </c>
      <c r="E5" s="103"/>
      <c r="H5" s="309">
        <v>0.52216435185185184</v>
      </c>
    </row>
    <row r="7" spans="1:9" x14ac:dyDescent="0.2">
      <c r="H7" s="104" t="s">
        <v>2765</v>
      </c>
      <c r="I7" s="106" t="s">
        <v>2764</v>
      </c>
    </row>
    <row r="8" spans="1:9" x14ac:dyDescent="0.2">
      <c r="B8" s="147"/>
      <c r="C8" s="147" t="s">
        <v>2763</v>
      </c>
      <c r="D8" s="322" t="s">
        <v>2762</v>
      </c>
      <c r="G8" s="308" t="s">
        <v>2760</v>
      </c>
      <c r="H8" s="307" t="s">
        <v>2759</v>
      </c>
    </row>
    <row r="9" spans="1:9" x14ac:dyDescent="0.2">
      <c r="G9" s="308" t="s">
        <v>2761</v>
      </c>
      <c r="H9" s="307" t="s">
        <v>2759</v>
      </c>
    </row>
    <row r="11" spans="1:9" x14ac:dyDescent="0.2">
      <c r="A11" s="108" t="s">
        <v>2758</v>
      </c>
      <c r="B11" s="109"/>
      <c r="C11" s="109" t="s">
        <v>2757</v>
      </c>
      <c r="D11" s="109" t="s">
        <v>2756</v>
      </c>
      <c r="E11" s="109" t="s">
        <v>2755</v>
      </c>
      <c r="G11" s="104" t="s">
        <v>322</v>
      </c>
      <c r="H11" s="104" t="s">
        <v>321</v>
      </c>
      <c r="I11" s="104" t="s">
        <v>2754</v>
      </c>
    </row>
    <row r="14" spans="1:9" x14ac:dyDescent="0.2">
      <c r="A14" s="108" t="s">
        <v>2753</v>
      </c>
      <c r="B14" s="108" t="s">
        <v>2752</v>
      </c>
    </row>
    <row r="15" spans="1:9" x14ac:dyDescent="0.2">
      <c r="B15" s="108"/>
    </row>
    <row r="16" spans="1:9" x14ac:dyDescent="0.25">
      <c r="A16" s="107" t="s">
        <v>2751</v>
      </c>
      <c r="B16" s="108" t="s">
        <v>2750</v>
      </c>
      <c r="G16" s="152"/>
      <c r="H16" s="153" t="s">
        <v>323</v>
      </c>
      <c r="I16" s="160">
        <v>31754.12</v>
      </c>
    </row>
    <row r="17" spans="2:9" x14ac:dyDescent="0.25">
      <c r="G17" s="152"/>
      <c r="H17" s="152"/>
      <c r="I17" s="152"/>
    </row>
    <row r="18" spans="2:9" x14ac:dyDescent="0.25">
      <c r="B18" s="148"/>
      <c r="C18" s="148" t="s">
        <v>19986</v>
      </c>
      <c r="D18" s="150">
        <v>43952</v>
      </c>
      <c r="E18" s="113" t="s">
        <v>19985</v>
      </c>
      <c r="F18" s="257" t="s">
        <v>14408</v>
      </c>
      <c r="G18" s="258">
        <v>4.55</v>
      </c>
      <c r="H18" s="152"/>
      <c r="I18" s="160">
        <f>+I16+G18-H18</f>
        <v>31758.67</v>
      </c>
    </row>
    <row r="19" spans="2:9" x14ac:dyDescent="0.25">
      <c r="B19" s="148"/>
      <c r="C19" s="148" t="s">
        <v>19984</v>
      </c>
      <c r="D19" s="150">
        <v>43952</v>
      </c>
      <c r="E19" s="113" t="s">
        <v>19983</v>
      </c>
      <c r="F19" s="257" t="s">
        <v>14408</v>
      </c>
      <c r="G19" s="258">
        <v>5.23</v>
      </c>
      <c r="H19" s="152"/>
      <c r="I19" s="160">
        <f>+I18+G19-H19</f>
        <v>31763.899999999998</v>
      </c>
    </row>
    <row r="20" spans="2:9" x14ac:dyDescent="0.25">
      <c r="B20" s="148"/>
      <c r="C20" s="148" t="s">
        <v>19982</v>
      </c>
      <c r="D20" s="150">
        <v>43952</v>
      </c>
      <c r="E20" s="113" t="s">
        <v>19981</v>
      </c>
      <c r="F20" s="257" t="s">
        <v>14408</v>
      </c>
      <c r="G20" s="258">
        <v>9.27</v>
      </c>
      <c r="H20" s="152"/>
      <c r="I20" s="160">
        <f t="shared" ref="I20:I83" si="0">+I19+G20-H20</f>
        <v>31773.17</v>
      </c>
    </row>
    <row r="21" spans="2:9" ht="19.5" x14ac:dyDescent="0.25">
      <c r="B21" s="148"/>
      <c r="C21" s="148" t="s">
        <v>19980</v>
      </c>
      <c r="D21" s="150">
        <v>43952</v>
      </c>
      <c r="E21" s="113" t="s">
        <v>19979</v>
      </c>
      <c r="F21" s="257" t="s">
        <v>14408</v>
      </c>
      <c r="G21" s="258">
        <v>5.99</v>
      </c>
      <c r="H21" s="152"/>
      <c r="I21" s="160">
        <f t="shared" si="0"/>
        <v>31779.16</v>
      </c>
    </row>
    <row r="22" spans="2:9" x14ac:dyDescent="0.25">
      <c r="B22" s="148"/>
      <c r="C22" s="148" t="s">
        <v>19978</v>
      </c>
      <c r="D22" s="150">
        <v>43952</v>
      </c>
      <c r="E22" s="113" t="s">
        <v>19977</v>
      </c>
      <c r="F22" s="257" t="s">
        <v>14408</v>
      </c>
      <c r="G22" s="258">
        <v>10.83</v>
      </c>
      <c r="H22" s="152"/>
      <c r="I22" s="160">
        <f t="shared" si="0"/>
        <v>31789.99</v>
      </c>
    </row>
    <row r="23" spans="2:9" ht="19.5" x14ac:dyDescent="0.25">
      <c r="B23" s="148"/>
      <c r="C23" s="148" t="s">
        <v>19976</v>
      </c>
      <c r="D23" s="150">
        <v>43952</v>
      </c>
      <c r="E23" s="113" t="s">
        <v>19975</v>
      </c>
      <c r="F23" s="257" t="s">
        <v>14408</v>
      </c>
      <c r="G23" s="258">
        <v>13.05</v>
      </c>
      <c r="H23" s="152"/>
      <c r="I23" s="160">
        <f t="shared" si="0"/>
        <v>31803.040000000001</v>
      </c>
    </row>
    <row r="24" spans="2:9" x14ac:dyDescent="0.25">
      <c r="B24" s="148"/>
      <c r="C24" s="148" t="s">
        <v>19974</v>
      </c>
      <c r="D24" s="150">
        <v>43952</v>
      </c>
      <c r="E24" s="113" t="s">
        <v>19973</v>
      </c>
      <c r="F24" s="257" t="s">
        <v>14408</v>
      </c>
      <c r="G24" s="258">
        <v>14.81</v>
      </c>
      <c r="H24" s="152"/>
      <c r="I24" s="160">
        <f t="shared" si="0"/>
        <v>31817.850000000002</v>
      </c>
    </row>
    <row r="25" spans="2:9" x14ac:dyDescent="0.25">
      <c r="B25" s="148"/>
      <c r="C25" s="148" t="s">
        <v>19972</v>
      </c>
      <c r="D25" s="150">
        <v>43952</v>
      </c>
      <c r="E25" s="113" t="s">
        <v>19971</v>
      </c>
      <c r="F25" s="257" t="s">
        <v>14408</v>
      </c>
      <c r="G25" s="258">
        <v>6.26</v>
      </c>
      <c r="H25" s="152"/>
      <c r="I25" s="160">
        <f t="shared" si="0"/>
        <v>31824.11</v>
      </c>
    </row>
    <row r="26" spans="2:9" x14ac:dyDescent="0.25">
      <c r="B26" s="148"/>
      <c r="C26" s="148" t="s">
        <v>19970</v>
      </c>
      <c r="D26" s="150">
        <v>43952</v>
      </c>
      <c r="E26" s="113" t="s">
        <v>19969</v>
      </c>
      <c r="F26" s="257" t="s">
        <v>14408</v>
      </c>
      <c r="G26" s="258">
        <v>1.88</v>
      </c>
      <c r="H26" s="152"/>
      <c r="I26" s="160">
        <f t="shared" si="0"/>
        <v>31825.99</v>
      </c>
    </row>
    <row r="27" spans="2:9" x14ac:dyDescent="0.25">
      <c r="B27" s="148"/>
      <c r="C27" s="148" t="s">
        <v>19968</v>
      </c>
      <c r="D27" s="150">
        <v>43952</v>
      </c>
      <c r="E27" s="113" t="s">
        <v>19967</v>
      </c>
      <c r="F27" s="257" t="s">
        <v>14408</v>
      </c>
      <c r="G27" s="258">
        <v>6.12</v>
      </c>
      <c r="H27" s="152"/>
      <c r="I27" s="160">
        <f t="shared" si="0"/>
        <v>31832.11</v>
      </c>
    </row>
    <row r="28" spans="2:9" x14ac:dyDescent="0.25">
      <c r="B28" s="148"/>
      <c r="C28" s="148" t="s">
        <v>19966</v>
      </c>
      <c r="D28" s="150">
        <v>43952</v>
      </c>
      <c r="E28" s="113" t="s">
        <v>19965</v>
      </c>
      <c r="F28" s="257" t="s">
        <v>14408</v>
      </c>
      <c r="G28" s="258">
        <v>9.2799999999999994</v>
      </c>
      <c r="H28" s="152"/>
      <c r="I28" s="160">
        <f t="shared" si="0"/>
        <v>31841.39</v>
      </c>
    </row>
    <row r="29" spans="2:9" x14ac:dyDescent="0.25">
      <c r="B29" s="148"/>
      <c r="C29" s="148" t="s">
        <v>19964</v>
      </c>
      <c r="D29" s="150">
        <v>43952</v>
      </c>
      <c r="E29" s="113" t="s">
        <v>19963</v>
      </c>
      <c r="F29" s="257" t="s">
        <v>14408</v>
      </c>
      <c r="G29" s="258">
        <v>37.630000000000003</v>
      </c>
      <c r="H29" s="152"/>
      <c r="I29" s="160">
        <f t="shared" si="0"/>
        <v>31879.02</v>
      </c>
    </row>
    <row r="30" spans="2:9" x14ac:dyDescent="0.25">
      <c r="B30" s="148"/>
      <c r="C30" s="148" t="s">
        <v>19962</v>
      </c>
      <c r="D30" s="150">
        <v>43952</v>
      </c>
      <c r="E30" s="113" t="s">
        <v>19961</v>
      </c>
      <c r="F30" s="257" t="s">
        <v>14408</v>
      </c>
      <c r="G30" s="258">
        <v>5.3</v>
      </c>
      <c r="H30" s="152"/>
      <c r="I30" s="160">
        <f t="shared" si="0"/>
        <v>31884.32</v>
      </c>
    </row>
    <row r="31" spans="2:9" x14ac:dyDescent="0.25">
      <c r="B31" s="148"/>
      <c r="C31" s="148" t="s">
        <v>19960</v>
      </c>
      <c r="D31" s="150">
        <v>43952</v>
      </c>
      <c r="E31" s="113" t="s">
        <v>19959</v>
      </c>
      <c r="F31" s="257" t="s">
        <v>14408</v>
      </c>
      <c r="G31" s="258">
        <v>18.61</v>
      </c>
      <c r="H31" s="152"/>
      <c r="I31" s="160">
        <f t="shared" si="0"/>
        <v>31902.93</v>
      </c>
    </row>
    <row r="32" spans="2:9" x14ac:dyDescent="0.25">
      <c r="B32" s="148"/>
      <c r="C32" s="148" t="s">
        <v>19958</v>
      </c>
      <c r="D32" s="150">
        <v>43952</v>
      </c>
      <c r="E32" s="113" t="s">
        <v>19957</v>
      </c>
      <c r="F32" s="257" t="s">
        <v>14408</v>
      </c>
      <c r="G32" s="258">
        <v>12.77</v>
      </c>
      <c r="H32" s="152"/>
      <c r="I32" s="160">
        <f t="shared" si="0"/>
        <v>31915.7</v>
      </c>
    </row>
    <row r="33" spans="2:9" x14ac:dyDescent="0.25">
      <c r="B33" s="148"/>
      <c r="C33" s="148" t="s">
        <v>19956</v>
      </c>
      <c r="D33" s="150">
        <v>43952</v>
      </c>
      <c r="E33" s="113" t="s">
        <v>19955</v>
      </c>
      <c r="F33" s="257" t="s">
        <v>14408</v>
      </c>
      <c r="G33" s="258">
        <v>5.18</v>
      </c>
      <c r="H33" s="152"/>
      <c r="I33" s="160">
        <f t="shared" si="0"/>
        <v>31920.880000000001</v>
      </c>
    </row>
    <row r="34" spans="2:9" x14ac:dyDescent="0.25">
      <c r="B34" s="148"/>
      <c r="C34" s="148" t="s">
        <v>19954</v>
      </c>
      <c r="D34" s="150">
        <v>43952</v>
      </c>
      <c r="E34" s="113" t="s">
        <v>19953</v>
      </c>
      <c r="F34" s="256" t="s">
        <v>14436</v>
      </c>
      <c r="G34" s="160">
        <v>6.94</v>
      </c>
      <c r="H34" s="152"/>
      <c r="I34" s="160">
        <f t="shared" si="0"/>
        <v>31927.82</v>
      </c>
    </row>
    <row r="35" spans="2:9" x14ac:dyDescent="0.25">
      <c r="B35" s="148"/>
      <c r="C35" s="148" t="s">
        <v>19952</v>
      </c>
      <c r="D35" s="150">
        <v>43953</v>
      </c>
      <c r="E35" s="113" t="s">
        <v>19951</v>
      </c>
      <c r="F35" s="257" t="s">
        <v>14408</v>
      </c>
      <c r="G35" s="258">
        <v>35.700000000000003</v>
      </c>
      <c r="H35" s="152"/>
      <c r="I35" s="160">
        <f t="shared" si="0"/>
        <v>31963.52</v>
      </c>
    </row>
    <row r="36" spans="2:9" x14ac:dyDescent="0.25">
      <c r="B36" s="148"/>
      <c r="C36" s="148" t="s">
        <v>19950</v>
      </c>
      <c r="D36" s="150">
        <v>43953</v>
      </c>
      <c r="E36" s="113" t="s">
        <v>19949</v>
      </c>
      <c r="F36" s="257" t="s">
        <v>14408</v>
      </c>
      <c r="G36" s="258">
        <v>3.39</v>
      </c>
      <c r="H36" s="152"/>
      <c r="I36" s="160">
        <f t="shared" si="0"/>
        <v>31966.91</v>
      </c>
    </row>
    <row r="37" spans="2:9" ht="19.5" x14ac:dyDescent="0.25">
      <c r="B37" s="148"/>
      <c r="C37" s="148" t="s">
        <v>19948</v>
      </c>
      <c r="D37" s="150">
        <v>43953</v>
      </c>
      <c r="E37" s="113" t="s">
        <v>19947</v>
      </c>
      <c r="F37" s="257" t="s">
        <v>14408</v>
      </c>
      <c r="G37" s="258">
        <v>13.02</v>
      </c>
      <c r="H37" s="152"/>
      <c r="I37" s="160">
        <f t="shared" si="0"/>
        <v>31979.93</v>
      </c>
    </row>
    <row r="38" spans="2:9" x14ac:dyDescent="0.25">
      <c r="B38" s="148"/>
      <c r="C38" s="148" t="s">
        <v>19946</v>
      </c>
      <c r="D38" s="150">
        <v>43953</v>
      </c>
      <c r="E38" s="113" t="s">
        <v>19945</v>
      </c>
      <c r="F38" s="257" t="s">
        <v>14408</v>
      </c>
      <c r="G38" s="258">
        <v>6.64</v>
      </c>
      <c r="H38" s="152"/>
      <c r="I38" s="160">
        <f t="shared" si="0"/>
        <v>31986.57</v>
      </c>
    </row>
    <row r="39" spans="2:9" x14ac:dyDescent="0.25">
      <c r="B39" s="148"/>
      <c r="C39" s="148" t="s">
        <v>19944</v>
      </c>
      <c r="D39" s="150">
        <v>43953</v>
      </c>
      <c r="E39" s="113" t="s">
        <v>19943</v>
      </c>
      <c r="F39" s="257" t="s">
        <v>14408</v>
      </c>
      <c r="G39" s="258">
        <v>3.16</v>
      </c>
      <c r="H39" s="152"/>
      <c r="I39" s="160">
        <f t="shared" si="0"/>
        <v>31989.73</v>
      </c>
    </row>
    <row r="40" spans="2:9" x14ac:dyDescent="0.25">
      <c r="B40" s="148"/>
      <c r="C40" s="148" t="s">
        <v>19942</v>
      </c>
      <c r="D40" s="150">
        <v>43953</v>
      </c>
      <c r="E40" s="113" t="s">
        <v>19941</v>
      </c>
      <c r="F40" s="257" t="s">
        <v>14408</v>
      </c>
      <c r="G40" s="258">
        <v>17.87</v>
      </c>
      <c r="H40" s="152"/>
      <c r="I40" s="160">
        <f t="shared" si="0"/>
        <v>32007.599999999999</v>
      </c>
    </row>
    <row r="41" spans="2:9" x14ac:dyDescent="0.25">
      <c r="B41" s="148"/>
      <c r="C41" s="148" t="s">
        <v>19940</v>
      </c>
      <c r="D41" s="150">
        <v>43953</v>
      </c>
      <c r="E41" s="113" t="s">
        <v>19939</v>
      </c>
      <c r="F41" s="257" t="s">
        <v>14408</v>
      </c>
      <c r="G41" s="258">
        <v>3.19</v>
      </c>
      <c r="H41" s="152"/>
      <c r="I41" s="160">
        <f t="shared" si="0"/>
        <v>32010.789999999997</v>
      </c>
    </row>
    <row r="42" spans="2:9" x14ac:dyDescent="0.25">
      <c r="B42" s="148"/>
      <c r="C42" s="148" t="s">
        <v>19938</v>
      </c>
      <c r="D42" s="150">
        <v>43953</v>
      </c>
      <c r="E42" s="113" t="s">
        <v>19937</v>
      </c>
      <c r="F42" s="257" t="s">
        <v>14408</v>
      </c>
      <c r="G42" s="258">
        <v>18.86</v>
      </c>
      <c r="H42" s="152"/>
      <c r="I42" s="160">
        <f t="shared" si="0"/>
        <v>32029.649999999998</v>
      </c>
    </row>
    <row r="43" spans="2:9" ht="19.5" x14ac:dyDescent="0.25">
      <c r="B43" s="148"/>
      <c r="C43" s="148" t="s">
        <v>19936</v>
      </c>
      <c r="D43" s="150">
        <v>43953</v>
      </c>
      <c r="E43" s="113" t="s">
        <v>19935</v>
      </c>
      <c r="F43" s="256" t="s">
        <v>14436</v>
      </c>
      <c r="G43" s="160">
        <v>24.99</v>
      </c>
      <c r="H43" s="152"/>
      <c r="I43" s="160">
        <f t="shared" si="0"/>
        <v>32054.639999999999</v>
      </c>
    </row>
    <row r="44" spans="2:9" x14ac:dyDescent="0.25">
      <c r="B44" s="148"/>
      <c r="C44" s="148" t="s">
        <v>19934</v>
      </c>
      <c r="D44" s="150">
        <v>43954</v>
      </c>
      <c r="E44" s="113" t="s">
        <v>19933</v>
      </c>
      <c r="F44" s="257" t="s">
        <v>14408</v>
      </c>
      <c r="G44" s="258">
        <v>14.84</v>
      </c>
      <c r="H44" s="152"/>
      <c r="I44" s="160">
        <f t="shared" si="0"/>
        <v>32069.48</v>
      </c>
    </row>
    <row r="45" spans="2:9" ht="19.5" x14ac:dyDescent="0.25">
      <c r="B45" s="148"/>
      <c r="C45" s="148" t="s">
        <v>19932</v>
      </c>
      <c r="D45" s="150">
        <v>43954</v>
      </c>
      <c r="E45" s="113" t="s">
        <v>19931</v>
      </c>
      <c r="F45" s="257" t="s">
        <v>14408</v>
      </c>
      <c r="G45" s="258">
        <v>6.78</v>
      </c>
      <c r="H45" s="152"/>
      <c r="I45" s="160">
        <f t="shared" si="0"/>
        <v>32076.26</v>
      </c>
    </row>
    <row r="46" spans="2:9" x14ac:dyDescent="0.25">
      <c r="B46" s="148"/>
      <c r="C46" s="148" t="s">
        <v>19930</v>
      </c>
      <c r="D46" s="150">
        <v>43955</v>
      </c>
      <c r="E46" s="113" t="s">
        <v>19929</v>
      </c>
      <c r="F46" s="256" t="s">
        <v>14436</v>
      </c>
      <c r="G46" s="160">
        <v>3.79</v>
      </c>
      <c r="H46" s="152"/>
      <c r="I46" s="160">
        <f t="shared" si="0"/>
        <v>32080.05</v>
      </c>
    </row>
    <row r="47" spans="2:9" x14ac:dyDescent="0.25">
      <c r="B47" s="148"/>
      <c r="C47" s="148" t="s">
        <v>19928</v>
      </c>
      <c r="D47" s="150">
        <v>43955</v>
      </c>
      <c r="E47" s="113" t="s">
        <v>19927</v>
      </c>
      <c r="F47" s="257" t="s">
        <v>14408</v>
      </c>
      <c r="G47" s="258">
        <v>6.38</v>
      </c>
      <c r="H47" s="152"/>
      <c r="I47" s="160">
        <f t="shared" si="0"/>
        <v>32086.43</v>
      </c>
    </row>
    <row r="48" spans="2:9" x14ac:dyDescent="0.25">
      <c r="B48" s="148"/>
      <c r="C48" s="148" t="s">
        <v>19926</v>
      </c>
      <c r="D48" s="150">
        <v>43955</v>
      </c>
      <c r="E48" s="113" t="s">
        <v>19925</v>
      </c>
      <c r="F48" s="257" t="s">
        <v>14408</v>
      </c>
      <c r="G48" s="258">
        <v>4.8499999999999996</v>
      </c>
      <c r="H48" s="152"/>
      <c r="I48" s="160">
        <f t="shared" si="0"/>
        <v>32091.279999999999</v>
      </c>
    </row>
    <row r="49" spans="2:9" x14ac:dyDescent="0.25">
      <c r="B49" s="148"/>
      <c r="C49" s="148" t="s">
        <v>19924</v>
      </c>
      <c r="D49" s="150">
        <v>43955</v>
      </c>
      <c r="E49" s="113" t="s">
        <v>19923</v>
      </c>
      <c r="F49" s="257" t="s">
        <v>14408</v>
      </c>
      <c r="G49" s="258">
        <v>5.12</v>
      </c>
      <c r="H49" s="152"/>
      <c r="I49" s="160">
        <f t="shared" si="0"/>
        <v>32096.399999999998</v>
      </c>
    </row>
    <row r="50" spans="2:9" ht="19.5" x14ac:dyDescent="0.25">
      <c r="B50" s="148"/>
      <c r="C50" s="148" t="s">
        <v>19922</v>
      </c>
      <c r="D50" s="150">
        <v>43955</v>
      </c>
      <c r="E50" s="113" t="s">
        <v>19921</v>
      </c>
      <c r="F50" s="257" t="s">
        <v>14408</v>
      </c>
      <c r="G50" s="258">
        <v>16.64</v>
      </c>
      <c r="H50" s="152"/>
      <c r="I50" s="160">
        <f t="shared" si="0"/>
        <v>32113.039999999997</v>
      </c>
    </row>
    <row r="51" spans="2:9" x14ac:dyDescent="0.25">
      <c r="B51" s="148"/>
      <c r="C51" s="148" t="s">
        <v>19920</v>
      </c>
      <c r="D51" s="150">
        <v>43955</v>
      </c>
      <c r="E51" s="113" t="s">
        <v>19919</v>
      </c>
      <c r="F51" s="257" t="s">
        <v>14408</v>
      </c>
      <c r="G51" s="258">
        <v>16.760000000000002</v>
      </c>
      <c r="H51" s="152"/>
      <c r="I51" s="160">
        <f t="shared" si="0"/>
        <v>32129.799999999996</v>
      </c>
    </row>
    <row r="52" spans="2:9" x14ac:dyDescent="0.25">
      <c r="B52" s="148"/>
      <c r="C52" s="148" t="s">
        <v>19918</v>
      </c>
      <c r="D52" s="150">
        <v>43955</v>
      </c>
      <c r="E52" s="113" t="s">
        <v>19917</v>
      </c>
      <c r="F52" s="257" t="s">
        <v>14408</v>
      </c>
      <c r="G52" s="258">
        <v>9.7799999999999994</v>
      </c>
      <c r="H52" s="152"/>
      <c r="I52" s="160">
        <f t="shared" si="0"/>
        <v>32139.579999999994</v>
      </c>
    </row>
    <row r="53" spans="2:9" x14ac:dyDescent="0.25">
      <c r="B53" s="148"/>
      <c r="C53" s="148" t="s">
        <v>19916</v>
      </c>
      <c r="D53" s="150">
        <v>43955</v>
      </c>
      <c r="E53" s="113" t="s">
        <v>19915</v>
      </c>
      <c r="F53" s="257" t="s">
        <v>14408</v>
      </c>
      <c r="G53" s="258">
        <v>14.93</v>
      </c>
      <c r="H53" s="152"/>
      <c r="I53" s="160">
        <f t="shared" si="0"/>
        <v>32154.509999999995</v>
      </c>
    </row>
    <row r="54" spans="2:9" x14ac:dyDescent="0.25">
      <c r="B54" s="148"/>
      <c r="C54" s="148" t="s">
        <v>19914</v>
      </c>
      <c r="D54" s="150">
        <v>43955</v>
      </c>
      <c r="E54" s="113" t="s">
        <v>19913</v>
      </c>
      <c r="F54" s="257" t="s">
        <v>14408</v>
      </c>
      <c r="G54" s="258">
        <v>9.84</v>
      </c>
      <c r="H54" s="152"/>
      <c r="I54" s="160">
        <f t="shared" si="0"/>
        <v>32164.349999999995</v>
      </c>
    </row>
    <row r="55" spans="2:9" x14ac:dyDescent="0.25">
      <c r="B55" s="148"/>
      <c r="C55" s="148" t="s">
        <v>19912</v>
      </c>
      <c r="D55" s="150">
        <v>43955</v>
      </c>
      <c r="E55" s="113" t="s">
        <v>19911</v>
      </c>
      <c r="F55" s="257" t="s">
        <v>14408</v>
      </c>
      <c r="G55" s="258">
        <v>39.94</v>
      </c>
      <c r="H55" s="152"/>
      <c r="I55" s="160">
        <f t="shared" si="0"/>
        <v>32204.289999999994</v>
      </c>
    </row>
    <row r="56" spans="2:9" ht="19.5" x14ac:dyDescent="0.25">
      <c r="B56" s="148"/>
      <c r="C56" s="148" t="s">
        <v>19910</v>
      </c>
      <c r="D56" s="150">
        <v>43955</v>
      </c>
      <c r="E56" s="113" t="s">
        <v>19909</v>
      </c>
      <c r="F56" s="257" t="s">
        <v>14408</v>
      </c>
      <c r="G56" s="258">
        <v>7</v>
      </c>
      <c r="H56" s="152"/>
      <c r="I56" s="160">
        <f t="shared" si="0"/>
        <v>32211.289999999994</v>
      </c>
    </row>
    <row r="57" spans="2:9" x14ac:dyDescent="0.25">
      <c r="B57" s="148"/>
      <c r="C57" s="148" t="s">
        <v>19908</v>
      </c>
      <c r="D57" s="150">
        <v>43955</v>
      </c>
      <c r="E57" s="113" t="s">
        <v>19907</v>
      </c>
      <c r="F57" s="257" t="s">
        <v>14408</v>
      </c>
      <c r="G57" s="258">
        <v>15.56</v>
      </c>
      <c r="H57" s="152"/>
      <c r="I57" s="160">
        <f t="shared" si="0"/>
        <v>32226.849999999995</v>
      </c>
    </row>
    <row r="58" spans="2:9" x14ac:dyDescent="0.25">
      <c r="B58" s="148"/>
      <c r="C58" s="148" t="s">
        <v>19906</v>
      </c>
      <c r="D58" s="150">
        <v>43955</v>
      </c>
      <c r="E58" s="113" t="s">
        <v>19905</v>
      </c>
      <c r="F58" s="257" t="s">
        <v>14408</v>
      </c>
      <c r="G58" s="258">
        <v>1.84</v>
      </c>
      <c r="H58" s="152"/>
      <c r="I58" s="160">
        <f t="shared" si="0"/>
        <v>32228.689999999995</v>
      </c>
    </row>
    <row r="59" spans="2:9" x14ac:dyDescent="0.25">
      <c r="B59" s="148"/>
      <c r="C59" s="148" t="s">
        <v>19904</v>
      </c>
      <c r="D59" s="150">
        <v>43955</v>
      </c>
      <c r="E59" s="113" t="s">
        <v>19903</v>
      </c>
      <c r="F59" s="257" t="s">
        <v>14408</v>
      </c>
      <c r="G59" s="258">
        <v>11.74</v>
      </c>
      <c r="H59" s="152"/>
      <c r="I59" s="160">
        <f t="shared" si="0"/>
        <v>32240.429999999997</v>
      </c>
    </row>
    <row r="60" spans="2:9" x14ac:dyDescent="0.25">
      <c r="B60" s="148"/>
      <c r="C60" s="148" t="s">
        <v>19902</v>
      </c>
      <c r="D60" s="150">
        <v>43955</v>
      </c>
      <c r="E60" s="113" t="s">
        <v>19901</v>
      </c>
      <c r="F60" s="257" t="s">
        <v>14408</v>
      </c>
      <c r="G60" s="258">
        <v>21.62</v>
      </c>
      <c r="H60" s="152"/>
      <c r="I60" s="160">
        <f t="shared" si="0"/>
        <v>32262.049999999996</v>
      </c>
    </row>
    <row r="61" spans="2:9" x14ac:dyDescent="0.25">
      <c r="B61" s="148"/>
      <c r="C61" s="148" t="s">
        <v>19900</v>
      </c>
      <c r="D61" s="150">
        <v>43955</v>
      </c>
      <c r="E61" s="113" t="s">
        <v>19899</v>
      </c>
      <c r="F61" s="257" t="s">
        <v>14408</v>
      </c>
      <c r="G61" s="258">
        <v>8.3800000000000008</v>
      </c>
      <c r="H61" s="152"/>
      <c r="I61" s="160">
        <f t="shared" si="0"/>
        <v>32270.429999999997</v>
      </c>
    </row>
    <row r="62" spans="2:9" x14ac:dyDescent="0.25">
      <c r="B62" s="148"/>
      <c r="C62" s="148" t="s">
        <v>19898</v>
      </c>
      <c r="D62" s="150">
        <v>43955</v>
      </c>
      <c r="E62" s="113" t="s">
        <v>19897</v>
      </c>
      <c r="F62" s="257" t="s">
        <v>14408</v>
      </c>
      <c r="G62" s="258">
        <v>6.1</v>
      </c>
      <c r="H62" s="152"/>
      <c r="I62" s="160">
        <f t="shared" si="0"/>
        <v>32276.529999999995</v>
      </c>
    </row>
    <row r="63" spans="2:9" x14ac:dyDescent="0.25">
      <c r="B63" s="148"/>
      <c r="C63" s="148" t="s">
        <v>19896</v>
      </c>
      <c r="D63" s="150">
        <v>43955</v>
      </c>
      <c r="E63" s="113" t="s">
        <v>19895</v>
      </c>
      <c r="F63" s="257" t="s">
        <v>14408</v>
      </c>
      <c r="G63" s="258">
        <v>6.72</v>
      </c>
      <c r="H63" s="152"/>
      <c r="I63" s="160">
        <f t="shared" si="0"/>
        <v>32283.249999999996</v>
      </c>
    </row>
    <row r="64" spans="2:9" x14ac:dyDescent="0.25">
      <c r="B64" s="148"/>
      <c r="C64" s="148" t="s">
        <v>19894</v>
      </c>
      <c r="D64" s="150">
        <v>43955</v>
      </c>
      <c r="E64" s="113" t="s">
        <v>19893</v>
      </c>
      <c r="F64" s="257" t="s">
        <v>14408</v>
      </c>
      <c r="G64" s="258">
        <v>5.01</v>
      </c>
      <c r="H64" s="152"/>
      <c r="I64" s="160">
        <f t="shared" si="0"/>
        <v>32288.259999999995</v>
      </c>
    </row>
    <row r="65" spans="2:9" x14ac:dyDescent="0.25">
      <c r="B65" s="148"/>
      <c r="C65" s="148" t="s">
        <v>19892</v>
      </c>
      <c r="D65" s="150">
        <v>43955</v>
      </c>
      <c r="E65" s="113" t="s">
        <v>19891</v>
      </c>
      <c r="F65" s="257" t="s">
        <v>14408</v>
      </c>
      <c r="G65" s="258">
        <v>11.5</v>
      </c>
      <c r="H65" s="152"/>
      <c r="I65" s="160">
        <f t="shared" si="0"/>
        <v>32299.759999999995</v>
      </c>
    </row>
    <row r="66" spans="2:9" x14ac:dyDescent="0.25">
      <c r="B66" s="148"/>
      <c r="C66" s="148" t="s">
        <v>19890</v>
      </c>
      <c r="D66" s="150">
        <v>43955</v>
      </c>
      <c r="E66" s="113" t="s">
        <v>19889</v>
      </c>
      <c r="F66" s="257" t="s">
        <v>14408</v>
      </c>
      <c r="G66" s="258">
        <v>8.3000000000000007</v>
      </c>
      <c r="H66" s="152"/>
      <c r="I66" s="160">
        <f t="shared" si="0"/>
        <v>32308.059999999994</v>
      </c>
    </row>
    <row r="67" spans="2:9" x14ac:dyDescent="0.25">
      <c r="B67" s="148"/>
      <c r="C67" s="148" t="s">
        <v>19888</v>
      </c>
      <c r="D67" s="150">
        <v>43955</v>
      </c>
      <c r="E67" s="113" t="s">
        <v>19887</v>
      </c>
      <c r="F67" s="256">
        <v>1</v>
      </c>
      <c r="G67" s="255">
        <v>0.65</v>
      </c>
      <c r="H67" s="152"/>
      <c r="I67" s="160">
        <f t="shared" si="0"/>
        <v>32308.709999999995</v>
      </c>
    </row>
    <row r="68" spans="2:9" x14ac:dyDescent="0.25">
      <c r="B68" s="148"/>
      <c r="C68" s="148" t="s">
        <v>19886</v>
      </c>
      <c r="D68" s="150">
        <v>43955</v>
      </c>
      <c r="E68" s="113" t="s">
        <v>19885</v>
      </c>
      <c r="F68" s="256">
        <v>1</v>
      </c>
      <c r="G68" s="255">
        <v>2.06</v>
      </c>
      <c r="H68" s="152"/>
      <c r="I68" s="160">
        <f t="shared" si="0"/>
        <v>32310.769999999997</v>
      </c>
    </row>
    <row r="69" spans="2:9" x14ac:dyDescent="0.25">
      <c r="B69" s="148"/>
      <c r="C69" s="148" t="s">
        <v>19884</v>
      </c>
      <c r="D69" s="150">
        <v>43955</v>
      </c>
      <c r="E69" s="113" t="s">
        <v>19883</v>
      </c>
      <c r="F69" s="256">
        <v>1</v>
      </c>
      <c r="G69" s="255">
        <v>1.68</v>
      </c>
      <c r="H69" s="152"/>
      <c r="I69" s="160">
        <f t="shared" si="0"/>
        <v>32312.449999999997</v>
      </c>
    </row>
    <row r="70" spans="2:9" x14ac:dyDescent="0.25">
      <c r="B70" s="148"/>
      <c r="C70" s="148" t="s">
        <v>19882</v>
      </c>
      <c r="D70" s="150">
        <v>43955</v>
      </c>
      <c r="E70" s="113" t="s">
        <v>19881</v>
      </c>
      <c r="F70" s="256">
        <v>1</v>
      </c>
      <c r="G70" s="255">
        <v>25.8</v>
      </c>
      <c r="H70" s="152"/>
      <c r="I70" s="160">
        <f t="shared" si="0"/>
        <v>32338.249999999996</v>
      </c>
    </row>
    <row r="71" spans="2:9" x14ac:dyDescent="0.25">
      <c r="B71" s="148"/>
      <c r="C71" s="148" t="s">
        <v>19880</v>
      </c>
      <c r="D71" s="150">
        <v>43955</v>
      </c>
      <c r="E71" s="113" t="s">
        <v>19879</v>
      </c>
      <c r="F71" s="256">
        <v>1</v>
      </c>
      <c r="G71" s="255">
        <v>5.8</v>
      </c>
      <c r="H71" s="152"/>
      <c r="I71" s="160">
        <f t="shared" si="0"/>
        <v>32344.049999999996</v>
      </c>
    </row>
    <row r="72" spans="2:9" x14ac:dyDescent="0.25">
      <c r="B72" s="148"/>
      <c r="C72" s="148" t="s">
        <v>19878</v>
      </c>
      <c r="D72" s="150">
        <v>43955</v>
      </c>
      <c r="E72" s="113" t="s">
        <v>19877</v>
      </c>
      <c r="F72" s="256">
        <v>1</v>
      </c>
      <c r="G72" s="255">
        <v>15.17</v>
      </c>
      <c r="H72" s="152"/>
      <c r="I72" s="160">
        <f t="shared" si="0"/>
        <v>32359.219999999994</v>
      </c>
    </row>
    <row r="73" spans="2:9" x14ac:dyDescent="0.25">
      <c r="B73" s="148"/>
      <c r="C73" s="148" t="s">
        <v>19876</v>
      </c>
      <c r="D73" s="150">
        <v>43955</v>
      </c>
      <c r="E73" s="113" t="s">
        <v>19875</v>
      </c>
      <c r="F73" s="256">
        <v>1</v>
      </c>
      <c r="G73" s="255">
        <v>8.3800000000000008</v>
      </c>
      <c r="H73" s="152"/>
      <c r="I73" s="160">
        <f t="shared" si="0"/>
        <v>32367.599999999995</v>
      </c>
    </row>
    <row r="74" spans="2:9" ht="19.5" x14ac:dyDescent="0.25">
      <c r="B74" s="148"/>
      <c r="C74" s="148" t="s">
        <v>19874</v>
      </c>
      <c r="D74" s="150">
        <v>43955</v>
      </c>
      <c r="E74" s="113" t="s">
        <v>19873</v>
      </c>
      <c r="F74" s="256">
        <v>1</v>
      </c>
      <c r="G74" s="255">
        <v>15.61</v>
      </c>
      <c r="H74" s="152"/>
      <c r="I74" s="160">
        <f t="shared" si="0"/>
        <v>32383.209999999995</v>
      </c>
    </row>
    <row r="75" spans="2:9" x14ac:dyDescent="0.25">
      <c r="B75" s="148"/>
      <c r="C75" s="148" t="s">
        <v>19872</v>
      </c>
      <c r="D75" s="150">
        <v>43955</v>
      </c>
      <c r="E75" s="113" t="s">
        <v>19871</v>
      </c>
      <c r="F75" s="256">
        <v>1</v>
      </c>
      <c r="G75" s="255">
        <v>10.38</v>
      </c>
      <c r="H75" s="152"/>
      <c r="I75" s="160">
        <f t="shared" si="0"/>
        <v>32393.589999999997</v>
      </c>
    </row>
    <row r="76" spans="2:9" x14ac:dyDescent="0.25">
      <c r="B76" s="148"/>
      <c r="C76" s="148" t="s">
        <v>19870</v>
      </c>
      <c r="D76" s="150">
        <v>43955</v>
      </c>
      <c r="E76" s="113" t="s">
        <v>19869</v>
      </c>
      <c r="F76" s="256">
        <v>1</v>
      </c>
      <c r="G76" s="255">
        <v>53.7</v>
      </c>
      <c r="H76" s="152"/>
      <c r="I76" s="160">
        <f t="shared" si="0"/>
        <v>32447.289999999997</v>
      </c>
    </row>
    <row r="77" spans="2:9" x14ac:dyDescent="0.25">
      <c r="B77" s="148"/>
      <c r="C77" s="148" t="s">
        <v>19868</v>
      </c>
      <c r="D77" s="150">
        <v>43955</v>
      </c>
      <c r="E77" s="113" t="s">
        <v>19867</v>
      </c>
      <c r="F77" s="256">
        <v>1</v>
      </c>
      <c r="G77" s="255">
        <v>1.68</v>
      </c>
      <c r="H77" s="152"/>
      <c r="I77" s="160">
        <f t="shared" si="0"/>
        <v>32448.969999999998</v>
      </c>
    </row>
    <row r="78" spans="2:9" x14ac:dyDescent="0.25">
      <c r="B78" s="148"/>
      <c r="C78" s="148" t="s">
        <v>19866</v>
      </c>
      <c r="D78" s="150">
        <v>43955</v>
      </c>
      <c r="E78" s="113" t="s">
        <v>19865</v>
      </c>
      <c r="F78" s="256">
        <v>1</v>
      </c>
      <c r="G78" s="255">
        <v>8.3800000000000008</v>
      </c>
      <c r="H78" s="152"/>
      <c r="I78" s="160">
        <f t="shared" si="0"/>
        <v>32457.35</v>
      </c>
    </row>
    <row r="79" spans="2:9" x14ac:dyDescent="0.25">
      <c r="B79" s="148"/>
      <c r="C79" s="148" t="s">
        <v>19864</v>
      </c>
      <c r="D79" s="150">
        <v>43955</v>
      </c>
      <c r="E79" s="113" t="s">
        <v>19863</v>
      </c>
      <c r="F79" s="256">
        <v>1</v>
      </c>
      <c r="G79" s="255">
        <v>4.1900000000000004</v>
      </c>
      <c r="H79" s="152"/>
      <c r="I79" s="160">
        <f t="shared" si="0"/>
        <v>32461.539999999997</v>
      </c>
    </row>
    <row r="80" spans="2:9" x14ac:dyDescent="0.25">
      <c r="B80" s="148"/>
      <c r="C80" s="148" t="s">
        <v>19862</v>
      </c>
      <c r="D80" s="150">
        <v>43955</v>
      </c>
      <c r="E80" s="113" t="s">
        <v>19861</v>
      </c>
      <c r="F80" s="256">
        <v>1</v>
      </c>
      <c r="G80" s="255">
        <v>12.3</v>
      </c>
      <c r="H80" s="152"/>
      <c r="I80" s="160">
        <f t="shared" si="0"/>
        <v>32473.839999999997</v>
      </c>
    </row>
    <row r="81" spans="2:9" x14ac:dyDescent="0.25">
      <c r="B81" s="148"/>
      <c r="C81" s="148" t="s">
        <v>19860</v>
      </c>
      <c r="D81" s="150">
        <v>43955</v>
      </c>
      <c r="E81" s="113" t="s">
        <v>19859</v>
      </c>
      <c r="F81" s="256">
        <v>1</v>
      </c>
      <c r="G81" s="255">
        <v>13.94</v>
      </c>
      <c r="H81" s="152"/>
      <c r="I81" s="160">
        <f t="shared" si="0"/>
        <v>32487.779999999995</v>
      </c>
    </row>
    <row r="82" spans="2:9" x14ac:dyDescent="0.25">
      <c r="B82" s="148"/>
      <c r="C82" s="148" t="s">
        <v>19858</v>
      </c>
      <c r="D82" s="150">
        <v>43955</v>
      </c>
      <c r="E82" s="113" t="s">
        <v>19857</v>
      </c>
      <c r="F82" s="256">
        <v>1</v>
      </c>
      <c r="G82" s="255">
        <v>8.3800000000000008</v>
      </c>
      <c r="H82" s="152"/>
      <c r="I82" s="160">
        <f t="shared" si="0"/>
        <v>32496.159999999996</v>
      </c>
    </row>
    <row r="83" spans="2:9" x14ac:dyDescent="0.25">
      <c r="B83" s="148"/>
      <c r="C83" s="148" t="s">
        <v>19856</v>
      </c>
      <c r="D83" s="150">
        <v>43955</v>
      </c>
      <c r="E83" s="113" t="s">
        <v>19855</v>
      </c>
      <c r="F83" s="256">
        <v>1</v>
      </c>
      <c r="G83" s="255">
        <v>7.13</v>
      </c>
      <c r="H83" s="152"/>
      <c r="I83" s="160">
        <f t="shared" si="0"/>
        <v>32503.289999999997</v>
      </c>
    </row>
    <row r="84" spans="2:9" x14ac:dyDescent="0.25">
      <c r="B84" s="148"/>
      <c r="C84" s="148" t="s">
        <v>19854</v>
      </c>
      <c r="D84" s="150">
        <v>43955</v>
      </c>
      <c r="E84" s="113" t="s">
        <v>19853</v>
      </c>
      <c r="F84" s="256">
        <v>1</v>
      </c>
      <c r="G84" s="255">
        <v>17.899999999999999</v>
      </c>
      <c r="H84" s="152"/>
      <c r="I84" s="160">
        <f t="shared" ref="I84:I147" si="1">+I83+G84-H84</f>
        <v>32521.19</v>
      </c>
    </row>
    <row r="85" spans="2:9" x14ac:dyDescent="0.25">
      <c r="B85" s="148"/>
      <c r="C85" s="148" t="s">
        <v>19852</v>
      </c>
      <c r="D85" s="150">
        <v>43955</v>
      </c>
      <c r="E85" s="113" t="s">
        <v>19851</v>
      </c>
      <c r="F85" s="256">
        <v>1</v>
      </c>
      <c r="G85" s="255">
        <v>1.68</v>
      </c>
      <c r="H85" s="152"/>
      <c r="I85" s="160">
        <f t="shared" si="1"/>
        <v>32522.87</v>
      </c>
    </row>
    <row r="86" spans="2:9" x14ac:dyDescent="0.25">
      <c r="B86" s="148"/>
      <c r="C86" s="148" t="s">
        <v>19850</v>
      </c>
      <c r="D86" s="150">
        <v>43955</v>
      </c>
      <c r="E86" s="113" t="s">
        <v>19849</v>
      </c>
      <c r="F86" s="256">
        <v>1</v>
      </c>
      <c r="G86" s="255">
        <v>1.68</v>
      </c>
      <c r="H86" s="152"/>
      <c r="I86" s="160">
        <f t="shared" si="1"/>
        <v>32524.55</v>
      </c>
    </row>
    <row r="87" spans="2:9" x14ac:dyDescent="0.25">
      <c r="B87" s="148"/>
      <c r="C87" s="148" t="s">
        <v>19848</v>
      </c>
      <c r="D87" s="150">
        <v>43955</v>
      </c>
      <c r="E87" s="113" t="s">
        <v>19847</v>
      </c>
      <c r="F87" s="256">
        <v>1</v>
      </c>
      <c r="G87" s="255">
        <v>2.3199999999999998</v>
      </c>
      <c r="H87" s="152"/>
      <c r="I87" s="160">
        <f t="shared" si="1"/>
        <v>32526.87</v>
      </c>
    </row>
    <row r="88" spans="2:9" x14ac:dyDescent="0.25">
      <c r="B88" s="148"/>
      <c r="C88" s="148" t="s">
        <v>19846</v>
      </c>
      <c r="D88" s="150">
        <v>43955</v>
      </c>
      <c r="E88" s="113" t="s">
        <v>19845</v>
      </c>
      <c r="F88" s="256">
        <v>1</v>
      </c>
      <c r="G88" s="255">
        <v>6.61</v>
      </c>
      <c r="H88" s="152"/>
      <c r="I88" s="160">
        <f t="shared" si="1"/>
        <v>32533.48</v>
      </c>
    </row>
    <row r="89" spans="2:9" x14ac:dyDescent="0.25">
      <c r="B89" s="148"/>
      <c r="C89" s="148" t="s">
        <v>19844</v>
      </c>
      <c r="D89" s="150">
        <v>43955</v>
      </c>
      <c r="E89" s="113" t="s">
        <v>19843</v>
      </c>
      <c r="F89" s="256">
        <v>1</v>
      </c>
      <c r="G89" s="255">
        <v>4.1900000000000004</v>
      </c>
      <c r="H89" s="152"/>
      <c r="I89" s="160">
        <f t="shared" si="1"/>
        <v>32537.67</v>
      </c>
    </row>
    <row r="90" spans="2:9" x14ac:dyDescent="0.25">
      <c r="B90" s="148"/>
      <c r="C90" s="148" t="s">
        <v>19842</v>
      </c>
      <c r="D90" s="150">
        <v>43955</v>
      </c>
      <c r="E90" s="113" t="s">
        <v>19841</v>
      </c>
      <c r="F90" s="256">
        <v>1</v>
      </c>
      <c r="G90" s="255">
        <v>7.82</v>
      </c>
      <c r="H90" s="152"/>
      <c r="I90" s="160">
        <f t="shared" si="1"/>
        <v>32545.489999999998</v>
      </c>
    </row>
    <row r="91" spans="2:9" x14ac:dyDescent="0.25">
      <c r="B91" s="148"/>
      <c r="C91" s="148" t="s">
        <v>19840</v>
      </c>
      <c r="D91" s="150">
        <v>43955</v>
      </c>
      <c r="E91" s="113" t="s">
        <v>19839</v>
      </c>
      <c r="F91" s="256">
        <v>1</v>
      </c>
      <c r="G91" s="255">
        <v>1.68</v>
      </c>
      <c r="H91" s="152"/>
      <c r="I91" s="160">
        <f t="shared" si="1"/>
        <v>32547.17</v>
      </c>
    </row>
    <row r="92" spans="2:9" x14ac:dyDescent="0.25">
      <c r="B92" s="148"/>
      <c r="C92" s="148" t="s">
        <v>19838</v>
      </c>
      <c r="D92" s="150">
        <v>43955</v>
      </c>
      <c r="E92" s="113" t="s">
        <v>19837</v>
      </c>
      <c r="F92" s="256">
        <v>1</v>
      </c>
      <c r="G92" s="255">
        <v>4.1900000000000004</v>
      </c>
      <c r="H92" s="152"/>
      <c r="I92" s="160">
        <f t="shared" si="1"/>
        <v>32551.359999999997</v>
      </c>
    </row>
    <row r="93" spans="2:9" x14ac:dyDescent="0.25">
      <c r="B93" s="148"/>
      <c r="C93" s="148" t="s">
        <v>19836</v>
      </c>
      <c r="D93" s="150">
        <v>43955</v>
      </c>
      <c r="E93" s="113" t="s">
        <v>19835</v>
      </c>
      <c r="F93" s="256">
        <v>1</v>
      </c>
      <c r="G93" s="255">
        <v>1.84</v>
      </c>
      <c r="H93" s="152"/>
      <c r="I93" s="160">
        <f t="shared" si="1"/>
        <v>32553.199999999997</v>
      </c>
    </row>
    <row r="94" spans="2:9" x14ac:dyDescent="0.25">
      <c r="B94" s="148"/>
      <c r="C94" s="148" t="s">
        <v>19834</v>
      </c>
      <c r="D94" s="150">
        <v>43955</v>
      </c>
      <c r="E94" s="113" t="s">
        <v>19833</v>
      </c>
      <c r="F94" s="256">
        <v>1</v>
      </c>
      <c r="G94" s="255">
        <v>2.62</v>
      </c>
      <c r="H94" s="152"/>
      <c r="I94" s="160">
        <f t="shared" si="1"/>
        <v>32555.819999999996</v>
      </c>
    </row>
    <row r="95" spans="2:9" x14ac:dyDescent="0.25">
      <c r="B95" s="148"/>
      <c r="C95" s="148" t="s">
        <v>19832</v>
      </c>
      <c r="D95" s="150">
        <v>43955</v>
      </c>
      <c r="E95" s="113" t="s">
        <v>19831</v>
      </c>
      <c r="F95" s="256">
        <v>1</v>
      </c>
      <c r="G95" s="255">
        <v>3.36</v>
      </c>
      <c r="H95" s="152"/>
      <c r="I95" s="160">
        <f t="shared" si="1"/>
        <v>32559.179999999997</v>
      </c>
    </row>
    <row r="96" spans="2:9" x14ac:dyDescent="0.25">
      <c r="B96" s="148"/>
      <c r="C96" s="148" t="s">
        <v>19830</v>
      </c>
      <c r="D96" s="150">
        <v>43955</v>
      </c>
      <c r="E96" s="113" t="s">
        <v>19829</v>
      </c>
      <c r="F96" s="256">
        <v>1</v>
      </c>
      <c r="G96" s="255">
        <v>8.3800000000000008</v>
      </c>
      <c r="H96" s="152"/>
      <c r="I96" s="160">
        <f t="shared" si="1"/>
        <v>32567.559999999998</v>
      </c>
    </row>
    <row r="97" spans="2:9" x14ac:dyDescent="0.25">
      <c r="B97" s="148"/>
      <c r="C97" s="148" t="s">
        <v>19828</v>
      </c>
      <c r="D97" s="150">
        <v>43955</v>
      </c>
      <c r="E97" s="113" t="s">
        <v>19827</v>
      </c>
      <c r="F97" s="256">
        <v>1</v>
      </c>
      <c r="G97" s="255">
        <v>9.48</v>
      </c>
      <c r="H97" s="152"/>
      <c r="I97" s="160">
        <f t="shared" si="1"/>
        <v>32577.039999999997</v>
      </c>
    </row>
    <row r="98" spans="2:9" x14ac:dyDescent="0.25">
      <c r="B98" s="148"/>
      <c r="C98" s="148" t="s">
        <v>19826</v>
      </c>
      <c r="D98" s="150">
        <v>43955</v>
      </c>
      <c r="E98" s="113" t="s">
        <v>19825</v>
      </c>
      <c r="F98" s="256">
        <v>1</v>
      </c>
      <c r="G98" s="255">
        <v>10.85</v>
      </c>
      <c r="H98" s="152"/>
      <c r="I98" s="160">
        <f t="shared" si="1"/>
        <v>32587.889999999996</v>
      </c>
    </row>
    <row r="99" spans="2:9" x14ac:dyDescent="0.25">
      <c r="B99" s="148"/>
      <c r="C99" s="148" t="s">
        <v>19824</v>
      </c>
      <c r="D99" s="150">
        <v>43955</v>
      </c>
      <c r="E99" s="113" t="s">
        <v>19823</v>
      </c>
      <c r="F99" s="256">
        <v>1</v>
      </c>
      <c r="G99" s="255">
        <v>20.27</v>
      </c>
      <c r="H99" s="152"/>
      <c r="I99" s="160">
        <f t="shared" si="1"/>
        <v>32608.159999999996</v>
      </c>
    </row>
    <row r="100" spans="2:9" x14ac:dyDescent="0.25">
      <c r="B100" s="148"/>
      <c r="C100" s="148" t="s">
        <v>19822</v>
      </c>
      <c r="D100" s="150">
        <v>43955</v>
      </c>
      <c r="E100" s="113" t="s">
        <v>19821</v>
      </c>
      <c r="F100" s="256">
        <v>1</v>
      </c>
      <c r="G100" s="255">
        <v>8.81</v>
      </c>
      <c r="H100" s="152"/>
      <c r="I100" s="160">
        <f t="shared" si="1"/>
        <v>32616.969999999998</v>
      </c>
    </row>
    <row r="101" spans="2:9" x14ac:dyDescent="0.25">
      <c r="B101" s="148"/>
      <c r="C101" s="148" t="s">
        <v>19820</v>
      </c>
      <c r="D101" s="150">
        <v>43955</v>
      </c>
      <c r="E101" s="113" t="s">
        <v>19819</v>
      </c>
      <c r="F101" s="256">
        <v>1</v>
      </c>
      <c r="G101" s="255">
        <v>9.41</v>
      </c>
      <c r="H101" s="152"/>
      <c r="I101" s="160">
        <f t="shared" si="1"/>
        <v>32626.379999999997</v>
      </c>
    </row>
    <row r="102" spans="2:9" x14ac:dyDescent="0.25">
      <c r="B102" s="148"/>
      <c r="C102" s="148" t="s">
        <v>19818</v>
      </c>
      <c r="D102" s="150">
        <v>43955</v>
      </c>
      <c r="E102" s="113" t="s">
        <v>19817</v>
      </c>
      <c r="F102" s="256">
        <v>1</v>
      </c>
      <c r="G102" s="255">
        <v>8.3800000000000008</v>
      </c>
      <c r="H102" s="152"/>
      <c r="I102" s="160">
        <f t="shared" si="1"/>
        <v>32634.76</v>
      </c>
    </row>
    <row r="103" spans="2:9" x14ac:dyDescent="0.25">
      <c r="B103" s="148"/>
      <c r="C103" s="148" t="s">
        <v>19816</v>
      </c>
      <c r="D103" s="150">
        <v>43955</v>
      </c>
      <c r="E103" s="113" t="s">
        <v>19815</v>
      </c>
      <c r="F103" s="256">
        <v>1</v>
      </c>
      <c r="G103" s="255">
        <v>8.3800000000000008</v>
      </c>
      <c r="H103" s="152"/>
      <c r="I103" s="160">
        <f t="shared" si="1"/>
        <v>32643.14</v>
      </c>
    </row>
    <row r="104" spans="2:9" x14ac:dyDescent="0.25">
      <c r="B104" s="148"/>
      <c r="C104" s="148" t="s">
        <v>19814</v>
      </c>
      <c r="D104" s="150">
        <v>43955</v>
      </c>
      <c r="E104" s="113" t="s">
        <v>19813</v>
      </c>
      <c r="F104" s="256">
        <v>1</v>
      </c>
      <c r="G104" s="255">
        <v>6.94</v>
      </c>
      <c r="H104" s="152"/>
      <c r="I104" s="160">
        <f t="shared" si="1"/>
        <v>32650.079999999998</v>
      </c>
    </row>
    <row r="105" spans="2:9" x14ac:dyDescent="0.25">
      <c r="B105" s="148"/>
      <c r="C105" s="148" t="s">
        <v>19812</v>
      </c>
      <c r="D105" s="150">
        <v>43955</v>
      </c>
      <c r="E105" s="113" t="s">
        <v>19811</v>
      </c>
      <c r="F105" s="256">
        <v>1</v>
      </c>
      <c r="G105" s="255">
        <v>7.82</v>
      </c>
      <c r="H105" s="152"/>
      <c r="I105" s="160">
        <f t="shared" si="1"/>
        <v>32657.899999999998</v>
      </c>
    </row>
    <row r="106" spans="2:9" x14ac:dyDescent="0.25">
      <c r="B106" s="148"/>
      <c r="C106" s="148" t="s">
        <v>19810</v>
      </c>
      <c r="D106" s="150">
        <v>43955</v>
      </c>
      <c r="E106" s="113" t="s">
        <v>19809</v>
      </c>
      <c r="F106" s="256">
        <v>1</v>
      </c>
      <c r="G106" s="255">
        <v>3.76</v>
      </c>
      <c r="H106" s="152"/>
      <c r="I106" s="160">
        <f t="shared" si="1"/>
        <v>32661.659999999996</v>
      </c>
    </row>
    <row r="107" spans="2:9" x14ac:dyDescent="0.25">
      <c r="B107" s="148"/>
      <c r="C107" s="148" t="s">
        <v>19808</v>
      </c>
      <c r="D107" s="150">
        <v>43955</v>
      </c>
      <c r="E107" s="113" t="s">
        <v>19807</v>
      </c>
      <c r="F107" s="256">
        <v>1</v>
      </c>
      <c r="G107" s="255">
        <v>7.82</v>
      </c>
      <c r="H107" s="152"/>
      <c r="I107" s="160">
        <f t="shared" si="1"/>
        <v>32669.479999999996</v>
      </c>
    </row>
    <row r="108" spans="2:9" x14ac:dyDescent="0.25">
      <c r="B108" s="148"/>
      <c r="C108" s="148" t="s">
        <v>19806</v>
      </c>
      <c r="D108" s="150">
        <v>43955</v>
      </c>
      <c r="E108" s="113" t="s">
        <v>19805</v>
      </c>
      <c r="F108" s="256">
        <v>1</v>
      </c>
      <c r="G108" s="255">
        <v>6.94</v>
      </c>
      <c r="H108" s="152"/>
      <c r="I108" s="160">
        <f t="shared" si="1"/>
        <v>32676.419999999995</v>
      </c>
    </row>
    <row r="109" spans="2:9" x14ac:dyDescent="0.25">
      <c r="B109" s="148"/>
      <c r="C109" s="148" t="s">
        <v>19804</v>
      </c>
      <c r="D109" s="150">
        <v>43955</v>
      </c>
      <c r="E109" s="113" t="s">
        <v>19803</v>
      </c>
      <c r="F109" s="256">
        <v>1</v>
      </c>
      <c r="G109" s="255">
        <v>6.81</v>
      </c>
      <c r="H109" s="152"/>
      <c r="I109" s="160">
        <f t="shared" si="1"/>
        <v>32683.229999999996</v>
      </c>
    </row>
    <row r="110" spans="2:9" x14ac:dyDescent="0.25">
      <c r="B110" s="148"/>
      <c r="C110" s="148" t="s">
        <v>19802</v>
      </c>
      <c r="D110" s="150">
        <v>43955</v>
      </c>
      <c r="E110" s="113" t="s">
        <v>19801</v>
      </c>
      <c r="F110" s="256">
        <v>1</v>
      </c>
      <c r="G110" s="255">
        <v>1.68</v>
      </c>
      <c r="H110" s="152"/>
      <c r="I110" s="160">
        <f t="shared" si="1"/>
        <v>32684.909999999996</v>
      </c>
    </row>
    <row r="111" spans="2:9" x14ac:dyDescent="0.25">
      <c r="B111" s="148"/>
      <c r="C111" s="148" t="s">
        <v>19800</v>
      </c>
      <c r="D111" s="150">
        <v>43955</v>
      </c>
      <c r="E111" s="113" t="s">
        <v>19799</v>
      </c>
      <c r="F111" s="256">
        <v>1</v>
      </c>
      <c r="G111" s="255">
        <v>1.68</v>
      </c>
      <c r="H111" s="152"/>
      <c r="I111" s="160">
        <f t="shared" si="1"/>
        <v>32686.589999999997</v>
      </c>
    </row>
    <row r="112" spans="2:9" x14ac:dyDescent="0.25">
      <c r="B112" s="148"/>
      <c r="C112" s="148" t="s">
        <v>19798</v>
      </c>
      <c r="D112" s="150">
        <v>43955</v>
      </c>
      <c r="E112" s="113" t="s">
        <v>19797</v>
      </c>
      <c r="F112" s="256">
        <v>1</v>
      </c>
      <c r="G112" s="255">
        <v>1.68</v>
      </c>
      <c r="H112" s="152"/>
      <c r="I112" s="160">
        <f t="shared" si="1"/>
        <v>32688.269999999997</v>
      </c>
    </row>
    <row r="113" spans="2:9" x14ac:dyDescent="0.25">
      <c r="B113" s="148"/>
      <c r="C113" s="148" t="s">
        <v>19796</v>
      </c>
      <c r="D113" s="150">
        <v>43955</v>
      </c>
      <c r="E113" s="113" t="s">
        <v>19795</v>
      </c>
      <c r="F113" s="256">
        <v>1</v>
      </c>
      <c r="G113" s="255">
        <v>9.49</v>
      </c>
      <c r="H113" s="152"/>
      <c r="I113" s="160">
        <f t="shared" si="1"/>
        <v>32697.759999999998</v>
      </c>
    </row>
    <row r="114" spans="2:9" x14ac:dyDescent="0.25">
      <c r="B114" s="148"/>
      <c r="C114" s="148" t="s">
        <v>19794</v>
      </c>
      <c r="D114" s="150">
        <v>43955</v>
      </c>
      <c r="E114" s="113" t="s">
        <v>19793</v>
      </c>
      <c r="F114" s="256">
        <v>1</v>
      </c>
      <c r="G114" s="255">
        <v>3.37</v>
      </c>
      <c r="H114" s="152"/>
      <c r="I114" s="160">
        <f t="shared" si="1"/>
        <v>32701.129999999997</v>
      </c>
    </row>
    <row r="115" spans="2:9" x14ac:dyDescent="0.25">
      <c r="B115" s="148"/>
      <c r="C115" s="148" t="s">
        <v>19792</v>
      </c>
      <c r="D115" s="150">
        <v>43955</v>
      </c>
      <c r="E115" s="113" t="s">
        <v>19791</v>
      </c>
      <c r="F115" s="256">
        <v>1</v>
      </c>
      <c r="G115" s="255">
        <v>1.8</v>
      </c>
      <c r="H115" s="152"/>
      <c r="I115" s="160">
        <f t="shared" si="1"/>
        <v>32702.929999999997</v>
      </c>
    </row>
    <row r="116" spans="2:9" x14ac:dyDescent="0.25">
      <c r="B116" s="148"/>
      <c r="C116" s="148" t="s">
        <v>19790</v>
      </c>
      <c r="D116" s="150">
        <v>43955</v>
      </c>
      <c r="E116" s="113" t="s">
        <v>19789</v>
      </c>
      <c r="F116" s="256">
        <v>1</v>
      </c>
      <c r="G116" s="255">
        <v>1.46</v>
      </c>
      <c r="H116" s="152"/>
      <c r="I116" s="160">
        <f t="shared" si="1"/>
        <v>32704.389999999996</v>
      </c>
    </row>
    <row r="117" spans="2:9" x14ac:dyDescent="0.25">
      <c r="B117" s="148"/>
      <c r="C117" s="148" t="s">
        <v>19788</v>
      </c>
      <c r="D117" s="150">
        <v>43955</v>
      </c>
      <c r="E117" s="113" t="s">
        <v>19787</v>
      </c>
      <c r="F117" s="256">
        <v>1</v>
      </c>
      <c r="G117" s="255">
        <v>2.36</v>
      </c>
      <c r="H117" s="152"/>
      <c r="I117" s="160">
        <f t="shared" si="1"/>
        <v>32706.749999999996</v>
      </c>
    </row>
    <row r="118" spans="2:9" x14ac:dyDescent="0.25">
      <c r="B118" s="148"/>
      <c r="C118" s="148" t="s">
        <v>19786</v>
      </c>
      <c r="D118" s="150">
        <v>43955</v>
      </c>
      <c r="E118" s="113" t="s">
        <v>19785</v>
      </c>
      <c r="F118" s="256">
        <v>1</v>
      </c>
      <c r="G118" s="255">
        <v>8.3800000000000008</v>
      </c>
      <c r="H118" s="152"/>
      <c r="I118" s="160">
        <f t="shared" si="1"/>
        <v>32715.129999999997</v>
      </c>
    </row>
    <row r="119" spans="2:9" x14ac:dyDescent="0.25">
      <c r="B119" s="148"/>
      <c r="C119" s="148" t="s">
        <v>19784</v>
      </c>
      <c r="D119" s="150">
        <v>43955</v>
      </c>
      <c r="E119" s="113" t="s">
        <v>19783</v>
      </c>
      <c r="F119" s="256">
        <v>1</v>
      </c>
      <c r="G119" s="255">
        <v>8.3800000000000008</v>
      </c>
      <c r="H119" s="152"/>
      <c r="I119" s="160">
        <f t="shared" si="1"/>
        <v>32723.51</v>
      </c>
    </row>
    <row r="120" spans="2:9" x14ac:dyDescent="0.25">
      <c r="B120" s="148"/>
      <c r="C120" s="148" t="s">
        <v>19782</v>
      </c>
      <c r="D120" s="150">
        <v>43955</v>
      </c>
      <c r="E120" s="113" t="s">
        <v>19781</v>
      </c>
      <c r="F120" s="256">
        <v>1</v>
      </c>
      <c r="G120" s="255">
        <v>3.36</v>
      </c>
      <c r="H120" s="152"/>
      <c r="I120" s="160">
        <f t="shared" si="1"/>
        <v>32726.87</v>
      </c>
    </row>
    <row r="121" spans="2:9" x14ac:dyDescent="0.25">
      <c r="B121" s="148"/>
      <c r="C121" s="148" t="s">
        <v>19780</v>
      </c>
      <c r="D121" s="150">
        <v>43955</v>
      </c>
      <c r="E121" s="113" t="s">
        <v>19779</v>
      </c>
      <c r="F121" s="256">
        <v>1</v>
      </c>
      <c r="G121" s="255">
        <v>2.11</v>
      </c>
      <c r="H121" s="152"/>
      <c r="I121" s="160">
        <f t="shared" si="1"/>
        <v>32728.98</v>
      </c>
    </row>
    <row r="122" spans="2:9" x14ac:dyDescent="0.25">
      <c r="B122" s="148"/>
      <c r="C122" s="148" t="s">
        <v>19778</v>
      </c>
      <c r="D122" s="150">
        <v>43955</v>
      </c>
      <c r="E122" s="113" t="s">
        <v>19777</v>
      </c>
      <c r="F122" s="256">
        <v>1</v>
      </c>
      <c r="G122" s="255">
        <v>15.3</v>
      </c>
      <c r="H122" s="152"/>
      <c r="I122" s="160">
        <f t="shared" si="1"/>
        <v>32744.28</v>
      </c>
    </row>
    <row r="123" spans="2:9" x14ac:dyDescent="0.25">
      <c r="B123" s="148"/>
      <c r="C123" s="148" t="s">
        <v>19776</v>
      </c>
      <c r="D123" s="150">
        <v>43955</v>
      </c>
      <c r="E123" s="113" t="s">
        <v>19775</v>
      </c>
      <c r="F123" s="256">
        <v>1</v>
      </c>
      <c r="G123" s="255">
        <v>30.6</v>
      </c>
      <c r="H123" s="152"/>
      <c r="I123" s="160">
        <f t="shared" si="1"/>
        <v>32774.879999999997</v>
      </c>
    </row>
    <row r="124" spans="2:9" x14ac:dyDescent="0.25">
      <c r="B124" s="148"/>
      <c r="C124" s="148" t="s">
        <v>19774</v>
      </c>
      <c r="D124" s="150">
        <v>43955</v>
      </c>
      <c r="E124" s="113" t="s">
        <v>19773</v>
      </c>
      <c r="F124" s="256">
        <v>1</v>
      </c>
      <c r="G124" s="255">
        <v>30.6</v>
      </c>
      <c r="H124" s="152"/>
      <c r="I124" s="160">
        <f t="shared" si="1"/>
        <v>32805.479999999996</v>
      </c>
    </row>
    <row r="125" spans="2:9" x14ac:dyDescent="0.25">
      <c r="B125" s="148"/>
      <c r="C125" s="148" t="s">
        <v>19772</v>
      </c>
      <c r="D125" s="150">
        <v>43955</v>
      </c>
      <c r="E125" s="113" t="s">
        <v>19771</v>
      </c>
      <c r="F125" s="256">
        <v>1</v>
      </c>
      <c r="G125" s="255">
        <v>30.6</v>
      </c>
      <c r="H125" s="152"/>
      <c r="I125" s="160">
        <f t="shared" si="1"/>
        <v>32836.079999999994</v>
      </c>
    </row>
    <row r="126" spans="2:9" x14ac:dyDescent="0.25">
      <c r="B126" s="148"/>
      <c r="C126" s="148" t="s">
        <v>19770</v>
      </c>
      <c r="D126" s="150">
        <v>43955</v>
      </c>
      <c r="E126" s="113" t="s">
        <v>19769</v>
      </c>
      <c r="F126" s="256">
        <v>1</v>
      </c>
      <c r="G126" s="255">
        <v>30.6</v>
      </c>
      <c r="H126" s="152"/>
      <c r="I126" s="160">
        <f t="shared" si="1"/>
        <v>32866.679999999993</v>
      </c>
    </row>
    <row r="127" spans="2:9" x14ac:dyDescent="0.25">
      <c r="B127" s="148"/>
      <c r="C127" s="148" t="s">
        <v>19768</v>
      </c>
      <c r="D127" s="150">
        <v>43955</v>
      </c>
      <c r="E127" s="113" t="s">
        <v>19767</v>
      </c>
      <c r="F127" s="256">
        <v>1</v>
      </c>
      <c r="G127" s="255">
        <v>1.68</v>
      </c>
      <c r="H127" s="152"/>
      <c r="I127" s="160">
        <f t="shared" si="1"/>
        <v>32868.359999999993</v>
      </c>
    </row>
    <row r="128" spans="2:9" x14ac:dyDescent="0.25">
      <c r="B128" s="148"/>
      <c r="C128" s="148" t="s">
        <v>19766</v>
      </c>
      <c r="D128" s="150">
        <v>43955</v>
      </c>
      <c r="E128" s="113" t="s">
        <v>19765</v>
      </c>
      <c r="F128" s="256">
        <v>1</v>
      </c>
      <c r="G128" s="255">
        <v>1.94</v>
      </c>
      <c r="H128" s="152"/>
      <c r="I128" s="160">
        <f t="shared" si="1"/>
        <v>32870.299999999996</v>
      </c>
    </row>
    <row r="129" spans="2:9" x14ac:dyDescent="0.25">
      <c r="B129" s="148"/>
      <c r="C129" s="148" t="s">
        <v>19764</v>
      </c>
      <c r="D129" s="150">
        <v>43955</v>
      </c>
      <c r="E129" s="113" t="s">
        <v>19763</v>
      </c>
      <c r="F129" s="256">
        <v>1</v>
      </c>
      <c r="G129" s="255">
        <v>1.94</v>
      </c>
      <c r="H129" s="152"/>
      <c r="I129" s="160">
        <f t="shared" si="1"/>
        <v>32872.239999999998</v>
      </c>
    </row>
    <row r="130" spans="2:9" x14ac:dyDescent="0.25">
      <c r="B130" s="148"/>
      <c r="C130" s="148" t="s">
        <v>19762</v>
      </c>
      <c r="D130" s="150">
        <v>43955</v>
      </c>
      <c r="E130" s="113" t="s">
        <v>19761</v>
      </c>
      <c r="F130" s="256">
        <v>1</v>
      </c>
      <c r="G130" s="255">
        <v>2.2999999999999998</v>
      </c>
      <c r="H130" s="152"/>
      <c r="I130" s="160">
        <f t="shared" si="1"/>
        <v>32874.54</v>
      </c>
    </row>
    <row r="131" spans="2:9" ht="19.5" x14ac:dyDescent="0.25">
      <c r="B131" s="148"/>
      <c r="C131" s="148" t="s">
        <v>19760</v>
      </c>
      <c r="D131" s="150">
        <v>43955</v>
      </c>
      <c r="E131" s="113" t="s">
        <v>19759</v>
      </c>
      <c r="F131" s="256" t="s">
        <v>14436</v>
      </c>
      <c r="G131" s="160">
        <v>8.34</v>
      </c>
      <c r="H131" s="152"/>
      <c r="I131" s="160">
        <f t="shared" si="1"/>
        <v>32882.879999999997</v>
      </c>
    </row>
    <row r="132" spans="2:9" x14ac:dyDescent="0.25">
      <c r="B132" s="148"/>
      <c r="C132" s="148" t="s">
        <v>19758</v>
      </c>
      <c r="D132" s="150">
        <v>43955</v>
      </c>
      <c r="E132" s="113" t="s">
        <v>19757</v>
      </c>
      <c r="F132" s="256" t="s">
        <v>14436</v>
      </c>
      <c r="G132" s="160">
        <v>11.5</v>
      </c>
      <c r="H132" s="152"/>
      <c r="I132" s="160">
        <f t="shared" si="1"/>
        <v>32894.379999999997</v>
      </c>
    </row>
    <row r="133" spans="2:9" x14ac:dyDescent="0.25">
      <c r="B133" s="148"/>
      <c r="C133" s="148" t="s">
        <v>19756</v>
      </c>
      <c r="D133" s="150">
        <v>43956</v>
      </c>
      <c r="E133" s="113" t="s">
        <v>19755</v>
      </c>
      <c r="F133" s="256" t="s">
        <v>14436</v>
      </c>
      <c r="G133" s="160">
        <v>1.68</v>
      </c>
      <c r="H133" s="152"/>
      <c r="I133" s="160">
        <f t="shared" si="1"/>
        <v>32896.06</v>
      </c>
    </row>
    <row r="134" spans="2:9" x14ac:dyDescent="0.25">
      <c r="B134" s="148"/>
      <c r="C134" s="148" t="s">
        <v>19754</v>
      </c>
      <c r="D134" s="150">
        <v>43956</v>
      </c>
      <c r="E134" s="113" t="s">
        <v>19753</v>
      </c>
      <c r="F134" s="257" t="s">
        <v>14408</v>
      </c>
      <c r="G134" s="258">
        <v>15.09</v>
      </c>
      <c r="H134" s="152"/>
      <c r="I134" s="160">
        <f t="shared" si="1"/>
        <v>32911.149999999994</v>
      </c>
    </row>
    <row r="135" spans="2:9" x14ac:dyDescent="0.25">
      <c r="B135" s="148"/>
      <c r="C135" s="148" t="s">
        <v>19752</v>
      </c>
      <c r="D135" s="150">
        <v>43956</v>
      </c>
      <c r="E135" s="113" t="s">
        <v>19751</v>
      </c>
      <c r="F135" s="257" t="s">
        <v>14408</v>
      </c>
      <c r="G135" s="258">
        <v>2.57</v>
      </c>
      <c r="H135" s="152"/>
      <c r="I135" s="160">
        <f t="shared" si="1"/>
        <v>32913.719999999994</v>
      </c>
    </row>
    <row r="136" spans="2:9" x14ac:dyDescent="0.25">
      <c r="B136" s="148"/>
      <c r="C136" s="148" t="s">
        <v>19750</v>
      </c>
      <c r="D136" s="150">
        <v>43956</v>
      </c>
      <c r="E136" s="113" t="s">
        <v>19749</v>
      </c>
      <c r="F136" s="257" t="s">
        <v>14408</v>
      </c>
      <c r="G136" s="258">
        <v>24.46</v>
      </c>
      <c r="H136" s="152"/>
      <c r="I136" s="160">
        <f t="shared" si="1"/>
        <v>32938.179999999993</v>
      </c>
    </row>
    <row r="137" spans="2:9" ht="19.5" x14ac:dyDescent="0.25">
      <c r="B137" s="148"/>
      <c r="C137" s="148" t="s">
        <v>19748</v>
      </c>
      <c r="D137" s="150">
        <v>43956</v>
      </c>
      <c r="E137" s="113" t="s">
        <v>19747</v>
      </c>
      <c r="F137" s="257" t="s">
        <v>14408</v>
      </c>
      <c r="G137" s="258">
        <v>11.35</v>
      </c>
      <c r="H137" s="152"/>
      <c r="I137" s="160">
        <f t="shared" si="1"/>
        <v>32949.529999999992</v>
      </c>
    </row>
    <row r="138" spans="2:9" x14ac:dyDescent="0.25">
      <c r="B138" s="148"/>
      <c r="C138" s="148" t="s">
        <v>19746</v>
      </c>
      <c r="D138" s="150">
        <v>43956</v>
      </c>
      <c r="E138" s="113" t="s">
        <v>19745</v>
      </c>
      <c r="F138" s="257" t="s">
        <v>14408</v>
      </c>
      <c r="G138" s="258">
        <v>5.57</v>
      </c>
      <c r="H138" s="152"/>
      <c r="I138" s="160">
        <f t="shared" si="1"/>
        <v>32955.099999999991</v>
      </c>
    </row>
    <row r="139" spans="2:9" x14ac:dyDescent="0.25">
      <c r="B139" s="148"/>
      <c r="C139" s="148" t="s">
        <v>19744</v>
      </c>
      <c r="D139" s="150">
        <v>43956</v>
      </c>
      <c r="E139" s="113" t="s">
        <v>19743</v>
      </c>
      <c r="F139" s="257" t="s">
        <v>14408</v>
      </c>
      <c r="G139" s="258">
        <v>5.75</v>
      </c>
      <c r="H139" s="152"/>
      <c r="I139" s="160">
        <f t="shared" si="1"/>
        <v>32960.849999999991</v>
      </c>
    </row>
    <row r="140" spans="2:9" x14ac:dyDescent="0.25">
      <c r="B140" s="148"/>
      <c r="C140" s="148" t="s">
        <v>19742</v>
      </c>
      <c r="D140" s="150">
        <v>43956</v>
      </c>
      <c r="E140" s="113" t="s">
        <v>19741</v>
      </c>
      <c r="F140" s="257" t="s">
        <v>14408</v>
      </c>
      <c r="G140" s="258">
        <v>12.94</v>
      </c>
      <c r="H140" s="152"/>
      <c r="I140" s="160">
        <f t="shared" si="1"/>
        <v>32973.789999999994</v>
      </c>
    </row>
    <row r="141" spans="2:9" x14ac:dyDescent="0.25">
      <c r="B141" s="148"/>
      <c r="C141" s="148" t="s">
        <v>19740</v>
      </c>
      <c r="D141" s="150">
        <v>43956</v>
      </c>
      <c r="E141" s="113" t="s">
        <v>19739</v>
      </c>
      <c r="F141" s="257" t="s">
        <v>14408</v>
      </c>
      <c r="G141" s="258">
        <v>17.100000000000001</v>
      </c>
      <c r="H141" s="152"/>
      <c r="I141" s="160">
        <f t="shared" si="1"/>
        <v>32990.889999999992</v>
      </c>
    </row>
    <row r="142" spans="2:9" x14ac:dyDescent="0.25">
      <c r="B142" s="148"/>
      <c r="C142" s="148" t="s">
        <v>19738</v>
      </c>
      <c r="D142" s="150">
        <v>43956</v>
      </c>
      <c r="E142" s="113" t="s">
        <v>19737</v>
      </c>
      <c r="F142" s="257" t="s">
        <v>14408</v>
      </c>
      <c r="G142" s="258">
        <v>2.8</v>
      </c>
      <c r="H142" s="152"/>
      <c r="I142" s="160">
        <f t="shared" si="1"/>
        <v>32993.689999999995</v>
      </c>
    </row>
    <row r="143" spans="2:9" ht="19.5" x14ac:dyDescent="0.25">
      <c r="B143" s="148"/>
      <c r="C143" s="148" t="s">
        <v>19736</v>
      </c>
      <c r="D143" s="150">
        <v>43956</v>
      </c>
      <c r="E143" s="113" t="s">
        <v>19735</v>
      </c>
      <c r="F143" s="257" t="s">
        <v>14408</v>
      </c>
      <c r="G143" s="258">
        <v>8.58</v>
      </c>
      <c r="H143" s="152"/>
      <c r="I143" s="160">
        <f t="shared" si="1"/>
        <v>33002.269999999997</v>
      </c>
    </row>
    <row r="144" spans="2:9" x14ac:dyDescent="0.25">
      <c r="B144" s="148"/>
      <c r="C144" s="148" t="s">
        <v>19734</v>
      </c>
      <c r="D144" s="150">
        <v>43956</v>
      </c>
      <c r="E144" s="113" t="s">
        <v>19733</v>
      </c>
      <c r="F144" s="257" t="s">
        <v>14408</v>
      </c>
      <c r="G144" s="258">
        <v>3.88</v>
      </c>
      <c r="H144" s="152"/>
      <c r="I144" s="160">
        <f t="shared" si="1"/>
        <v>33006.149999999994</v>
      </c>
    </row>
    <row r="145" spans="2:9" ht="19.5" x14ac:dyDescent="0.25">
      <c r="B145" s="148"/>
      <c r="C145" s="148" t="s">
        <v>19732</v>
      </c>
      <c r="D145" s="150">
        <v>43956</v>
      </c>
      <c r="E145" s="113" t="s">
        <v>19731</v>
      </c>
      <c r="F145" s="257" t="s">
        <v>14408</v>
      </c>
      <c r="G145" s="258">
        <v>6.55</v>
      </c>
      <c r="H145" s="152"/>
      <c r="I145" s="160">
        <f t="shared" si="1"/>
        <v>33012.699999999997</v>
      </c>
    </row>
    <row r="146" spans="2:9" x14ac:dyDescent="0.25">
      <c r="B146" s="148"/>
      <c r="C146" s="148" t="s">
        <v>19730</v>
      </c>
      <c r="D146" s="150">
        <v>43956</v>
      </c>
      <c r="E146" s="113" t="s">
        <v>19729</v>
      </c>
      <c r="F146" s="257" t="s">
        <v>14408</v>
      </c>
      <c r="G146" s="258">
        <v>1.87</v>
      </c>
      <c r="H146" s="152"/>
      <c r="I146" s="160">
        <f t="shared" si="1"/>
        <v>33014.57</v>
      </c>
    </row>
    <row r="147" spans="2:9" x14ac:dyDescent="0.25">
      <c r="B147" s="148"/>
      <c r="C147" s="148" t="s">
        <v>19728</v>
      </c>
      <c r="D147" s="150">
        <v>43956</v>
      </c>
      <c r="E147" s="113" t="s">
        <v>19727</v>
      </c>
      <c r="F147" s="257" t="s">
        <v>14408</v>
      </c>
      <c r="G147" s="258">
        <v>8.3800000000000008</v>
      </c>
      <c r="H147" s="152"/>
      <c r="I147" s="160">
        <f t="shared" si="1"/>
        <v>33022.949999999997</v>
      </c>
    </row>
    <row r="148" spans="2:9" x14ac:dyDescent="0.25">
      <c r="B148" s="148"/>
      <c r="C148" s="148" t="s">
        <v>19726</v>
      </c>
      <c r="D148" s="150">
        <v>43956</v>
      </c>
      <c r="E148" s="113" t="s">
        <v>19725</v>
      </c>
      <c r="F148" s="257" t="s">
        <v>14408</v>
      </c>
      <c r="G148" s="258">
        <v>32.43</v>
      </c>
      <c r="H148" s="152"/>
      <c r="I148" s="160">
        <f t="shared" ref="I148:I211" si="2">+I147+G148-H148</f>
        <v>33055.379999999997</v>
      </c>
    </row>
    <row r="149" spans="2:9" x14ac:dyDescent="0.25">
      <c r="B149" s="148"/>
      <c r="C149" s="148" t="s">
        <v>19724</v>
      </c>
      <c r="D149" s="150">
        <v>43956</v>
      </c>
      <c r="E149" s="113" t="s">
        <v>19723</v>
      </c>
      <c r="F149" s="257" t="s">
        <v>14408</v>
      </c>
      <c r="G149" s="258">
        <v>9.2200000000000006</v>
      </c>
      <c r="H149" s="152"/>
      <c r="I149" s="160">
        <f t="shared" si="2"/>
        <v>33064.6</v>
      </c>
    </row>
    <row r="150" spans="2:9" x14ac:dyDescent="0.25">
      <c r="B150" s="148"/>
      <c r="C150" s="148" t="s">
        <v>19722</v>
      </c>
      <c r="D150" s="150">
        <v>43956</v>
      </c>
      <c r="E150" s="113" t="s">
        <v>19721</v>
      </c>
      <c r="F150" s="257" t="s">
        <v>14408</v>
      </c>
      <c r="G150" s="258">
        <v>9.23</v>
      </c>
      <c r="H150" s="152"/>
      <c r="I150" s="160">
        <f t="shared" si="2"/>
        <v>33073.83</v>
      </c>
    </row>
    <row r="151" spans="2:9" x14ac:dyDescent="0.25">
      <c r="B151" s="148"/>
      <c r="C151" s="148" t="s">
        <v>19720</v>
      </c>
      <c r="D151" s="150">
        <v>43956</v>
      </c>
      <c r="E151" s="113" t="s">
        <v>19719</v>
      </c>
      <c r="F151" s="257" t="s">
        <v>14408</v>
      </c>
      <c r="G151" s="258">
        <v>24.45</v>
      </c>
      <c r="H151" s="152"/>
      <c r="I151" s="160">
        <f t="shared" si="2"/>
        <v>33098.28</v>
      </c>
    </row>
    <row r="152" spans="2:9" x14ac:dyDescent="0.25">
      <c r="B152" s="148"/>
      <c r="C152" s="148" t="s">
        <v>19718</v>
      </c>
      <c r="D152" s="150">
        <v>43956</v>
      </c>
      <c r="E152" s="113" t="s">
        <v>19717</v>
      </c>
      <c r="F152" s="256">
        <v>2</v>
      </c>
      <c r="G152" s="255">
        <v>8.3800000000000008</v>
      </c>
      <c r="H152" s="152"/>
      <c r="I152" s="160">
        <f t="shared" si="2"/>
        <v>33106.659999999996</v>
      </c>
    </row>
    <row r="153" spans="2:9" x14ac:dyDescent="0.25">
      <c r="B153" s="148"/>
      <c r="C153" s="148" t="s">
        <v>19716</v>
      </c>
      <c r="D153" s="150">
        <v>43956</v>
      </c>
      <c r="E153" s="113" t="s">
        <v>19715</v>
      </c>
      <c r="F153" s="256">
        <v>2</v>
      </c>
      <c r="G153" s="255">
        <v>16.760000000000002</v>
      </c>
      <c r="H153" s="152"/>
      <c r="I153" s="160">
        <f t="shared" si="2"/>
        <v>33123.42</v>
      </c>
    </row>
    <row r="154" spans="2:9" x14ac:dyDescent="0.25">
      <c r="B154" s="148"/>
      <c r="C154" s="148" t="s">
        <v>19714</v>
      </c>
      <c r="D154" s="150">
        <v>43956</v>
      </c>
      <c r="E154" s="113" t="s">
        <v>19713</v>
      </c>
      <c r="F154" s="256">
        <v>2</v>
      </c>
      <c r="G154" s="255">
        <v>7.11</v>
      </c>
      <c r="H154" s="152"/>
      <c r="I154" s="160">
        <f t="shared" si="2"/>
        <v>33130.53</v>
      </c>
    </row>
    <row r="155" spans="2:9" x14ac:dyDescent="0.25">
      <c r="B155" s="148"/>
      <c r="C155" s="148" t="s">
        <v>19712</v>
      </c>
      <c r="D155" s="150">
        <v>43956</v>
      </c>
      <c r="E155" s="113" t="s">
        <v>19711</v>
      </c>
      <c r="F155" s="256">
        <v>2</v>
      </c>
      <c r="G155" s="255">
        <v>3.36</v>
      </c>
      <c r="H155" s="152"/>
      <c r="I155" s="160">
        <f t="shared" si="2"/>
        <v>33133.89</v>
      </c>
    </row>
    <row r="156" spans="2:9" x14ac:dyDescent="0.25">
      <c r="B156" s="148"/>
      <c r="C156" s="148" t="s">
        <v>19710</v>
      </c>
      <c r="D156" s="150">
        <v>43956</v>
      </c>
      <c r="E156" s="113" t="s">
        <v>19709</v>
      </c>
      <c r="F156" s="256">
        <v>2</v>
      </c>
      <c r="G156" s="255">
        <v>20.82</v>
      </c>
      <c r="H156" s="152"/>
      <c r="I156" s="160">
        <f t="shared" si="2"/>
        <v>33154.71</v>
      </c>
    </row>
    <row r="157" spans="2:9" x14ac:dyDescent="0.25">
      <c r="B157" s="148"/>
      <c r="C157" s="148" t="s">
        <v>19708</v>
      </c>
      <c r="D157" s="150">
        <v>43956</v>
      </c>
      <c r="E157" s="113" t="s">
        <v>19707</v>
      </c>
      <c r="F157" s="256">
        <v>2</v>
      </c>
      <c r="G157" s="255">
        <v>1.68</v>
      </c>
      <c r="H157" s="152"/>
      <c r="I157" s="160">
        <f t="shared" si="2"/>
        <v>33156.39</v>
      </c>
    </row>
    <row r="158" spans="2:9" x14ac:dyDescent="0.25">
      <c r="B158" s="148"/>
      <c r="C158" s="148" t="s">
        <v>19706</v>
      </c>
      <c r="D158" s="150">
        <v>43956</v>
      </c>
      <c r="E158" s="113" t="s">
        <v>19705</v>
      </c>
      <c r="F158" s="256">
        <v>2</v>
      </c>
      <c r="G158" s="255">
        <v>5.12</v>
      </c>
      <c r="H158" s="152"/>
      <c r="I158" s="160">
        <f t="shared" si="2"/>
        <v>33161.51</v>
      </c>
    </row>
    <row r="159" spans="2:9" ht="19.5" x14ac:dyDescent="0.25">
      <c r="B159" s="148"/>
      <c r="C159" s="148" t="s">
        <v>19704</v>
      </c>
      <c r="D159" s="150">
        <v>43956</v>
      </c>
      <c r="E159" s="113" t="s">
        <v>19703</v>
      </c>
      <c r="F159" s="256">
        <v>2</v>
      </c>
      <c r="G159" s="255">
        <v>5.92</v>
      </c>
      <c r="H159" s="152"/>
      <c r="I159" s="160">
        <f t="shared" si="2"/>
        <v>33167.43</v>
      </c>
    </row>
    <row r="160" spans="2:9" x14ac:dyDescent="0.25">
      <c r="B160" s="148"/>
      <c r="C160" s="148" t="s">
        <v>19702</v>
      </c>
      <c r="D160" s="150">
        <v>43956</v>
      </c>
      <c r="E160" s="113" t="s">
        <v>19701</v>
      </c>
      <c r="F160" s="256">
        <v>2</v>
      </c>
      <c r="G160" s="255">
        <v>5.17</v>
      </c>
      <c r="H160" s="152"/>
      <c r="I160" s="160">
        <f t="shared" si="2"/>
        <v>33172.6</v>
      </c>
    </row>
    <row r="161" spans="2:9" x14ac:dyDescent="0.25">
      <c r="B161" s="148"/>
      <c r="C161" s="148" t="s">
        <v>19700</v>
      </c>
      <c r="D161" s="150">
        <v>43956</v>
      </c>
      <c r="E161" s="113" t="s">
        <v>19699</v>
      </c>
      <c r="F161" s="256">
        <v>2</v>
      </c>
      <c r="G161" s="255">
        <v>32.54</v>
      </c>
      <c r="H161" s="152"/>
      <c r="I161" s="160">
        <f t="shared" si="2"/>
        <v>33205.14</v>
      </c>
    </row>
    <row r="162" spans="2:9" x14ac:dyDescent="0.25">
      <c r="B162" s="148"/>
      <c r="C162" s="148" t="s">
        <v>19698</v>
      </c>
      <c r="D162" s="150">
        <v>43957</v>
      </c>
      <c r="E162" s="113" t="s">
        <v>19697</v>
      </c>
      <c r="F162" s="256" t="s">
        <v>14436</v>
      </c>
      <c r="G162" s="160">
        <v>4.42</v>
      </c>
      <c r="H162" s="152"/>
      <c r="I162" s="160">
        <f t="shared" si="2"/>
        <v>33209.56</v>
      </c>
    </row>
    <row r="163" spans="2:9" x14ac:dyDescent="0.25">
      <c r="B163" s="148"/>
      <c r="C163" s="148" t="s">
        <v>19696</v>
      </c>
      <c r="D163" s="150">
        <v>43957</v>
      </c>
      <c r="E163" s="113" t="s">
        <v>19695</v>
      </c>
      <c r="F163" s="257" t="s">
        <v>14436</v>
      </c>
      <c r="G163" s="160">
        <v>9.92</v>
      </c>
      <c r="H163" s="152"/>
      <c r="I163" s="160">
        <f t="shared" si="2"/>
        <v>33219.479999999996</v>
      </c>
    </row>
    <row r="164" spans="2:9" x14ac:dyDescent="0.25">
      <c r="B164" s="148"/>
      <c r="C164" s="148" t="s">
        <v>19694</v>
      </c>
      <c r="D164" s="150">
        <v>43957</v>
      </c>
      <c r="E164" s="113" t="s">
        <v>19693</v>
      </c>
      <c r="F164" s="257" t="s">
        <v>14408</v>
      </c>
      <c r="G164" s="258">
        <v>15.64</v>
      </c>
      <c r="H164" s="152"/>
      <c r="I164" s="160">
        <f t="shared" si="2"/>
        <v>33235.119999999995</v>
      </c>
    </row>
    <row r="165" spans="2:9" x14ac:dyDescent="0.25">
      <c r="B165" s="148"/>
      <c r="C165" s="148" t="s">
        <v>19692</v>
      </c>
      <c r="D165" s="150">
        <v>43957</v>
      </c>
      <c r="E165" s="113" t="s">
        <v>19691</v>
      </c>
      <c r="F165" s="257" t="s">
        <v>14408</v>
      </c>
      <c r="G165" s="258">
        <v>3.71</v>
      </c>
      <c r="H165" s="152"/>
      <c r="I165" s="160">
        <f t="shared" si="2"/>
        <v>33238.829999999994</v>
      </c>
    </row>
    <row r="166" spans="2:9" x14ac:dyDescent="0.25">
      <c r="B166" s="148"/>
      <c r="C166" s="148" t="s">
        <v>19690</v>
      </c>
      <c r="D166" s="150">
        <v>43957</v>
      </c>
      <c r="E166" s="113" t="s">
        <v>19689</v>
      </c>
      <c r="F166" s="257" t="s">
        <v>14408</v>
      </c>
      <c r="G166" s="258">
        <v>3.61</v>
      </c>
      <c r="H166" s="152"/>
      <c r="I166" s="160">
        <f t="shared" si="2"/>
        <v>33242.439999999995</v>
      </c>
    </row>
    <row r="167" spans="2:9" x14ac:dyDescent="0.25">
      <c r="B167" s="148"/>
      <c r="C167" s="148" t="s">
        <v>19688</v>
      </c>
      <c r="D167" s="150">
        <v>43957</v>
      </c>
      <c r="E167" s="113" t="s">
        <v>19687</v>
      </c>
      <c r="F167" s="257" t="s">
        <v>14408</v>
      </c>
      <c r="G167" s="258">
        <v>12.42</v>
      </c>
      <c r="H167" s="152"/>
      <c r="I167" s="160">
        <f t="shared" si="2"/>
        <v>33254.859999999993</v>
      </c>
    </row>
    <row r="168" spans="2:9" x14ac:dyDescent="0.25">
      <c r="B168" s="148"/>
      <c r="C168" s="148" t="s">
        <v>19686</v>
      </c>
      <c r="D168" s="150">
        <v>43957</v>
      </c>
      <c r="E168" s="113" t="s">
        <v>19685</v>
      </c>
      <c r="F168" s="257" t="s">
        <v>14408</v>
      </c>
      <c r="G168" s="258">
        <v>34.880000000000003</v>
      </c>
      <c r="H168" s="152"/>
      <c r="I168" s="160">
        <f t="shared" si="2"/>
        <v>33289.739999999991</v>
      </c>
    </row>
    <row r="169" spans="2:9" x14ac:dyDescent="0.25">
      <c r="B169" s="148"/>
      <c r="C169" s="148" t="s">
        <v>19684</v>
      </c>
      <c r="D169" s="150">
        <v>43957</v>
      </c>
      <c r="E169" s="113" t="s">
        <v>19683</v>
      </c>
      <c r="F169" s="257" t="s">
        <v>14408</v>
      </c>
      <c r="G169" s="258">
        <v>37.479999999999997</v>
      </c>
      <c r="H169" s="152"/>
      <c r="I169" s="160">
        <f t="shared" si="2"/>
        <v>33327.219999999994</v>
      </c>
    </row>
    <row r="170" spans="2:9" x14ac:dyDescent="0.25">
      <c r="B170" s="148"/>
      <c r="C170" s="148" t="s">
        <v>19682</v>
      </c>
      <c r="D170" s="150">
        <v>43957</v>
      </c>
      <c r="E170" s="113" t="s">
        <v>19681</v>
      </c>
      <c r="F170" s="257" t="s">
        <v>14408</v>
      </c>
      <c r="G170" s="258">
        <v>5.9</v>
      </c>
      <c r="H170" s="152"/>
      <c r="I170" s="160">
        <f t="shared" si="2"/>
        <v>33333.119999999995</v>
      </c>
    </row>
    <row r="171" spans="2:9" x14ac:dyDescent="0.25">
      <c r="B171" s="148"/>
      <c r="C171" s="148" t="s">
        <v>19680</v>
      </c>
      <c r="D171" s="150">
        <v>43957</v>
      </c>
      <c r="E171" s="113" t="s">
        <v>19679</v>
      </c>
      <c r="F171" s="257" t="s">
        <v>14408</v>
      </c>
      <c r="G171" s="258">
        <v>6.59</v>
      </c>
      <c r="H171" s="152"/>
      <c r="I171" s="160">
        <f t="shared" si="2"/>
        <v>33339.709999999992</v>
      </c>
    </row>
    <row r="172" spans="2:9" x14ac:dyDescent="0.25">
      <c r="B172" s="148"/>
      <c r="C172" s="148" t="s">
        <v>19678</v>
      </c>
      <c r="D172" s="150">
        <v>43957</v>
      </c>
      <c r="E172" s="113" t="s">
        <v>19677</v>
      </c>
      <c r="F172" s="257" t="s">
        <v>14408</v>
      </c>
      <c r="G172" s="258">
        <v>5.08</v>
      </c>
      <c r="H172" s="152"/>
      <c r="I172" s="160">
        <f t="shared" si="2"/>
        <v>33344.789999999994</v>
      </c>
    </row>
    <row r="173" spans="2:9" x14ac:dyDescent="0.25">
      <c r="B173" s="148"/>
      <c r="C173" s="148" t="s">
        <v>19676</v>
      </c>
      <c r="D173" s="150">
        <v>43957</v>
      </c>
      <c r="E173" s="113" t="s">
        <v>19675</v>
      </c>
      <c r="F173" s="257" t="s">
        <v>14408</v>
      </c>
      <c r="G173" s="258">
        <v>9.84</v>
      </c>
      <c r="H173" s="152"/>
      <c r="I173" s="160">
        <f t="shared" si="2"/>
        <v>33354.62999999999</v>
      </c>
    </row>
    <row r="174" spans="2:9" x14ac:dyDescent="0.25">
      <c r="B174" s="148"/>
      <c r="C174" s="148" t="s">
        <v>19674</v>
      </c>
      <c r="D174" s="150">
        <v>43957</v>
      </c>
      <c r="E174" s="113" t="s">
        <v>19673</v>
      </c>
      <c r="F174" s="257" t="s">
        <v>14408</v>
      </c>
      <c r="G174" s="258">
        <v>5.69</v>
      </c>
      <c r="H174" s="152"/>
      <c r="I174" s="160">
        <f t="shared" si="2"/>
        <v>33360.319999999992</v>
      </c>
    </row>
    <row r="175" spans="2:9" x14ac:dyDescent="0.25">
      <c r="B175" s="148"/>
      <c r="C175" s="148" t="s">
        <v>19672</v>
      </c>
      <c r="D175" s="150">
        <v>43957</v>
      </c>
      <c r="E175" s="113" t="s">
        <v>19671</v>
      </c>
      <c r="F175" s="257" t="s">
        <v>14408</v>
      </c>
      <c r="G175" s="258">
        <v>4.8899999999999997</v>
      </c>
      <c r="H175" s="152"/>
      <c r="I175" s="160">
        <f t="shared" si="2"/>
        <v>33365.209999999992</v>
      </c>
    </row>
    <row r="176" spans="2:9" x14ac:dyDescent="0.25">
      <c r="B176" s="148"/>
      <c r="C176" s="148" t="s">
        <v>19670</v>
      </c>
      <c r="D176" s="150">
        <v>43957</v>
      </c>
      <c r="E176" s="113" t="s">
        <v>19669</v>
      </c>
      <c r="F176" s="257" t="s">
        <v>14408</v>
      </c>
      <c r="G176" s="258">
        <v>4.92</v>
      </c>
      <c r="H176" s="152"/>
      <c r="I176" s="160">
        <f t="shared" si="2"/>
        <v>33370.12999999999</v>
      </c>
    </row>
    <row r="177" spans="2:9" x14ac:dyDescent="0.25">
      <c r="B177" s="148"/>
      <c r="C177" s="148" t="s">
        <v>19668</v>
      </c>
      <c r="D177" s="150">
        <v>43957</v>
      </c>
      <c r="E177" s="113" t="s">
        <v>19667</v>
      </c>
      <c r="F177" s="257" t="s">
        <v>14408</v>
      </c>
      <c r="G177" s="258">
        <v>16.760000000000002</v>
      </c>
      <c r="H177" s="152"/>
      <c r="I177" s="160">
        <f t="shared" si="2"/>
        <v>33386.889999999992</v>
      </c>
    </row>
    <row r="178" spans="2:9" x14ac:dyDescent="0.25">
      <c r="B178" s="148"/>
      <c r="C178" s="148" t="s">
        <v>19666</v>
      </c>
      <c r="D178" s="150">
        <v>43957</v>
      </c>
      <c r="E178" s="113" t="s">
        <v>19665</v>
      </c>
      <c r="F178" s="257" t="s">
        <v>14408</v>
      </c>
      <c r="G178" s="258">
        <v>33.9</v>
      </c>
      <c r="H178" s="152"/>
      <c r="I178" s="160">
        <f t="shared" si="2"/>
        <v>33420.789999999994</v>
      </c>
    </row>
    <row r="179" spans="2:9" x14ac:dyDescent="0.25">
      <c r="B179" s="148"/>
      <c r="C179" s="148" t="s">
        <v>19664</v>
      </c>
      <c r="D179" s="150">
        <v>43957</v>
      </c>
      <c r="E179" s="113" t="s">
        <v>19663</v>
      </c>
      <c r="F179" s="257" t="s">
        <v>14408</v>
      </c>
      <c r="G179" s="258">
        <v>10.87</v>
      </c>
      <c r="H179" s="152"/>
      <c r="I179" s="160">
        <f t="shared" si="2"/>
        <v>33431.659999999996</v>
      </c>
    </row>
    <row r="180" spans="2:9" x14ac:dyDescent="0.25">
      <c r="B180" s="148"/>
      <c r="C180" s="148" t="s">
        <v>19662</v>
      </c>
      <c r="D180" s="150">
        <v>43957</v>
      </c>
      <c r="E180" s="113" t="s">
        <v>19661</v>
      </c>
      <c r="F180" s="256">
        <v>3</v>
      </c>
      <c r="G180" s="255">
        <v>24.19</v>
      </c>
      <c r="H180" s="152"/>
      <c r="I180" s="160">
        <f t="shared" si="2"/>
        <v>33455.85</v>
      </c>
    </row>
    <row r="181" spans="2:9" x14ac:dyDescent="0.25">
      <c r="B181" s="148"/>
      <c r="C181" s="148" t="s">
        <v>19660</v>
      </c>
      <c r="D181" s="150">
        <v>43957</v>
      </c>
      <c r="E181" s="113" t="s">
        <v>19659</v>
      </c>
      <c r="F181" s="256">
        <v>3</v>
      </c>
      <c r="G181" s="255">
        <v>3.84</v>
      </c>
      <c r="H181" s="152"/>
      <c r="I181" s="160">
        <f t="shared" si="2"/>
        <v>33459.689999999995</v>
      </c>
    </row>
    <row r="182" spans="2:9" x14ac:dyDescent="0.25">
      <c r="B182" s="148"/>
      <c r="C182" s="148" t="s">
        <v>19658</v>
      </c>
      <c r="D182" s="150">
        <v>43957</v>
      </c>
      <c r="E182" s="113" t="s">
        <v>19657</v>
      </c>
      <c r="F182" s="256">
        <v>3</v>
      </c>
      <c r="G182" s="255">
        <v>7.24</v>
      </c>
      <c r="H182" s="152"/>
      <c r="I182" s="160">
        <f t="shared" si="2"/>
        <v>33466.929999999993</v>
      </c>
    </row>
    <row r="183" spans="2:9" x14ac:dyDescent="0.25">
      <c r="B183" s="148"/>
      <c r="C183" s="148" t="s">
        <v>19656</v>
      </c>
      <c r="D183" s="150">
        <v>43957</v>
      </c>
      <c r="E183" s="113" t="s">
        <v>19655</v>
      </c>
      <c r="F183" s="257" t="s">
        <v>14436</v>
      </c>
      <c r="G183" s="160">
        <v>24.08</v>
      </c>
      <c r="H183" s="152"/>
      <c r="I183" s="160">
        <f t="shared" si="2"/>
        <v>33491.009999999995</v>
      </c>
    </row>
    <row r="184" spans="2:9" ht="19.5" x14ac:dyDescent="0.25">
      <c r="B184" s="148"/>
      <c r="C184" s="148" t="s">
        <v>15972</v>
      </c>
      <c r="D184" s="150">
        <v>43957</v>
      </c>
      <c r="E184" s="113" t="s">
        <v>19654</v>
      </c>
      <c r="F184" s="257" t="s">
        <v>14439</v>
      </c>
      <c r="G184" s="160">
        <v>3.55</v>
      </c>
      <c r="H184" s="152"/>
      <c r="I184" s="160">
        <f t="shared" si="2"/>
        <v>33494.559999999998</v>
      </c>
    </row>
    <row r="185" spans="2:9" ht="29.25" x14ac:dyDescent="0.25">
      <c r="B185" s="148"/>
      <c r="C185" s="148" t="s">
        <v>1926</v>
      </c>
      <c r="D185" s="150">
        <v>43957</v>
      </c>
      <c r="E185" s="113" t="s">
        <v>19653</v>
      </c>
      <c r="F185" s="257" t="s">
        <v>14439</v>
      </c>
      <c r="G185" s="160">
        <v>239.66</v>
      </c>
      <c r="H185" s="152"/>
      <c r="I185" s="160">
        <f t="shared" si="2"/>
        <v>33734.22</v>
      </c>
    </row>
    <row r="186" spans="2:9" ht="39" x14ac:dyDescent="0.25">
      <c r="B186" s="148"/>
      <c r="C186" s="148" t="s">
        <v>1924</v>
      </c>
      <c r="D186" s="150">
        <v>43957</v>
      </c>
      <c r="E186" s="113" t="s">
        <v>19652</v>
      </c>
      <c r="F186" s="257" t="s">
        <v>14439</v>
      </c>
      <c r="G186" s="160">
        <v>58.9</v>
      </c>
      <c r="H186" s="152"/>
      <c r="I186" s="160">
        <f t="shared" si="2"/>
        <v>33793.120000000003</v>
      </c>
    </row>
    <row r="187" spans="2:9" x14ac:dyDescent="0.25">
      <c r="B187" s="148"/>
      <c r="C187" s="148" t="s">
        <v>19651</v>
      </c>
      <c r="D187" s="150">
        <v>43958</v>
      </c>
      <c r="E187" s="113" t="s">
        <v>19650</v>
      </c>
      <c r="F187" s="257" t="s">
        <v>14408</v>
      </c>
      <c r="G187" s="258">
        <v>7.47</v>
      </c>
      <c r="H187" s="152"/>
      <c r="I187" s="160">
        <f t="shared" si="2"/>
        <v>33800.590000000004</v>
      </c>
    </row>
    <row r="188" spans="2:9" x14ac:dyDescent="0.25">
      <c r="B188" s="148"/>
      <c r="C188" s="148" t="s">
        <v>19649</v>
      </c>
      <c r="D188" s="150">
        <v>43958</v>
      </c>
      <c r="E188" s="113" t="s">
        <v>19648</v>
      </c>
      <c r="F188" s="257" t="s">
        <v>14408</v>
      </c>
      <c r="G188" s="258">
        <v>3.39</v>
      </c>
      <c r="H188" s="152"/>
      <c r="I188" s="160">
        <f t="shared" si="2"/>
        <v>33803.980000000003</v>
      </c>
    </row>
    <row r="189" spans="2:9" x14ac:dyDescent="0.25">
      <c r="B189" s="148"/>
      <c r="C189" s="148" t="s">
        <v>19647</v>
      </c>
      <c r="D189" s="150">
        <v>43958</v>
      </c>
      <c r="E189" s="113" t="s">
        <v>19646</v>
      </c>
      <c r="F189" s="257" t="s">
        <v>14408</v>
      </c>
      <c r="G189" s="258">
        <v>2.2400000000000002</v>
      </c>
      <c r="H189" s="152"/>
      <c r="I189" s="160">
        <f t="shared" si="2"/>
        <v>33806.22</v>
      </c>
    </row>
    <row r="190" spans="2:9" x14ac:dyDescent="0.25">
      <c r="B190" s="148"/>
      <c r="C190" s="148" t="s">
        <v>19645</v>
      </c>
      <c r="D190" s="150">
        <v>43958</v>
      </c>
      <c r="E190" s="113" t="s">
        <v>19644</v>
      </c>
      <c r="F190" s="257" t="s">
        <v>14408</v>
      </c>
      <c r="G190" s="258">
        <v>32.81</v>
      </c>
      <c r="H190" s="152"/>
      <c r="I190" s="160">
        <f t="shared" si="2"/>
        <v>33839.03</v>
      </c>
    </row>
    <row r="191" spans="2:9" x14ac:dyDescent="0.25">
      <c r="B191" s="148"/>
      <c r="C191" s="148" t="s">
        <v>19643</v>
      </c>
      <c r="D191" s="150">
        <v>43958</v>
      </c>
      <c r="E191" s="113" t="s">
        <v>19642</v>
      </c>
      <c r="F191" s="256">
        <v>4</v>
      </c>
      <c r="G191" s="255">
        <v>3.36</v>
      </c>
      <c r="H191" s="152"/>
      <c r="I191" s="160">
        <f t="shared" si="2"/>
        <v>33842.39</v>
      </c>
    </row>
    <row r="192" spans="2:9" ht="19.5" x14ac:dyDescent="0.25">
      <c r="B192" s="148"/>
      <c r="C192" s="148" t="s">
        <v>19641</v>
      </c>
      <c r="D192" s="150">
        <v>43958</v>
      </c>
      <c r="E192" s="113" t="s">
        <v>19640</v>
      </c>
      <c r="F192" s="256">
        <v>4</v>
      </c>
      <c r="G192" s="255">
        <v>9.5</v>
      </c>
      <c r="H192" s="152"/>
      <c r="I192" s="160">
        <f t="shared" si="2"/>
        <v>33851.89</v>
      </c>
    </row>
    <row r="193" spans="2:9" x14ac:dyDescent="0.25">
      <c r="B193" s="148"/>
      <c r="C193" s="148" t="s">
        <v>19639</v>
      </c>
      <c r="D193" s="150">
        <v>43958</v>
      </c>
      <c r="E193" s="113" t="s">
        <v>19638</v>
      </c>
      <c r="F193" s="256">
        <v>4</v>
      </c>
      <c r="G193" s="255">
        <v>11.62</v>
      </c>
      <c r="H193" s="152"/>
      <c r="I193" s="160">
        <f t="shared" si="2"/>
        <v>33863.51</v>
      </c>
    </row>
    <row r="194" spans="2:9" x14ac:dyDescent="0.25">
      <c r="B194" s="148"/>
      <c r="C194" s="148" t="s">
        <v>19637</v>
      </c>
      <c r="D194" s="150">
        <v>43958</v>
      </c>
      <c r="E194" s="113" t="s">
        <v>19636</v>
      </c>
      <c r="F194" s="256">
        <v>4</v>
      </c>
      <c r="G194" s="255">
        <v>4.09</v>
      </c>
      <c r="H194" s="152"/>
      <c r="I194" s="160">
        <f t="shared" si="2"/>
        <v>33867.599999999999</v>
      </c>
    </row>
    <row r="195" spans="2:9" x14ac:dyDescent="0.25">
      <c r="B195" s="148"/>
      <c r="C195" s="148" t="s">
        <v>19635</v>
      </c>
      <c r="D195" s="150">
        <v>43958</v>
      </c>
      <c r="E195" s="113" t="s">
        <v>19634</v>
      </c>
      <c r="F195" s="256">
        <v>4</v>
      </c>
      <c r="G195" s="255">
        <v>15.3</v>
      </c>
      <c r="H195" s="152"/>
      <c r="I195" s="160">
        <f t="shared" si="2"/>
        <v>33882.9</v>
      </c>
    </row>
    <row r="196" spans="2:9" x14ac:dyDescent="0.25">
      <c r="B196" s="148"/>
      <c r="C196" s="148" t="s">
        <v>19633</v>
      </c>
      <c r="D196" s="150">
        <v>43958</v>
      </c>
      <c r="E196" s="113" t="s">
        <v>19632</v>
      </c>
      <c r="F196" s="257" t="s">
        <v>14408</v>
      </c>
      <c r="G196" s="258">
        <v>5.72</v>
      </c>
      <c r="H196" s="152"/>
      <c r="I196" s="160">
        <f t="shared" si="2"/>
        <v>33888.620000000003</v>
      </c>
    </row>
    <row r="197" spans="2:9" ht="19.5" x14ac:dyDescent="0.25">
      <c r="B197" s="148"/>
      <c r="C197" s="148" t="s">
        <v>19631</v>
      </c>
      <c r="D197" s="150">
        <v>43958</v>
      </c>
      <c r="E197" s="113" t="s">
        <v>19630</v>
      </c>
      <c r="F197" s="257" t="s">
        <v>14408</v>
      </c>
      <c r="G197" s="258">
        <v>11.88</v>
      </c>
      <c r="H197" s="152"/>
      <c r="I197" s="160">
        <f t="shared" si="2"/>
        <v>33900.5</v>
      </c>
    </row>
    <row r="198" spans="2:9" x14ac:dyDescent="0.25">
      <c r="B198" s="148"/>
      <c r="C198" s="148" t="s">
        <v>19629</v>
      </c>
      <c r="D198" s="150">
        <v>43958</v>
      </c>
      <c r="E198" s="113" t="s">
        <v>19628</v>
      </c>
      <c r="F198" s="257" t="s">
        <v>14408</v>
      </c>
      <c r="G198" s="258">
        <v>20.99</v>
      </c>
      <c r="H198" s="152"/>
      <c r="I198" s="160">
        <f t="shared" si="2"/>
        <v>33921.49</v>
      </c>
    </row>
    <row r="199" spans="2:9" x14ac:dyDescent="0.25">
      <c r="B199" s="148"/>
      <c r="C199" s="148" t="s">
        <v>19627</v>
      </c>
      <c r="D199" s="150">
        <v>43958</v>
      </c>
      <c r="E199" s="113" t="s">
        <v>19626</v>
      </c>
      <c r="F199" s="257" t="s">
        <v>14408</v>
      </c>
      <c r="G199" s="258">
        <v>5.08</v>
      </c>
      <c r="H199" s="152"/>
      <c r="I199" s="160">
        <f t="shared" si="2"/>
        <v>33926.57</v>
      </c>
    </row>
    <row r="200" spans="2:9" x14ac:dyDescent="0.25">
      <c r="B200" s="148"/>
      <c r="C200" s="148" t="s">
        <v>19625</v>
      </c>
      <c r="D200" s="150">
        <v>43958</v>
      </c>
      <c r="E200" s="113" t="s">
        <v>19624</v>
      </c>
      <c r="F200" s="257" t="s">
        <v>14408</v>
      </c>
      <c r="G200" s="258">
        <v>8.8800000000000008</v>
      </c>
      <c r="H200" s="152"/>
      <c r="I200" s="160">
        <f t="shared" si="2"/>
        <v>33935.449999999997</v>
      </c>
    </row>
    <row r="201" spans="2:9" x14ac:dyDescent="0.25">
      <c r="B201" s="148"/>
      <c r="C201" s="148" t="s">
        <v>19623</v>
      </c>
      <c r="D201" s="150">
        <v>43958</v>
      </c>
      <c r="E201" s="113" t="s">
        <v>19622</v>
      </c>
      <c r="F201" s="257" t="s">
        <v>14408</v>
      </c>
      <c r="G201" s="258">
        <v>8.5299999999999994</v>
      </c>
      <c r="H201" s="152"/>
      <c r="I201" s="160">
        <f t="shared" si="2"/>
        <v>33943.979999999996</v>
      </c>
    </row>
    <row r="202" spans="2:9" x14ac:dyDescent="0.25">
      <c r="B202" s="148"/>
      <c r="C202" s="148" t="s">
        <v>19621</v>
      </c>
      <c r="D202" s="150">
        <v>43958</v>
      </c>
      <c r="E202" s="113" t="s">
        <v>19620</v>
      </c>
      <c r="F202" s="257" t="s">
        <v>14408</v>
      </c>
      <c r="G202" s="258">
        <v>8.4499999999999993</v>
      </c>
      <c r="H202" s="152"/>
      <c r="I202" s="160">
        <f t="shared" si="2"/>
        <v>33952.429999999993</v>
      </c>
    </row>
    <row r="203" spans="2:9" x14ac:dyDescent="0.25">
      <c r="B203" s="148"/>
      <c r="C203" s="148" t="s">
        <v>19619</v>
      </c>
      <c r="D203" s="150">
        <v>43958</v>
      </c>
      <c r="E203" s="113" t="s">
        <v>19618</v>
      </c>
      <c r="F203" s="257" t="s">
        <v>14408</v>
      </c>
      <c r="G203" s="258">
        <v>3.64</v>
      </c>
      <c r="H203" s="152"/>
      <c r="I203" s="160">
        <f t="shared" si="2"/>
        <v>33956.069999999992</v>
      </c>
    </row>
    <row r="204" spans="2:9" x14ac:dyDescent="0.25">
      <c r="B204" s="148"/>
      <c r="C204" s="148" t="s">
        <v>19617</v>
      </c>
      <c r="D204" s="150">
        <v>43958</v>
      </c>
      <c r="E204" s="113" t="s">
        <v>19616</v>
      </c>
      <c r="F204" s="257" t="s">
        <v>14408</v>
      </c>
      <c r="G204" s="258">
        <v>6.72</v>
      </c>
      <c r="H204" s="152"/>
      <c r="I204" s="160">
        <f t="shared" si="2"/>
        <v>33962.789999999994</v>
      </c>
    </row>
    <row r="205" spans="2:9" x14ac:dyDescent="0.25">
      <c r="B205" s="148"/>
      <c r="C205" s="148" t="s">
        <v>19615</v>
      </c>
      <c r="D205" s="150">
        <v>43958</v>
      </c>
      <c r="E205" s="113" t="s">
        <v>19614</v>
      </c>
      <c r="F205" s="257" t="s">
        <v>14408</v>
      </c>
      <c r="G205" s="258">
        <v>3.49</v>
      </c>
      <c r="H205" s="152"/>
      <c r="I205" s="160">
        <f t="shared" si="2"/>
        <v>33966.279999999992</v>
      </c>
    </row>
    <row r="206" spans="2:9" x14ac:dyDescent="0.25">
      <c r="B206" s="148"/>
      <c r="C206" s="148" t="s">
        <v>19613</v>
      </c>
      <c r="D206" s="150">
        <v>43959</v>
      </c>
      <c r="E206" s="113" t="s">
        <v>19612</v>
      </c>
      <c r="F206" s="257" t="s">
        <v>14409</v>
      </c>
      <c r="G206" s="258">
        <v>9.27</v>
      </c>
      <c r="H206" s="152"/>
      <c r="I206" s="160">
        <f t="shared" si="2"/>
        <v>33975.549999999988</v>
      </c>
    </row>
    <row r="207" spans="2:9" x14ac:dyDescent="0.25">
      <c r="B207" s="148"/>
      <c r="C207" s="148" t="s">
        <v>19611</v>
      </c>
      <c r="D207" s="150">
        <v>43959</v>
      </c>
      <c r="E207" s="113" t="s">
        <v>19610</v>
      </c>
      <c r="F207" s="257" t="s">
        <v>14409</v>
      </c>
      <c r="G207" s="258">
        <v>2.95</v>
      </c>
      <c r="H207" s="152"/>
      <c r="I207" s="160">
        <f t="shared" si="2"/>
        <v>33978.499999999985</v>
      </c>
    </row>
    <row r="208" spans="2:9" x14ac:dyDescent="0.25">
      <c r="B208" s="148"/>
      <c r="C208" s="148" t="s">
        <v>19609</v>
      </c>
      <c r="D208" s="150">
        <v>43959</v>
      </c>
      <c r="E208" s="113" t="s">
        <v>19608</v>
      </c>
      <c r="F208" s="257" t="s">
        <v>14409</v>
      </c>
      <c r="G208" s="258">
        <v>3.5</v>
      </c>
      <c r="H208" s="152"/>
      <c r="I208" s="160">
        <f t="shared" si="2"/>
        <v>33981.999999999985</v>
      </c>
    </row>
    <row r="209" spans="2:9" x14ac:dyDescent="0.25">
      <c r="B209" s="148"/>
      <c r="C209" s="148" t="s">
        <v>19607</v>
      </c>
      <c r="D209" s="150">
        <v>43959</v>
      </c>
      <c r="E209" s="113" t="s">
        <v>19606</v>
      </c>
      <c r="F209" s="257" t="s">
        <v>14409</v>
      </c>
      <c r="G209" s="258">
        <v>5.1100000000000003</v>
      </c>
      <c r="H209" s="152"/>
      <c r="I209" s="160">
        <f t="shared" si="2"/>
        <v>33987.109999999986</v>
      </c>
    </row>
    <row r="210" spans="2:9" x14ac:dyDescent="0.25">
      <c r="B210" s="148"/>
      <c r="C210" s="148" t="s">
        <v>19605</v>
      </c>
      <c r="D210" s="150">
        <v>43959</v>
      </c>
      <c r="E210" s="113" t="s">
        <v>19604</v>
      </c>
      <c r="F210" s="257" t="s">
        <v>14409</v>
      </c>
      <c r="G210" s="258">
        <v>5.17</v>
      </c>
      <c r="H210" s="152"/>
      <c r="I210" s="160">
        <f t="shared" si="2"/>
        <v>33992.279999999984</v>
      </c>
    </row>
    <row r="211" spans="2:9" ht="19.5" x14ac:dyDescent="0.25">
      <c r="B211" s="148"/>
      <c r="C211" s="148" t="s">
        <v>19603</v>
      </c>
      <c r="D211" s="150">
        <v>43959</v>
      </c>
      <c r="E211" s="113" t="s">
        <v>19602</v>
      </c>
      <c r="F211" s="257" t="s">
        <v>14409</v>
      </c>
      <c r="G211" s="258">
        <v>6.72</v>
      </c>
      <c r="H211" s="152"/>
      <c r="I211" s="160">
        <f t="shared" si="2"/>
        <v>33998.999999999985</v>
      </c>
    </row>
    <row r="212" spans="2:9" x14ac:dyDescent="0.25">
      <c r="B212" s="148"/>
      <c r="C212" s="148" t="s">
        <v>19601</v>
      </c>
      <c r="D212" s="150">
        <v>43959</v>
      </c>
      <c r="E212" s="113" t="s">
        <v>19600</v>
      </c>
      <c r="F212" s="257" t="s">
        <v>14409</v>
      </c>
      <c r="G212" s="258">
        <v>1.9</v>
      </c>
      <c r="H212" s="152"/>
      <c r="I212" s="160">
        <f t="shared" ref="I212:I275" si="3">+I211+G212-H212</f>
        <v>34000.899999999987</v>
      </c>
    </row>
    <row r="213" spans="2:9" x14ac:dyDescent="0.25">
      <c r="B213" s="148"/>
      <c r="C213" s="148" t="s">
        <v>19599</v>
      </c>
      <c r="D213" s="150">
        <v>43959</v>
      </c>
      <c r="E213" s="113" t="s">
        <v>19598</v>
      </c>
      <c r="F213" s="257" t="s">
        <v>14409</v>
      </c>
      <c r="G213" s="258">
        <v>9.43</v>
      </c>
      <c r="H213" s="152"/>
      <c r="I213" s="160">
        <f t="shared" si="3"/>
        <v>34010.329999999987</v>
      </c>
    </row>
    <row r="214" spans="2:9" x14ac:dyDescent="0.25">
      <c r="B214" s="148"/>
      <c r="C214" s="148" t="s">
        <v>19597</v>
      </c>
      <c r="D214" s="150">
        <v>43959</v>
      </c>
      <c r="E214" s="113" t="s">
        <v>19596</v>
      </c>
      <c r="F214" s="257" t="s">
        <v>14409</v>
      </c>
      <c r="G214" s="258">
        <v>2.33</v>
      </c>
      <c r="H214" s="152"/>
      <c r="I214" s="160">
        <f t="shared" si="3"/>
        <v>34012.659999999989</v>
      </c>
    </row>
    <row r="215" spans="2:9" x14ac:dyDescent="0.25">
      <c r="B215" s="148"/>
      <c r="C215" s="148" t="s">
        <v>19595</v>
      </c>
      <c r="D215" s="150">
        <v>43959</v>
      </c>
      <c r="E215" s="113" t="s">
        <v>19594</v>
      </c>
      <c r="F215" s="257" t="s">
        <v>14409</v>
      </c>
      <c r="G215" s="258">
        <v>7.36</v>
      </c>
      <c r="H215" s="152"/>
      <c r="I215" s="160">
        <f t="shared" si="3"/>
        <v>34020.01999999999</v>
      </c>
    </row>
    <row r="216" spans="2:9" x14ac:dyDescent="0.25">
      <c r="B216" s="148"/>
      <c r="C216" s="148" t="s">
        <v>19593</v>
      </c>
      <c r="D216" s="150">
        <v>43959</v>
      </c>
      <c r="E216" s="113" t="s">
        <v>19592</v>
      </c>
      <c r="F216" s="256">
        <v>5</v>
      </c>
      <c r="G216" s="255">
        <v>16.7</v>
      </c>
      <c r="H216" s="152"/>
      <c r="I216" s="160">
        <f t="shared" si="3"/>
        <v>34036.719999999987</v>
      </c>
    </row>
    <row r="217" spans="2:9" x14ac:dyDescent="0.25">
      <c r="B217" s="148"/>
      <c r="C217" s="148" t="s">
        <v>19591</v>
      </c>
      <c r="D217" s="150">
        <v>43959</v>
      </c>
      <c r="E217" s="113" t="s">
        <v>19590</v>
      </c>
      <c r="F217" s="256">
        <v>5</v>
      </c>
      <c r="G217" s="255">
        <v>2.96</v>
      </c>
      <c r="H217" s="152"/>
      <c r="I217" s="160">
        <f t="shared" si="3"/>
        <v>34039.679999999986</v>
      </c>
    </row>
    <row r="218" spans="2:9" x14ac:dyDescent="0.25">
      <c r="B218" s="148"/>
      <c r="C218" s="148" t="s">
        <v>19589</v>
      </c>
      <c r="D218" s="150">
        <v>43959</v>
      </c>
      <c r="E218" s="113" t="s">
        <v>19588</v>
      </c>
      <c r="F218" s="256">
        <v>5</v>
      </c>
      <c r="G218" s="255">
        <v>30.85</v>
      </c>
      <c r="H218" s="152"/>
      <c r="I218" s="160">
        <f t="shared" si="3"/>
        <v>34070.529999999984</v>
      </c>
    </row>
    <row r="219" spans="2:9" x14ac:dyDescent="0.25">
      <c r="B219" s="148"/>
      <c r="C219" s="148" t="s">
        <v>19587</v>
      </c>
      <c r="D219" s="150">
        <v>43959</v>
      </c>
      <c r="E219" s="113" t="s">
        <v>19586</v>
      </c>
      <c r="F219" s="256">
        <v>5</v>
      </c>
      <c r="G219" s="255">
        <v>35.14</v>
      </c>
      <c r="H219" s="152"/>
      <c r="I219" s="160">
        <f t="shared" si="3"/>
        <v>34105.669999999984</v>
      </c>
    </row>
    <row r="220" spans="2:9" x14ac:dyDescent="0.25">
      <c r="B220" s="148"/>
      <c r="C220" s="148" t="s">
        <v>19585</v>
      </c>
      <c r="D220" s="150">
        <v>43959</v>
      </c>
      <c r="E220" s="113" t="s">
        <v>19584</v>
      </c>
      <c r="F220" s="256">
        <v>5</v>
      </c>
      <c r="G220" s="255">
        <v>14.81</v>
      </c>
      <c r="H220" s="152"/>
      <c r="I220" s="160">
        <f t="shared" si="3"/>
        <v>34120.479999999981</v>
      </c>
    </row>
    <row r="221" spans="2:9" x14ac:dyDescent="0.25">
      <c r="B221" s="148"/>
      <c r="C221" s="148" t="s">
        <v>19583</v>
      </c>
      <c r="D221" s="150">
        <v>43959</v>
      </c>
      <c r="E221" s="113" t="s">
        <v>19582</v>
      </c>
      <c r="F221" s="256" t="s">
        <v>18712</v>
      </c>
      <c r="G221" s="160">
        <v>3.17</v>
      </c>
      <c r="H221" s="152"/>
      <c r="I221" s="160">
        <f t="shared" si="3"/>
        <v>34123.64999999998</v>
      </c>
    </row>
    <row r="222" spans="2:9" ht="19.5" x14ac:dyDescent="0.25">
      <c r="B222" s="148"/>
      <c r="C222" s="148" t="s">
        <v>19581</v>
      </c>
      <c r="D222" s="150">
        <v>43960</v>
      </c>
      <c r="E222" s="113" t="s">
        <v>19580</v>
      </c>
      <c r="F222" s="257" t="s">
        <v>14409</v>
      </c>
      <c r="G222" s="258">
        <v>15.71</v>
      </c>
      <c r="H222" s="152"/>
      <c r="I222" s="160">
        <f t="shared" si="3"/>
        <v>34139.359999999979</v>
      </c>
    </row>
    <row r="223" spans="2:9" x14ac:dyDescent="0.25">
      <c r="B223" s="148"/>
      <c r="C223" s="148" t="s">
        <v>19579</v>
      </c>
      <c r="D223" s="150">
        <v>43960</v>
      </c>
      <c r="E223" s="113" t="s">
        <v>19578</v>
      </c>
      <c r="F223" s="257" t="s">
        <v>14409</v>
      </c>
      <c r="G223" s="258">
        <v>3.36</v>
      </c>
      <c r="H223" s="152"/>
      <c r="I223" s="160">
        <f t="shared" si="3"/>
        <v>34142.719999999979</v>
      </c>
    </row>
    <row r="224" spans="2:9" x14ac:dyDescent="0.25">
      <c r="B224" s="148"/>
      <c r="C224" s="148" t="s">
        <v>19577</v>
      </c>
      <c r="D224" s="150">
        <v>43960</v>
      </c>
      <c r="E224" s="113" t="s">
        <v>19576</v>
      </c>
      <c r="F224" s="257" t="s">
        <v>14409</v>
      </c>
      <c r="G224" s="258">
        <v>17.77</v>
      </c>
      <c r="H224" s="152"/>
      <c r="I224" s="160">
        <f t="shared" si="3"/>
        <v>34160.489999999976</v>
      </c>
    </row>
    <row r="225" spans="2:9" x14ac:dyDescent="0.25">
      <c r="B225" s="148"/>
      <c r="C225" s="148" t="s">
        <v>19575</v>
      </c>
      <c r="D225" s="150">
        <v>43961</v>
      </c>
      <c r="E225" s="113" t="s">
        <v>19574</v>
      </c>
      <c r="F225" s="257" t="s">
        <v>14409</v>
      </c>
      <c r="G225" s="258">
        <v>3.36</v>
      </c>
      <c r="H225" s="152"/>
      <c r="I225" s="160">
        <f t="shared" si="3"/>
        <v>34163.849999999977</v>
      </c>
    </row>
    <row r="226" spans="2:9" x14ac:dyDescent="0.25">
      <c r="B226" s="148"/>
      <c r="C226" s="148" t="s">
        <v>19573</v>
      </c>
      <c r="D226" s="150">
        <v>43961</v>
      </c>
      <c r="E226" s="113" t="s">
        <v>19572</v>
      </c>
      <c r="F226" s="257" t="s">
        <v>14409</v>
      </c>
      <c r="G226" s="258">
        <v>41.71</v>
      </c>
      <c r="H226" s="152"/>
      <c r="I226" s="160">
        <f t="shared" si="3"/>
        <v>34205.559999999976</v>
      </c>
    </row>
    <row r="227" spans="2:9" x14ac:dyDescent="0.25">
      <c r="B227" s="148"/>
      <c r="C227" s="148" t="s">
        <v>19571</v>
      </c>
      <c r="D227" s="150">
        <v>43962</v>
      </c>
      <c r="E227" s="113" t="s">
        <v>19570</v>
      </c>
      <c r="F227" s="257" t="s">
        <v>14436</v>
      </c>
      <c r="G227" s="160">
        <v>190.06</v>
      </c>
      <c r="H227" s="152"/>
      <c r="I227" s="160">
        <f t="shared" si="3"/>
        <v>34395.619999999974</v>
      </c>
    </row>
    <row r="228" spans="2:9" x14ac:dyDescent="0.25">
      <c r="B228" s="148"/>
      <c r="C228" s="148" t="s">
        <v>19569</v>
      </c>
      <c r="D228" s="150">
        <v>43962</v>
      </c>
      <c r="E228" s="113" t="s">
        <v>19568</v>
      </c>
      <c r="F228" s="257" t="s">
        <v>14436</v>
      </c>
      <c r="G228" s="160">
        <v>27.38</v>
      </c>
      <c r="H228" s="152"/>
      <c r="I228" s="160">
        <f t="shared" si="3"/>
        <v>34422.999999999971</v>
      </c>
    </row>
    <row r="229" spans="2:9" x14ac:dyDescent="0.25">
      <c r="B229" s="148"/>
      <c r="C229" s="148" t="s">
        <v>19567</v>
      </c>
      <c r="D229" s="150">
        <v>43962</v>
      </c>
      <c r="E229" s="113" t="s">
        <v>19566</v>
      </c>
      <c r="F229" s="257" t="s">
        <v>14409</v>
      </c>
      <c r="G229" s="258">
        <v>10.29</v>
      </c>
      <c r="H229" s="152"/>
      <c r="I229" s="160">
        <f t="shared" si="3"/>
        <v>34433.289999999972</v>
      </c>
    </row>
    <row r="230" spans="2:9" x14ac:dyDescent="0.25">
      <c r="B230" s="148"/>
      <c r="C230" s="148" t="s">
        <v>19565</v>
      </c>
      <c r="D230" s="150">
        <v>43962</v>
      </c>
      <c r="E230" s="113" t="s">
        <v>19564</v>
      </c>
      <c r="F230" s="257" t="s">
        <v>14409</v>
      </c>
      <c r="G230" s="258">
        <v>14.75</v>
      </c>
      <c r="H230" s="152"/>
      <c r="I230" s="160">
        <f t="shared" si="3"/>
        <v>34448.039999999972</v>
      </c>
    </row>
    <row r="231" spans="2:9" x14ac:dyDescent="0.25">
      <c r="B231" s="148"/>
      <c r="C231" s="148" t="s">
        <v>19563</v>
      </c>
      <c r="D231" s="150">
        <v>43962</v>
      </c>
      <c r="E231" s="113" t="s">
        <v>19562</v>
      </c>
      <c r="F231" s="257" t="s">
        <v>14409</v>
      </c>
      <c r="G231" s="258">
        <v>26.12</v>
      </c>
      <c r="H231" s="152"/>
      <c r="I231" s="160">
        <f t="shared" si="3"/>
        <v>34474.159999999974</v>
      </c>
    </row>
    <row r="232" spans="2:9" x14ac:dyDescent="0.25">
      <c r="B232" s="148"/>
      <c r="C232" s="148" t="s">
        <v>19561</v>
      </c>
      <c r="D232" s="150">
        <v>43962</v>
      </c>
      <c r="E232" s="113" t="s">
        <v>19560</v>
      </c>
      <c r="F232" s="257" t="s">
        <v>14409</v>
      </c>
      <c r="G232" s="258">
        <v>4.25</v>
      </c>
      <c r="H232" s="152"/>
      <c r="I232" s="160">
        <f t="shared" si="3"/>
        <v>34478.409999999974</v>
      </c>
    </row>
    <row r="233" spans="2:9" ht="19.5" x14ac:dyDescent="0.25">
      <c r="B233" s="148"/>
      <c r="C233" s="148" t="s">
        <v>19559</v>
      </c>
      <c r="D233" s="150">
        <v>43962</v>
      </c>
      <c r="E233" s="113" t="s">
        <v>19558</v>
      </c>
      <c r="F233" s="257" t="s">
        <v>14409</v>
      </c>
      <c r="G233" s="258">
        <v>3.53</v>
      </c>
      <c r="H233" s="152"/>
      <c r="I233" s="160">
        <f t="shared" si="3"/>
        <v>34481.939999999973</v>
      </c>
    </row>
    <row r="234" spans="2:9" x14ac:dyDescent="0.25">
      <c r="B234" s="148"/>
      <c r="C234" s="148" t="s">
        <v>19557</v>
      </c>
      <c r="D234" s="150">
        <v>43962</v>
      </c>
      <c r="E234" s="113" t="s">
        <v>19556</v>
      </c>
      <c r="F234" s="257" t="s">
        <v>14409</v>
      </c>
      <c r="G234" s="258">
        <v>4.1900000000000004</v>
      </c>
      <c r="H234" s="152"/>
      <c r="I234" s="160">
        <f t="shared" si="3"/>
        <v>34486.129999999976</v>
      </c>
    </row>
    <row r="235" spans="2:9" x14ac:dyDescent="0.25">
      <c r="B235" s="148"/>
      <c r="C235" s="148" t="s">
        <v>19555</v>
      </c>
      <c r="D235" s="150">
        <v>43962</v>
      </c>
      <c r="E235" s="113" t="s">
        <v>19554</v>
      </c>
      <c r="F235" s="256">
        <v>6</v>
      </c>
      <c r="G235" s="255">
        <v>25.03</v>
      </c>
      <c r="H235" s="152"/>
      <c r="I235" s="160">
        <f t="shared" si="3"/>
        <v>34511.159999999974</v>
      </c>
    </row>
    <row r="236" spans="2:9" x14ac:dyDescent="0.25">
      <c r="B236" s="148"/>
      <c r="C236" s="148" t="s">
        <v>19553</v>
      </c>
      <c r="D236" s="150">
        <v>43962</v>
      </c>
      <c r="E236" s="113" t="s">
        <v>19552</v>
      </c>
      <c r="F236" s="256">
        <v>6</v>
      </c>
      <c r="G236" s="255">
        <v>16.63</v>
      </c>
      <c r="H236" s="152"/>
      <c r="I236" s="160">
        <f t="shared" si="3"/>
        <v>34527.789999999972</v>
      </c>
    </row>
    <row r="237" spans="2:9" x14ac:dyDescent="0.25">
      <c r="B237" s="148"/>
      <c r="C237" s="148" t="s">
        <v>19551</v>
      </c>
      <c r="D237" s="150">
        <v>43962</v>
      </c>
      <c r="E237" s="113" t="s">
        <v>19550</v>
      </c>
      <c r="F237" s="256">
        <v>6</v>
      </c>
      <c r="G237" s="255">
        <v>23.35</v>
      </c>
      <c r="H237" s="152"/>
      <c r="I237" s="160">
        <f t="shared" si="3"/>
        <v>34551.13999999997</v>
      </c>
    </row>
    <row r="238" spans="2:9" ht="19.5" x14ac:dyDescent="0.25">
      <c r="B238" s="148"/>
      <c r="C238" s="148" t="s">
        <v>19549</v>
      </c>
      <c r="D238" s="150">
        <v>43962</v>
      </c>
      <c r="E238" s="113" t="s">
        <v>19548</v>
      </c>
      <c r="F238" s="256">
        <v>6</v>
      </c>
      <c r="G238" s="255">
        <v>25.14</v>
      </c>
      <c r="H238" s="152"/>
      <c r="I238" s="160">
        <f t="shared" si="3"/>
        <v>34576.27999999997</v>
      </c>
    </row>
    <row r="239" spans="2:9" x14ac:dyDescent="0.25">
      <c r="B239" s="148"/>
      <c r="C239" s="148" t="s">
        <v>19547</v>
      </c>
      <c r="D239" s="150">
        <v>43962</v>
      </c>
      <c r="E239" s="113" t="s">
        <v>19546</v>
      </c>
      <c r="F239" s="256">
        <v>6</v>
      </c>
      <c r="G239" s="255">
        <v>3.36</v>
      </c>
      <c r="H239" s="152"/>
      <c r="I239" s="160">
        <f t="shared" si="3"/>
        <v>34579.63999999997</v>
      </c>
    </row>
    <row r="240" spans="2:9" x14ac:dyDescent="0.25">
      <c r="B240" s="148"/>
      <c r="C240" s="148" t="s">
        <v>19545</v>
      </c>
      <c r="D240" s="150">
        <v>43962</v>
      </c>
      <c r="E240" s="113" t="s">
        <v>19544</v>
      </c>
      <c r="F240" s="256">
        <v>6</v>
      </c>
      <c r="G240" s="255">
        <v>16.760000000000002</v>
      </c>
      <c r="H240" s="152"/>
      <c r="I240" s="160">
        <f t="shared" si="3"/>
        <v>34596.399999999972</v>
      </c>
    </row>
    <row r="241" spans="2:9" x14ac:dyDescent="0.25">
      <c r="B241" s="148"/>
      <c r="C241" s="148" t="s">
        <v>19543</v>
      </c>
      <c r="D241" s="150">
        <v>43962</v>
      </c>
      <c r="E241" s="113" t="s">
        <v>19542</v>
      </c>
      <c r="F241" s="256">
        <v>6</v>
      </c>
      <c r="G241" s="255">
        <v>5.0599999999999996</v>
      </c>
      <c r="H241" s="152"/>
      <c r="I241" s="160">
        <f t="shared" si="3"/>
        <v>34601.45999999997</v>
      </c>
    </row>
    <row r="242" spans="2:9" x14ac:dyDescent="0.25">
      <c r="B242" s="148"/>
      <c r="C242" s="148" t="s">
        <v>19541</v>
      </c>
      <c r="D242" s="150">
        <v>43962</v>
      </c>
      <c r="E242" s="113" t="s">
        <v>19540</v>
      </c>
      <c r="F242" s="256" t="s">
        <v>18712</v>
      </c>
      <c r="G242" s="160">
        <v>4.42</v>
      </c>
      <c r="H242" s="152"/>
      <c r="I242" s="160">
        <f t="shared" si="3"/>
        <v>34605.879999999968</v>
      </c>
    </row>
    <row r="243" spans="2:9" x14ac:dyDescent="0.25">
      <c r="B243" s="148"/>
      <c r="C243" s="148" t="s">
        <v>19539</v>
      </c>
      <c r="D243" s="150">
        <v>43963</v>
      </c>
      <c r="E243" s="113" t="s">
        <v>19538</v>
      </c>
      <c r="F243" s="256" t="s">
        <v>18712</v>
      </c>
      <c r="G243" s="160">
        <v>30</v>
      </c>
      <c r="H243" s="152"/>
      <c r="I243" s="160">
        <f t="shared" si="3"/>
        <v>34635.879999999968</v>
      </c>
    </row>
    <row r="244" spans="2:9" ht="19.5" x14ac:dyDescent="0.25">
      <c r="B244" s="148"/>
      <c r="C244" s="148" t="s">
        <v>19537</v>
      </c>
      <c r="D244" s="150">
        <v>43963</v>
      </c>
      <c r="E244" s="113" t="s">
        <v>19536</v>
      </c>
      <c r="F244" s="257" t="s">
        <v>14409</v>
      </c>
      <c r="G244" s="258">
        <v>7</v>
      </c>
      <c r="H244" s="152"/>
      <c r="I244" s="160">
        <f t="shared" si="3"/>
        <v>34642.879999999968</v>
      </c>
    </row>
    <row r="245" spans="2:9" x14ac:dyDescent="0.25">
      <c r="B245" s="148"/>
      <c r="C245" s="148" t="s">
        <v>19535</v>
      </c>
      <c r="D245" s="150">
        <v>43963</v>
      </c>
      <c r="E245" s="113" t="s">
        <v>19534</v>
      </c>
      <c r="F245" s="257" t="s">
        <v>14409</v>
      </c>
      <c r="G245" s="258">
        <v>5.1100000000000003</v>
      </c>
      <c r="H245" s="152"/>
      <c r="I245" s="160">
        <f t="shared" si="3"/>
        <v>34647.989999999969</v>
      </c>
    </row>
    <row r="246" spans="2:9" x14ac:dyDescent="0.25">
      <c r="B246" s="148"/>
      <c r="C246" s="148" t="s">
        <v>19533</v>
      </c>
      <c r="D246" s="150">
        <v>43963</v>
      </c>
      <c r="E246" s="113" t="s">
        <v>19532</v>
      </c>
      <c r="F246" s="257" t="s">
        <v>14409</v>
      </c>
      <c r="G246" s="258">
        <v>6.19</v>
      </c>
      <c r="H246" s="152"/>
      <c r="I246" s="160">
        <f t="shared" si="3"/>
        <v>34654.179999999971</v>
      </c>
    </row>
    <row r="247" spans="2:9" x14ac:dyDescent="0.25">
      <c r="B247" s="148"/>
      <c r="C247" s="148" t="s">
        <v>19531</v>
      </c>
      <c r="D247" s="150">
        <v>43963</v>
      </c>
      <c r="E247" s="113" t="s">
        <v>19530</v>
      </c>
      <c r="F247" s="257" t="s">
        <v>14409</v>
      </c>
      <c r="G247" s="258">
        <v>21</v>
      </c>
      <c r="H247" s="152"/>
      <c r="I247" s="160">
        <f t="shared" si="3"/>
        <v>34675.179999999971</v>
      </c>
    </row>
    <row r="248" spans="2:9" x14ac:dyDescent="0.25">
      <c r="B248" s="148"/>
      <c r="C248" s="148" t="s">
        <v>19529</v>
      </c>
      <c r="D248" s="150">
        <v>43963</v>
      </c>
      <c r="E248" s="113" t="s">
        <v>19528</v>
      </c>
      <c r="F248" s="257" t="s">
        <v>14409</v>
      </c>
      <c r="G248" s="258">
        <v>3.62</v>
      </c>
      <c r="H248" s="152"/>
      <c r="I248" s="160">
        <f t="shared" si="3"/>
        <v>34678.799999999974</v>
      </c>
    </row>
    <row r="249" spans="2:9" x14ac:dyDescent="0.25">
      <c r="B249" s="148"/>
      <c r="C249" s="148" t="s">
        <v>19527</v>
      </c>
      <c r="D249" s="150">
        <v>43963</v>
      </c>
      <c r="E249" s="113" t="s">
        <v>19526</v>
      </c>
      <c r="F249" s="257" t="s">
        <v>14409</v>
      </c>
      <c r="G249" s="258">
        <v>1.68</v>
      </c>
      <c r="H249" s="152"/>
      <c r="I249" s="160">
        <f t="shared" si="3"/>
        <v>34680.479999999974</v>
      </c>
    </row>
    <row r="250" spans="2:9" x14ac:dyDescent="0.25">
      <c r="B250" s="148"/>
      <c r="C250" s="148" t="s">
        <v>19525</v>
      </c>
      <c r="D250" s="150">
        <v>43963</v>
      </c>
      <c r="E250" s="113" t="s">
        <v>19524</v>
      </c>
      <c r="F250" s="257" t="s">
        <v>14409</v>
      </c>
      <c r="G250" s="258">
        <v>0.55000000000000004</v>
      </c>
      <c r="H250" s="152"/>
      <c r="I250" s="160">
        <f t="shared" si="3"/>
        <v>34681.029999999977</v>
      </c>
    </row>
    <row r="251" spans="2:9" x14ac:dyDescent="0.25">
      <c r="B251" s="148"/>
      <c r="C251" s="148" t="s">
        <v>19523</v>
      </c>
      <c r="D251" s="150">
        <v>43963</v>
      </c>
      <c r="E251" s="113" t="s">
        <v>19522</v>
      </c>
      <c r="F251" s="257" t="s">
        <v>14409</v>
      </c>
      <c r="G251" s="258">
        <v>5.65</v>
      </c>
      <c r="H251" s="152"/>
      <c r="I251" s="160">
        <f t="shared" si="3"/>
        <v>34686.679999999978</v>
      </c>
    </row>
    <row r="252" spans="2:9" x14ac:dyDescent="0.25">
      <c r="B252" s="148"/>
      <c r="C252" s="148" t="s">
        <v>19521</v>
      </c>
      <c r="D252" s="150">
        <v>43963</v>
      </c>
      <c r="E252" s="113" t="s">
        <v>19520</v>
      </c>
      <c r="F252" s="257" t="s">
        <v>14409</v>
      </c>
      <c r="G252" s="258">
        <v>3.1</v>
      </c>
      <c r="H252" s="152"/>
      <c r="I252" s="160">
        <f t="shared" si="3"/>
        <v>34689.779999999977</v>
      </c>
    </row>
    <row r="253" spans="2:9" x14ac:dyDescent="0.25">
      <c r="B253" s="148"/>
      <c r="C253" s="148" t="s">
        <v>19519</v>
      </c>
      <c r="D253" s="150">
        <v>43963</v>
      </c>
      <c r="E253" s="113" t="s">
        <v>19518</v>
      </c>
      <c r="F253" s="257" t="s">
        <v>14409</v>
      </c>
      <c r="G253" s="258">
        <v>16.309999999999999</v>
      </c>
      <c r="H253" s="152"/>
      <c r="I253" s="160">
        <f t="shared" si="3"/>
        <v>34706.089999999975</v>
      </c>
    </row>
    <row r="254" spans="2:9" x14ac:dyDescent="0.25">
      <c r="B254" s="148"/>
      <c r="C254" s="148" t="s">
        <v>19517</v>
      </c>
      <c r="D254" s="150">
        <v>43963</v>
      </c>
      <c r="E254" s="113" t="s">
        <v>19516</v>
      </c>
      <c r="F254" s="257" t="s">
        <v>14409</v>
      </c>
      <c r="G254" s="258">
        <v>7.5</v>
      </c>
      <c r="H254" s="152"/>
      <c r="I254" s="160">
        <f t="shared" si="3"/>
        <v>34713.589999999975</v>
      </c>
    </row>
    <row r="255" spans="2:9" x14ac:dyDescent="0.25">
      <c r="B255" s="148"/>
      <c r="C255" s="148" t="s">
        <v>19515</v>
      </c>
      <c r="D255" s="150">
        <v>43963</v>
      </c>
      <c r="E255" s="113" t="s">
        <v>19514</v>
      </c>
      <c r="F255" s="256">
        <v>7</v>
      </c>
      <c r="G255" s="255">
        <v>13.84</v>
      </c>
      <c r="H255" s="152"/>
      <c r="I255" s="160">
        <f t="shared" si="3"/>
        <v>34727.429999999971</v>
      </c>
    </row>
    <row r="256" spans="2:9" x14ac:dyDescent="0.25">
      <c r="B256" s="148"/>
      <c r="C256" s="148" t="s">
        <v>19513</v>
      </c>
      <c r="D256" s="150">
        <v>43963</v>
      </c>
      <c r="E256" s="113" t="s">
        <v>19512</v>
      </c>
      <c r="F256" s="256">
        <v>7</v>
      </c>
      <c r="G256" s="255">
        <v>10.29</v>
      </c>
      <c r="H256" s="152"/>
      <c r="I256" s="160">
        <f t="shared" si="3"/>
        <v>34737.719999999972</v>
      </c>
    </row>
    <row r="257" spans="2:9" x14ac:dyDescent="0.25">
      <c r="B257" s="148"/>
      <c r="C257" s="148" t="s">
        <v>19511</v>
      </c>
      <c r="D257" s="150">
        <v>43963</v>
      </c>
      <c r="E257" s="113" t="s">
        <v>19510</v>
      </c>
      <c r="F257" s="257" t="s">
        <v>14436</v>
      </c>
      <c r="G257" s="160">
        <v>6.9</v>
      </c>
      <c r="H257" s="152"/>
      <c r="I257" s="160">
        <f t="shared" si="3"/>
        <v>34744.619999999974</v>
      </c>
    </row>
    <row r="258" spans="2:9" x14ac:dyDescent="0.25">
      <c r="B258" s="148"/>
      <c r="C258" s="148" t="s">
        <v>19509</v>
      </c>
      <c r="D258" s="150">
        <v>43964</v>
      </c>
      <c r="E258" s="113" t="s">
        <v>19508</v>
      </c>
      <c r="F258" s="257" t="s">
        <v>14409</v>
      </c>
      <c r="G258" s="258">
        <v>3.36</v>
      </c>
      <c r="H258" s="152"/>
      <c r="I258" s="160">
        <f t="shared" si="3"/>
        <v>34747.979999999974</v>
      </c>
    </row>
    <row r="259" spans="2:9" ht="19.5" x14ac:dyDescent="0.25">
      <c r="B259" s="148"/>
      <c r="C259" s="148" t="s">
        <v>19507</v>
      </c>
      <c r="D259" s="150">
        <v>43964</v>
      </c>
      <c r="E259" s="113" t="s">
        <v>19506</v>
      </c>
      <c r="F259" s="257" t="s">
        <v>14409</v>
      </c>
      <c r="G259" s="258">
        <v>6.11</v>
      </c>
      <c r="H259" s="152"/>
      <c r="I259" s="160">
        <f t="shared" si="3"/>
        <v>34754.089999999975</v>
      </c>
    </row>
    <row r="260" spans="2:9" x14ac:dyDescent="0.25">
      <c r="B260" s="148"/>
      <c r="C260" s="148" t="s">
        <v>19505</v>
      </c>
      <c r="D260" s="150">
        <v>43964</v>
      </c>
      <c r="E260" s="113" t="s">
        <v>19504</v>
      </c>
      <c r="F260" s="257" t="s">
        <v>14409</v>
      </c>
      <c r="G260" s="258">
        <v>1.91</v>
      </c>
      <c r="H260" s="152"/>
      <c r="I260" s="160">
        <f t="shared" si="3"/>
        <v>34755.999999999978</v>
      </c>
    </row>
    <row r="261" spans="2:9" x14ac:dyDescent="0.25">
      <c r="B261" s="148"/>
      <c r="C261" s="148" t="s">
        <v>19503</v>
      </c>
      <c r="D261" s="150">
        <v>43964</v>
      </c>
      <c r="E261" s="113" t="s">
        <v>19502</v>
      </c>
      <c r="F261" s="257" t="s">
        <v>14409</v>
      </c>
      <c r="G261" s="258">
        <v>16.12</v>
      </c>
      <c r="H261" s="152"/>
      <c r="I261" s="160">
        <f t="shared" si="3"/>
        <v>34772.119999999981</v>
      </c>
    </row>
    <row r="262" spans="2:9" x14ac:dyDescent="0.25">
      <c r="B262" s="148"/>
      <c r="C262" s="148" t="s">
        <v>19501</v>
      </c>
      <c r="D262" s="150">
        <v>43964</v>
      </c>
      <c r="E262" s="113" t="s">
        <v>19500</v>
      </c>
      <c r="F262" s="257" t="s">
        <v>14409</v>
      </c>
      <c r="G262" s="258">
        <v>9.57</v>
      </c>
      <c r="H262" s="152"/>
      <c r="I262" s="160">
        <f t="shared" si="3"/>
        <v>34781.689999999981</v>
      </c>
    </row>
    <row r="263" spans="2:9" x14ac:dyDescent="0.25">
      <c r="B263" s="148"/>
      <c r="C263" s="148" t="s">
        <v>19499</v>
      </c>
      <c r="D263" s="150">
        <v>43964</v>
      </c>
      <c r="E263" s="113" t="s">
        <v>19498</v>
      </c>
      <c r="F263" s="257" t="s">
        <v>14409</v>
      </c>
      <c r="G263" s="258">
        <v>6.37</v>
      </c>
      <c r="H263" s="152"/>
      <c r="I263" s="160">
        <f t="shared" si="3"/>
        <v>34788.059999999983</v>
      </c>
    </row>
    <row r="264" spans="2:9" x14ac:dyDescent="0.25">
      <c r="B264" s="148"/>
      <c r="C264" s="148" t="s">
        <v>19497</v>
      </c>
      <c r="D264" s="150">
        <v>43964</v>
      </c>
      <c r="E264" s="113" t="s">
        <v>19496</v>
      </c>
      <c r="F264" s="257" t="s">
        <v>14409</v>
      </c>
      <c r="G264" s="258">
        <v>1.68</v>
      </c>
      <c r="H264" s="152"/>
      <c r="I264" s="160">
        <f t="shared" si="3"/>
        <v>34789.739999999983</v>
      </c>
    </row>
    <row r="265" spans="2:9" x14ac:dyDescent="0.25">
      <c r="B265" s="148"/>
      <c r="C265" s="148" t="s">
        <v>19495</v>
      </c>
      <c r="D265" s="150">
        <v>43964</v>
      </c>
      <c r="E265" s="113" t="s">
        <v>19494</v>
      </c>
      <c r="F265" s="257" t="s">
        <v>14409</v>
      </c>
      <c r="G265" s="258">
        <v>29.5</v>
      </c>
      <c r="H265" s="152"/>
      <c r="I265" s="160">
        <f t="shared" si="3"/>
        <v>34819.239999999983</v>
      </c>
    </row>
    <row r="266" spans="2:9" x14ac:dyDescent="0.25">
      <c r="B266" s="148"/>
      <c r="C266" s="148" t="s">
        <v>19493</v>
      </c>
      <c r="D266" s="150">
        <v>43964</v>
      </c>
      <c r="E266" s="113" t="s">
        <v>19492</v>
      </c>
      <c r="F266" s="257" t="s">
        <v>14409</v>
      </c>
      <c r="G266" s="258">
        <v>13.72</v>
      </c>
      <c r="H266" s="152"/>
      <c r="I266" s="160">
        <f t="shared" si="3"/>
        <v>34832.959999999985</v>
      </c>
    </row>
    <row r="267" spans="2:9" x14ac:dyDescent="0.25">
      <c r="B267" s="148"/>
      <c r="C267" s="148" t="s">
        <v>19491</v>
      </c>
      <c r="D267" s="150">
        <v>43964</v>
      </c>
      <c r="E267" s="113" t="s">
        <v>19490</v>
      </c>
      <c r="F267" s="257" t="s">
        <v>14409</v>
      </c>
      <c r="G267" s="258">
        <v>55.81</v>
      </c>
      <c r="H267" s="152"/>
      <c r="I267" s="160">
        <f t="shared" si="3"/>
        <v>34888.769999999982</v>
      </c>
    </row>
    <row r="268" spans="2:9" x14ac:dyDescent="0.25">
      <c r="B268" s="148"/>
      <c r="C268" s="148" t="s">
        <v>19489</v>
      </c>
      <c r="D268" s="150">
        <v>43964</v>
      </c>
      <c r="E268" s="113" t="s">
        <v>19488</v>
      </c>
      <c r="F268" s="257" t="s">
        <v>14409</v>
      </c>
      <c r="G268" s="258">
        <v>13.53</v>
      </c>
      <c r="H268" s="152"/>
      <c r="I268" s="160">
        <f t="shared" si="3"/>
        <v>34902.299999999981</v>
      </c>
    </row>
    <row r="269" spans="2:9" x14ac:dyDescent="0.25">
      <c r="B269" s="148"/>
      <c r="C269" s="148" t="s">
        <v>19487</v>
      </c>
      <c r="D269" s="150">
        <v>43964</v>
      </c>
      <c r="E269" s="113" t="s">
        <v>19486</v>
      </c>
      <c r="F269" s="257" t="s">
        <v>14409</v>
      </c>
      <c r="G269" s="258">
        <v>5.0999999999999996</v>
      </c>
      <c r="H269" s="152"/>
      <c r="I269" s="160">
        <f t="shared" si="3"/>
        <v>34907.39999999998</v>
      </c>
    </row>
    <row r="270" spans="2:9" x14ac:dyDescent="0.25">
      <c r="B270" s="148"/>
      <c r="C270" s="148" t="s">
        <v>19485</v>
      </c>
      <c r="D270" s="150">
        <v>43964</v>
      </c>
      <c r="E270" s="113" t="s">
        <v>19484</v>
      </c>
      <c r="F270" s="257" t="s">
        <v>14409</v>
      </c>
      <c r="G270" s="258">
        <v>12.75</v>
      </c>
      <c r="H270" s="152"/>
      <c r="I270" s="160">
        <f t="shared" si="3"/>
        <v>34920.14999999998</v>
      </c>
    </row>
    <row r="271" spans="2:9" x14ac:dyDescent="0.25">
      <c r="B271" s="148"/>
      <c r="C271" s="148" t="s">
        <v>19483</v>
      </c>
      <c r="D271" s="150">
        <v>43964</v>
      </c>
      <c r="E271" s="113" t="s">
        <v>19482</v>
      </c>
      <c r="F271" s="257" t="s">
        <v>14409</v>
      </c>
      <c r="G271" s="258">
        <v>4.83</v>
      </c>
      <c r="H271" s="152"/>
      <c r="I271" s="160">
        <f t="shared" si="3"/>
        <v>34924.979999999981</v>
      </c>
    </row>
    <row r="272" spans="2:9" ht="19.5" x14ac:dyDescent="0.25">
      <c r="B272" s="148"/>
      <c r="C272" s="148" t="s">
        <v>19481</v>
      </c>
      <c r="D272" s="150">
        <v>43964</v>
      </c>
      <c r="E272" s="113" t="s">
        <v>19480</v>
      </c>
      <c r="F272" s="257" t="s">
        <v>14409</v>
      </c>
      <c r="G272" s="258">
        <v>11.98</v>
      </c>
      <c r="H272" s="152"/>
      <c r="I272" s="160">
        <f t="shared" si="3"/>
        <v>34936.959999999985</v>
      </c>
    </row>
    <row r="273" spans="2:9" ht="19.5" x14ac:dyDescent="0.25">
      <c r="B273" s="148"/>
      <c r="C273" s="148" t="s">
        <v>19479</v>
      </c>
      <c r="D273" s="150">
        <v>43964</v>
      </c>
      <c r="E273" s="113" t="s">
        <v>19478</v>
      </c>
      <c r="F273" s="257" t="s">
        <v>14409</v>
      </c>
      <c r="G273" s="258">
        <v>11.93</v>
      </c>
      <c r="H273" s="152"/>
      <c r="I273" s="160">
        <f t="shared" si="3"/>
        <v>34948.889999999985</v>
      </c>
    </row>
    <row r="274" spans="2:9" ht="19.5" x14ac:dyDescent="0.25">
      <c r="B274" s="148"/>
      <c r="C274" s="148" t="s">
        <v>19477</v>
      </c>
      <c r="D274" s="150">
        <v>43964</v>
      </c>
      <c r="E274" s="113" t="s">
        <v>19476</v>
      </c>
      <c r="F274" s="257" t="s">
        <v>14409</v>
      </c>
      <c r="G274" s="258">
        <v>8.81</v>
      </c>
      <c r="H274" s="152"/>
      <c r="I274" s="160">
        <f t="shared" si="3"/>
        <v>34957.699999999983</v>
      </c>
    </row>
    <row r="275" spans="2:9" x14ac:dyDescent="0.25">
      <c r="B275" s="148"/>
      <c r="C275" s="148" t="s">
        <v>19475</v>
      </c>
      <c r="D275" s="150">
        <v>43964</v>
      </c>
      <c r="E275" s="113" t="s">
        <v>19474</v>
      </c>
      <c r="F275" s="257" t="s">
        <v>14409</v>
      </c>
      <c r="G275" s="258">
        <v>8.11</v>
      </c>
      <c r="H275" s="152"/>
      <c r="I275" s="160">
        <f t="shared" si="3"/>
        <v>34965.809999999983</v>
      </c>
    </row>
    <row r="276" spans="2:9" x14ac:dyDescent="0.25">
      <c r="B276" s="148"/>
      <c r="C276" s="148" t="s">
        <v>19473</v>
      </c>
      <c r="D276" s="150">
        <v>43964</v>
      </c>
      <c r="E276" s="113" t="s">
        <v>19472</v>
      </c>
      <c r="F276" s="256">
        <v>8</v>
      </c>
      <c r="G276" s="255">
        <v>15.3</v>
      </c>
      <c r="H276" s="152"/>
      <c r="I276" s="160">
        <f t="shared" ref="I276:I339" si="4">+I275+G276-H276</f>
        <v>34981.109999999986</v>
      </c>
    </row>
    <row r="277" spans="2:9" x14ac:dyDescent="0.25">
      <c r="B277" s="148"/>
      <c r="C277" s="148" t="s">
        <v>19471</v>
      </c>
      <c r="D277" s="150">
        <v>43964</v>
      </c>
      <c r="E277" s="113" t="s">
        <v>19470</v>
      </c>
      <c r="F277" s="256">
        <v>8</v>
      </c>
      <c r="G277" s="255">
        <v>3.48</v>
      </c>
      <c r="H277" s="152"/>
      <c r="I277" s="160">
        <f t="shared" si="4"/>
        <v>34984.589999999989</v>
      </c>
    </row>
    <row r="278" spans="2:9" x14ac:dyDescent="0.25">
      <c r="B278" s="148"/>
      <c r="C278" s="148" t="s">
        <v>19469</v>
      </c>
      <c r="D278" s="150">
        <v>43964</v>
      </c>
      <c r="E278" s="113" t="s">
        <v>19468</v>
      </c>
      <c r="F278" s="256">
        <v>8</v>
      </c>
      <c r="G278" s="255">
        <v>7.25</v>
      </c>
      <c r="H278" s="152"/>
      <c r="I278" s="160">
        <f t="shared" si="4"/>
        <v>34991.839999999989</v>
      </c>
    </row>
    <row r="279" spans="2:9" x14ac:dyDescent="0.25">
      <c r="B279" s="148"/>
      <c r="C279" s="148" t="s">
        <v>19467</v>
      </c>
      <c r="D279" s="150">
        <v>43964</v>
      </c>
      <c r="E279" s="113" t="s">
        <v>19466</v>
      </c>
      <c r="F279" s="256">
        <v>8</v>
      </c>
      <c r="G279" s="255">
        <v>35.799999999999997</v>
      </c>
      <c r="H279" s="152"/>
      <c r="I279" s="160">
        <f t="shared" si="4"/>
        <v>35027.639999999992</v>
      </c>
    </row>
    <row r="280" spans="2:9" x14ac:dyDescent="0.25">
      <c r="B280" s="148"/>
      <c r="C280" s="148" t="s">
        <v>19465</v>
      </c>
      <c r="D280" s="150">
        <v>43964</v>
      </c>
      <c r="E280" s="113" t="s">
        <v>19464</v>
      </c>
      <c r="F280" s="256">
        <v>8</v>
      </c>
      <c r="G280" s="255">
        <v>12.3</v>
      </c>
      <c r="H280" s="152"/>
      <c r="I280" s="160">
        <f t="shared" si="4"/>
        <v>35039.939999999995</v>
      </c>
    </row>
    <row r="281" spans="2:9" x14ac:dyDescent="0.25">
      <c r="B281" s="148"/>
      <c r="C281" s="148" t="s">
        <v>19463</v>
      </c>
      <c r="D281" s="150">
        <v>43964</v>
      </c>
      <c r="E281" s="113" t="s">
        <v>19462</v>
      </c>
      <c r="F281" s="257" t="s">
        <v>14436</v>
      </c>
      <c r="G281" s="160">
        <v>5</v>
      </c>
      <c r="H281" s="152"/>
      <c r="I281" s="160">
        <f t="shared" si="4"/>
        <v>35044.939999999995</v>
      </c>
    </row>
    <row r="282" spans="2:9" x14ac:dyDescent="0.25">
      <c r="B282" s="148"/>
      <c r="C282" s="148" t="s">
        <v>1742</v>
      </c>
      <c r="D282" s="150">
        <v>43964</v>
      </c>
      <c r="E282" s="113" t="s">
        <v>19461</v>
      </c>
      <c r="F282" s="257" t="s">
        <v>14433</v>
      </c>
      <c r="G282" s="152"/>
      <c r="H282" s="161">
        <v>553.86</v>
      </c>
      <c r="I282" s="160">
        <f t="shared" si="4"/>
        <v>34491.079999999994</v>
      </c>
    </row>
    <row r="283" spans="2:9" x14ac:dyDescent="0.25">
      <c r="B283" s="148"/>
      <c r="C283" s="148" t="s">
        <v>19460</v>
      </c>
      <c r="D283" s="150">
        <v>43965</v>
      </c>
      <c r="E283" s="113" t="s">
        <v>19459</v>
      </c>
      <c r="F283" s="257" t="s">
        <v>14436</v>
      </c>
      <c r="G283" s="160">
        <v>116.97</v>
      </c>
      <c r="H283" s="152"/>
      <c r="I283" s="160">
        <f t="shared" si="4"/>
        <v>34608.049999999996</v>
      </c>
    </row>
    <row r="284" spans="2:9" x14ac:dyDescent="0.25">
      <c r="B284" s="148"/>
      <c r="C284" s="148" t="s">
        <v>19458</v>
      </c>
      <c r="D284" s="150">
        <v>43965</v>
      </c>
      <c r="E284" s="113" t="s">
        <v>19457</v>
      </c>
      <c r="F284" s="257" t="s">
        <v>14436</v>
      </c>
      <c r="G284" s="160">
        <v>8.86</v>
      </c>
      <c r="H284" s="152"/>
      <c r="I284" s="160">
        <f t="shared" si="4"/>
        <v>34616.909999999996</v>
      </c>
    </row>
    <row r="285" spans="2:9" x14ac:dyDescent="0.25">
      <c r="B285" s="148"/>
      <c r="C285" s="148" t="s">
        <v>19456</v>
      </c>
      <c r="D285" s="150">
        <v>43965</v>
      </c>
      <c r="E285" s="113" t="s">
        <v>19455</v>
      </c>
      <c r="F285" s="257" t="s">
        <v>14436</v>
      </c>
      <c r="G285" s="160">
        <v>55.3</v>
      </c>
      <c r="H285" s="152"/>
      <c r="I285" s="160">
        <f t="shared" si="4"/>
        <v>34672.21</v>
      </c>
    </row>
    <row r="286" spans="2:9" x14ac:dyDescent="0.25">
      <c r="B286" s="148"/>
      <c r="C286" s="148" t="s">
        <v>19454</v>
      </c>
      <c r="D286" s="150">
        <v>43965</v>
      </c>
      <c r="E286" s="113" t="s">
        <v>19453</v>
      </c>
      <c r="F286" s="257" t="s">
        <v>14409</v>
      </c>
      <c r="G286" s="258">
        <v>36.020000000000003</v>
      </c>
      <c r="H286" s="152"/>
      <c r="I286" s="160">
        <f t="shared" si="4"/>
        <v>34708.229999999996</v>
      </c>
    </row>
    <row r="287" spans="2:9" x14ac:dyDescent="0.25">
      <c r="B287" s="148"/>
      <c r="C287" s="148" t="s">
        <v>19452</v>
      </c>
      <c r="D287" s="150">
        <v>43965</v>
      </c>
      <c r="E287" s="113" t="s">
        <v>19451</v>
      </c>
      <c r="F287" s="257" t="s">
        <v>14409</v>
      </c>
      <c r="G287" s="258">
        <v>6.64</v>
      </c>
      <c r="H287" s="152"/>
      <c r="I287" s="160">
        <f t="shared" si="4"/>
        <v>34714.869999999995</v>
      </c>
    </row>
    <row r="288" spans="2:9" x14ac:dyDescent="0.25">
      <c r="B288" s="148"/>
      <c r="C288" s="148" t="s">
        <v>19450</v>
      </c>
      <c r="D288" s="150">
        <v>43965</v>
      </c>
      <c r="E288" s="113" t="s">
        <v>19449</v>
      </c>
      <c r="F288" s="257" t="s">
        <v>14409</v>
      </c>
      <c r="G288" s="258">
        <v>17.510000000000002</v>
      </c>
      <c r="H288" s="152"/>
      <c r="I288" s="160">
        <f t="shared" si="4"/>
        <v>34732.379999999997</v>
      </c>
    </row>
    <row r="289" spans="2:9" x14ac:dyDescent="0.25">
      <c r="B289" s="148"/>
      <c r="C289" s="148" t="s">
        <v>19448</v>
      </c>
      <c r="D289" s="150">
        <v>43965</v>
      </c>
      <c r="E289" s="113" t="s">
        <v>19447</v>
      </c>
      <c r="F289" s="257" t="s">
        <v>14409</v>
      </c>
      <c r="G289" s="258">
        <v>15.83</v>
      </c>
      <c r="H289" s="152"/>
      <c r="I289" s="160">
        <f t="shared" si="4"/>
        <v>34748.21</v>
      </c>
    </row>
    <row r="290" spans="2:9" x14ac:dyDescent="0.25">
      <c r="B290" s="148"/>
      <c r="C290" s="148" t="s">
        <v>19446</v>
      </c>
      <c r="D290" s="150">
        <v>43965</v>
      </c>
      <c r="E290" s="113" t="s">
        <v>19445</v>
      </c>
      <c r="F290" s="257" t="s">
        <v>14409</v>
      </c>
      <c r="G290" s="258">
        <v>14.51</v>
      </c>
      <c r="H290" s="152"/>
      <c r="I290" s="160">
        <f t="shared" si="4"/>
        <v>34762.720000000001</v>
      </c>
    </row>
    <row r="291" spans="2:9" ht="19.5" x14ac:dyDescent="0.25">
      <c r="B291" s="148"/>
      <c r="C291" s="148" t="s">
        <v>19444</v>
      </c>
      <c r="D291" s="150">
        <v>43965</v>
      </c>
      <c r="E291" s="113" t="s">
        <v>19443</v>
      </c>
      <c r="F291" s="257" t="s">
        <v>14409</v>
      </c>
      <c r="G291" s="258">
        <v>6.72</v>
      </c>
      <c r="H291" s="152"/>
      <c r="I291" s="160">
        <f t="shared" si="4"/>
        <v>34769.440000000002</v>
      </c>
    </row>
    <row r="292" spans="2:9" x14ac:dyDescent="0.25">
      <c r="B292" s="148"/>
      <c r="C292" s="148" t="s">
        <v>19442</v>
      </c>
      <c r="D292" s="150">
        <v>43965</v>
      </c>
      <c r="E292" s="113" t="s">
        <v>19441</v>
      </c>
      <c r="F292" s="257" t="s">
        <v>14409</v>
      </c>
      <c r="G292" s="258">
        <v>4.78</v>
      </c>
      <c r="H292" s="152"/>
      <c r="I292" s="160">
        <f t="shared" si="4"/>
        <v>34774.22</v>
      </c>
    </row>
    <row r="293" spans="2:9" x14ac:dyDescent="0.25">
      <c r="B293" s="148"/>
      <c r="C293" s="148" t="s">
        <v>19440</v>
      </c>
      <c r="D293" s="150">
        <v>43965</v>
      </c>
      <c r="E293" s="113" t="s">
        <v>19439</v>
      </c>
      <c r="F293" s="257" t="s">
        <v>14409</v>
      </c>
      <c r="G293" s="258">
        <v>17.260000000000002</v>
      </c>
      <c r="H293" s="152"/>
      <c r="I293" s="160">
        <f t="shared" si="4"/>
        <v>34791.480000000003</v>
      </c>
    </row>
    <row r="294" spans="2:9" x14ac:dyDescent="0.25">
      <c r="B294" s="148"/>
      <c r="C294" s="148" t="s">
        <v>19438</v>
      </c>
      <c r="D294" s="150">
        <v>43965</v>
      </c>
      <c r="E294" s="113" t="s">
        <v>19437</v>
      </c>
      <c r="F294" s="257" t="s">
        <v>14409</v>
      </c>
      <c r="G294" s="258">
        <v>21.31</v>
      </c>
      <c r="H294" s="152"/>
      <c r="I294" s="160">
        <f t="shared" si="4"/>
        <v>34812.79</v>
      </c>
    </row>
    <row r="295" spans="2:9" x14ac:dyDescent="0.25">
      <c r="B295" s="148"/>
      <c r="C295" s="148" t="s">
        <v>19436</v>
      </c>
      <c r="D295" s="150">
        <v>43965</v>
      </c>
      <c r="E295" s="113" t="s">
        <v>19435</v>
      </c>
      <c r="F295" s="257" t="s">
        <v>14409</v>
      </c>
      <c r="G295" s="258">
        <v>3.88</v>
      </c>
      <c r="H295" s="152"/>
      <c r="I295" s="160">
        <f t="shared" si="4"/>
        <v>34816.67</v>
      </c>
    </row>
    <row r="296" spans="2:9" x14ac:dyDescent="0.25">
      <c r="B296" s="148"/>
      <c r="C296" s="148" t="s">
        <v>19434</v>
      </c>
      <c r="D296" s="150">
        <v>43965</v>
      </c>
      <c r="E296" s="113" t="s">
        <v>19433</v>
      </c>
      <c r="F296" s="257" t="s">
        <v>14409</v>
      </c>
      <c r="G296" s="258">
        <v>27.82</v>
      </c>
      <c r="H296" s="152"/>
      <c r="I296" s="160">
        <f t="shared" si="4"/>
        <v>34844.49</v>
      </c>
    </row>
    <row r="297" spans="2:9" x14ac:dyDescent="0.25">
      <c r="B297" s="148"/>
      <c r="C297" s="148" t="s">
        <v>19432</v>
      </c>
      <c r="D297" s="150">
        <v>43965</v>
      </c>
      <c r="E297" s="113" t="s">
        <v>19431</v>
      </c>
      <c r="F297" s="257" t="s">
        <v>14409</v>
      </c>
      <c r="G297" s="258">
        <v>17.3</v>
      </c>
      <c r="H297" s="152"/>
      <c r="I297" s="160">
        <f t="shared" si="4"/>
        <v>34861.79</v>
      </c>
    </row>
    <row r="298" spans="2:9" x14ac:dyDescent="0.25">
      <c r="B298" s="148"/>
      <c r="C298" s="148" t="s">
        <v>19430</v>
      </c>
      <c r="D298" s="150">
        <v>43965</v>
      </c>
      <c r="E298" s="113" t="s">
        <v>19429</v>
      </c>
      <c r="F298" s="257" t="s">
        <v>14409</v>
      </c>
      <c r="G298" s="258">
        <v>5.63</v>
      </c>
      <c r="H298" s="152"/>
      <c r="I298" s="160">
        <f t="shared" si="4"/>
        <v>34867.42</v>
      </c>
    </row>
    <row r="299" spans="2:9" ht="19.5" x14ac:dyDescent="0.25">
      <c r="B299" s="148"/>
      <c r="C299" s="148" t="s">
        <v>19428</v>
      </c>
      <c r="D299" s="150">
        <v>43965</v>
      </c>
      <c r="E299" s="113" t="s">
        <v>19427</v>
      </c>
      <c r="F299" s="257" t="s">
        <v>14409</v>
      </c>
      <c r="G299" s="258">
        <v>7.45</v>
      </c>
      <c r="H299" s="152"/>
      <c r="I299" s="160">
        <f t="shared" si="4"/>
        <v>34874.869999999995</v>
      </c>
    </row>
    <row r="300" spans="2:9" x14ac:dyDescent="0.25">
      <c r="B300" s="148"/>
      <c r="C300" s="148" t="s">
        <v>19426</v>
      </c>
      <c r="D300" s="150">
        <v>43965</v>
      </c>
      <c r="E300" s="113" t="s">
        <v>19425</v>
      </c>
      <c r="F300" s="256">
        <v>9</v>
      </c>
      <c r="G300" s="255">
        <v>4.67</v>
      </c>
      <c r="H300" s="152"/>
      <c r="I300" s="160">
        <f t="shared" si="4"/>
        <v>34879.539999999994</v>
      </c>
    </row>
    <row r="301" spans="2:9" x14ac:dyDescent="0.25">
      <c r="B301" s="148"/>
      <c r="C301" s="148" t="s">
        <v>19424</v>
      </c>
      <c r="D301" s="150">
        <v>43965</v>
      </c>
      <c r="E301" s="113" t="s">
        <v>19423</v>
      </c>
      <c r="F301" s="256">
        <v>9</v>
      </c>
      <c r="G301" s="255">
        <v>4.82</v>
      </c>
      <c r="H301" s="152"/>
      <c r="I301" s="160">
        <f t="shared" si="4"/>
        <v>34884.359999999993</v>
      </c>
    </row>
    <row r="302" spans="2:9" x14ac:dyDescent="0.25">
      <c r="B302" s="148"/>
      <c r="C302" s="148" t="s">
        <v>19422</v>
      </c>
      <c r="D302" s="150">
        <v>43965</v>
      </c>
      <c r="E302" s="113" t="s">
        <v>19421</v>
      </c>
      <c r="F302" s="256">
        <v>9</v>
      </c>
      <c r="G302" s="255">
        <v>37.07</v>
      </c>
      <c r="H302" s="152"/>
      <c r="I302" s="160">
        <f t="shared" si="4"/>
        <v>34921.429999999993</v>
      </c>
    </row>
    <row r="303" spans="2:9" x14ac:dyDescent="0.25">
      <c r="B303" s="148"/>
      <c r="C303" s="148" t="s">
        <v>19420</v>
      </c>
      <c r="D303" s="150">
        <v>43965</v>
      </c>
      <c r="E303" s="113" t="s">
        <v>19419</v>
      </c>
      <c r="F303" s="256">
        <v>9</v>
      </c>
      <c r="G303" s="255">
        <v>5.82</v>
      </c>
      <c r="H303" s="152"/>
      <c r="I303" s="160">
        <f t="shared" si="4"/>
        <v>34927.249999999993</v>
      </c>
    </row>
    <row r="304" spans="2:9" x14ac:dyDescent="0.25">
      <c r="B304" s="148"/>
      <c r="C304" s="148" t="s">
        <v>19418</v>
      </c>
      <c r="D304" s="150">
        <v>43965</v>
      </c>
      <c r="E304" s="113" t="s">
        <v>19417</v>
      </c>
      <c r="F304" s="256">
        <v>9</v>
      </c>
      <c r="G304" s="255">
        <v>3.36</v>
      </c>
      <c r="H304" s="152"/>
      <c r="I304" s="160">
        <f t="shared" si="4"/>
        <v>34930.609999999993</v>
      </c>
    </row>
    <row r="305" spans="2:9" x14ac:dyDescent="0.25">
      <c r="B305" s="148"/>
      <c r="C305" s="148" t="s">
        <v>19416</v>
      </c>
      <c r="D305" s="150">
        <v>43965</v>
      </c>
      <c r="E305" s="113" t="s">
        <v>19415</v>
      </c>
      <c r="F305" s="256">
        <v>9</v>
      </c>
      <c r="G305" s="255">
        <v>9.39</v>
      </c>
      <c r="H305" s="152"/>
      <c r="I305" s="160">
        <f t="shared" si="4"/>
        <v>34939.999999999993</v>
      </c>
    </row>
    <row r="306" spans="2:9" ht="19.5" x14ac:dyDescent="0.25">
      <c r="B306" s="148"/>
      <c r="C306" s="148" t="s">
        <v>19414</v>
      </c>
      <c r="D306" s="150">
        <v>43965</v>
      </c>
      <c r="E306" s="113" t="s">
        <v>19413</v>
      </c>
      <c r="F306" s="256">
        <v>9</v>
      </c>
      <c r="G306" s="255">
        <v>33.520000000000003</v>
      </c>
      <c r="H306" s="152"/>
      <c r="I306" s="160">
        <f t="shared" si="4"/>
        <v>34973.51999999999</v>
      </c>
    </row>
    <row r="307" spans="2:9" ht="19.5" x14ac:dyDescent="0.25">
      <c r="B307" s="148"/>
      <c r="C307" s="148" t="s">
        <v>1430</v>
      </c>
      <c r="D307" s="150">
        <v>43965</v>
      </c>
      <c r="E307" s="113" t="s">
        <v>19412</v>
      </c>
      <c r="F307" s="257" t="s">
        <v>14433</v>
      </c>
      <c r="G307" s="152"/>
      <c r="H307" s="161">
        <v>1634.38</v>
      </c>
      <c r="I307" s="160">
        <f t="shared" si="4"/>
        <v>33339.139999999992</v>
      </c>
    </row>
    <row r="308" spans="2:9" ht="19.5" x14ac:dyDescent="0.25">
      <c r="B308" s="148"/>
      <c r="C308" s="148" t="s">
        <v>1428</v>
      </c>
      <c r="D308" s="150">
        <v>43965</v>
      </c>
      <c r="E308" s="113" t="s">
        <v>19411</v>
      </c>
      <c r="F308" s="257" t="s">
        <v>14433</v>
      </c>
      <c r="G308" s="152"/>
      <c r="H308" s="161">
        <v>21.9</v>
      </c>
      <c r="I308" s="160">
        <f t="shared" si="4"/>
        <v>33317.239999999991</v>
      </c>
    </row>
    <row r="309" spans="2:9" ht="19.5" x14ac:dyDescent="0.25">
      <c r="B309" s="148"/>
      <c r="C309" s="148" t="s">
        <v>15202</v>
      </c>
      <c r="D309" s="150">
        <v>43965</v>
      </c>
      <c r="E309" s="113" t="s">
        <v>19410</v>
      </c>
      <c r="F309" s="257" t="s">
        <v>14433</v>
      </c>
      <c r="G309" s="152"/>
      <c r="H309" s="161">
        <v>209.23</v>
      </c>
      <c r="I309" s="160">
        <f t="shared" si="4"/>
        <v>33108.009999999987</v>
      </c>
    </row>
    <row r="310" spans="2:9" ht="19.5" x14ac:dyDescent="0.25">
      <c r="B310" s="148"/>
      <c r="C310" s="148" t="s">
        <v>15200</v>
      </c>
      <c r="D310" s="150">
        <v>43965</v>
      </c>
      <c r="E310" s="113" t="s">
        <v>19409</v>
      </c>
      <c r="F310" s="257" t="s">
        <v>14433</v>
      </c>
      <c r="G310" s="152"/>
      <c r="H310" s="161">
        <v>594.77</v>
      </c>
      <c r="I310" s="160">
        <f t="shared" si="4"/>
        <v>32513.239999999987</v>
      </c>
    </row>
    <row r="311" spans="2:9" ht="19.5" x14ac:dyDescent="0.25">
      <c r="B311" s="148"/>
      <c r="C311" s="148" t="s">
        <v>14518</v>
      </c>
      <c r="D311" s="150">
        <v>43965</v>
      </c>
      <c r="E311" s="113" t="s">
        <v>19408</v>
      </c>
      <c r="F311" s="257" t="s">
        <v>14433</v>
      </c>
      <c r="G311" s="152"/>
      <c r="H311" s="161">
        <v>116.99</v>
      </c>
      <c r="I311" s="160">
        <f t="shared" si="4"/>
        <v>32396.249999999985</v>
      </c>
    </row>
    <row r="312" spans="2:9" x14ac:dyDescent="0.25">
      <c r="B312" s="148"/>
      <c r="C312" s="148" t="s">
        <v>16360</v>
      </c>
      <c r="D312" s="150">
        <v>43965</v>
      </c>
      <c r="E312" s="113" t="s">
        <v>19407</v>
      </c>
      <c r="F312" s="257" t="s">
        <v>14433</v>
      </c>
      <c r="G312" s="152"/>
      <c r="H312" s="161">
        <v>20.190000000000001</v>
      </c>
      <c r="I312" s="160">
        <f t="shared" si="4"/>
        <v>32376.059999999987</v>
      </c>
    </row>
    <row r="313" spans="2:9" x14ac:dyDescent="0.25">
      <c r="B313" s="148"/>
      <c r="C313" s="148" t="s">
        <v>16358</v>
      </c>
      <c r="D313" s="150">
        <v>43965</v>
      </c>
      <c r="E313" s="113" t="s">
        <v>19406</v>
      </c>
      <c r="F313" s="257" t="s">
        <v>14433</v>
      </c>
      <c r="G313" s="152"/>
      <c r="H313" s="161">
        <v>12.55</v>
      </c>
      <c r="I313" s="160">
        <f t="shared" si="4"/>
        <v>32363.509999999987</v>
      </c>
    </row>
    <row r="314" spans="2:9" x14ac:dyDescent="0.25">
      <c r="B314" s="148"/>
      <c r="C314" s="148" t="s">
        <v>16356</v>
      </c>
      <c r="D314" s="150">
        <v>43965</v>
      </c>
      <c r="E314" s="113" t="s">
        <v>19405</v>
      </c>
      <c r="F314" s="257" t="s">
        <v>14433</v>
      </c>
      <c r="G314" s="152"/>
      <c r="H314" s="161">
        <v>15.81</v>
      </c>
      <c r="I314" s="160">
        <f t="shared" si="4"/>
        <v>32347.699999999986</v>
      </c>
    </row>
    <row r="315" spans="2:9" x14ac:dyDescent="0.25">
      <c r="B315" s="148"/>
      <c r="C315" s="148" t="s">
        <v>16</v>
      </c>
      <c r="D315" s="150">
        <v>43965</v>
      </c>
      <c r="E315" s="113" t="s">
        <v>19404</v>
      </c>
      <c r="F315" s="257" t="s">
        <v>14433</v>
      </c>
      <c r="G315" s="152"/>
      <c r="H315" s="161">
        <v>8.86</v>
      </c>
      <c r="I315" s="160">
        <f t="shared" si="4"/>
        <v>32338.839999999986</v>
      </c>
    </row>
    <row r="316" spans="2:9" x14ac:dyDescent="0.25">
      <c r="B316" s="148"/>
      <c r="C316" s="148" t="s">
        <v>18377</v>
      </c>
      <c r="D316" s="150">
        <v>43965</v>
      </c>
      <c r="E316" s="113" t="s">
        <v>19403</v>
      </c>
      <c r="F316" s="257" t="s">
        <v>14433</v>
      </c>
      <c r="G316" s="152"/>
      <c r="H316" s="161">
        <v>9.86</v>
      </c>
      <c r="I316" s="160">
        <f t="shared" si="4"/>
        <v>32328.979999999985</v>
      </c>
    </row>
    <row r="317" spans="2:9" x14ac:dyDescent="0.25">
      <c r="B317" s="148"/>
      <c r="C317" s="148" t="s">
        <v>16349</v>
      </c>
      <c r="D317" s="150">
        <v>43965</v>
      </c>
      <c r="E317" s="113" t="s">
        <v>19402</v>
      </c>
      <c r="F317" s="257" t="s">
        <v>14433</v>
      </c>
      <c r="G317" s="152"/>
      <c r="H317" s="161">
        <v>13.52</v>
      </c>
      <c r="I317" s="160">
        <f t="shared" si="4"/>
        <v>32315.459999999985</v>
      </c>
    </row>
    <row r="318" spans="2:9" x14ac:dyDescent="0.25">
      <c r="B318" s="148"/>
      <c r="C318" s="148" t="s">
        <v>19401</v>
      </c>
      <c r="D318" s="150">
        <v>43965</v>
      </c>
      <c r="E318" s="113" t="s">
        <v>19400</v>
      </c>
      <c r="F318" s="257" t="s">
        <v>14433</v>
      </c>
      <c r="G318" s="152"/>
      <c r="H318" s="161">
        <v>92.99</v>
      </c>
      <c r="I318" s="160">
        <f t="shared" si="4"/>
        <v>32222.469999999983</v>
      </c>
    </row>
    <row r="319" spans="2:9" ht="19.5" x14ac:dyDescent="0.25">
      <c r="B319" s="148"/>
      <c r="C319" s="148" t="s">
        <v>19399</v>
      </c>
      <c r="D319" s="150">
        <v>43965</v>
      </c>
      <c r="E319" s="113" t="s">
        <v>19398</v>
      </c>
      <c r="F319" s="257" t="s">
        <v>14433</v>
      </c>
      <c r="G319" s="152"/>
      <c r="H319" s="161">
        <v>15.46</v>
      </c>
      <c r="I319" s="160">
        <f t="shared" si="4"/>
        <v>32207.009999999984</v>
      </c>
    </row>
    <row r="320" spans="2:9" x14ac:dyDescent="0.25">
      <c r="B320" s="148"/>
      <c r="C320" s="148" t="s">
        <v>19397</v>
      </c>
      <c r="D320" s="150">
        <v>43966</v>
      </c>
      <c r="E320" s="113" t="s">
        <v>19396</v>
      </c>
      <c r="F320" s="257" t="s">
        <v>14436</v>
      </c>
      <c r="G320" s="160">
        <v>1.93</v>
      </c>
      <c r="H320" s="152"/>
      <c r="I320" s="160">
        <f t="shared" si="4"/>
        <v>32208.939999999984</v>
      </c>
    </row>
    <row r="321" spans="2:9" x14ac:dyDescent="0.25">
      <c r="B321" s="148"/>
      <c r="C321" s="148" t="s">
        <v>19395</v>
      </c>
      <c r="D321" s="150">
        <v>43966</v>
      </c>
      <c r="E321" s="113" t="s">
        <v>19394</v>
      </c>
      <c r="F321" s="257" t="s">
        <v>14436</v>
      </c>
      <c r="G321" s="160">
        <v>40.94</v>
      </c>
      <c r="H321" s="152"/>
      <c r="I321" s="160">
        <f t="shared" si="4"/>
        <v>32249.879999999983</v>
      </c>
    </row>
    <row r="322" spans="2:9" ht="19.5" x14ac:dyDescent="0.25">
      <c r="B322" s="148"/>
      <c r="C322" s="148" t="s">
        <v>19393</v>
      </c>
      <c r="D322" s="150">
        <v>43966</v>
      </c>
      <c r="E322" s="113" t="s">
        <v>19392</v>
      </c>
      <c r="F322" s="257" t="s">
        <v>14436</v>
      </c>
      <c r="G322" s="160">
        <v>5270.62</v>
      </c>
      <c r="H322" s="152"/>
      <c r="I322" s="160">
        <f t="shared" si="4"/>
        <v>37520.499999999985</v>
      </c>
    </row>
    <row r="323" spans="2:9" x14ac:dyDescent="0.25">
      <c r="B323" s="148"/>
      <c r="C323" s="148" t="s">
        <v>19391</v>
      </c>
      <c r="D323" s="150">
        <v>43966</v>
      </c>
      <c r="E323" s="113" t="s">
        <v>19390</v>
      </c>
      <c r="F323" s="257" t="s">
        <v>14412</v>
      </c>
      <c r="G323" s="258">
        <v>1.68</v>
      </c>
      <c r="H323" s="152"/>
      <c r="I323" s="160">
        <f t="shared" si="4"/>
        <v>37522.179999999986</v>
      </c>
    </row>
    <row r="324" spans="2:9" x14ac:dyDescent="0.25">
      <c r="B324" s="148"/>
      <c r="C324" s="148" t="s">
        <v>19389</v>
      </c>
      <c r="D324" s="150">
        <v>43966</v>
      </c>
      <c r="E324" s="113" t="s">
        <v>19388</v>
      </c>
      <c r="F324" s="257" t="s">
        <v>14412</v>
      </c>
      <c r="G324" s="258">
        <v>1.72</v>
      </c>
      <c r="H324" s="152"/>
      <c r="I324" s="160">
        <f t="shared" si="4"/>
        <v>37523.899999999987</v>
      </c>
    </row>
    <row r="325" spans="2:9" x14ac:dyDescent="0.25">
      <c r="B325" s="148"/>
      <c r="C325" s="148" t="s">
        <v>19387</v>
      </c>
      <c r="D325" s="150">
        <v>43966</v>
      </c>
      <c r="E325" s="113" t="s">
        <v>19386</v>
      </c>
      <c r="F325" s="257" t="s">
        <v>14412</v>
      </c>
      <c r="G325" s="258">
        <v>18.010000000000002</v>
      </c>
      <c r="H325" s="152"/>
      <c r="I325" s="160">
        <f t="shared" si="4"/>
        <v>37541.909999999989</v>
      </c>
    </row>
    <row r="326" spans="2:9" x14ac:dyDescent="0.25">
      <c r="B326" s="148"/>
      <c r="C326" s="148" t="s">
        <v>19385</v>
      </c>
      <c r="D326" s="150">
        <v>43966</v>
      </c>
      <c r="E326" s="113" t="s">
        <v>19384</v>
      </c>
      <c r="F326" s="257" t="s">
        <v>14412</v>
      </c>
      <c r="G326" s="258">
        <v>12.3</v>
      </c>
      <c r="H326" s="152"/>
      <c r="I326" s="160">
        <f t="shared" si="4"/>
        <v>37554.209999999992</v>
      </c>
    </row>
    <row r="327" spans="2:9" ht="19.5" x14ac:dyDescent="0.25">
      <c r="B327" s="148"/>
      <c r="C327" s="148" t="s">
        <v>19383</v>
      </c>
      <c r="D327" s="150">
        <v>43966</v>
      </c>
      <c r="E327" s="113" t="s">
        <v>19382</v>
      </c>
      <c r="F327" s="257" t="s">
        <v>14412</v>
      </c>
      <c r="G327" s="258">
        <v>16.39</v>
      </c>
      <c r="H327" s="152"/>
      <c r="I327" s="160">
        <f t="shared" si="4"/>
        <v>37570.599999999991</v>
      </c>
    </row>
    <row r="328" spans="2:9" ht="19.5" x14ac:dyDescent="0.25">
      <c r="B328" s="148"/>
      <c r="C328" s="148" t="s">
        <v>19381</v>
      </c>
      <c r="D328" s="150">
        <v>43966</v>
      </c>
      <c r="E328" s="113" t="s">
        <v>19380</v>
      </c>
      <c r="F328" s="257" t="s">
        <v>14412</v>
      </c>
      <c r="G328" s="258">
        <v>15.21</v>
      </c>
      <c r="H328" s="152"/>
      <c r="I328" s="160">
        <f t="shared" si="4"/>
        <v>37585.80999999999</v>
      </c>
    </row>
    <row r="329" spans="2:9" x14ac:dyDescent="0.25">
      <c r="B329" s="148"/>
      <c r="C329" s="148" t="s">
        <v>19379</v>
      </c>
      <c r="D329" s="150">
        <v>43966</v>
      </c>
      <c r="E329" s="113" t="s">
        <v>19378</v>
      </c>
      <c r="F329" s="257" t="s">
        <v>14412</v>
      </c>
      <c r="G329" s="258">
        <v>3.85</v>
      </c>
      <c r="H329" s="152"/>
      <c r="I329" s="160">
        <f t="shared" si="4"/>
        <v>37589.659999999989</v>
      </c>
    </row>
    <row r="330" spans="2:9" x14ac:dyDescent="0.25">
      <c r="B330" s="148"/>
      <c r="C330" s="148" t="s">
        <v>19377</v>
      </c>
      <c r="D330" s="150">
        <v>43966</v>
      </c>
      <c r="E330" s="113" t="s">
        <v>19376</v>
      </c>
      <c r="F330" s="257" t="s">
        <v>14412</v>
      </c>
      <c r="G330" s="258">
        <v>17.739999999999998</v>
      </c>
      <c r="H330" s="152"/>
      <c r="I330" s="160">
        <f t="shared" si="4"/>
        <v>37607.399999999987</v>
      </c>
    </row>
    <row r="331" spans="2:9" ht="19.5" x14ac:dyDescent="0.25">
      <c r="B331" s="148"/>
      <c r="C331" s="148" t="s">
        <v>19375</v>
      </c>
      <c r="D331" s="150">
        <v>43966</v>
      </c>
      <c r="E331" s="113" t="s">
        <v>19374</v>
      </c>
      <c r="F331" s="257" t="s">
        <v>14412</v>
      </c>
      <c r="G331" s="258">
        <v>15.93</v>
      </c>
      <c r="H331" s="152"/>
      <c r="I331" s="160">
        <f t="shared" si="4"/>
        <v>37623.329999999987</v>
      </c>
    </row>
    <row r="332" spans="2:9" x14ac:dyDescent="0.25">
      <c r="B332" s="148"/>
      <c r="C332" s="148" t="s">
        <v>19373</v>
      </c>
      <c r="D332" s="150">
        <v>43966</v>
      </c>
      <c r="E332" s="113" t="s">
        <v>19372</v>
      </c>
      <c r="F332" s="257" t="s">
        <v>14412</v>
      </c>
      <c r="G332" s="258">
        <v>9.41</v>
      </c>
      <c r="H332" s="152"/>
      <c r="I332" s="160">
        <f t="shared" si="4"/>
        <v>37632.739999999991</v>
      </c>
    </row>
    <row r="333" spans="2:9" x14ac:dyDescent="0.25">
      <c r="B333" s="148"/>
      <c r="C333" s="148" t="s">
        <v>19371</v>
      </c>
      <c r="D333" s="150">
        <v>43966</v>
      </c>
      <c r="E333" s="113" t="s">
        <v>19370</v>
      </c>
      <c r="F333" s="257" t="s">
        <v>14412</v>
      </c>
      <c r="G333" s="258">
        <v>14.36</v>
      </c>
      <c r="H333" s="152"/>
      <c r="I333" s="160">
        <f t="shared" si="4"/>
        <v>37647.099999999991</v>
      </c>
    </row>
    <row r="334" spans="2:9" x14ac:dyDescent="0.25">
      <c r="B334" s="148"/>
      <c r="C334" s="148" t="s">
        <v>19369</v>
      </c>
      <c r="D334" s="150">
        <v>43966</v>
      </c>
      <c r="E334" s="113" t="s">
        <v>19368</v>
      </c>
      <c r="F334" s="257" t="s">
        <v>14412</v>
      </c>
      <c r="G334" s="258">
        <v>2.34</v>
      </c>
      <c r="H334" s="152"/>
      <c r="I334" s="160">
        <f t="shared" si="4"/>
        <v>37649.439999999988</v>
      </c>
    </row>
    <row r="335" spans="2:9" x14ac:dyDescent="0.25">
      <c r="B335" s="148"/>
      <c r="C335" s="148" t="s">
        <v>19367</v>
      </c>
      <c r="D335" s="150">
        <v>43966</v>
      </c>
      <c r="E335" s="113" t="s">
        <v>19366</v>
      </c>
      <c r="F335" s="257" t="s">
        <v>14412</v>
      </c>
      <c r="G335" s="258">
        <v>14.14</v>
      </c>
      <c r="H335" s="152"/>
      <c r="I335" s="160">
        <f t="shared" si="4"/>
        <v>37663.579999999987</v>
      </c>
    </row>
    <row r="336" spans="2:9" x14ac:dyDescent="0.25">
      <c r="B336" s="148"/>
      <c r="C336" s="148" t="s">
        <v>19365</v>
      </c>
      <c r="D336" s="150">
        <v>43966</v>
      </c>
      <c r="E336" s="113" t="s">
        <v>19364</v>
      </c>
      <c r="F336" s="256">
        <v>10</v>
      </c>
      <c r="G336" s="255">
        <v>6.05</v>
      </c>
      <c r="H336" s="152"/>
      <c r="I336" s="160">
        <f t="shared" si="4"/>
        <v>37669.62999999999</v>
      </c>
    </row>
    <row r="337" spans="2:9" x14ac:dyDescent="0.25">
      <c r="B337" s="148"/>
      <c r="C337" s="148" t="s">
        <v>19363</v>
      </c>
      <c r="D337" s="150">
        <v>43966</v>
      </c>
      <c r="E337" s="113" t="s">
        <v>19362</v>
      </c>
      <c r="F337" s="256">
        <v>10</v>
      </c>
      <c r="G337" s="255">
        <v>7.76</v>
      </c>
      <c r="H337" s="152"/>
      <c r="I337" s="160">
        <f t="shared" si="4"/>
        <v>37677.389999999992</v>
      </c>
    </row>
    <row r="338" spans="2:9" x14ac:dyDescent="0.25">
      <c r="B338" s="148"/>
      <c r="C338" s="148" t="s">
        <v>19361</v>
      </c>
      <c r="D338" s="150">
        <v>43966</v>
      </c>
      <c r="E338" s="113" t="s">
        <v>19360</v>
      </c>
      <c r="F338" s="256">
        <v>10</v>
      </c>
      <c r="G338" s="255">
        <v>3.88</v>
      </c>
      <c r="H338" s="152"/>
      <c r="I338" s="160">
        <f t="shared" si="4"/>
        <v>37681.26999999999</v>
      </c>
    </row>
    <row r="339" spans="2:9" x14ac:dyDescent="0.25">
      <c r="B339" s="148"/>
      <c r="C339" s="148" t="s">
        <v>19359</v>
      </c>
      <c r="D339" s="150">
        <v>43966</v>
      </c>
      <c r="E339" s="113" t="s">
        <v>19358</v>
      </c>
      <c r="F339" s="256">
        <v>10</v>
      </c>
      <c r="G339" s="255">
        <v>90.84</v>
      </c>
      <c r="H339" s="152"/>
      <c r="I339" s="160">
        <f t="shared" si="4"/>
        <v>37772.109999999986</v>
      </c>
    </row>
    <row r="340" spans="2:9" x14ac:dyDescent="0.25">
      <c r="B340" s="148"/>
      <c r="C340" s="148" t="s">
        <v>19357</v>
      </c>
      <c r="D340" s="150">
        <v>43966</v>
      </c>
      <c r="E340" s="113" t="s">
        <v>19356</v>
      </c>
      <c r="F340" s="256">
        <v>10</v>
      </c>
      <c r="G340" s="255">
        <v>12.23</v>
      </c>
      <c r="H340" s="152"/>
      <c r="I340" s="160">
        <f t="shared" ref="I340:I403" si="5">+I339+G340-H340</f>
        <v>37784.339999999989</v>
      </c>
    </row>
    <row r="341" spans="2:9" x14ac:dyDescent="0.25">
      <c r="B341" s="148"/>
      <c r="C341" s="148" t="s">
        <v>19355</v>
      </c>
      <c r="D341" s="150">
        <v>43966</v>
      </c>
      <c r="E341" s="113" t="s">
        <v>19354</v>
      </c>
      <c r="F341" s="256">
        <v>10</v>
      </c>
      <c r="G341" s="255">
        <v>1.68</v>
      </c>
      <c r="H341" s="152"/>
      <c r="I341" s="160">
        <f t="shared" si="5"/>
        <v>37786.01999999999</v>
      </c>
    </row>
    <row r="342" spans="2:9" x14ac:dyDescent="0.25">
      <c r="B342" s="148"/>
      <c r="C342" s="148" t="s">
        <v>19353</v>
      </c>
      <c r="D342" s="150">
        <v>43966</v>
      </c>
      <c r="E342" s="113" t="s">
        <v>19352</v>
      </c>
      <c r="F342" s="257" t="s">
        <v>14436</v>
      </c>
      <c r="G342" s="160">
        <v>103.39</v>
      </c>
      <c r="H342" s="152"/>
      <c r="I342" s="160">
        <f t="shared" si="5"/>
        <v>37889.409999999989</v>
      </c>
    </row>
    <row r="343" spans="2:9" ht="19.5" x14ac:dyDescent="0.25">
      <c r="B343" s="148"/>
      <c r="C343" s="148" t="s">
        <v>19351</v>
      </c>
      <c r="D343" s="150">
        <v>43966</v>
      </c>
      <c r="E343" s="113" t="s">
        <v>19350</v>
      </c>
      <c r="F343" s="257" t="s">
        <v>14436</v>
      </c>
      <c r="G343" s="160">
        <v>11.59</v>
      </c>
      <c r="H343" s="152"/>
      <c r="I343" s="160">
        <f t="shared" si="5"/>
        <v>37900.999999999985</v>
      </c>
    </row>
    <row r="344" spans="2:9" ht="19.5" x14ac:dyDescent="0.25">
      <c r="B344" s="148"/>
      <c r="C344" s="148" t="s">
        <v>1744</v>
      </c>
      <c r="D344" s="150">
        <v>43966</v>
      </c>
      <c r="E344" s="113" t="s">
        <v>19349</v>
      </c>
      <c r="F344" s="257" t="s">
        <v>14409</v>
      </c>
      <c r="G344" s="152"/>
      <c r="H344" s="161">
        <v>24.65</v>
      </c>
      <c r="I344" s="160">
        <f t="shared" si="5"/>
        <v>37876.349999999984</v>
      </c>
    </row>
    <row r="345" spans="2:9" ht="19.5" x14ac:dyDescent="0.25">
      <c r="B345" s="148"/>
      <c r="C345" s="148" t="s">
        <v>1432</v>
      </c>
      <c r="D345" s="150">
        <v>43966</v>
      </c>
      <c r="E345" s="113" t="s">
        <v>19348</v>
      </c>
      <c r="F345" s="257" t="s">
        <v>14433</v>
      </c>
      <c r="G345" s="152"/>
      <c r="H345" s="161">
        <v>88</v>
      </c>
      <c r="I345" s="160">
        <f t="shared" si="5"/>
        <v>37788.349999999984</v>
      </c>
    </row>
    <row r="346" spans="2:9" x14ac:dyDescent="0.25">
      <c r="B346" s="148"/>
      <c r="C346" s="148" t="s">
        <v>407</v>
      </c>
      <c r="D346" s="150">
        <v>43966</v>
      </c>
      <c r="E346" s="113" t="s">
        <v>19347</v>
      </c>
      <c r="F346" s="257" t="s">
        <v>14433</v>
      </c>
      <c r="G346" s="152"/>
      <c r="H346" s="161">
        <v>2800</v>
      </c>
      <c r="I346" s="160">
        <f t="shared" si="5"/>
        <v>34988.349999999984</v>
      </c>
    </row>
    <row r="347" spans="2:9" x14ac:dyDescent="0.25">
      <c r="B347" s="148"/>
      <c r="C347" s="148" t="s">
        <v>19346</v>
      </c>
      <c r="D347" s="150">
        <v>43966</v>
      </c>
      <c r="E347" s="113" t="s">
        <v>19345</v>
      </c>
      <c r="F347" s="257" t="s">
        <v>14433</v>
      </c>
      <c r="G347" s="152"/>
      <c r="H347" s="161">
        <v>521.57000000000005</v>
      </c>
      <c r="I347" s="160">
        <f t="shared" si="5"/>
        <v>34466.779999999984</v>
      </c>
    </row>
    <row r="348" spans="2:9" ht="19.5" x14ac:dyDescent="0.25">
      <c r="B348" s="148"/>
      <c r="C348" s="148" t="s">
        <v>18390</v>
      </c>
      <c r="D348" s="150">
        <v>43966</v>
      </c>
      <c r="E348" s="113" t="s">
        <v>19344</v>
      </c>
      <c r="F348" s="257" t="s">
        <v>14433</v>
      </c>
      <c r="G348" s="152"/>
      <c r="H348" s="161">
        <v>1800</v>
      </c>
      <c r="I348" s="160">
        <f t="shared" si="5"/>
        <v>32666.779999999984</v>
      </c>
    </row>
    <row r="349" spans="2:9" x14ac:dyDescent="0.25">
      <c r="B349" s="148"/>
      <c r="C349" s="148" t="s">
        <v>16354</v>
      </c>
      <c r="D349" s="150">
        <v>43966</v>
      </c>
      <c r="E349" s="113" t="s">
        <v>19343</v>
      </c>
      <c r="F349" s="257" t="s">
        <v>14433</v>
      </c>
      <c r="G349" s="152"/>
      <c r="H349" s="161">
        <v>11.95</v>
      </c>
      <c r="I349" s="160">
        <f t="shared" si="5"/>
        <v>32654.829999999984</v>
      </c>
    </row>
    <row r="350" spans="2:9" ht="19.5" x14ac:dyDescent="0.25">
      <c r="B350" s="148"/>
      <c r="C350" s="148" t="s">
        <v>16351</v>
      </c>
      <c r="D350" s="150">
        <v>43966</v>
      </c>
      <c r="E350" s="113" t="s">
        <v>19342</v>
      </c>
      <c r="F350" s="257" t="s">
        <v>14433</v>
      </c>
      <c r="G350" s="152"/>
      <c r="H350" s="161">
        <v>10.23</v>
      </c>
      <c r="I350" s="160">
        <f t="shared" si="5"/>
        <v>32644.599999999984</v>
      </c>
    </row>
    <row r="351" spans="2:9" x14ac:dyDescent="0.25">
      <c r="B351" s="148"/>
      <c r="C351" s="148" t="s">
        <v>19341</v>
      </c>
      <c r="D351" s="150">
        <v>43967</v>
      </c>
      <c r="E351" s="113" t="s">
        <v>19340</v>
      </c>
      <c r="F351" s="257" t="s">
        <v>14412</v>
      </c>
      <c r="G351" s="258">
        <v>23.19</v>
      </c>
      <c r="H351" s="152"/>
      <c r="I351" s="160">
        <f t="shared" si="5"/>
        <v>32667.789999999983</v>
      </c>
    </row>
    <row r="352" spans="2:9" x14ac:dyDescent="0.25">
      <c r="B352" s="148"/>
      <c r="C352" s="148" t="s">
        <v>19339</v>
      </c>
      <c r="D352" s="150">
        <v>43967</v>
      </c>
      <c r="E352" s="113" t="s">
        <v>19338</v>
      </c>
      <c r="F352" s="257" t="s">
        <v>14412</v>
      </c>
      <c r="G352" s="258">
        <v>27.17</v>
      </c>
      <c r="H352" s="152"/>
      <c r="I352" s="160">
        <f t="shared" si="5"/>
        <v>32694.959999999981</v>
      </c>
    </row>
    <row r="353" spans="2:9" x14ac:dyDescent="0.25">
      <c r="B353" s="148"/>
      <c r="C353" s="148" t="s">
        <v>19337</v>
      </c>
      <c r="D353" s="150">
        <v>43967</v>
      </c>
      <c r="E353" s="113" t="s">
        <v>19336</v>
      </c>
      <c r="F353" s="257" t="s">
        <v>14412</v>
      </c>
      <c r="G353" s="258">
        <v>39.69</v>
      </c>
      <c r="H353" s="152"/>
      <c r="I353" s="160">
        <f t="shared" si="5"/>
        <v>32734.64999999998</v>
      </c>
    </row>
    <row r="354" spans="2:9" x14ac:dyDescent="0.25">
      <c r="B354" s="148"/>
      <c r="C354" s="148" t="s">
        <v>19335</v>
      </c>
      <c r="D354" s="150">
        <v>43967</v>
      </c>
      <c r="E354" s="113" t="s">
        <v>19334</v>
      </c>
      <c r="F354" s="257" t="s">
        <v>14412</v>
      </c>
      <c r="G354" s="258">
        <v>29.06</v>
      </c>
      <c r="H354" s="152"/>
      <c r="I354" s="160">
        <f t="shared" si="5"/>
        <v>32763.709999999981</v>
      </c>
    </row>
    <row r="355" spans="2:9" ht="19.5" x14ac:dyDescent="0.25">
      <c r="B355" s="148"/>
      <c r="C355" s="148" t="s">
        <v>19333</v>
      </c>
      <c r="D355" s="150">
        <v>43967</v>
      </c>
      <c r="E355" s="113" t="s">
        <v>19332</v>
      </c>
      <c r="F355" s="257" t="s">
        <v>14412</v>
      </c>
      <c r="G355" s="258">
        <v>5.32</v>
      </c>
      <c r="H355" s="152"/>
      <c r="I355" s="160">
        <f t="shared" si="5"/>
        <v>32769.029999999984</v>
      </c>
    </row>
    <row r="356" spans="2:9" x14ac:dyDescent="0.25">
      <c r="B356" s="148"/>
      <c r="C356" s="148" t="s">
        <v>19331</v>
      </c>
      <c r="D356" s="150">
        <v>43967</v>
      </c>
      <c r="E356" s="113" t="s">
        <v>19330</v>
      </c>
      <c r="F356" s="257" t="s">
        <v>14412</v>
      </c>
      <c r="G356" s="258">
        <v>20.84</v>
      </c>
      <c r="H356" s="152"/>
      <c r="I356" s="160">
        <f t="shared" si="5"/>
        <v>32789.869999999981</v>
      </c>
    </row>
    <row r="357" spans="2:9" x14ac:dyDescent="0.25">
      <c r="B357" s="148"/>
      <c r="C357" s="148" t="s">
        <v>19329</v>
      </c>
      <c r="D357" s="150">
        <v>43967</v>
      </c>
      <c r="E357" s="113" t="s">
        <v>19328</v>
      </c>
      <c r="F357" s="257" t="s">
        <v>14412</v>
      </c>
      <c r="G357" s="258">
        <v>7.49</v>
      </c>
      <c r="H357" s="152"/>
      <c r="I357" s="160">
        <f t="shared" si="5"/>
        <v>32797.359999999979</v>
      </c>
    </row>
    <row r="358" spans="2:9" ht="19.5" x14ac:dyDescent="0.25">
      <c r="B358" s="148"/>
      <c r="C358" s="148" t="s">
        <v>19327</v>
      </c>
      <c r="D358" s="150">
        <v>43967</v>
      </c>
      <c r="E358" s="113" t="s">
        <v>19326</v>
      </c>
      <c r="F358" s="257" t="s">
        <v>14412</v>
      </c>
      <c r="G358" s="258">
        <v>8.32</v>
      </c>
      <c r="H358" s="152"/>
      <c r="I358" s="160">
        <f t="shared" si="5"/>
        <v>32805.679999999978</v>
      </c>
    </row>
    <row r="359" spans="2:9" x14ac:dyDescent="0.25">
      <c r="B359" s="148"/>
      <c r="C359" s="148" t="s">
        <v>19325</v>
      </c>
      <c r="D359" s="150">
        <v>43968</v>
      </c>
      <c r="E359" s="113" t="s">
        <v>19324</v>
      </c>
      <c r="F359" s="257" t="s">
        <v>14412</v>
      </c>
      <c r="G359" s="258">
        <v>1.68</v>
      </c>
      <c r="H359" s="152"/>
      <c r="I359" s="160">
        <f t="shared" si="5"/>
        <v>32807.359999999979</v>
      </c>
    </row>
    <row r="360" spans="2:9" x14ac:dyDescent="0.25">
      <c r="B360" s="148"/>
      <c r="C360" s="148" t="s">
        <v>19323</v>
      </c>
      <c r="D360" s="150">
        <v>43968</v>
      </c>
      <c r="E360" s="113" t="s">
        <v>19322</v>
      </c>
      <c r="F360" s="257" t="s">
        <v>14412</v>
      </c>
      <c r="G360" s="258">
        <v>16.29</v>
      </c>
      <c r="H360" s="152"/>
      <c r="I360" s="160">
        <f t="shared" si="5"/>
        <v>32823.64999999998</v>
      </c>
    </row>
    <row r="361" spans="2:9" x14ac:dyDescent="0.25">
      <c r="B361" s="148"/>
      <c r="C361" s="148" t="s">
        <v>19321</v>
      </c>
      <c r="D361" s="150">
        <v>43968</v>
      </c>
      <c r="E361" s="113" t="s">
        <v>19320</v>
      </c>
      <c r="F361" s="256" t="s">
        <v>18712</v>
      </c>
      <c r="G361" s="160">
        <v>2.81</v>
      </c>
      <c r="H361" s="152"/>
      <c r="I361" s="160">
        <f t="shared" si="5"/>
        <v>32826.459999999977</v>
      </c>
    </row>
    <row r="362" spans="2:9" ht="19.5" x14ac:dyDescent="0.25">
      <c r="B362" s="148"/>
      <c r="C362" s="148" t="s">
        <v>19319</v>
      </c>
      <c r="D362" s="150">
        <v>43969</v>
      </c>
      <c r="E362" s="113" t="s">
        <v>19318</v>
      </c>
      <c r="F362" s="257" t="s">
        <v>14412</v>
      </c>
      <c r="G362" s="258">
        <v>4.1900000000000004</v>
      </c>
      <c r="H362" s="152"/>
      <c r="I362" s="160">
        <f t="shared" si="5"/>
        <v>32830.64999999998</v>
      </c>
    </row>
    <row r="363" spans="2:9" x14ac:dyDescent="0.25">
      <c r="B363" s="148"/>
      <c r="C363" s="148" t="s">
        <v>19317</v>
      </c>
      <c r="D363" s="150">
        <v>43969</v>
      </c>
      <c r="E363" s="113" t="s">
        <v>19316</v>
      </c>
      <c r="F363" s="257" t="s">
        <v>14412</v>
      </c>
      <c r="G363" s="258">
        <v>4.22</v>
      </c>
      <c r="H363" s="152"/>
      <c r="I363" s="160">
        <f t="shared" si="5"/>
        <v>32834.869999999981</v>
      </c>
    </row>
    <row r="364" spans="2:9" x14ac:dyDescent="0.25">
      <c r="B364" s="148"/>
      <c r="C364" s="148" t="s">
        <v>19315</v>
      </c>
      <c r="D364" s="150">
        <v>43969</v>
      </c>
      <c r="E364" s="113" t="s">
        <v>19314</v>
      </c>
      <c r="F364" s="257" t="s">
        <v>14412</v>
      </c>
      <c r="G364" s="258">
        <v>3.76</v>
      </c>
      <c r="H364" s="152"/>
      <c r="I364" s="160">
        <f t="shared" si="5"/>
        <v>32838.629999999983</v>
      </c>
    </row>
    <row r="365" spans="2:9" x14ac:dyDescent="0.25">
      <c r="B365" s="148"/>
      <c r="C365" s="148" t="s">
        <v>19313</v>
      </c>
      <c r="D365" s="150">
        <v>43969</v>
      </c>
      <c r="E365" s="113" t="s">
        <v>19312</v>
      </c>
      <c r="F365" s="257" t="s">
        <v>14412</v>
      </c>
      <c r="G365" s="258">
        <v>8.6999999999999993</v>
      </c>
      <c r="H365" s="152"/>
      <c r="I365" s="160">
        <f t="shared" si="5"/>
        <v>32847.32999999998</v>
      </c>
    </row>
    <row r="366" spans="2:9" ht="19.5" x14ac:dyDescent="0.25">
      <c r="B366" s="148"/>
      <c r="C366" s="148" t="s">
        <v>19311</v>
      </c>
      <c r="D366" s="150">
        <v>43969</v>
      </c>
      <c r="E366" s="113" t="s">
        <v>19310</v>
      </c>
      <c r="F366" s="257" t="s">
        <v>14412</v>
      </c>
      <c r="G366" s="258">
        <v>4.74</v>
      </c>
      <c r="H366" s="152"/>
      <c r="I366" s="160">
        <f t="shared" si="5"/>
        <v>32852.069999999978</v>
      </c>
    </row>
    <row r="367" spans="2:9" x14ac:dyDescent="0.25">
      <c r="B367" s="148"/>
      <c r="C367" s="148" t="s">
        <v>19309</v>
      </c>
      <c r="D367" s="150">
        <v>43969</v>
      </c>
      <c r="E367" s="113" t="s">
        <v>19308</v>
      </c>
      <c r="F367" s="257" t="s">
        <v>14412</v>
      </c>
      <c r="G367" s="258">
        <v>92.35</v>
      </c>
      <c r="H367" s="152"/>
      <c r="I367" s="160">
        <f t="shared" si="5"/>
        <v>32944.419999999976</v>
      </c>
    </row>
    <row r="368" spans="2:9" x14ac:dyDescent="0.25">
      <c r="B368" s="148"/>
      <c r="C368" s="148" t="s">
        <v>19307</v>
      </c>
      <c r="D368" s="150">
        <v>43969</v>
      </c>
      <c r="E368" s="113" t="s">
        <v>19306</v>
      </c>
      <c r="F368" s="257" t="s">
        <v>14412</v>
      </c>
      <c r="G368" s="258">
        <v>3.66</v>
      </c>
      <c r="H368" s="152"/>
      <c r="I368" s="160">
        <f t="shared" si="5"/>
        <v>32948.07999999998</v>
      </c>
    </row>
    <row r="369" spans="2:9" x14ac:dyDescent="0.25">
      <c r="B369" s="148"/>
      <c r="C369" s="148" t="s">
        <v>19305</v>
      </c>
      <c r="D369" s="150">
        <v>43969</v>
      </c>
      <c r="E369" s="113" t="s">
        <v>19304</v>
      </c>
      <c r="F369" s="257" t="s">
        <v>14412</v>
      </c>
      <c r="G369" s="258">
        <v>0.24</v>
      </c>
      <c r="H369" s="152"/>
      <c r="I369" s="160">
        <f t="shared" si="5"/>
        <v>32948.319999999978</v>
      </c>
    </row>
    <row r="370" spans="2:9" x14ac:dyDescent="0.25">
      <c r="B370" s="148"/>
      <c r="C370" s="148" t="s">
        <v>19303</v>
      </c>
      <c r="D370" s="150">
        <v>43969</v>
      </c>
      <c r="E370" s="113" t="s">
        <v>19302</v>
      </c>
      <c r="F370" s="257" t="s">
        <v>14412</v>
      </c>
      <c r="G370" s="258">
        <v>5.78</v>
      </c>
      <c r="H370" s="152"/>
      <c r="I370" s="160">
        <f t="shared" si="5"/>
        <v>32954.099999999977</v>
      </c>
    </row>
    <row r="371" spans="2:9" ht="19.5" x14ac:dyDescent="0.25">
      <c r="B371" s="148"/>
      <c r="C371" s="148" t="s">
        <v>19301</v>
      </c>
      <c r="D371" s="150">
        <v>43969</v>
      </c>
      <c r="E371" s="113" t="s">
        <v>19300</v>
      </c>
      <c r="F371" s="257" t="s">
        <v>14412</v>
      </c>
      <c r="G371" s="258">
        <v>60.86</v>
      </c>
      <c r="H371" s="152"/>
      <c r="I371" s="160">
        <f t="shared" si="5"/>
        <v>33014.959999999977</v>
      </c>
    </row>
    <row r="372" spans="2:9" x14ac:dyDescent="0.25">
      <c r="B372" s="148"/>
      <c r="C372" s="148" t="s">
        <v>19299</v>
      </c>
      <c r="D372" s="150">
        <v>43969</v>
      </c>
      <c r="E372" s="113" t="s">
        <v>19298</v>
      </c>
      <c r="F372" s="257" t="s">
        <v>14412</v>
      </c>
      <c r="G372" s="258">
        <v>13.46</v>
      </c>
      <c r="H372" s="152"/>
      <c r="I372" s="160">
        <f t="shared" si="5"/>
        <v>33028.419999999976</v>
      </c>
    </row>
    <row r="373" spans="2:9" x14ac:dyDescent="0.25">
      <c r="B373" s="148"/>
      <c r="C373" s="148" t="s">
        <v>19297</v>
      </c>
      <c r="D373" s="150">
        <v>43969</v>
      </c>
      <c r="E373" s="113" t="s">
        <v>19296</v>
      </c>
      <c r="F373" s="257" t="s">
        <v>14412</v>
      </c>
      <c r="G373" s="258">
        <v>7.48</v>
      </c>
      <c r="H373" s="152"/>
      <c r="I373" s="160">
        <f t="shared" si="5"/>
        <v>33035.89999999998</v>
      </c>
    </row>
    <row r="374" spans="2:9" x14ac:dyDescent="0.25">
      <c r="B374" s="148"/>
      <c r="C374" s="148" t="s">
        <v>19295</v>
      </c>
      <c r="D374" s="150">
        <v>43969</v>
      </c>
      <c r="E374" s="113" t="s">
        <v>19294</v>
      </c>
      <c r="F374" s="257" t="s">
        <v>14412</v>
      </c>
      <c r="G374" s="258">
        <v>5.4</v>
      </c>
      <c r="H374" s="152"/>
      <c r="I374" s="160">
        <f t="shared" si="5"/>
        <v>33041.299999999981</v>
      </c>
    </row>
    <row r="375" spans="2:9" x14ac:dyDescent="0.25">
      <c r="B375" s="148"/>
      <c r="C375" s="148" t="s">
        <v>19293</v>
      </c>
      <c r="D375" s="150">
        <v>43969</v>
      </c>
      <c r="E375" s="113" t="s">
        <v>19292</v>
      </c>
      <c r="F375" s="257" t="s">
        <v>14412</v>
      </c>
      <c r="G375" s="258">
        <v>7.12</v>
      </c>
      <c r="H375" s="152"/>
      <c r="I375" s="160">
        <f t="shared" si="5"/>
        <v>33048.419999999984</v>
      </c>
    </row>
    <row r="376" spans="2:9" x14ac:dyDescent="0.25">
      <c r="B376" s="148"/>
      <c r="C376" s="148" t="s">
        <v>19291</v>
      </c>
      <c r="D376" s="150">
        <v>43969</v>
      </c>
      <c r="E376" s="113" t="s">
        <v>19290</v>
      </c>
      <c r="F376" s="257" t="s">
        <v>14436</v>
      </c>
      <c r="G376" s="160">
        <v>2.68</v>
      </c>
      <c r="H376" s="152"/>
      <c r="I376" s="160">
        <f t="shared" si="5"/>
        <v>33051.099999999984</v>
      </c>
    </row>
    <row r="377" spans="2:9" x14ac:dyDescent="0.25">
      <c r="B377" s="148"/>
      <c r="C377" s="148" t="s">
        <v>19289</v>
      </c>
      <c r="D377" s="150">
        <v>43969</v>
      </c>
      <c r="E377" s="113" t="s">
        <v>19288</v>
      </c>
      <c r="F377" s="256">
        <v>11</v>
      </c>
      <c r="G377" s="255">
        <v>10.3</v>
      </c>
      <c r="H377" s="152"/>
      <c r="I377" s="160">
        <f t="shared" si="5"/>
        <v>33061.399999999987</v>
      </c>
    </row>
    <row r="378" spans="2:9" x14ac:dyDescent="0.25">
      <c r="B378" s="148"/>
      <c r="C378" s="148" t="s">
        <v>19287</v>
      </c>
      <c r="D378" s="150">
        <v>43969</v>
      </c>
      <c r="E378" s="113" t="s">
        <v>19286</v>
      </c>
      <c r="F378" s="256">
        <v>11</v>
      </c>
      <c r="G378" s="255">
        <v>26.62</v>
      </c>
      <c r="H378" s="152"/>
      <c r="I378" s="160">
        <f t="shared" si="5"/>
        <v>33088.01999999999</v>
      </c>
    </row>
    <row r="379" spans="2:9" x14ac:dyDescent="0.25">
      <c r="B379" s="148"/>
      <c r="C379" s="148" t="s">
        <v>19285</v>
      </c>
      <c r="D379" s="150">
        <v>43969</v>
      </c>
      <c r="E379" s="113" t="s">
        <v>19284</v>
      </c>
      <c r="F379" s="256">
        <v>11</v>
      </c>
      <c r="G379" s="255">
        <v>16.760000000000002</v>
      </c>
      <c r="H379" s="152"/>
      <c r="I379" s="160">
        <f t="shared" si="5"/>
        <v>33104.779999999992</v>
      </c>
    </row>
    <row r="380" spans="2:9" x14ac:dyDescent="0.25">
      <c r="B380" s="148"/>
      <c r="C380" s="148" t="s">
        <v>19283</v>
      </c>
      <c r="D380" s="150">
        <v>43969</v>
      </c>
      <c r="E380" s="113" t="s">
        <v>19282</v>
      </c>
      <c r="F380" s="256">
        <v>11</v>
      </c>
      <c r="G380" s="255">
        <v>3.58</v>
      </c>
      <c r="H380" s="152"/>
      <c r="I380" s="160">
        <f t="shared" si="5"/>
        <v>33108.359999999993</v>
      </c>
    </row>
    <row r="381" spans="2:9" x14ac:dyDescent="0.25">
      <c r="B381" s="148"/>
      <c r="C381" s="148" t="s">
        <v>19281</v>
      </c>
      <c r="D381" s="150">
        <v>43969</v>
      </c>
      <c r="E381" s="113" t="s">
        <v>19280</v>
      </c>
      <c r="F381" s="256">
        <v>11</v>
      </c>
      <c r="G381" s="255">
        <v>6.37</v>
      </c>
      <c r="H381" s="152"/>
      <c r="I381" s="160">
        <f t="shared" si="5"/>
        <v>33114.729999999996</v>
      </c>
    </row>
    <row r="382" spans="2:9" x14ac:dyDescent="0.25">
      <c r="B382" s="148"/>
      <c r="C382" s="148" t="s">
        <v>19279</v>
      </c>
      <c r="D382" s="150">
        <v>43969</v>
      </c>
      <c r="E382" s="113" t="s">
        <v>19278</v>
      </c>
      <c r="F382" s="256">
        <v>11</v>
      </c>
      <c r="G382" s="255">
        <v>6.05</v>
      </c>
      <c r="H382" s="152"/>
      <c r="I382" s="160">
        <f t="shared" si="5"/>
        <v>33120.78</v>
      </c>
    </row>
    <row r="383" spans="2:9" x14ac:dyDescent="0.25">
      <c r="B383" s="148"/>
      <c r="C383" s="148" t="s">
        <v>19277</v>
      </c>
      <c r="D383" s="150">
        <v>43969</v>
      </c>
      <c r="E383" s="113" t="s">
        <v>19276</v>
      </c>
      <c r="F383" s="257" t="s">
        <v>14436</v>
      </c>
      <c r="G383" s="160">
        <v>73.75</v>
      </c>
      <c r="H383" s="152"/>
      <c r="I383" s="160">
        <f t="shared" si="5"/>
        <v>33194.53</v>
      </c>
    </row>
    <row r="384" spans="2:9" x14ac:dyDescent="0.25">
      <c r="B384" s="148"/>
      <c r="C384" s="148" t="s">
        <v>19275</v>
      </c>
      <c r="D384" s="150">
        <v>43970</v>
      </c>
      <c r="E384" s="113" t="s">
        <v>19274</v>
      </c>
      <c r="F384" s="257" t="s">
        <v>14412</v>
      </c>
      <c r="G384" s="258">
        <v>4.6500000000000004</v>
      </c>
      <c r="H384" s="152"/>
      <c r="I384" s="160">
        <f t="shared" si="5"/>
        <v>33199.18</v>
      </c>
    </row>
    <row r="385" spans="2:9" x14ac:dyDescent="0.25">
      <c r="B385" s="148"/>
      <c r="C385" s="148" t="s">
        <v>19273</v>
      </c>
      <c r="D385" s="150">
        <v>43970</v>
      </c>
      <c r="E385" s="113" t="s">
        <v>19272</v>
      </c>
      <c r="F385" s="257" t="s">
        <v>14412</v>
      </c>
      <c r="G385" s="258">
        <v>8.61</v>
      </c>
      <c r="H385" s="152"/>
      <c r="I385" s="160">
        <f t="shared" si="5"/>
        <v>33207.79</v>
      </c>
    </row>
    <row r="386" spans="2:9" x14ac:dyDescent="0.25">
      <c r="B386" s="148"/>
      <c r="C386" s="148" t="s">
        <v>19271</v>
      </c>
      <c r="D386" s="150">
        <v>43970</v>
      </c>
      <c r="E386" s="113" t="s">
        <v>19270</v>
      </c>
      <c r="F386" s="257" t="s">
        <v>14412</v>
      </c>
      <c r="G386" s="258">
        <v>2.3199999999999998</v>
      </c>
      <c r="H386" s="152"/>
      <c r="I386" s="160">
        <f t="shared" si="5"/>
        <v>33210.11</v>
      </c>
    </row>
    <row r="387" spans="2:9" x14ac:dyDescent="0.25">
      <c r="B387" s="148"/>
      <c r="C387" s="148" t="s">
        <v>19269</v>
      </c>
      <c r="D387" s="150">
        <v>43970</v>
      </c>
      <c r="E387" s="113" t="s">
        <v>19268</v>
      </c>
      <c r="F387" s="257" t="s">
        <v>14412</v>
      </c>
      <c r="G387" s="258">
        <v>2.2400000000000002</v>
      </c>
      <c r="H387" s="152"/>
      <c r="I387" s="160">
        <f t="shared" si="5"/>
        <v>33212.35</v>
      </c>
    </row>
    <row r="388" spans="2:9" x14ac:dyDescent="0.25">
      <c r="B388" s="148"/>
      <c r="C388" s="148" t="s">
        <v>19267</v>
      </c>
      <c r="D388" s="150">
        <v>43970</v>
      </c>
      <c r="E388" s="113" t="s">
        <v>19266</v>
      </c>
      <c r="F388" s="257" t="s">
        <v>14412</v>
      </c>
      <c r="G388" s="258">
        <v>9.92</v>
      </c>
      <c r="H388" s="152"/>
      <c r="I388" s="160">
        <f t="shared" si="5"/>
        <v>33222.269999999997</v>
      </c>
    </row>
    <row r="389" spans="2:9" ht="19.5" x14ac:dyDescent="0.25">
      <c r="B389" s="148"/>
      <c r="C389" s="148" t="s">
        <v>19265</v>
      </c>
      <c r="D389" s="150">
        <v>43970</v>
      </c>
      <c r="E389" s="113" t="s">
        <v>19264</v>
      </c>
      <c r="F389" s="257" t="s">
        <v>14412</v>
      </c>
      <c r="G389" s="258">
        <v>5.04</v>
      </c>
      <c r="H389" s="152"/>
      <c r="I389" s="160">
        <f t="shared" si="5"/>
        <v>33227.31</v>
      </c>
    </row>
    <row r="390" spans="2:9" x14ac:dyDescent="0.25">
      <c r="B390" s="148"/>
      <c r="C390" s="148" t="s">
        <v>19263</v>
      </c>
      <c r="D390" s="150">
        <v>43970</v>
      </c>
      <c r="E390" s="113" t="s">
        <v>19262</v>
      </c>
      <c r="F390" s="256">
        <v>12</v>
      </c>
      <c r="G390" s="255">
        <v>11.37</v>
      </c>
      <c r="H390" s="152"/>
      <c r="I390" s="160">
        <f t="shared" si="5"/>
        <v>33238.68</v>
      </c>
    </row>
    <row r="391" spans="2:9" x14ac:dyDescent="0.25">
      <c r="B391" s="148"/>
      <c r="C391" s="148" t="s">
        <v>19261</v>
      </c>
      <c r="D391" s="150">
        <v>43970</v>
      </c>
      <c r="E391" s="113" t="s">
        <v>19260</v>
      </c>
      <c r="F391" s="256">
        <v>12</v>
      </c>
      <c r="G391" s="255">
        <v>16.079999999999998</v>
      </c>
      <c r="H391" s="152"/>
      <c r="I391" s="160">
        <f t="shared" si="5"/>
        <v>33254.76</v>
      </c>
    </row>
    <row r="392" spans="2:9" x14ac:dyDescent="0.25">
      <c r="B392" s="148"/>
      <c r="C392" s="148" t="s">
        <v>19259</v>
      </c>
      <c r="D392" s="150">
        <v>43970</v>
      </c>
      <c r="E392" s="113" t="s">
        <v>19258</v>
      </c>
      <c r="F392" s="256">
        <v>12</v>
      </c>
      <c r="G392" s="255">
        <v>3.37</v>
      </c>
      <c r="H392" s="152"/>
      <c r="I392" s="160">
        <f t="shared" si="5"/>
        <v>33258.130000000005</v>
      </c>
    </row>
    <row r="393" spans="2:9" x14ac:dyDescent="0.25">
      <c r="B393" s="148"/>
      <c r="C393" s="148" t="s">
        <v>19257</v>
      </c>
      <c r="D393" s="150">
        <v>43970</v>
      </c>
      <c r="E393" s="113" t="s">
        <v>19256</v>
      </c>
      <c r="F393" s="256">
        <v>12</v>
      </c>
      <c r="G393" s="255">
        <v>8.3800000000000008</v>
      </c>
      <c r="H393" s="152"/>
      <c r="I393" s="160">
        <f t="shared" si="5"/>
        <v>33266.51</v>
      </c>
    </row>
    <row r="394" spans="2:9" x14ac:dyDescent="0.25">
      <c r="B394" s="148"/>
      <c r="C394" s="148" t="s">
        <v>19255</v>
      </c>
      <c r="D394" s="150">
        <v>43971</v>
      </c>
      <c r="E394" s="113" t="s">
        <v>19254</v>
      </c>
      <c r="F394" s="257" t="s">
        <v>14412</v>
      </c>
      <c r="G394" s="258">
        <v>1.68</v>
      </c>
      <c r="H394" s="152"/>
      <c r="I394" s="160">
        <f t="shared" si="5"/>
        <v>33268.19</v>
      </c>
    </row>
    <row r="395" spans="2:9" x14ac:dyDescent="0.25">
      <c r="B395" s="148"/>
      <c r="C395" s="148" t="s">
        <v>19253</v>
      </c>
      <c r="D395" s="150">
        <v>43971</v>
      </c>
      <c r="E395" s="113" t="s">
        <v>19252</v>
      </c>
      <c r="F395" s="257" t="s">
        <v>14412</v>
      </c>
      <c r="G395" s="258">
        <v>2.2000000000000002</v>
      </c>
      <c r="H395" s="152"/>
      <c r="I395" s="160">
        <f t="shared" si="5"/>
        <v>33270.39</v>
      </c>
    </row>
    <row r="396" spans="2:9" x14ac:dyDescent="0.25">
      <c r="B396" s="148"/>
      <c r="C396" s="148" t="s">
        <v>19251</v>
      </c>
      <c r="D396" s="150">
        <v>43971</v>
      </c>
      <c r="E396" s="113" t="s">
        <v>19250</v>
      </c>
      <c r="F396" s="257" t="s">
        <v>14412</v>
      </c>
      <c r="G396" s="258">
        <v>3.36</v>
      </c>
      <c r="H396" s="152"/>
      <c r="I396" s="160">
        <f t="shared" si="5"/>
        <v>33273.75</v>
      </c>
    </row>
    <row r="397" spans="2:9" x14ac:dyDescent="0.25">
      <c r="B397" s="148"/>
      <c r="C397" s="148" t="s">
        <v>19249</v>
      </c>
      <c r="D397" s="150">
        <v>43971</v>
      </c>
      <c r="E397" s="113" t="s">
        <v>19248</v>
      </c>
      <c r="F397" s="257" t="s">
        <v>14412</v>
      </c>
      <c r="G397" s="258">
        <v>37.130000000000003</v>
      </c>
      <c r="H397" s="152"/>
      <c r="I397" s="160">
        <f t="shared" si="5"/>
        <v>33310.879999999997</v>
      </c>
    </row>
    <row r="398" spans="2:9" x14ac:dyDescent="0.25">
      <c r="B398" s="148"/>
      <c r="C398" s="148" t="s">
        <v>19247</v>
      </c>
      <c r="D398" s="150">
        <v>43971</v>
      </c>
      <c r="E398" s="113" t="s">
        <v>19246</v>
      </c>
      <c r="F398" s="257" t="s">
        <v>14412</v>
      </c>
      <c r="G398" s="258">
        <v>26.93</v>
      </c>
      <c r="H398" s="152"/>
      <c r="I398" s="160">
        <f t="shared" si="5"/>
        <v>33337.81</v>
      </c>
    </row>
    <row r="399" spans="2:9" x14ac:dyDescent="0.25">
      <c r="B399" s="148"/>
      <c r="C399" s="148" t="s">
        <v>19245</v>
      </c>
      <c r="D399" s="150">
        <v>43971</v>
      </c>
      <c r="E399" s="113" t="s">
        <v>19244</v>
      </c>
      <c r="F399" s="257" t="s">
        <v>14412</v>
      </c>
      <c r="G399" s="258">
        <v>10.39</v>
      </c>
      <c r="H399" s="152"/>
      <c r="I399" s="160">
        <f t="shared" si="5"/>
        <v>33348.199999999997</v>
      </c>
    </row>
    <row r="400" spans="2:9" x14ac:dyDescent="0.25">
      <c r="B400" s="148"/>
      <c r="C400" s="148" t="s">
        <v>19243</v>
      </c>
      <c r="D400" s="150">
        <v>43971</v>
      </c>
      <c r="E400" s="113" t="s">
        <v>19242</v>
      </c>
      <c r="F400" s="257" t="s">
        <v>14412</v>
      </c>
      <c r="G400" s="258">
        <v>83.74</v>
      </c>
      <c r="H400" s="152"/>
      <c r="I400" s="160">
        <f t="shared" si="5"/>
        <v>33431.939999999995</v>
      </c>
    </row>
    <row r="401" spans="2:9" x14ac:dyDescent="0.25">
      <c r="B401" s="148"/>
      <c r="C401" s="148" t="s">
        <v>19241</v>
      </c>
      <c r="D401" s="150">
        <v>43971</v>
      </c>
      <c r="E401" s="113" t="s">
        <v>19240</v>
      </c>
      <c r="F401" s="257" t="s">
        <v>14412</v>
      </c>
      <c r="G401" s="258">
        <v>9.06</v>
      </c>
      <c r="H401" s="152"/>
      <c r="I401" s="160">
        <f t="shared" si="5"/>
        <v>33440.999999999993</v>
      </c>
    </row>
    <row r="402" spans="2:9" x14ac:dyDescent="0.25">
      <c r="B402" s="148"/>
      <c r="C402" s="148" t="s">
        <v>19239</v>
      </c>
      <c r="D402" s="150">
        <v>43971</v>
      </c>
      <c r="E402" s="113" t="s">
        <v>19238</v>
      </c>
      <c r="F402" s="257" t="s">
        <v>14412</v>
      </c>
      <c r="G402" s="258">
        <v>13.88</v>
      </c>
      <c r="H402" s="152"/>
      <c r="I402" s="160">
        <f t="shared" si="5"/>
        <v>33454.87999999999</v>
      </c>
    </row>
    <row r="403" spans="2:9" x14ac:dyDescent="0.25">
      <c r="B403" s="148"/>
      <c r="C403" s="148" t="s">
        <v>19237</v>
      </c>
      <c r="D403" s="150">
        <v>43971</v>
      </c>
      <c r="E403" s="113" t="s">
        <v>19236</v>
      </c>
      <c r="F403" s="257" t="s">
        <v>14412</v>
      </c>
      <c r="G403" s="258">
        <v>4.87</v>
      </c>
      <c r="H403" s="152"/>
      <c r="I403" s="160">
        <f t="shared" si="5"/>
        <v>33459.749999999993</v>
      </c>
    </row>
    <row r="404" spans="2:9" ht="19.5" x14ac:dyDescent="0.25">
      <c r="B404" s="148"/>
      <c r="C404" s="148" t="s">
        <v>19235</v>
      </c>
      <c r="D404" s="150">
        <v>43971</v>
      </c>
      <c r="E404" s="113" t="s">
        <v>19234</v>
      </c>
      <c r="F404" s="257" t="s">
        <v>14412</v>
      </c>
      <c r="G404" s="258">
        <v>6.72</v>
      </c>
      <c r="H404" s="152"/>
      <c r="I404" s="160">
        <f t="shared" ref="I404:I467" si="6">+I403+G404-H404</f>
        <v>33466.469999999994</v>
      </c>
    </row>
    <row r="405" spans="2:9" x14ac:dyDescent="0.25">
      <c r="B405" s="148"/>
      <c r="C405" s="148" t="s">
        <v>19233</v>
      </c>
      <c r="D405" s="150">
        <v>43971</v>
      </c>
      <c r="E405" s="113" t="s">
        <v>19232</v>
      </c>
      <c r="F405" s="257" t="s">
        <v>14412</v>
      </c>
      <c r="G405" s="258">
        <v>3.45</v>
      </c>
      <c r="H405" s="152"/>
      <c r="I405" s="160">
        <f t="shared" si="6"/>
        <v>33469.919999999991</v>
      </c>
    </row>
    <row r="406" spans="2:9" ht="19.5" x14ac:dyDescent="0.25">
      <c r="B406" s="148"/>
      <c r="C406" s="148" t="s">
        <v>19231</v>
      </c>
      <c r="D406" s="150">
        <v>43971</v>
      </c>
      <c r="E406" s="113" t="s">
        <v>19230</v>
      </c>
      <c r="F406" s="257" t="s">
        <v>14412</v>
      </c>
      <c r="G406" s="258">
        <v>34.76</v>
      </c>
      <c r="H406" s="152"/>
      <c r="I406" s="160">
        <f t="shared" si="6"/>
        <v>33504.679999999993</v>
      </c>
    </row>
    <row r="407" spans="2:9" x14ac:dyDescent="0.25">
      <c r="B407" s="148"/>
      <c r="C407" s="148" t="s">
        <v>19229</v>
      </c>
      <c r="D407" s="150">
        <v>43971</v>
      </c>
      <c r="E407" s="113" t="s">
        <v>19228</v>
      </c>
      <c r="F407" s="257" t="s">
        <v>14412</v>
      </c>
      <c r="G407" s="258">
        <v>14.44</v>
      </c>
      <c r="H407" s="152"/>
      <c r="I407" s="160">
        <f t="shared" si="6"/>
        <v>33519.119999999995</v>
      </c>
    </row>
    <row r="408" spans="2:9" x14ac:dyDescent="0.25">
      <c r="B408" s="148"/>
      <c r="C408" s="148" t="s">
        <v>19227</v>
      </c>
      <c r="D408" s="150">
        <v>43971</v>
      </c>
      <c r="E408" s="113" t="s">
        <v>19226</v>
      </c>
      <c r="F408" s="257" t="s">
        <v>14412</v>
      </c>
      <c r="G408" s="258">
        <v>7.34</v>
      </c>
      <c r="H408" s="152"/>
      <c r="I408" s="160">
        <f t="shared" si="6"/>
        <v>33526.459999999992</v>
      </c>
    </row>
    <row r="409" spans="2:9" x14ac:dyDescent="0.25">
      <c r="B409" s="148"/>
      <c r="C409" s="148" t="s">
        <v>19225</v>
      </c>
      <c r="D409" s="150">
        <v>43971</v>
      </c>
      <c r="E409" s="113" t="s">
        <v>19224</v>
      </c>
      <c r="F409" s="257" t="s">
        <v>14412</v>
      </c>
      <c r="G409" s="258">
        <v>13.11</v>
      </c>
      <c r="H409" s="152"/>
      <c r="I409" s="160">
        <f t="shared" si="6"/>
        <v>33539.569999999992</v>
      </c>
    </row>
    <row r="410" spans="2:9" x14ac:dyDescent="0.25">
      <c r="B410" s="148"/>
      <c r="C410" s="148" t="s">
        <v>19223</v>
      </c>
      <c r="D410" s="150">
        <v>43971</v>
      </c>
      <c r="E410" s="113" t="s">
        <v>19222</v>
      </c>
      <c r="F410" s="257" t="s">
        <v>14412</v>
      </c>
      <c r="G410" s="258">
        <v>25.14</v>
      </c>
      <c r="H410" s="152"/>
      <c r="I410" s="160">
        <f t="shared" si="6"/>
        <v>33564.709999999992</v>
      </c>
    </row>
    <row r="411" spans="2:9" ht="19.5" x14ac:dyDescent="0.25">
      <c r="B411" s="148"/>
      <c r="C411" s="148" t="s">
        <v>19221</v>
      </c>
      <c r="D411" s="150">
        <v>43971</v>
      </c>
      <c r="E411" s="113" t="s">
        <v>19220</v>
      </c>
      <c r="F411" s="257" t="s">
        <v>14412</v>
      </c>
      <c r="G411" s="258">
        <v>19.149999999999999</v>
      </c>
      <c r="H411" s="152"/>
      <c r="I411" s="160">
        <f t="shared" si="6"/>
        <v>33583.859999999993</v>
      </c>
    </row>
    <row r="412" spans="2:9" x14ac:dyDescent="0.25">
      <c r="B412" s="148"/>
      <c r="C412" s="148" t="s">
        <v>19219</v>
      </c>
      <c r="D412" s="150">
        <v>43971</v>
      </c>
      <c r="E412" s="113" t="s">
        <v>19218</v>
      </c>
      <c r="F412" s="256">
        <v>13</v>
      </c>
      <c r="G412" s="255">
        <v>11.56</v>
      </c>
      <c r="H412" s="152"/>
      <c r="I412" s="160">
        <f t="shared" si="6"/>
        <v>33595.419999999991</v>
      </c>
    </row>
    <row r="413" spans="2:9" x14ac:dyDescent="0.25">
      <c r="B413" s="148"/>
      <c r="C413" s="148" t="s">
        <v>19217</v>
      </c>
      <c r="D413" s="150">
        <v>43971</v>
      </c>
      <c r="E413" s="113" t="s">
        <v>19216</v>
      </c>
      <c r="F413" s="256">
        <v>13</v>
      </c>
      <c r="G413" s="255">
        <v>25.14</v>
      </c>
      <c r="H413" s="152"/>
      <c r="I413" s="160">
        <f t="shared" si="6"/>
        <v>33620.55999999999</v>
      </c>
    </row>
    <row r="414" spans="2:9" x14ac:dyDescent="0.25">
      <c r="B414" s="148"/>
      <c r="C414" s="148" t="s">
        <v>19215</v>
      </c>
      <c r="D414" s="150">
        <v>43971</v>
      </c>
      <c r="E414" s="113" t="s">
        <v>19214</v>
      </c>
      <c r="F414" s="257" t="s">
        <v>14436</v>
      </c>
      <c r="G414" s="160">
        <v>20</v>
      </c>
      <c r="H414" s="152"/>
      <c r="I414" s="160">
        <f t="shared" si="6"/>
        <v>33640.55999999999</v>
      </c>
    </row>
    <row r="415" spans="2:9" x14ac:dyDescent="0.25">
      <c r="B415" s="148"/>
      <c r="C415" s="148" t="s">
        <v>19213</v>
      </c>
      <c r="D415" s="150">
        <v>43971</v>
      </c>
      <c r="E415" s="113" t="s">
        <v>19212</v>
      </c>
      <c r="F415" s="257" t="s">
        <v>14433</v>
      </c>
      <c r="G415" s="152"/>
      <c r="H415" s="161">
        <v>121.21</v>
      </c>
      <c r="I415" s="160">
        <f t="shared" si="6"/>
        <v>33519.349999999991</v>
      </c>
    </row>
    <row r="416" spans="2:9" ht="19.5" x14ac:dyDescent="0.25">
      <c r="B416" s="148"/>
      <c r="C416" s="148" t="s">
        <v>19211</v>
      </c>
      <c r="D416" s="150">
        <v>43972</v>
      </c>
      <c r="E416" s="113" t="s">
        <v>19210</v>
      </c>
      <c r="F416" s="257" t="s">
        <v>14412</v>
      </c>
      <c r="G416" s="258">
        <v>8.86</v>
      </c>
      <c r="H416" s="152"/>
      <c r="I416" s="160">
        <f t="shared" si="6"/>
        <v>33528.209999999992</v>
      </c>
    </row>
    <row r="417" spans="2:9" x14ac:dyDescent="0.25">
      <c r="B417" s="148"/>
      <c r="C417" s="148" t="s">
        <v>19209</v>
      </c>
      <c r="D417" s="150">
        <v>43972</v>
      </c>
      <c r="E417" s="113" t="s">
        <v>19208</v>
      </c>
      <c r="F417" s="257" t="s">
        <v>14412</v>
      </c>
      <c r="G417" s="258">
        <v>4.9800000000000004</v>
      </c>
      <c r="H417" s="152"/>
      <c r="I417" s="160">
        <f t="shared" si="6"/>
        <v>33533.189999999995</v>
      </c>
    </row>
    <row r="418" spans="2:9" x14ac:dyDescent="0.25">
      <c r="B418" s="148"/>
      <c r="C418" s="148" t="s">
        <v>19207</v>
      </c>
      <c r="D418" s="150">
        <v>43972</v>
      </c>
      <c r="E418" s="113" t="s">
        <v>19206</v>
      </c>
      <c r="F418" s="257" t="s">
        <v>14412</v>
      </c>
      <c r="G418" s="258">
        <v>8.86</v>
      </c>
      <c r="H418" s="152"/>
      <c r="I418" s="160">
        <f t="shared" si="6"/>
        <v>33542.049999999996</v>
      </c>
    </row>
    <row r="419" spans="2:9" x14ac:dyDescent="0.25">
      <c r="B419" s="148"/>
      <c r="C419" s="148" t="s">
        <v>19205</v>
      </c>
      <c r="D419" s="150">
        <v>43972</v>
      </c>
      <c r="E419" s="113" t="s">
        <v>19204</v>
      </c>
      <c r="F419" s="257" t="s">
        <v>14412</v>
      </c>
      <c r="G419" s="258">
        <v>38.68</v>
      </c>
      <c r="H419" s="152"/>
      <c r="I419" s="160">
        <f t="shared" si="6"/>
        <v>33580.729999999996</v>
      </c>
    </row>
    <row r="420" spans="2:9" x14ac:dyDescent="0.25">
      <c r="B420" s="148"/>
      <c r="C420" s="148" t="s">
        <v>19203</v>
      </c>
      <c r="D420" s="150">
        <v>43972</v>
      </c>
      <c r="E420" s="113" t="s">
        <v>19202</v>
      </c>
      <c r="F420" s="257" t="s">
        <v>14412</v>
      </c>
      <c r="G420" s="258">
        <v>2.15</v>
      </c>
      <c r="H420" s="152"/>
      <c r="I420" s="160">
        <f t="shared" si="6"/>
        <v>33582.879999999997</v>
      </c>
    </row>
    <row r="421" spans="2:9" ht="19.5" x14ac:dyDescent="0.25">
      <c r="B421" s="148"/>
      <c r="C421" s="148" t="s">
        <v>19201</v>
      </c>
      <c r="D421" s="150">
        <v>43972</v>
      </c>
      <c r="E421" s="113" t="s">
        <v>19200</v>
      </c>
      <c r="F421" s="257" t="s">
        <v>14412</v>
      </c>
      <c r="G421" s="258">
        <v>7.41</v>
      </c>
      <c r="H421" s="152"/>
      <c r="I421" s="160">
        <f t="shared" si="6"/>
        <v>33590.29</v>
      </c>
    </row>
    <row r="422" spans="2:9" x14ac:dyDescent="0.25">
      <c r="B422" s="148"/>
      <c r="C422" s="148" t="s">
        <v>19199</v>
      </c>
      <c r="D422" s="150">
        <v>43972</v>
      </c>
      <c r="E422" s="113" t="s">
        <v>19198</v>
      </c>
      <c r="F422" s="257" t="s">
        <v>14412</v>
      </c>
      <c r="G422" s="258">
        <v>14.8</v>
      </c>
      <c r="H422" s="152"/>
      <c r="I422" s="160">
        <f t="shared" si="6"/>
        <v>33605.090000000004</v>
      </c>
    </row>
    <row r="423" spans="2:9" x14ac:dyDescent="0.25">
      <c r="B423" s="148"/>
      <c r="C423" s="148" t="s">
        <v>19197</v>
      </c>
      <c r="D423" s="150">
        <v>43972</v>
      </c>
      <c r="E423" s="113" t="s">
        <v>19196</v>
      </c>
      <c r="F423" s="257" t="s">
        <v>14412</v>
      </c>
      <c r="G423" s="258">
        <v>8.8000000000000007</v>
      </c>
      <c r="H423" s="152"/>
      <c r="I423" s="160">
        <f t="shared" si="6"/>
        <v>33613.890000000007</v>
      </c>
    </row>
    <row r="424" spans="2:9" x14ac:dyDescent="0.25">
      <c r="B424" s="148"/>
      <c r="C424" s="148" t="s">
        <v>19195</v>
      </c>
      <c r="D424" s="150">
        <v>43972</v>
      </c>
      <c r="E424" s="113" t="s">
        <v>19194</v>
      </c>
      <c r="F424" s="257" t="s">
        <v>14412</v>
      </c>
      <c r="G424" s="258">
        <v>1.68</v>
      </c>
      <c r="H424" s="152"/>
      <c r="I424" s="160">
        <f t="shared" si="6"/>
        <v>33615.570000000007</v>
      </c>
    </row>
    <row r="425" spans="2:9" x14ac:dyDescent="0.25">
      <c r="B425" s="148"/>
      <c r="C425" s="148" t="s">
        <v>19193</v>
      </c>
      <c r="D425" s="150">
        <v>43972</v>
      </c>
      <c r="E425" s="113" t="s">
        <v>19192</v>
      </c>
      <c r="F425" s="257" t="s">
        <v>14412</v>
      </c>
      <c r="G425" s="258">
        <v>16.760000000000002</v>
      </c>
      <c r="H425" s="152"/>
      <c r="I425" s="160">
        <f t="shared" si="6"/>
        <v>33632.330000000009</v>
      </c>
    </row>
    <row r="426" spans="2:9" x14ac:dyDescent="0.25">
      <c r="B426" s="148"/>
      <c r="C426" s="148" t="s">
        <v>19191</v>
      </c>
      <c r="D426" s="150">
        <v>43972</v>
      </c>
      <c r="E426" s="113" t="s">
        <v>19190</v>
      </c>
      <c r="F426" s="257" t="s">
        <v>14412</v>
      </c>
      <c r="G426" s="258">
        <v>9.6199999999999992</v>
      </c>
      <c r="H426" s="152"/>
      <c r="I426" s="160">
        <f t="shared" si="6"/>
        <v>33641.950000000012</v>
      </c>
    </row>
    <row r="427" spans="2:9" x14ac:dyDescent="0.25">
      <c r="B427" s="148"/>
      <c r="C427" s="148" t="s">
        <v>19189</v>
      </c>
      <c r="D427" s="150">
        <v>43972</v>
      </c>
      <c r="E427" s="113" t="s">
        <v>19188</v>
      </c>
      <c r="F427" s="256">
        <v>14</v>
      </c>
      <c r="G427" s="255">
        <v>0.45</v>
      </c>
      <c r="H427" s="152"/>
      <c r="I427" s="160">
        <f t="shared" si="6"/>
        <v>33642.400000000009</v>
      </c>
    </row>
    <row r="428" spans="2:9" x14ac:dyDescent="0.25">
      <c r="B428" s="148"/>
      <c r="C428" s="148" t="s">
        <v>19187</v>
      </c>
      <c r="D428" s="150">
        <v>43972</v>
      </c>
      <c r="E428" s="113" t="s">
        <v>19186</v>
      </c>
      <c r="F428" s="256">
        <v>14</v>
      </c>
      <c r="G428" s="255">
        <v>38.92</v>
      </c>
      <c r="H428" s="152"/>
      <c r="I428" s="160">
        <f t="shared" si="6"/>
        <v>33681.320000000007</v>
      </c>
    </row>
    <row r="429" spans="2:9" x14ac:dyDescent="0.25">
      <c r="B429" s="148"/>
      <c r="C429" s="148" t="s">
        <v>19185</v>
      </c>
      <c r="D429" s="150">
        <v>43972</v>
      </c>
      <c r="E429" s="113" t="s">
        <v>19184</v>
      </c>
      <c r="F429" s="256">
        <v>14</v>
      </c>
      <c r="G429" s="255">
        <v>16.89</v>
      </c>
      <c r="H429" s="152"/>
      <c r="I429" s="160">
        <f t="shared" si="6"/>
        <v>33698.210000000006</v>
      </c>
    </row>
    <row r="430" spans="2:9" x14ac:dyDescent="0.25">
      <c r="B430" s="148"/>
      <c r="C430" s="148" t="s">
        <v>19183</v>
      </c>
      <c r="D430" s="150">
        <v>43972</v>
      </c>
      <c r="E430" s="113" t="s">
        <v>19182</v>
      </c>
      <c r="F430" s="256">
        <v>14</v>
      </c>
      <c r="G430" s="255">
        <v>1.68</v>
      </c>
      <c r="H430" s="152"/>
      <c r="I430" s="160">
        <f t="shared" si="6"/>
        <v>33699.890000000007</v>
      </c>
    </row>
    <row r="431" spans="2:9" x14ac:dyDescent="0.25">
      <c r="B431" s="148"/>
      <c r="C431" s="148" t="s">
        <v>19181</v>
      </c>
      <c r="D431" s="150">
        <v>43972</v>
      </c>
      <c r="E431" s="113" t="s">
        <v>19180</v>
      </c>
      <c r="F431" s="257" t="s">
        <v>14436</v>
      </c>
      <c r="G431" s="160">
        <v>1.94</v>
      </c>
      <c r="H431" s="152"/>
      <c r="I431" s="160">
        <f t="shared" si="6"/>
        <v>33701.830000000009</v>
      </c>
    </row>
    <row r="432" spans="2:9" x14ac:dyDescent="0.25">
      <c r="B432" s="148"/>
      <c r="C432" s="148" t="s">
        <v>1104</v>
      </c>
      <c r="D432" s="150">
        <v>43972</v>
      </c>
      <c r="E432" s="113" t="s">
        <v>19179</v>
      </c>
      <c r="F432" s="257" t="s">
        <v>14433</v>
      </c>
      <c r="G432" s="152"/>
      <c r="H432" s="161">
        <v>926.17</v>
      </c>
      <c r="I432" s="160">
        <f t="shared" si="6"/>
        <v>32775.660000000011</v>
      </c>
    </row>
    <row r="433" spans="2:9" x14ac:dyDescent="0.25">
      <c r="B433" s="148"/>
      <c r="C433" s="148" t="s">
        <v>19178</v>
      </c>
      <c r="D433" s="150">
        <v>43973</v>
      </c>
      <c r="E433" s="113" t="s">
        <v>19177</v>
      </c>
      <c r="F433" s="257" t="s">
        <v>14436</v>
      </c>
      <c r="G433" s="160">
        <v>5.71</v>
      </c>
      <c r="H433" s="152"/>
      <c r="I433" s="160">
        <f t="shared" si="6"/>
        <v>32781.37000000001</v>
      </c>
    </row>
    <row r="434" spans="2:9" x14ac:dyDescent="0.25">
      <c r="B434" s="148"/>
      <c r="C434" s="148" t="s">
        <v>19176</v>
      </c>
      <c r="D434" s="150">
        <v>43973</v>
      </c>
      <c r="E434" s="113" t="s">
        <v>19175</v>
      </c>
      <c r="F434" s="257" t="s">
        <v>14436</v>
      </c>
      <c r="G434" s="160">
        <v>8.14</v>
      </c>
      <c r="H434" s="152"/>
      <c r="I434" s="160">
        <f t="shared" si="6"/>
        <v>32789.510000000009</v>
      </c>
    </row>
    <row r="435" spans="2:9" ht="19.5" x14ac:dyDescent="0.25">
      <c r="B435" s="148"/>
      <c r="C435" s="148" t="s">
        <v>19174</v>
      </c>
      <c r="D435" s="150">
        <v>43973</v>
      </c>
      <c r="E435" s="113" t="s">
        <v>19173</v>
      </c>
      <c r="F435" s="257" t="s">
        <v>14436</v>
      </c>
      <c r="G435" s="160">
        <v>13.79</v>
      </c>
      <c r="H435" s="152"/>
      <c r="I435" s="160">
        <f t="shared" si="6"/>
        <v>32803.30000000001</v>
      </c>
    </row>
    <row r="436" spans="2:9" x14ac:dyDescent="0.25">
      <c r="B436" s="148"/>
      <c r="C436" s="148" t="s">
        <v>19172</v>
      </c>
      <c r="D436" s="150">
        <v>43973</v>
      </c>
      <c r="E436" s="113" t="s">
        <v>19171</v>
      </c>
      <c r="F436" s="257" t="s">
        <v>14413</v>
      </c>
      <c r="G436" s="258">
        <v>86.41</v>
      </c>
      <c r="H436" s="152"/>
      <c r="I436" s="160">
        <f t="shared" si="6"/>
        <v>32889.710000000014</v>
      </c>
    </row>
    <row r="437" spans="2:9" x14ac:dyDescent="0.25">
      <c r="B437" s="148"/>
      <c r="C437" s="148" t="s">
        <v>19170</v>
      </c>
      <c r="D437" s="150">
        <v>43973</v>
      </c>
      <c r="E437" s="113" t="s">
        <v>19169</v>
      </c>
      <c r="F437" s="257" t="s">
        <v>14413</v>
      </c>
      <c r="G437" s="258">
        <v>1.76</v>
      </c>
      <c r="H437" s="152"/>
      <c r="I437" s="160">
        <f t="shared" si="6"/>
        <v>32891.470000000016</v>
      </c>
    </row>
    <row r="438" spans="2:9" ht="19.5" x14ac:dyDescent="0.25">
      <c r="B438" s="148"/>
      <c r="C438" s="148" t="s">
        <v>19168</v>
      </c>
      <c r="D438" s="150">
        <v>43973</v>
      </c>
      <c r="E438" s="113" t="s">
        <v>19167</v>
      </c>
      <c r="F438" s="257" t="s">
        <v>14413</v>
      </c>
      <c r="G438" s="258">
        <v>14.46</v>
      </c>
      <c r="H438" s="152"/>
      <c r="I438" s="160">
        <f t="shared" si="6"/>
        <v>32905.930000000015</v>
      </c>
    </row>
    <row r="439" spans="2:9" x14ac:dyDescent="0.25">
      <c r="B439" s="148"/>
      <c r="C439" s="148" t="s">
        <v>19166</v>
      </c>
      <c r="D439" s="150">
        <v>43973</v>
      </c>
      <c r="E439" s="113" t="s">
        <v>19165</v>
      </c>
      <c r="F439" s="257" t="s">
        <v>14413</v>
      </c>
      <c r="G439" s="258">
        <v>9.2100000000000009</v>
      </c>
      <c r="H439" s="152"/>
      <c r="I439" s="160">
        <f t="shared" si="6"/>
        <v>32915.140000000014</v>
      </c>
    </row>
    <row r="440" spans="2:9" x14ac:dyDescent="0.25">
      <c r="B440" s="148"/>
      <c r="C440" s="148" t="s">
        <v>19164</v>
      </c>
      <c r="D440" s="150">
        <v>43973</v>
      </c>
      <c r="E440" s="113" t="s">
        <v>19163</v>
      </c>
      <c r="F440" s="257" t="s">
        <v>14413</v>
      </c>
      <c r="G440" s="258">
        <v>20.13</v>
      </c>
      <c r="H440" s="152"/>
      <c r="I440" s="160">
        <f t="shared" si="6"/>
        <v>32935.270000000011</v>
      </c>
    </row>
    <row r="441" spans="2:9" x14ac:dyDescent="0.25">
      <c r="B441" s="148"/>
      <c r="C441" s="148" t="s">
        <v>19162</v>
      </c>
      <c r="D441" s="150">
        <v>43973</v>
      </c>
      <c r="E441" s="113" t="s">
        <v>19161</v>
      </c>
      <c r="F441" s="257" t="s">
        <v>14413</v>
      </c>
      <c r="G441" s="258">
        <v>9.3699999999999992</v>
      </c>
      <c r="H441" s="152"/>
      <c r="I441" s="160">
        <f t="shared" si="6"/>
        <v>32944.640000000014</v>
      </c>
    </row>
    <row r="442" spans="2:9" x14ac:dyDescent="0.25">
      <c r="B442" s="148"/>
      <c r="C442" s="148" t="s">
        <v>19160</v>
      </c>
      <c r="D442" s="150">
        <v>43973</v>
      </c>
      <c r="E442" s="113" t="s">
        <v>19159</v>
      </c>
      <c r="F442" s="257" t="s">
        <v>14413</v>
      </c>
      <c r="G442" s="258">
        <v>3.41</v>
      </c>
      <c r="H442" s="152"/>
      <c r="I442" s="160">
        <f t="shared" si="6"/>
        <v>32948.050000000017</v>
      </c>
    </row>
    <row r="443" spans="2:9" x14ac:dyDescent="0.25">
      <c r="B443" s="148"/>
      <c r="C443" s="148" t="s">
        <v>19158</v>
      </c>
      <c r="D443" s="150">
        <v>43973</v>
      </c>
      <c r="E443" s="113" t="s">
        <v>19157</v>
      </c>
      <c r="F443" s="257" t="s">
        <v>14413</v>
      </c>
      <c r="G443" s="258">
        <v>14.32</v>
      </c>
      <c r="H443" s="152"/>
      <c r="I443" s="160">
        <f t="shared" si="6"/>
        <v>32962.370000000017</v>
      </c>
    </row>
    <row r="444" spans="2:9" x14ac:dyDescent="0.25">
      <c r="B444" s="148"/>
      <c r="C444" s="148" t="s">
        <v>19156</v>
      </c>
      <c r="D444" s="150">
        <v>43973</v>
      </c>
      <c r="E444" s="113" t="s">
        <v>19155</v>
      </c>
      <c r="F444" s="257" t="s">
        <v>14413</v>
      </c>
      <c r="G444" s="258">
        <v>7.72</v>
      </c>
      <c r="H444" s="152"/>
      <c r="I444" s="160">
        <f t="shared" si="6"/>
        <v>32970.090000000018</v>
      </c>
    </row>
    <row r="445" spans="2:9" ht="19.5" x14ac:dyDescent="0.25">
      <c r="B445" s="148"/>
      <c r="C445" s="148" t="s">
        <v>19154</v>
      </c>
      <c r="D445" s="150">
        <v>43973</v>
      </c>
      <c r="E445" s="113" t="s">
        <v>19153</v>
      </c>
      <c r="F445" s="257" t="s">
        <v>14413</v>
      </c>
      <c r="G445" s="258">
        <v>3.36</v>
      </c>
      <c r="H445" s="152"/>
      <c r="I445" s="160">
        <f t="shared" si="6"/>
        <v>32973.450000000019</v>
      </c>
    </row>
    <row r="446" spans="2:9" x14ac:dyDescent="0.25">
      <c r="B446" s="148"/>
      <c r="C446" s="148" t="s">
        <v>19152</v>
      </c>
      <c r="D446" s="150">
        <v>43973</v>
      </c>
      <c r="E446" s="113" t="s">
        <v>19151</v>
      </c>
      <c r="F446" s="257" t="s">
        <v>14413</v>
      </c>
      <c r="G446" s="258">
        <v>4.29</v>
      </c>
      <c r="H446" s="152"/>
      <c r="I446" s="160">
        <f t="shared" si="6"/>
        <v>32977.74000000002</v>
      </c>
    </row>
    <row r="447" spans="2:9" x14ac:dyDescent="0.25">
      <c r="B447" s="148"/>
      <c r="C447" s="148" t="s">
        <v>19150</v>
      </c>
      <c r="D447" s="150">
        <v>43973</v>
      </c>
      <c r="E447" s="113" t="s">
        <v>19149</v>
      </c>
      <c r="F447" s="257" t="s">
        <v>14413</v>
      </c>
      <c r="G447" s="258">
        <v>7.82</v>
      </c>
      <c r="H447" s="152"/>
      <c r="I447" s="160">
        <f t="shared" si="6"/>
        <v>32985.560000000019</v>
      </c>
    </row>
    <row r="448" spans="2:9" x14ac:dyDescent="0.25">
      <c r="B448" s="148"/>
      <c r="C448" s="148" t="s">
        <v>19148</v>
      </c>
      <c r="D448" s="150">
        <v>43973</v>
      </c>
      <c r="E448" s="113" t="s">
        <v>19147</v>
      </c>
      <c r="F448" s="257" t="s">
        <v>14413</v>
      </c>
      <c r="G448" s="258">
        <v>25.94</v>
      </c>
      <c r="H448" s="152"/>
      <c r="I448" s="160">
        <f t="shared" si="6"/>
        <v>33011.500000000022</v>
      </c>
    </row>
    <row r="449" spans="2:9" x14ac:dyDescent="0.25">
      <c r="B449" s="148"/>
      <c r="C449" s="148" t="s">
        <v>19146</v>
      </c>
      <c r="D449" s="150">
        <v>43973</v>
      </c>
      <c r="E449" s="113" t="s">
        <v>19145</v>
      </c>
      <c r="F449" s="257" t="s">
        <v>14413</v>
      </c>
      <c r="G449" s="258">
        <v>38.33</v>
      </c>
      <c r="H449" s="152"/>
      <c r="I449" s="160">
        <f t="shared" si="6"/>
        <v>33049.830000000024</v>
      </c>
    </row>
    <row r="450" spans="2:9" ht="19.5" x14ac:dyDescent="0.25">
      <c r="B450" s="148"/>
      <c r="C450" s="148" t="s">
        <v>19144</v>
      </c>
      <c r="D450" s="150">
        <v>43973</v>
      </c>
      <c r="E450" s="113" t="s">
        <v>19143</v>
      </c>
      <c r="F450" s="257" t="s">
        <v>14413</v>
      </c>
      <c r="G450" s="258">
        <v>5.04</v>
      </c>
      <c r="H450" s="152"/>
      <c r="I450" s="160">
        <f t="shared" si="6"/>
        <v>33054.870000000024</v>
      </c>
    </row>
    <row r="451" spans="2:9" x14ac:dyDescent="0.25">
      <c r="B451" s="148"/>
      <c r="C451" s="148" t="s">
        <v>19142</v>
      </c>
      <c r="D451" s="150">
        <v>43973</v>
      </c>
      <c r="E451" s="113" t="s">
        <v>19141</v>
      </c>
      <c r="F451" s="257" t="s">
        <v>14413</v>
      </c>
      <c r="G451" s="258">
        <v>9.1199999999999992</v>
      </c>
      <c r="H451" s="152"/>
      <c r="I451" s="160">
        <f t="shared" si="6"/>
        <v>33063.990000000027</v>
      </c>
    </row>
    <row r="452" spans="2:9" x14ac:dyDescent="0.25">
      <c r="B452" s="148"/>
      <c r="C452" s="148" t="s">
        <v>19140</v>
      </c>
      <c r="D452" s="150">
        <v>43973</v>
      </c>
      <c r="E452" s="113" t="s">
        <v>19139</v>
      </c>
      <c r="F452" s="257" t="s">
        <v>14413</v>
      </c>
      <c r="G452" s="258">
        <v>23.25</v>
      </c>
      <c r="H452" s="152"/>
      <c r="I452" s="160">
        <f t="shared" si="6"/>
        <v>33087.240000000027</v>
      </c>
    </row>
    <row r="453" spans="2:9" x14ac:dyDescent="0.25">
      <c r="B453" s="148"/>
      <c r="C453" s="148" t="s">
        <v>19138</v>
      </c>
      <c r="D453" s="150">
        <v>43973</v>
      </c>
      <c r="E453" s="113" t="s">
        <v>19137</v>
      </c>
      <c r="F453" s="257" t="s">
        <v>14413</v>
      </c>
      <c r="G453" s="258">
        <v>4.32</v>
      </c>
      <c r="H453" s="152"/>
      <c r="I453" s="160">
        <f t="shared" si="6"/>
        <v>33091.560000000027</v>
      </c>
    </row>
    <row r="454" spans="2:9" x14ac:dyDescent="0.25">
      <c r="B454" s="148"/>
      <c r="C454" s="148" t="s">
        <v>19136</v>
      </c>
      <c r="D454" s="150">
        <v>43973</v>
      </c>
      <c r="E454" s="113" t="s">
        <v>19135</v>
      </c>
      <c r="F454" s="256">
        <v>15</v>
      </c>
      <c r="G454" s="255">
        <v>4.1900000000000004</v>
      </c>
      <c r="H454" s="152"/>
      <c r="I454" s="160">
        <f t="shared" si="6"/>
        <v>33095.750000000029</v>
      </c>
    </row>
    <row r="455" spans="2:9" x14ac:dyDescent="0.25">
      <c r="B455" s="148"/>
      <c r="C455" s="148" t="s">
        <v>19134</v>
      </c>
      <c r="D455" s="150">
        <v>43973</v>
      </c>
      <c r="E455" s="113" t="s">
        <v>19133</v>
      </c>
      <c r="F455" s="256">
        <v>15</v>
      </c>
      <c r="G455" s="255">
        <v>7.82</v>
      </c>
      <c r="H455" s="152"/>
      <c r="I455" s="160">
        <f t="shared" si="6"/>
        <v>33103.570000000029</v>
      </c>
    </row>
    <row r="456" spans="2:9" x14ac:dyDescent="0.25">
      <c r="B456" s="148"/>
      <c r="C456" s="148" t="s">
        <v>19132</v>
      </c>
      <c r="D456" s="150">
        <v>43973</v>
      </c>
      <c r="E456" s="113" t="s">
        <v>19131</v>
      </c>
      <c r="F456" s="256">
        <v>15</v>
      </c>
      <c r="G456" s="255">
        <v>2.92</v>
      </c>
      <c r="H456" s="152"/>
      <c r="I456" s="160">
        <f t="shared" si="6"/>
        <v>33106.490000000027</v>
      </c>
    </row>
    <row r="457" spans="2:9" x14ac:dyDescent="0.25">
      <c r="B457" s="148"/>
      <c r="C457" s="148" t="s">
        <v>19130</v>
      </c>
      <c r="D457" s="150">
        <v>43973</v>
      </c>
      <c r="E457" s="113" t="s">
        <v>19129</v>
      </c>
      <c r="F457" s="256">
        <v>15</v>
      </c>
      <c r="G457" s="255">
        <v>4.18</v>
      </c>
      <c r="H457" s="152"/>
      <c r="I457" s="160">
        <f t="shared" si="6"/>
        <v>33110.670000000027</v>
      </c>
    </row>
    <row r="458" spans="2:9" ht="19.5" x14ac:dyDescent="0.25">
      <c r="B458" s="148"/>
      <c r="C458" s="148" t="s">
        <v>19128</v>
      </c>
      <c r="D458" s="150">
        <v>43973</v>
      </c>
      <c r="E458" s="113" t="s">
        <v>19127</v>
      </c>
      <c r="F458" s="257" t="s">
        <v>14436</v>
      </c>
      <c r="G458" s="160">
        <v>10.08</v>
      </c>
      <c r="H458" s="152"/>
      <c r="I458" s="160">
        <f t="shared" si="6"/>
        <v>33120.750000000029</v>
      </c>
    </row>
    <row r="459" spans="2:9" x14ac:dyDescent="0.25">
      <c r="B459" s="148"/>
      <c r="C459" s="148" t="s">
        <v>19126</v>
      </c>
      <c r="D459" s="150">
        <v>43974</v>
      </c>
      <c r="E459" s="113" t="s">
        <v>19125</v>
      </c>
      <c r="F459" s="257" t="s">
        <v>14413</v>
      </c>
      <c r="G459" s="258">
        <v>36.03</v>
      </c>
      <c r="H459" s="152"/>
      <c r="I459" s="160">
        <f t="shared" si="6"/>
        <v>33156.780000000028</v>
      </c>
    </row>
    <row r="460" spans="2:9" x14ac:dyDescent="0.25">
      <c r="B460" s="148"/>
      <c r="C460" s="148" t="s">
        <v>19124</v>
      </c>
      <c r="D460" s="150">
        <v>43974</v>
      </c>
      <c r="E460" s="113" t="s">
        <v>19123</v>
      </c>
      <c r="F460" s="257" t="s">
        <v>14413</v>
      </c>
      <c r="G460" s="258">
        <v>13.02</v>
      </c>
      <c r="H460" s="152"/>
      <c r="I460" s="160">
        <f t="shared" si="6"/>
        <v>33169.800000000025</v>
      </c>
    </row>
    <row r="461" spans="2:9" x14ac:dyDescent="0.25">
      <c r="B461" s="148"/>
      <c r="C461" s="148" t="s">
        <v>19122</v>
      </c>
      <c r="D461" s="150">
        <v>43974</v>
      </c>
      <c r="E461" s="113" t="s">
        <v>19121</v>
      </c>
      <c r="F461" s="257" t="s">
        <v>14413</v>
      </c>
      <c r="G461" s="258">
        <v>5.04</v>
      </c>
      <c r="H461" s="152"/>
      <c r="I461" s="160">
        <f t="shared" si="6"/>
        <v>33174.840000000026</v>
      </c>
    </row>
    <row r="462" spans="2:9" x14ac:dyDescent="0.25">
      <c r="B462" s="148"/>
      <c r="C462" s="148" t="s">
        <v>19120</v>
      </c>
      <c r="D462" s="150">
        <v>43974</v>
      </c>
      <c r="E462" s="113" t="s">
        <v>19119</v>
      </c>
      <c r="F462" s="257" t="s">
        <v>14413</v>
      </c>
      <c r="G462" s="258">
        <v>4.78</v>
      </c>
      <c r="H462" s="152"/>
      <c r="I462" s="160">
        <f t="shared" si="6"/>
        <v>33179.620000000024</v>
      </c>
    </row>
    <row r="463" spans="2:9" ht="19.5" x14ac:dyDescent="0.25">
      <c r="B463" s="148"/>
      <c r="C463" s="148" t="s">
        <v>19118</v>
      </c>
      <c r="D463" s="150">
        <v>43974</v>
      </c>
      <c r="E463" s="113" t="s">
        <v>19117</v>
      </c>
      <c r="F463" s="257" t="s">
        <v>14413</v>
      </c>
      <c r="G463" s="258">
        <v>7.43</v>
      </c>
      <c r="H463" s="152"/>
      <c r="I463" s="160">
        <f t="shared" si="6"/>
        <v>33187.050000000025</v>
      </c>
    </row>
    <row r="464" spans="2:9" x14ac:dyDescent="0.25">
      <c r="B464" s="148"/>
      <c r="C464" s="148" t="s">
        <v>19116</v>
      </c>
      <c r="D464" s="150">
        <v>43974</v>
      </c>
      <c r="E464" s="113" t="s">
        <v>19115</v>
      </c>
      <c r="F464" s="257" t="s">
        <v>14413</v>
      </c>
      <c r="G464" s="258">
        <v>16.72</v>
      </c>
      <c r="H464" s="152"/>
      <c r="I464" s="160">
        <f t="shared" si="6"/>
        <v>33203.770000000026</v>
      </c>
    </row>
    <row r="465" spans="2:9" x14ac:dyDescent="0.25">
      <c r="B465" s="148"/>
      <c r="C465" s="148" t="s">
        <v>19114</v>
      </c>
      <c r="D465" s="150">
        <v>43974</v>
      </c>
      <c r="E465" s="113" t="s">
        <v>19113</v>
      </c>
      <c r="F465" s="257" t="s">
        <v>14413</v>
      </c>
      <c r="G465" s="258">
        <v>7.53</v>
      </c>
      <c r="H465" s="152"/>
      <c r="I465" s="160">
        <f t="shared" si="6"/>
        <v>33211.300000000025</v>
      </c>
    </row>
    <row r="466" spans="2:9" x14ac:dyDescent="0.25">
      <c r="B466" s="148"/>
      <c r="C466" s="148" t="s">
        <v>19112</v>
      </c>
      <c r="D466" s="150">
        <v>43974</v>
      </c>
      <c r="E466" s="113" t="s">
        <v>19111</v>
      </c>
      <c r="F466" s="257" t="s">
        <v>14413</v>
      </c>
      <c r="G466" s="258">
        <v>10.71</v>
      </c>
      <c r="H466" s="152"/>
      <c r="I466" s="160">
        <f t="shared" si="6"/>
        <v>33222.010000000024</v>
      </c>
    </row>
    <row r="467" spans="2:9" x14ac:dyDescent="0.25">
      <c r="B467" s="148"/>
      <c r="C467" s="148" t="s">
        <v>19110</v>
      </c>
      <c r="D467" s="150">
        <v>43974</v>
      </c>
      <c r="E467" s="113" t="s">
        <v>19109</v>
      </c>
      <c r="F467" s="257" t="s">
        <v>14413</v>
      </c>
      <c r="G467" s="258">
        <v>32.799999999999997</v>
      </c>
      <c r="H467" s="152"/>
      <c r="I467" s="160">
        <f t="shared" si="6"/>
        <v>33254.810000000027</v>
      </c>
    </row>
    <row r="468" spans="2:9" ht="19.5" x14ac:dyDescent="0.25">
      <c r="B468" s="148"/>
      <c r="C468" s="148" t="s">
        <v>19108</v>
      </c>
      <c r="D468" s="150">
        <v>43974</v>
      </c>
      <c r="E468" s="113" t="s">
        <v>19107</v>
      </c>
      <c r="F468" s="257" t="s">
        <v>14413</v>
      </c>
      <c r="G468" s="258">
        <v>12.2</v>
      </c>
      <c r="H468" s="152"/>
      <c r="I468" s="160">
        <f t="shared" ref="I468:I531" si="7">+I467+G468-H468</f>
        <v>33267.010000000024</v>
      </c>
    </row>
    <row r="469" spans="2:9" ht="19.5" x14ac:dyDescent="0.25">
      <c r="B469" s="148"/>
      <c r="C469" s="148" t="s">
        <v>19106</v>
      </c>
      <c r="D469" s="150">
        <v>43974</v>
      </c>
      <c r="E469" s="113" t="s">
        <v>19105</v>
      </c>
      <c r="F469" s="257" t="s">
        <v>14413</v>
      </c>
      <c r="G469" s="258">
        <v>9.56</v>
      </c>
      <c r="H469" s="152"/>
      <c r="I469" s="160">
        <f t="shared" si="7"/>
        <v>33276.570000000022</v>
      </c>
    </row>
    <row r="470" spans="2:9" x14ac:dyDescent="0.25">
      <c r="B470" s="148"/>
      <c r="C470" s="148" t="s">
        <v>19104</v>
      </c>
      <c r="D470" s="150">
        <v>43974</v>
      </c>
      <c r="E470" s="113" t="s">
        <v>19103</v>
      </c>
      <c r="F470" s="257" t="s">
        <v>14413</v>
      </c>
      <c r="G470" s="258">
        <v>11.46</v>
      </c>
      <c r="H470" s="152"/>
      <c r="I470" s="160">
        <f t="shared" si="7"/>
        <v>33288.030000000021</v>
      </c>
    </row>
    <row r="471" spans="2:9" x14ac:dyDescent="0.25">
      <c r="B471" s="148"/>
      <c r="C471" s="148" t="s">
        <v>19102</v>
      </c>
      <c r="D471" s="150">
        <v>43974</v>
      </c>
      <c r="E471" s="113" t="s">
        <v>19101</v>
      </c>
      <c r="F471" s="257" t="s">
        <v>14413</v>
      </c>
      <c r="G471" s="258">
        <v>47.32</v>
      </c>
      <c r="H471" s="152"/>
      <c r="I471" s="160">
        <f t="shared" si="7"/>
        <v>33335.35000000002</v>
      </c>
    </row>
    <row r="472" spans="2:9" x14ac:dyDescent="0.25">
      <c r="B472" s="148"/>
      <c r="C472" s="148" t="s">
        <v>19100</v>
      </c>
      <c r="D472" s="150">
        <v>43974</v>
      </c>
      <c r="E472" s="113" t="s">
        <v>19099</v>
      </c>
      <c r="F472" s="257" t="s">
        <v>14413</v>
      </c>
      <c r="G472" s="258">
        <v>8.3800000000000008</v>
      </c>
      <c r="H472" s="152"/>
      <c r="I472" s="160">
        <f t="shared" si="7"/>
        <v>33343.730000000018</v>
      </c>
    </row>
    <row r="473" spans="2:9" x14ac:dyDescent="0.25">
      <c r="B473" s="148"/>
      <c r="C473" s="148" t="s">
        <v>19098</v>
      </c>
      <c r="D473" s="150">
        <v>43974</v>
      </c>
      <c r="E473" s="113" t="s">
        <v>19097</v>
      </c>
      <c r="F473" s="257" t="s">
        <v>14413</v>
      </c>
      <c r="G473" s="258">
        <v>4.76</v>
      </c>
      <c r="H473" s="152"/>
      <c r="I473" s="160">
        <f t="shared" si="7"/>
        <v>33348.49000000002</v>
      </c>
    </row>
    <row r="474" spans="2:9" x14ac:dyDescent="0.25">
      <c r="B474" s="148"/>
      <c r="C474" s="148" t="s">
        <v>19096</v>
      </c>
      <c r="D474" s="150">
        <v>43974</v>
      </c>
      <c r="E474" s="113" t="s">
        <v>19095</v>
      </c>
      <c r="F474" s="257" t="s">
        <v>14413</v>
      </c>
      <c r="G474" s="258">
        <v>9.56</v>
      </c>
      <c r="H474" s="152"/>
      <c r="I474" s="160">
        <f t="shared" si="7"/>
        <v>33358.050000000017</v>
      </c>
    </row>
    <row r="475" spans="2:9" x14ac:dyDescent="0.25">
      <c r="B475" s="148"/>
      <c r="C475" s="148" t="s">
        <v>19094</v>
      </c>
      <c r="D475" s="150">
        <v>43974</v>
      </c>
      <c r="E475" s="113" t="s">
        <v>19093</v>
      </c>
      <c r="F475" s="257" t="s">
        <v>14413</v>
      </c>
      <c r="G475" s="258">
        <v>33.520000000000003</v>
      </c>
      <c r="H475" s="152"/>
      <c r="I475" s="160">
        <f t="shared" si="7"/>
        <v>33391.570000000014</v>
      </c>
    </row>
    <row r="476" spans="2:9" x14ac:dyDescent="0.25">
      <c r="B476" s="148"/>
      <c r="C476" s="148" t="s">
        <v>19092</v>
      </c>
      <c r="D476" s="150">
        <v>43974</v>
      </c>
      <c r="E476" s="113" t="s">
        <v>19091</v>
      </c>
      <c r="F476" s="257" t="s">
        <v>14413</v>
      </c>
      <c r="G476" s="258">
        <v>20.82</v>
      </c>
      <c r="H476" s="152"/>
      <c r="I476" s="160">
        <f t="shared" si="7"/>
        <v>33412.390000000014</v>
      </c>
    </row>
    <row r="477" spans="2:9" ht="19.5" x14ac:dyDescent="0.25">
      <c r="B477" s="148"/>
      <c r="C477" s="148" t="s">
        <v>19090</v>
      </c>
      <c r="D477" s="150">
        <v>43974</v>
      </c>
      <c r="E477" s="113" t="s">
        <v>19089</v>
      </c>
      <c r="F477" s="257" t="s">
        <v>14433</v>
      </c>
      <c r="G477" s="152"/>
      <c r="H477" s="161">
        <v>1174.8800000000001</v>
      </c>
      <c r="I477" s="160">
        <f t="shared" si="7"/>
        <v>32237.510000000013</v>
      </c>
    </row>
    <row r="478" spans="2:9" x14ac:dyDescent="0.25">
      <c r="B478" s="148"/>
      <c r="C478" s="148" t="s">
        <v>19088</v>
      </c>
      <c r="D478" s="150">
        <v>43975</v>
      </c>
      <c r="E478" s="113" t="s">
        <v>19087</v>
      </c>
      <c r="F478" s="257" t="s">
        <v>14413</v>
      </c>
      <c r="G478" s="258">
        <v>0.82</v>
      </c>
      <c r="H478" s="152"/>
      <c r="I478" s="160">
        <f t="shared" si="7"/>
        <v>32238.330000000013</v>
      </c>
    </row>
    <row r="479" spans="2:9" x14ac:dyDescent="0.25">
      <c r="B479" s="148"/>
      <c r="C479" s="148" t="s">
        <v>19086</v>
      </c>
      <c r="D479" s="150">
        <v>43975</v>
      </c>
      <c r="E479" s="113" t="s">
        <v>19085</v>
      </c>
      <c r="F479" s="257" t="s">
        <v>14413</v>
      </c>
      <c r="G479" s="258">
        <v>20.04</v>
      </c>
      <c r="H479" s="152"/>
      <c r="I479" s="160">
        <f t="shared" si="7"/>
        <v>32258.370000000014</v>
      </c>
    </row>
    <row r="480" spans="2:9" x14ac:dyDescent="0.25">
      <c r="B480" s="148"/>
      <c r="C480" s="148" t="s">
        <v>19084</v>
      </c>
      <c r="D480" s="150">
        <v>43975</v>
      </c>
      <c r="E480" s="113" t="s">
        <v>19083</v>
      </c>
      <c r="F480" s="257" t="s">
        <v>14413</v>
      </c>
      <c r="G480" s="258">
        <v>1.01</v>
      </c>
      <c r="H480" s="152"/>
      <c r="I480" s="160">
        <f t="shared" si="7"/>
        <v>32259.380000000012</v>
      </c>
    </row>
    <row r="481" spans="2:9" x14ac:dyDescent="0.25">
      <c r="B481" s="148"/>
      <c r="C481" s="148" t="s">
        <v>19082</v>
      </c>
      <c r="D481" s="150">
        <v>43975</v>
      </c>
      <c r="E481" s="113" t="s">
        <v>19081</v>
      </c>
      <c r="F481" s="257" t="s">
        <v>14413</v>
      </c>
      <c r="G481" s="258">
        <v>11.48</v>
      </c>
      <c r="H481" s="152"/>
      <c r="I481" s="160">
        <f t="shared" si="7"/>
        <v>32270.860000000011</v>
      </c>
    </row>
    <row r="482" spans="2:9" x14ac:dyDescent="0.25">
      <c r="B482" s="148"/>
      <c r="C482" s="148" t="s">
        <v>19080</v>
      </c>
      <c r="D482" s="150">
        <v>43975</v>
      </c>
      <c r="E482" s="113" t="s">
        <v>19079</v>
      </c>
      <c r="F482" s="257" t="s">
        <v>14436</v>
      </c>
      <c r="G482" s="160">
        <v>6.94</v>
      </c>
      <c r="H482" s="152"/>
      <c r="I482" s="160">
        <f t="shared" si="7"/>
        <v>32277.80000000001</v>
      </c>
    </row>
    <row r="483" spans="2:9" x14ac:dyDescent="0.25">
      <c r="B483" s="148"/>
      <c r="C483" s="148" t="s">
        <v>19078</v>
      </c>
      <c r="D483" s="150">
        <v>43975</v>
      </c>
      <c r="E483" s="113" t="s">
        <v>19077</v>
      </c>
      <c r="F483" s="257" t="s">
        <v>14436</v>
      </c>
      <c r="G483" s="160">
        <v>10.199999999999999</v>
      </c>
      <c r="H483" s="152"/>
      <c r="I483" s="160">
        <f t="shared" si="7"/>
        <v>32288.000000000011</v>
      </c>
    </row>
    <row r="484" spans="2:9" ht="19.5" x14ac:dyDescent="0.25">
      <c r="B484" s="148"/>
      <c r="C484" s="148" t="s">
        <v>9613</v>
      </c>
      <c r="D484" s="150">
        <v>43976</v>
      </c>
      <c r="E484" s="113" t="s">
        <v>19076</v>
      </c>
      <c r="F484" s="257" t="s">
        <v>14413</v>
      </c>
      <c r="G484" s="258">
        <v>5.04</v>
      </c>
      <c r="H484" s="152"/>
      <c r="I484" s="160">
        <f t="shared" si="7"/>
        <v>32293.040000000012</v>
      </c>
    </row>
    <row r="485" spans="2:9" x14ac:dyDescent="0.25">
      <c r="B485" s="148"/>
      <c r="C485" s="148" t="s">
        <v>19075</v>
      </c>
      <c r="D485" s="150">
        <v>43976</v>
      </c>
      <c r="E485" s="113" t="s">
        <v>19074</v>
      </c>
      <c r="F485" s="257" t="s">
        <v>14413</v>
      </c>
      <c r="G485" s="258">
        <v>6.15</v>
      </c>
      <c r="H485" s="152"/>
      <c r="I485" s="160">
        <f t="shared" si="7"/>
        <v>32299.190000000013</v>
      </c>
    </row>
    <row r="486" spans="2:9" ht="19.5" x14ac:dyDescent="0.25">
      <c r="B486" s="148"/>
      <c r="C486" s="148" t="s">
        <v>19073</v>
      </c>
      <c r="D486" s="150">
        <v>43976</v>
      </c>
      <c r="E486" s="113" t="s">
        <v>19072</v>
      </c>
      <c r="F486" s="257" t="s">
        <v>14413</v>
      </c>
      <c r="G486" s="258">
        <v>9.1300000000000008</v>
      </c>
      <c r="H486" s="152"/>
      <c r="I486" s="160">
        <f t="shared" si="7"/>
        <v>32308.320000000014</v>
      </c>
    </row>
    <row r="487" spans="2:9" x14ac:dyDescent="0.25">
      <c r="B487" s="148"/>
      <c r="C487" s="148" t="s">
        <v>19071</v>
      </c>
      <c r="D487" s="150">
        <v>43976</v>
      </c>
      <c r="E487" s="113" t="s">
        <v>19070</v>
      </c>
      <c r="F487" s="257" t="s">
        <v>14413</v>
      </c>
      <c r="G487" s="258">
        <v>2.2200000000000002</v>
      </c>
      <c r="H487" s="152"/>
      <c r="I487" s="160">
        <f t="shared" si="7"/>
        <v>32310.540000000015</v>
      </c>
    </row>
    <row r="488" spans="2:9" x14ac:dyDescent="0.25">
      <c r="B488" s="148"/>
      <c r="C488" s="148" t="s">
        <v>19069</v>
      </c>
      <c r="D488" s="150">
        <v>43976</v>
      </c>
      <c r="E488" s="113" t="s">
        <v>19068</v>
      </c>
      <c r="F488" s="257" t="s">
        <v>14413</v>
      </c>
      <c r="G488" s="258">
        <v>8.3800000000000008</v>
      </c>
      <c r="H488" s="152"/>
      <c r="I488" s="160">
        <f t="shared" si="7"/>
        <v>32318.920000000016</v>
      </c>
    </row>
    <row r="489" spans="2:9" ht="19.5" x14ac:dyDescent="0.25">
      <c r="B489" s="148"/>
      <c r="C489" s="148" t="s">
        <v>19067</v>
      </c>
      <c r="D489" s="150">
        <v>43976</v>
      </c>
      <c r="E489" s="113" t="s">
        <v>19066</v>
      </c>
      <c r="F489" s="257" t="s">
        <v>14413</v>
      </c>
      <c r="G489" s="258">
        <v>3.38</v>
      </c>
      <c r="H489" s="152"/>
      <c r="I489" s="160">
        <f t="shared" si="7"/>
        <v>32322.300000000017</v>
      </c>
    </row>
    <row r="490" spans="2:9" ht="19.5" x14ac:dyDescent="0.25">
      <c r="B490" s="148"/>
      <c r="C490" s="148" t="s">
        <v>19065</v>
      </c>
      <c r="D490" s="150">
        <v>43976</v>
      </c>
      <c r="E490" s="113" t="s">
        <v>19064</v>
      </c>
      <c r="F490" s="257" t="s">
        <v>14413</v>
      </c>
      <c r="G490" s="258">
        <v>33.520000000000003</v>
      </c>
      <c r="H490" s="152"/>
      <c r="I490" s="160">
        <f t="shared" si="7"/>
        <v>32355.820000000018</v>
      </c>
    </row>
    <row r="491" spans="2:9" ht="19.5" x14ac:dyDescent="0.25">
      <c r="B491" s="148"/>
      <c r="C491" s="148" t="s">
        <v>19063</v>
      </c>
      <c r="D491" s="150">
        <v>43976</v>
      </c>
      <c r="E491" s="113" t="s">
        <v>19062</v>
      </c>
      <c r="F491" s="257" t="s">
        <v>14413</v>
      </c>
      <c r="G491" s="258">
        <v>6.72</v>
      </c>
      <c r="H491" s="152"/>
      <c r="I491" s="160">
        <f t="shared" si="7"/>
        <v>32362.540000000019</v>
      </c>
    </row>
    <row r="492" spans="2:9" x14ac:dyDescent="0.25">
      <c r="B492" s="148"/>
      <c r="C492" s="148" t="s">
        <v>19061</v>
      </c>
      <c r="D492" s="150">
        <v>43976</v>
      </c>
      <c r="E492" s="113" t="s">
        <v>19060</v>
      </c>
      <c r="F492" s="257" t="s">
        <v>14413</v>
      </c>
      <c r="G492" s="258">
        <v>14.65</v>
      </c>
      <c r="H492" s="152"/>
      <c r="I492" s="160">
        <f t="shared" si="7"/>
        <v>32377.190000000021</v>
      </c>
    </row>
    <row r="493" spans="2:9" x14ac:dyDescent="0.25">
      <c r="B493" s="148"/>
      <c r="C493" s="148" t="s">
        <v>19059</v>
      </c>
      <c r="D493" s="150">
        <v>43976</v>
      </c>
      <c r="E493" s="113" t="s">
        <v>19058</v>
      </c>
      <c r="F493" s="257" t="s">
        <v>14413</v>
      </c>
      <c r="G493" s="258">
        <v>8.3800000000000008</v>
      </c>
      <c r="H493" s="152"/>
      <c r="I493" s="160">
        <f t="shared" si="7"/>
        <v>32385.570000000022</v>
      </c>
    </row>
    <row r="494" spans="2:9" x14ac:dyDescent="0.25">
      <c r="B494" s="148"/>
      <c r="C494" s="148" t="s">
        <v>19057</v>
      </c>
      <c r="D494" s="150">
        <v>43976</v>
      </c>
      <c r="E494" s="113" t="s">
        <v>19056</v>
      </c>
      <c r="F494" s="257" t="s">
        <v>14413</v>
      </c>
      <c r="G494" s="258">
        <v>16.350000000000001</v>
      </c>
      <c r="H494" s="152"/>
      <c r="I494" s="160">
        <f t="shared" si="7"/>
        <v>32401.92000000002</v>
      </c>
    </row>
    <row r="495" spans="2:9" ht="19.5" x14ac:dyDescent="0.25">
      <c r="B495" s="148"/>
      <c r="C495" s="148" t="s">
        <v>19055</v>
      </c>
      <c r="D495" s="150">
        <v>43976</v>
      </c>
      <c r="E495" s="113" t="s">
        <v>19054</v>
      </c>
      <c r="F495" s="257" t="s">
        <v>14413</v>
      </c>
      <c r="G495" s="258">
        <v>12.22</v>
      </c>
      <c r="H495" s="152"/>
      <c r="I495" s="160">
        <f t="shared" si="7"/>
        <v>32414.140000000021</v>
      </c>
    </row>
    <row r="496" spans="2:9" x14ac:dyDescent="0.25">
      <c r="B496" s="148"/>
      <c r="C496" s="148" t="s">
        <v>19053</v>
      </c>
      <c r="D496" s="150">
        <v>43976</v>
      </c>
      <c r="E496" s="113" t="s">
        <v>19052</v>
      </c>
      <c r="F496" s="257" t="s">
        <v>14413</v>
      </c>
      <c r="G496" s="258">
        <v>1.99</v>
      </c>
      <c r="H496" s="152"/>
      <c r="I496" s="160">
        <f t="shared" si="7"/>
        <v>32416.130000000023</v>
      </c>
    </row>
    <row r="497" spans="2:9" ht="19.5" x14ac:dyDescent="0.25">
      <c r="B497" s="148"/>
      <c r="C497" s="148" t="s">
        <v>19051</v>
      </c>
      <c r="D497" s="150">
        <v>43976</v>
      </c>
      <c r="E497" s="113" t="s">
        <v>19050</v>
      </c>
      <c r="F497" s="257" t="s">
        <v>14413</v>
      </c>
      <c r="G497" s="258">
        <v>8.4</v>
      </c>
      <c r="H497" s="152"/>
      <c r="I497" s="160">
        <f t="shared" si="7"/>
        <v>32424.530000000024</v>
      </c>
    </row>
    <row r="498" spans="2:9" x14ac:dyDescent="0.25">
      <c r="B498" s="148"/>
      <c r="C498" s="148" t="s">
        <v>19049</v>
      </c>
      <c r="D498" s="150">
        <v>43976</v>
      </c>
      <c r="E498" s="113" t="s">
        <v>19048</v>
      </c>
      <c r="F498" s="257" t="s">
        <v>14413</v>
      </c>
      <c r="G498" s="258">
        <v>2.4300000000000002</v>
      </c>
      <c r="H498" s="152"/>
      <c r="I498" s="160">
        <f t="shared" si="7"/>
        <v>32426.960000000025</v>
      </c>
    </row>
    <row r="499" spans="2:9" ht="19.5" x14ac:dyDescent="0.25">
      <c r="B499" s="148"/>
      <c r="C499" s="148" t="s">
        <v>19047</v>
      </c>
      <c r="D499" s="150">
        <v>43976</v>
      </c>
      <c r="E499" s="113" t="s">
        <v>19046</v>
      </c>
      <c r="F499" s="257" t="s">
        <v>14413</v>
      </c>
      <c r="G499" s="258">
        <v>6.72</v>
      </c>
      <c r="H499" s="152"/>
      <c r="I499" s="160">
        <f t="shared" si="7"/>
        <v>32433.680000000026</v>
      </c>
    </row>
    <row r="500" spans="2:9" x14ac:dyDescent="0.25">
      <c r="B500" s="148"/>
      <c r="C500" s="148" t="s">
        <v>19045</v>
      </c>
      <c r="D500" s="150">
        <v>43976</v>
      </c>
      <c r="E500" s="113" t="s">
        <v>19044</v>
      </c>
      <c r="F500" s="257" t="s">
        <v>14413</v>
      </c>
      <c r="G500" s="258">
        <v>13.44</v>
      </c>
      <c r="H500" s="152"/>
      <c r="I500" s="160">
        <f t="shared" si="7"/>
        <v>32447.120000000024</v>
      </c>
    </row>
    <row r="501" spans="2:9" x14ac:dyDescent="0.25">
      <c r="B501" s="148"/>
      <c r="C501" s="148" t="s">
        <v>19043</v>
      </c>
      <c r="D501" s="150">
        <v>43976</v>
      </c>
      <c r="E501" s="113" t="s">
        <v>19042</v>
      </c>
      <c r="F501" s="257" t="s">
        <v>14413</v>
      </c>
      <c r="G501" s="258">
        <v>7.15</v>
      </c>
      <c r="H501" s="152"/>
      <c r="I501" s="160">
        <f t="shared" si="7"/>
        <v>32454.270000000026</v>
      </c>
    </row>
    <row r="502" spans="2:9" x14ac:dyDescent="0.25">
      <c r="B502" s="148"/>
      <c r="C502" s="148" t="s">
        <v>19041</v>
      </c>
      <c r="D502" s="150">
        <v>43976</v>
      </c>
      <c r="E502" s="113" t="s">
        <v>19040</v>
      </c>
      <c r="F502" s="257" t="s">
        <v>14413</v>
      </c>
      <c r="G502" s="258">
        <v>1.68</v>
      </c>
      <c r="H502" s="152"/>
      <c r="I502" s="160">
        <f t="shared" si="7"/>
        <v>32455.950000000026</v>
      </c>
    </row>
    <row r="503" spans="2:9" x14ac:dyDescent="0.25">
      <c r="B503" s="148"/>
      <c r="C503" s="148" t="s">
        <v>19039</v>
      </c>
      <c r="D503" s="150">
        <v>43977</v>
      </c>
      <c r="E503" s="113" t="s">
        <v>19038</v>
      </c>
      <c r="F503" s="257" t="s">
        <v>14436</v>
      </c>
      <c r="G503" s="160">
        <v>6</v>
      </c>
      <c r="H503" s="152"/>
      <c r="I503" s="160">
        <f t="shared" si="7"/>
        <v>32461.950000000026</v>
      </c>
    </row>
    <row r="504" spans="2:9" x14ac:dyDescent="0.25">
      <c r="B504" s="148"/>
      <c r="C504" s="148" t="s">
        <v>19037</v>
      </c>
      <c r="D504" s="150">
        <v>43977</v>
      </c>
      <c r="E504" s="113" t="s">
        <v>19036</v>
      </c>
      <c r="F504" s="257" t="s">
        <v>14436</v>
      </c>
      <c r="G504" s="160">
        <v>42.46</v>
      </c>
      <c r="H504" s="152"/>
      <c r="I504" s="160">
        <f t="shared" si="7"/>
        <v>32504.410000000025</v>
      </c>
    </row>
    <row r="505" spans="2:9" x14ac:dyDescent="0.25">
      <c r="B505" s="148"/>
      <c r="C505" s="148" t="s">
        <v>19035</v>
      </c>
      <c r="D505" s="150">
        <v>43977</v>
      </c>
      <c r="E505" s="113" t="s">
        <v>19034</v>
      </c>
      <c r="F505" s="257" t="s">
        <v>14436</v>
      </c>
      <c r="G505" s="160">
        <v>189.08</v>
      </c>
      <c r="H505" s="152"/>
      <c r="I505" s="160">
        <f t="shared" si="7"/>
        <v>32693.490000000027</v>
      </c>
    </row>
    <row r="506" spans="2:9" ht="19.5" x14ac:dyDescent="0.25">
      <c r="B506" s="148"/>
      <c r="C506" s="148" t="s">
        <v>19033</v>
      </c>
      <c r="D506" s="150">
        <v>43977</v>
      </c>
      <c r="E506" s="113" t="s">
        <v>19032</v>
      </c>
      <c r="F506" s="257" t="s">
        <v>14436</v>
      </c>
      <c r="G506" s="160">
        <v>9.6999999999999993</v>
      </c>
      <c r="H506" s="152"/>
      <c r="I506" s="160">
        <f t="shared" si="7"/>
        <v>32703.190000000028</v>
      </c>
    </row>
    <row r="507" spans="2:9" x14ac:dyDescent="0.25">
      <c r="B507" s="148"/>
      <c r="C507" s="148" t="s">
        <v>19031</v>
      </c>
      <c r="D507" s="150">
        <v>43977</v>
      </c>
      <c r="E507" s="113" t="s">
        <v>19030</v>
      </c>
      <c r="F507" s="257" t="s">
        <v>14436</v>
      </c>
      <c r="G507" s="160">
        <v>4.05</v>
      </c>
      <c r="H507" s="152"/>
      <c r="I507" s="160">
        <f t="shared" si="7"/>
        <v>32707.240000000027</v>
      </c>
    </row>
    <row r="508" spans="2:9" x14ac:dyDescent="0.25">
      <c r="B508" s="148"/>
      <c r="C508" s="148" t="s">
        <v>19029</v>
      </c>
      <c r="D508" s="150">
        <v>43977</v>
      </c>
      <c r="E508" s="113" t="s">
        <v>19028</v>
      </c>
      <c r="F508" s="257" t="s">
        <v>14436</v>
      </c>
      <c r="G508" s="160">
        <v>1</v>
      </c>
      <c r="H508" s="152"/>
      <c r="I508" s="160">
        <f t="shared" si="7"/>
        <v>32708.240000000027</v>
      </c>
    </row>
    <row r="509" spans="2:9" ht="19.5" x14ac:dyDescent="0.25">
      <c r="B509" s="148"/>
      <c r="C509" s="148" t="s">
        <v>19027</v>
      </c>
      <c r="D509" s="150">
        <v>43977</v>
      </c>
      <c r="E509" s="113" t="s">
        <v>19026</v>
      </c>
      <c r="F509" s="257" t="s">
        <v>14413</v>
      </c>
      <c r="G509" s="258">
        <v>10.68</v>
      </c>
      <c r="H509" s="152"/>
      <c r="I509" s="160">
        <f t="shared" si="7"/>
        <v>32718.920000000027</v>
      </c>
    </row>
    <row r="510" spans="2:9" ht="19.5" x14ac:dyDescent="0.25">
      <c r="B510" s="148"/>
      <c r="C510" s="148" t="s">
        <v>19025</v>
      </c>
      <c r="D510" s="150">
        <v>43977</v>
      </c>
      <c r="E510" s="113" t="s">
        <v>19024</v>
      </c>
      <c r="F510" s="257" t="s">
        <v>14413</v>
      </c>
      <c r="G510" s="258">
        <v>7</v>
      </c>
      <c r="H510" s="152"/>
      <c r="I510" s="160">
        <f t="shared" si="7"/>
        <v>32725.920000000027</v>
      </c>
    </row>
    <row r="511" spans="2:9" x14ac:dyDescent="0.25">
      <c r="B511" s="148"/>
      <c r="C511" s="148" t="s">
        <v>19023</v>
      </c>
      <c r="D511" s="150">
        <v>43977</v>
      </c>
      <c r="E511" s="113" t="s">
        <v>19022</v>
      </c>
      <c r="F511" s="257" t="s">
        <v>14413</v>
      </c>
      <c r="G511" s="258">
        <v>15.3</v>
      </c>
      <c r="H511" s="152"/>
      <c r="I511" s="160">
        <f t="shared" si="7"/>
        <v>32741.220000000027</v>
      </c>
    </row>
    <row r="512" spans="2:9" x14ac:dyDescent="0.25">
      <c r="B512" s="148"/>
      <c r="C512" s="148" t="s">
        <v>19021</v>
      </c>
      <c r="D512" s="150">
        <v>43977</v>
      </c>
      <c r="E512" s="113" t="s">
        <v>19020</v>
      </c>
      <c r="F512" s="257" t="s">
        <v>14413</v>
      </c>
      <c r="G512" s="258">
        <v>2.6</v>
      </c>
      <c r="H512" s="152"/>
      <c r="I512" s="160">
        <f t="shared" si="7"/>
        <v>32743.820000000025</v>
      </c>
    </row>
    <row r="513" spans="2:9" x14ac:dyDescent="0.25">
      <c r="B513" s="148"/>
      <c r="C513" s="148" t="s">
        <v>19019</v>
      </c>
      <c r="D513" s="150">
        <v>43977</v>
      </c>
      <c r="E513" s="113" t="s">
        <v>19018</v>
      </c>
      <c r="F513" s="257" t="s">
        <v>14413</v>
      </c>
      <c r="G513" s="258">
        <v>4.1399999999999997</v>
      </c>
      <c r="H513" s="152"/>
      <c r="I513" s="160">
        <f t="shared" si="7"/>
        <v>32747.960000000025</v>
      </c>
    </row>
    <row r="514" spans="2:9" x14ac:dyDescent="0.25">
      <c r="B514" s="148"/>
      <c r="C514" s="148" t="s">
        <v>19017</v>
      </c>
      <c r="D514" s="150">
        <v>43977</v>
      </c>
      <c r="E514" s="113" t="s">
        <v>19016</v>
      </c>
      <c r="F514" s="257" t="s">
        <v>14413</v>
      </c>
      <c r="G514" s="258">
        <v>8.6999999999999993</v>
      </c>
      <c r="H514" s="152"/>
      <c r="I514" s="160">
        <f t="shared" si="7"/>
        <v>32756.660000000025</v>
      </c>
    </row>
    <row r="515" spans="2:9" x14ac:dyDescent="0.25">
      <c r="B515" s="148"/>
      <c r="C515" s="148" t="s">
        <v>19015</v>
      </c>
      <c r="D515" s="150">
        <v>43977</v>
      </c>
      <c r="E515" s="113" t="s">
        <v>19014</v>
      </c>
      <c r="F515" s="257" t="s">
        <v>14413</v>
      </c>
      <c r="G515" s="258">
        <v>11.49</v>
      </c>
      <c r="H515" s="152"/>
      <c r="I515" s="160">
        <f t="shared" si="7"/>
        <v>32768.150000000023</v>
      </c>
    </row>
    <row r="516" spans="2:9" ht="19.5" x14ac:dyDescent="0.25">
      <c r="B516" s="148"/>
      <c r="C516" s="148" t="s">
        <v>19013</v>
      </c>
      <c r="D516" s="150">
        <v>43977</v>
      </c>
      <c r="E516" s="113" t="s">
        <v>19012</v>
      </c>
      <c r="F516" s="257" t="s">
        <v>14413</v>
      </c>
      <c r="G516" s="258">
        <v>7.45</v>
      </c>
      <c r="H516" s="152"/>
      <c r="I516" s="160">
        <f t="shared" si="7"/>
        <v>32775.60000000002</v>
      </c>
    </row>
    <row r="517" spans="2:9" x14ac:dyDescent="0.25">
      <c r="B517" s="148"/>
      <c r="C517" s="148" t="s">
        <v>19011</v>
      </c>
      <c r="D517" s="150">
        <v>43977</v>
      </c>
      <c r="E517" s="113" t="s">
        <v>19010</v>
      </c>
      <c r="F517" s="257" t="s">
        <v>14413</v>
      </c>
      <c r="G517" s="258">
        <v>25.14</v>
      </c>
      <c r="H517" s="152"/>
      <c r="I517" s="160">
        <f t="shared" si="7"/>
        <v>32800.74000000002</v>
      </c>
    </row>
    <row r="518" spans="2:9" x14ac:dyDescent="0.25">
      <c r="B518" s="148"/>
      <c r="C518" s="148" t="s">
        <v>19009</v>
      </c>
      <c r="D518" s="150">
        <v>43977</v>
      </c>
      <c r="E518" s="113" t="s">
        <v>19008</v>
      </c>
      <c r="F518" s="257" t="s">
        <v>14413</v>
      </c>
      <c r="G518" s="258">
        <v>10.73</v>
      </c>
      <c r="H518" s="152"/>
      <c r="I518" s="160">
        <f t="shared" si="7"/>
        <v>32811.470000000023</v>
      </c>
    </row>
    <row r="519" spans="2:9" x14ac:dyDescent="0.25">
      <c r="B519" s="148"/>
      <c r="C519" s="148" t="s">
        <v>19007</v>
      </c>
      <c r="D519" s="150">
        <v>43977</v>
      </c>
      <c r="E519" s="113" t="s">
        <v>19006</v>
      </c>
      <c r="F519" s="257" t="s">
        <v>14413</v>
      </c>
      <c r="G519" s="258">
        <v>25.03</v>
      </c>
      <c r="H519" s="152"/>
      <c r="I519" s="160">
        <f t="shared" si="7"/>
        <v>32836.500000000022</v>
      </c>
    </row>
    <row r="520" spans="2:9" ht="19.5" x14ac:dyDescent="0.25">
      <c r="B520" s="148"/>
      <c r="C520" s="148" t="s">
        <v>19005</v>
      </c>
      <c r="D520" s="150">
        <v>43977</v>
      </c>
      <c r="E520" s="113" t="s">
        <v>19004</v>
      </c>
      <c r="F520" s="257" t="s">
        <v>14413</v>
      </c>
      <c r="G520" s="258">
        <v>10.96</v>
      </c>
      <c r="H520" s="152"/>
      <c r="I520" s="160">
        <f t="shared" si="7"/>
        <v>32847.460000000021</v>
      </c>
    </row>
    <row r="521" spans="2:9" ht="19.5" x14ac:dyDescent="0.25">
      <c r="B521" s="148"/>
      <c r="C521" s="148" t="s">
        <v>19003</v>
      </c>
      <c r="D521" s="150">
        <v>43977</v>
      </c>
      <c r="E521" s="113" t="s">
        <v>19002</v>
      </c>
      <c r="F521" s="257" t="s">
        <v>14413</v>
      </c>
      <c r="G521" s="258">
        <v>13.4</v>
      </c>
      <c r="H521" s="152"/>
      <c r="I521" s="160">
        <f t="shared" si="7"/>
        <v>32860.860000000022</v>
      </c>
    </row>
    <row r="522" spans="2:9" ht="19.5" x14ac:dyDescent="0.25">
      <c r="B522" s="148"/>
      <c r="C522" s="148" t="s">
        <v>19001</v>
      </c>
      <c r="D522" s="150">
        <v>43977</v>
      </c>
      <c r="E522" s="113" t="s">
        <v>19000</v>
      </c>
      <c r="F522" s="257" t="s">
        <v>14413</v>
      </c>
      <c r="G522" s="258">
        <v>35.93</v>
      </c>
      <c r="H522" s="152"/>
      <c r="I522" s="160">
        <f t="shared" si="7"/>
        <v>32896.790000000023</v>
      </c>
    </row>
    <row r="523" spans="2:9" x14ac:dyDescent="0.25">
      <c r="B523" s="148"/>
      <c r="C523" s="148" t="s">
        <v>18999</v>
      </c>
      <c r="D523" s="150">
        <v>43977</v>
      </c>
      <c r="E523" s="113" t="s">
        <v>18998</v>
      </c>
      <c r="F523" s="257" t="s">
        <v>14413</v>
      </c>
      <c r="G523" s="258">
        <v>10.67</v>
      </c>
      <c r="H523" s="152"/>
      <c r="I523" s="160">
        <f t="shared" si="7"/>
        <v>32907.460000000021</v>
      </c>
    </row>
    <row r="524" spans="2:9" x14ac:dyDescent="0.25">
      <c r="B524" s="148"/>
      <c r="C524" s="148" t="s">
        <v>18997</v>
      </c>
      <c r="D524" s="150">
        <v>43977</v>
      </c>
      <c r="E524" s="113" t="s">
        <v>18996</v>
      </c>
      <c r="F524" s="257" t="s">
        <v>14413</v>
      </c>
      <c r="G524" s="258">
        <v>47.08</v>
      </c>
      <c r="H524" s="152"/>
      <c r="I524" s="160">
        <f t="shared" si="7"/>
        <v>32954.540000000023</v>
      </c>
    </row>
    <row r="525" spans="2:9" ht="19.5" x14ac:dyDescent="0.25">
      <c r="B525" s="148"/>
      <c r="C525" s="148" t="s">
        <v>18995</v>
      </c>
      <c r="D525" s="150">
        <v>43977</v>
      </c>
      <c r="E525" s="113" t="s">
        <v>18994</v>
      </c>
      <c r="F525" s="257" t="s">
        <v>14413</v>
      </c>
      <c r="G525" s="258">
        <v>20.74</v>
      </c>
      <c r="H525" s="152"/>
      <c r="I525" s="160">
        <f t="shared" si="7"/>
        <v>32975.280000000021</v>
      </c>
    </row>
    <row r="526" spans="2:9" x14ac:dyDescent="0.25">
      <c r="B526" s="148"/>
      <c r="C526" s="148" t="s">
        <v>18993</v>
      </c>
      <c r="D526" s="150">
        <v>43977</v>
      </c>
      <c r="E526" s="113" t="s">
        <v>18992</v>
      </c>
      <c r="F526" s="257" t="s">
        <v>14413</v>
      </c>
      <c r="G526" s="258">
        <v>12.57</v>
      </c>
      <c r="H526" s="152"/>
      <c r="I526" s="160">
        <f t="shared" si="7"/>
        <v>32987.85000000002</v>
      </c>
    </row>
    <row r="527" spans="2:9" x14ac:dyDescent="0.25">
      <c r="B527" s="148"/>
      <c r="C527" s="148" t="s">
        <v>18991</v>
      </c>
      <c r="D527" s="150">
        <v>43977</v>
      </c>
      <c r="E527" s="113" t="s">
        <v>18990</v>
      </c>
      <c r="F527" s="257" t="s">
        <v>14413</v>
      </c>
      <c r="G527" s="258">
        <v>5.0599999999999996</v>
      </c>
      <c r="H527" s="152"/>
      <c r="I527" s="160">
        <f t="shared" si="7"/>
        <v>32992.910000000018</v>
      </c>
    </row>
    <row r="528" spans="2:9" x14ac:dyDescent="0.25">
      <c r="B528" s="148"/>
      <c r="C528" s="148" t="s">
        <v>18989</v>
      </c>
      <c r="D528" s="150">
        <v>43977</v>
      </c>
      <c r="E528" s="113" t="s">
        <v>18988</v>
      </c>
      <c r="F528" s="257" t="s">
        <v>14413</v>
      </c>
      <c r="G528" s="258">
        <v>3.17</v>
      </c>
      <c r="H528" s="152"/>
      <c r="I528" s="160">
        <f t="shared" si="7"/>
        <v>32996.080000000016</v>
      </c>
    </row>
    <row r="529" spans="2:9" ht="19.5" x14ac:dyDescent="0.25">
      <c r="B529" s="148"/>
      <c r="C529" s="148" t="s">
        <v>18987</v>
      </c>
      <c r="D529" s="150">
        <v>43977</v>
      </c>
      <c r="E529" s="113" t="s">
        <v>18986</v>
      </c>
      <c r="F529" s="257" t="s">
        <v>14413</v>
      </c>
      <c r="G529" s="258">
        <v>7.29</v>
      </c>
      <c r="H529" s="152"/>
      <c r="I529" s="160">
        <f t="shared" si="7"/>
        <v>33003.370000000017</v>
      </c>
    </row>
    <row r="530" spans="2:9" ht="19.5" x14ac:dyDescent="0.25">
      <c r="B530" s="148"/>
      <c r="C530" s="148" t="s">
        <v>18985</v>
      </c>
      <c r="D530" s="150">
        <v>43977</v>
      </c>
      <c r="E530" s="113" t="s">
        <v>18984</v>
      </c>
      <c r="F530" s="257" t="s">
        <v>14413</v>
      </c>
      <c r="G530" s="258">
        <v>25.15</v>
      </c>
      <c r="H530" s="152"/>
      <c r="I530" s="160">
        <f t="shared" si="7"/>
        <v>33028.520000000019</v>
      </c>
    </row>
    <row r="531" spans="2:9" x14ac:dyDescent="0.25">
      <c r="B531" s="148"/>
      <c r="C531" s="148" t="s">
        <v>18983</v>
      </c>
      <c r="D531" s="150">
        <v>43977</v>
      </c>
      <c r="E531" s="113" t="s">
        <v>18982</v>
      </c>
      <c r="F531" s="257" t="s">
        <v>14413</v>
      </c>
      <c r="G531" s="258">
        <v>3.34</v>
      </c>
      <c r="H531" s="152"/>
      <c r="I531" s="160">
        <f t="shared" si="7"/>
        <v>33031.860000000015</v>
      </c>
    </row>
    <row r="532" spans="2:9" x14ac:dyDescent="0.25">
      <c r="B532" s="148"/>
      <c r="C532" s="148" t="s">
        <v>18981</v>
      </c>
      <c r="D532" s="150">
        <v>43977</v>
      </c>
      <c r="E532" s="113" t="s">
        <v>18980</v>
      </c>
      <c r="F532" s="257" t="s">
        <v>14413</v>
      </c>
      <c r="G532" s="258">
        <v>1.7</v>
      </c>
      <c r="H532" s="152"/>
      <c r="I532" s="160">
        <f t="shared" ref="I532:I595" si="8">+I531+G532-H532</f>
        <v>33033.560000000012</v>
      </c>
    </row>
    <row r="533" spans="2:9" x14ac:dyDescent="0.25">
      <c r="B533" s="148"/>
      <c r="C533" s="148" t="s">
        <v>18979</v>
      </c>
      <c r="D533" s="150">
        <v>43977</v>
      </c>
      <c r="E533" s="113" t="s">
        <v>18978</v>
      </c>
      <c r="F533" s="256">
        <v>16</v>
      </c>
      <c r="G533" s="255">
        <v>17.39</v>
      </c>
      <c r="H533" s="152"/>
      <c r="I533" s="160">
        <f t="shared" si="8"/>
        <v>33050.950000000012</v>
      </c>
    </row>
    <row r="534" spans="2:9" x14ac:dyDescent="0.25">
      <c r="B534" s="148"/>
      <c r="C534" s="148" t="s">
        <v>18977</v>
      </c>
      <c r="D534" s="150">
        <v>43977</v>
      </c>
      <c r="E534" s="113" t="s">
        <v>18976</v>
      </c>
      <c r="F534" s="256">
        <v>16</v>
      </c>
      <c r="G534" s="255">
        <v>7.33</v>
      </c>
      <c r="H534" s="152"/>
      <c r="I534" s="160">
        <f t="shared" si="8"/>
        <v>33058.280000000013</v>
      </c>
    </row>
    <row r="535" spans="2:9" x14ac:dyDescent="0.25">
      <c r="B535" s="148"/>
      <c r="C535" s="148" t="s">
        <v>18975</v>
      </c>
      <c r="D535" s="150">
        <v>43977</v>
      </c>
      <c r="E535" s="113" t="s">
        <v>18974</v>
      </c>
      <c r="F535" s="256">
        <v>16</v>
      </c>
      <c r="G535" s="255">
        <v>16.760000000000002</v>
      </c>
      <c r="H535" s="152"/>
      <c r="I535" s="160">
        <f t="shared" si="8"/>
        <v>33075.040000000015</v>
      </c>
    </row>
    <row r="536" spans="2:9" x14ac:dyDescent="0.25">
      <c r="B536" s="148"/>
      <c r="C536" s="148" t="s">
        <v>18973</v>
      </c>
      <c r="D536" s="150">
        <v>43977</v>
      </c>
      <c r="E536" s="113" t="s">
        <v>18972</v>
      </c>
      <c r="F536" s="256">
        <v>16</v>
      </c>
      <c r="G536" s="255">
        <v>8.3800000000000008</v>
      </c>
      <c r="H536" s="152"/>
      <c r="I536" s="160">
        <f t="shared" si="8"/>
        <v>33083.420000000013</v>
      </c>
    </row>
    <row r="537" spans="2:9" x14ac:dyDescent="0.25">
      <c r="B537" s="148"/>
      <c r="C537" s="148" t="s">
        <v>18971</v>
      </c>
      <c r="D537" s="150">
        <v>43977</v>
      </c>
      <c r="E537" s="113" t="s">
        <v>18970</v>
      </c>
      <c r="F537" s="256">
        <v>16</v>
      </c>
      <c r="G537" s="255">
        <v>3.87</v>
      </c>
      <c r="H537" s="152"/>
      <c r="I537" s="160">
        <f t="shared" si="8"/>
        <v>33087.290000000015</v>
      </c>
    </row>
    <row r="538" spans="2:9" ht="19.5" x14ac:dyDescent="0.25">
      <c r="B538" s="148"/>
      <c r="C538" s="148" t="s">
        <v>18969</v>
      </c>
      <c r="D538" s="150">
        <v>43977</v>
      </c>
      <c r="E538" s="113" t="s">
        <v>18968</v>
      </c>
      <c r="F538" s="256">
        <v>16</v>
      </c>
      <c r="G538" s="255">
        <v>16.46</v>
      </c>
      <c r="H538" s="152"/>
      <c r="I538" s="160">
        <f t="shared" si="8"/>
        <v>33103.750000000015</v>
      </c>
    </row>
    <row r="539" spans="2:9" ht="19.5" x14ac:dyDescent="0.25">
      <c r="B539" s="148"/>
      <c r="C539" s="148" t="s">
        <v>18967</v>
      </c>
      <c r="D539" s="150">
        <v>43977</v>
      </c>
      <c r="E539" s="113" t="s">
        <v>18966</v>
      </c>
      <c r="F539" s="256">
        <v>16</v>
      </c>
      <c r="G539" s="255">
        <v>24.01</v>
      </c>
      <c r="H539" s="152"/>
      <c r="I539" s="160">
        <f t="shared" si="8"/>
        <v>33127.760000000017</v>
      </c>
    </row>
    <row r="540" spans="2:9" x14ac:dyDescent="0.25">
      <c r="B540" s="148"/>
      <c r="C540" s="148" t="s">
        <v>18965</v>
      </c>
      <c r="D540" s="150">
        <v>43977</v>
      </c>
      <c r="E540" s="113" t="s">
        <v>18964</v>
      </c>
      <c r="F540" s="256">
        <v>16</v>
      </c>
      <c r="G540" s="255">
        <v>2.2400000000000002</v>
      </c>
      <c r="H540" s="152"/>
      <c r="I540" s="160">
        <f t="shared" si="8"/>
        <v>33130.000000000015</v>
      </c>
    </row>
    <row r="541" spans="2:9" ht="19.5" x14ac:dyDescent="0.25">
      <c r="B541" s="148"/>
      <c r="C541" s="148" t="s">
        <v>18963</v>
      </c>
      <c r="D541" s="150">
        <v>43977</v>
      </c>
      <c r="E541" s="113" t="s">
        <v>18962</v>
      </c>
      <c r="F541" s="256">
        <v>16</v>
      </c>
      <c r="G541" s="255">
        <v>8.34</v>
      </c>
      <c r="H541" s="152"/>
      <c r="I541" s="160">
        <f t="shared" si="8"/>
        <v>33138.340000000011</v>
      </c>
    </row>
    <row r="542" spans="2:9" x14ac:dyDescent="0.25">
      <c r="B542" s="148"/>
      <c r="C542" s="148" t="s">
        <v>18961</v>
      </c>
      <c r="D542" s="150">
        <v>43977</v>
      </c>
      <c r="E542" s="113" t="s">
        <v>18960</v>
      </c>
      <c r="F542" s="256">
        <v>16</v>
      </c>
      <c r="G542" s="255">
        <v>9.8699999999999992</v>
      </c>
      <c r="H542" s="152"/>
      <c r="I542" s="160">
        <f t="shared" si="8"/>
        <v>33148.210000000014</v>
      </c>
    </row>
    <row r="543" spans="2:9" x14ac:dyDescent="0.25">
      <c r="B543" s="148"/>
      <c r="C543" s="148" t="s">
        <v>18959</v>
      </c>
      <c r="D543" s="150">
        <v>43977</v>
      </c>
      <c r="E543" s="113" t="s">
        <v>18958</v>
      </c>
      <c r="F543" s="256">
        <v>16</v>
      </c>
      <c r="G543" s="255">
        <v>8.3800000000000008</v>
      </c>
      <c r="H543" s="152"/>
      <c r="I543" s="160">
        <f t="shared" si="8"/>
        <v>33156.590000000011</v>
      </c>
    </row>
    <row r="544" spans="2:9" x14ac:dyDescent="0.25">
      <c r="B544" s="148"/>
      <c r="C544" s="148" t="s">
        <v>18957</v>
      </c>
      <c r="D544" s="150">
        <v>43977</v>
      </c>
      <c r="E544" s="113" t="s">
        <v>18956</v>
      </c>
      <c r="F544" s="256">
        <v>16</v>
      </c>
      <c r="G544" s="255">
        <v>1.81</v>
      </c>
      <c r="H544" s="152"/>
      <c r="I544" s="160">
        <f t="shared" si="8"/>
        <v>33158.400000000009</v>
      </c>
    </row>
    <row r="545" spans="2:9" ht="19.5" x14ac:dyDescent="0.25">
      <c r="B545" s="148"/>
      <c r="C545" s="148" t="s">
        <v>18955</v>
      </c>
      <c r="D545" s="150">
        <v>43977</v>
      </c>
      <c r="E545" s="113" t="s">
        <v>18954</v>
      </c>
      <c r="F545" s="256">
        <v>16</v>
      </c>
      <c r="G545" s="255">
        <v>10.46</v>
      </c>
      <c r="H545" s="152"/>
      <c r="I545" s="160">
        <f t="shared" si="8"/>
        <v>33168.860000000008</v>
      </c>
    </row>
    <row r="546" spans="2:9" x14ac:dyDescent="0.25">
      <c r="B546" s="148"/>
      <c r="C546" s="148" t="s">
        <v>18953</v>
      </c>
      <c r="D546" s="150">
        <v>43977</v>
      </c>
      <c r="E546" s="113" t="s">
        <v>18952</v>
      </c>
      <c r="F546" s="256">
        <v>16</v>
      </c>
      <c r="G546" s="255">
        <v>25.29</v>
      </c>
      <c r="H546" s="152"/>
      <c r="I546" s="160">
        <f t="shared" si="8"/>
        <v>33194.150000000009</v>
      </c>
    </row>
    <row r="547" spans="2:9" x14ac:dyDescent="0.25">
      <c r="B547" s="148"/>
      <c r="C547" s="148" t="s">
        <v>18951</v>
      </c>
      <c r="D547" s="150">
        <v>43977</v>
      </c>
      <c r="E547" s="113" t="s">
        <v>18950</v>
      </c>
      <c r="F547" s="256">
        <v>16</v>
      </c>
      <c r="G547" s="255">
        <v>0.44</v>
      </c>
      <c r="H547" s="152"/>
      <c r="I547" s="160">
        <f t="shared" si="8"/>
        <v>33194.590000000011</v>
      </c>
    </row>
    <row r="548" spans="2:9" ht="19.5" x14ac:dyDescent="0.25">
      <c r="B548" s="148"/>
      <c r="C548" s="148" t="s">
        <v>18949</v>
      </c>
      <c r="D548" s="150">
        <v>43977</v>
      </c>
      <c r="E548" s="113" t="s">
        <v>18948</v>
      </c>
      <c r="F548" s="257" t="s">
        <v>14433</v>
      </c>
      <c r="G548" s="152"/>
      <c r="H548" s="161">
        <v>457.74</v>
      </c>
      <c r="I548" s="160">
        <f t="shared" si="8"/>
        <v>32736.850000000009</v>
      </c>
    </row>
    <row r="549" spans="2:9" ht="19.5" x14ac:dyDescent="0.25">
      <c r="B549" s="148"/>
      <c r="C549" s="148" t="s">
        <v>18947</v>
      </c>
      <c r="D549" s="150">
        <v>43977</v>
      </c>
      <c r="E549" s="113" t="s">
        <v>18946</v>
      </c>
      <c r="F549" s="257" t="s">
        <v>14433</v>
      </c>
      <c r="G549" s="152"/>
      <c r="H549" s="161">
        <v>4.8600000000000003</v>
      </c>
      <c r="I549" s="160">
        <f t="shared" si="8"/>
        <v>32731.990000000009</v>
      </c>
    </row>
    <row r="550" spans="2:9" ht="19.5" x14ac:dyDescent="0.25">
      <c r="B550" s="148"/>
      <c r="C550" s="148" t="s">
        <v>18945</v>
      </c>
      <c r="D550" s="150">
        <v>43977</v>
      </c>
      <c r="E550" s="113" t="s">
        <v>18944</v>
      </c>
      <c r="F550" s="257" t="s">
        <v>14433</v>
      </c>
      <c r="G550" s="152"/>
      <c r="H550" s="161">
        <v>0.5</v>
      </c>
      <c r="I550" s="160">
        <f t="shared" si="8"/>
        <v>32731.490000000009</v>
      </c>
    </row>
    <row r="551" spans="2:9" x14ac:dyDescent="0.25">
      <c r="B551" s="148"/>
      <c r="C551" s="148" t="s">
        <v>18943</v>
      </c>
      <c r="D551" s="150">
        <v>43978</v>
      </c>
      <c r="E551" s="113" t="s">
        <v>18942</v>
      </c>
      <c r="F551" s="257" t="s">
        <v>14436</v>
      </c>
      <c r="G551" s="160">
        <v>12297.06</v>
      </c>
      <c r="H551" s="152"/>
      <c r="I551" s="160">
        <f t="shared" si="8"/>
        <v>45028.55000000001</v>
      </c>
    </row>
    <row r="552" spans="2:9" x14ac:dyDescent="0.25">
      <c r="B552" s="148"/>
      <c r="C552" s="148" t="s">
        <v>18941</v>
      </c>
      <c r="D552" s="150">
        <v>43978</v>
      </c>
      <c r="E552" s="113" t="s">
        <v>18940</v>
      </c>
      <c r="F552" s="257" t="s">
        <v>14436</v>
      </c>
      <c r="G552" s="160">
        <v>4.83</v>
      </c>
      <c r="H552" s="152"/>
      <c r="I552" s="160">
        <f t="shared" si="8"/>
        <v>45033.380000000012</v>
      </c>
    </row>
    <row r="553" spans="2:9" x14ac:dyDescent="0.25">
      <c r="B553" s="148"/>
      <c r="C553" s="148" t="s">
        <v>18939</v>
      </c>
      <c r="D553" s="150">
        <v>43978</v>
      </c>
      <c r="E553" s="113" t="s">
        <v>18938</v>
      </c>
      <c r="F553" s="257" t="s">
        <v>14413</v>
      </c>
      <c r="G553" s="258">
        <v>2.3199999999999998</v>
      </c>
      <c r="H553" s="152"/>
      <c r="I553" s="160">
        <f t="shared" si="8"/>
        <v>45035.700000000012</v>
      </c>
    </row>
    <row r="554" spans="2:9" ht="19.5" x14ac:dyDescent="0.25">
      <c r="B554" s="148"/>
      <c r="C554" s="148" t="s">
        <v>18937</v>
      </c>
      <c r="D554" s="150">
        <v>43978</v>
      </c>
      <c r="E554" s="113" t="s">
        <v>18936</v>
      </c>
      <c r="F554" s="257" t="s">
        <v>14413</v>
      </c>
      <c r="G554" s="258">
        <v>33.6</v>
      </c>
      <c r="H554" s="152"/>
      <c r="I554" s="160">
        <f t="shared" si="8"/>
        <v>45069.30000000001</v>
      </c>
    </row>
    <row r="555" spans="2:9" ht="19.5" x14ac:dyDescent="0.25">
      <c r="B555" s="148"/>
      <c r="C555" s="148" t="s">
        <v>18935</v>
      </c>
      <c r="D555" s="150">
        <v>43978</v>
      </c>
      <c r="E555" s="113" t="s">
        <v>18934</v>
      </c>
      <c r="F555" s="257" t="s">
        <v>14413</v>
      </c>
      <c r="G555" s="258">
        <v>17.510000000000002</v>
      </c>
      <c r="H555" s="152"/>
      <c r="I555" s="160">
        <f t="shared" si="8"/>
        <v>45086.810000000012</v>
      </c>
    </row>
    <row r="556" spans="2:9" ht="19.5" x14ac:dyDescent="0.25">
      <c r="B556" s="148"/>
      <c r="C556" s="148" t="s">
        <v>18933</v>
      </c>
      <c r="D556" s="150">
        <v>43978</v>
      </c>
      <c r="E556" s="113" t="s">
        <v>18932</v>
      </c>
      <c r="F556" s="257" t="s">
        <v>14413</v>
      </c>
      <c r="G556" s="258">
        <v>20.95</v>
      </c>
      <c r="H556" s="152"/>
      <c r="I556" s="160">
        <f t="shared" si="8"/>
        <v>45107.760000000009</v>
      </c>
    </row>
    <row r="557" spans="2:9" ht="19.5" x14ac:dyDescent="0.25">
      <c r="B557" s="148"/>
      <c r="C557" s="148" t="s">
        <v>18931</v>
      </c>
      <c r="D557" s="150">
        <v>43978</v>
      </c>
      <c r="E557" s="113" t="s">
        <v>18930</v>
      </c>
      <c r="F557" s="257" t="s">
        <v>14413</v>
      </c>
      <c r="G557" s="258">
        <v>8.9499999999999993</v>
      </c>
      <c r="H557" s="152"/>
      <c r="I557" s="160">
        <f t="shared" si="8"/>
        <v>45116.710000000006</v>
      </c>
    </row>
    <row r="558" spans="2:9" x14ac:dyDescent="0.25">
      <c r="B558" s="148"/>
      <c r="C558" s="148" t="s">
        <v>18929</v>
      </c>
      <c r="D558" s="150">
        <v>43978</v>
      </c>
      <c r="E558" s="113" t="s">
        <v>18928</v>
      </c>
      <c r="F558" s="257" t="s">
        <v>14413</v>
      </c>
      <c r="G558" s="258">
        <v>10.46</v>
      </c>
      <c r="H558" s="152"/>
      <c r="I558" s="160">
        <f t="shared" si="8"/>
        <v>45127.170000000006</v>
      </c>
    </row>
    <row r="559" spans="2:9" x14ac:dyDescent="0.25">
      <c r="B559" s="148"/>
      <c r="C559" s="148" t="s">
        <v>18927</v>
      </c>
      <c r="D559" s="150">
        <v>43978</v>
      </c>
      <c r="E559" s="113" t="s">
        <v>18926</v>
      </c>
      <c r="F559" s="257" t="s">
        <v>14413</v>
      </c>
      <c r="G559" s="258">
        <v>2.52</v>
      </c>
      <c r="H559" s="152"/>
      <c r="I559" s="160">
        <f t="shared" si="8"/>
        <v>45129.69</v>
      </c>
    </row>
    <row r="560" spans="2:9" x14ac:dyDescent="0.25">
      <c r="B560" s="148"/>
      <c r="C560" s="148" t="s">
        <v>18925</v>
      </c>
      <c r="D560" s="150">
        <v>43978</v>
      </c>
      <c r="E560" s="113" t="s">
        <v>18924</v>
      </c>
      <c r="F560" s="257" t="s">
        <v>14413</v>
      </c>
      <c r="G560" s="258">
        <v>11.84</v>
      </c>
      <c r="H560" s="152"/>
      <c r="I560" s="160">
        <f t="shared" si="8"/>
        <v>45141.53</v>
      </c>
    </row>
    <row r="561" spans="2:9" x14ac:dyDescent="0.25">
      <c r="B561" s="148"/>
      <c r="C561" s="148" t="s">
        <v>18923</v>
      </c>
      <c r="D561" s="150">
        <v>43978</v>
      </c>
      <c r="E561" s="113" t="s">
        <v>18922</v>
      </c>
      <c r="F561" s="257" t="s">
        <v>14413</v>
      </c>
      <c r="G561" s="258">
        <v>9.99</v>
      </c>
      <c r="H561" s="152"/>
      <c r="I561" s="160">
        <f t="shared" si="8"/>
        <v>45151.519999999997</v>
      </c>
    </row>
    <row r="562" spans="2:9" x14ac:dyDescent="0.25">
      <c r="B562" s="148"/>
      <c r="C562" s="148" t="s">
        <v>18921</v>
      </c>
      <c r="D562" s="150">
        <v>43978</v>
      </c>
      <c r="E562" s="113" t="s">
        <v>18920</v>
      </c>
      <c r="F562" s="257" t="s">
        <v>14413</v>
      </c>
      <c r="G562" s="258">
        <v>8.2899999999999991</v>
      </c>
      <c r="H562" s="152"/>
      <c r="I562" s="160">
        <f t="shared" si="8"/>
        <v>45159.81</v>
      </c>
    </row>
    <row r="563" spans="2:9" x14ac:dyDescent="0.25">
      <c r="B563" s="148"/>
      <c r="C563" s="148" t="s">
        <v>18919</v>
      </c>
      <c r="D563" s="150">
        <v>43978</v>
      </c>
      <c r="E563" s="113" t="s">
        <v>18918</v>
      </c>
      <c r="F563" s="257" t="s">
        <v>14413</v>
      </c>
      <c r="G563" s="258">
        <v>3.72</v>
      </c>
      <c r="H563" s="152"/>
      <c r="I563" s="160">
        <f t="shared" si="8"/>
        <v>45163.53</v>
      </c>
    </row>
    <row r="564" spans="2:9" x14ac:dyDescent="0.25">
      <c r="B564" s="148"/>
      <c r="C564" s="148" t="s">
        <v>18917</v>
      </c>
      <c r="D564" s="150">
        <v>43978</v>
      </c>
      <c r="E564" s="113" t="s">
        <v>18916</v>
      </c>
      <c r="F564" s="257" t="s">
        <v>14413</v>
      </c>
      <c r="G564" s="258">
        <v>1.83</v>
      </c>
      <c r="H564" s="152"/>
      <c r="I564" s="160">
        <f t="shared" si="8"/>
        <v>45165.36</v>
      </c>
    </row>
    <row r="565" spans="2:9" ht="19.5" x14ac:dyDescent="0.25">
      <c r="B565" s="148"/>
      <c r="C565" s="148" t="s">
        <v>18915</v>
      </c>
      <c r="D565" s="150">
        <v>43978</v>
      </c>
      <c r="E565" s="113" t="s">
        <v>18914</v>
      </c>
      <c r="F565" s="257" t="s">
        <v>14413</v>
      </c>
      <c r="G565" s="258">
        <v>37.5</v>
      </c>
      <c r="H565" s="152"/>
      <c r="I565" s="160">
        <f t="shared" si="8"/>
        <v>45202.86</v>
      </c>
    </row>
    <row r="566" spans="2:9" ht="19.5" x14ac:dyDescent="0.25">
      <c r="B566" s="148"/>
      <c r="C566" s="148" t="s">
        <v>18913</v>
      </c>
      <c r="D566" s="150">
        <v>43978</v>
      </c>
      <c r="E566" s="113" t="s">
        <v>18912</v>
      </c>
      <c r="F566" s="257" t="s">
        <v>14413</v>
      </c>
      <c r="G566" s="258">
        <v>8.4600000000000009</v>
      </c>
      <c r="H566" s="152"/>
      <c r="I566" s="160">
        <f t="shared" si="8"/>
        <v>45211.32</v>
      </c>
    </row>
    <row r="567" spans="2:9" ht="19.5" x14ac:dyDescent="0.25">
      <c r="B567" s="148"/>
      <c r="C567" s="148" t="s">
        <v>18911</v>
      </c>
      <c r="D567" s="150">
        <v>43978</v>
      </c>
      <c r="E567" s="113" t="s">
        <v>18910</v>
      </c>
      <c r="F567" s="257" t="s">
        <v>14413</v>
      </c>
      <c r="G567" s="258">
        <v>17.93</v>
      </c>
      <c r="H567" s="152"/>
      <c r="I567" s="160">
        <f t="shared" si="8"/>
        <v>45229.25</v>
      </c>
    </row>
    <row r="568" spans="2:9" x14ac:dyDescent="0.25">
      <c r="B568" s="148"/>
      <c r="C568" s="148" t="s">
        <v>18909</v>
      </c>
      <c r="D568" s="150">
        <v>43978</v>
      </c>
      <c r="E568" s="113" t="s">
        <v>18908</v>
      </c>
      <c r="F568" s="257" t="s">
        <v>14413</v>
      </c>
      <c r="G568" s="258">
        <v>9.2100000000000009</v>
      </c>
      <c r="H568" s="152"/>
      <c r="I568" s="160">
        <f t="shared" si="8"/>
        <v>45238.46</v>
      </c>
    </row>
    <row r="569" spans="2:9" x14ac:dyDescent="0.25">
      <c r="B569" s="148"/>
      <c r="C569" s="148" t="s">
        <v>18907</v>
      </c>
      <c r="D569" s="150">
        <v>43978</v>
      </c>
      <c r="E569" s="113" t="s">
        <v>18906</v>
      </c>
      <c r="F569" s="257" t="s">
        <v>14413</v>
      </c>
      <c r="G569" s="258">
        <v>15.97</v>
      </c>
      <c r="H569" s="152"/>
      <c r="I569" s="160">
        <f t="shared" si="8"/>
        <v>45254.43</v>
      </c>
    </row>
    <row r="570" spans="2:9" ht="19.5" x14ac:dyDescent="0.25">
      <c r="B570" s="148"/>
      <c r="C570" s="148" t="s">
        <v>18905</v>
      </c>
      <c r="D570" s="150">
        <v>43978</v>
      </c>
      <c r="E570" s="113" t="s">
        <v>18904</v>
      </c>
      <c r="F570" s="257" t="s">
        <v>14413</v>
      </c>
      <c r="G570" s="258">
        <v>49.2</v>
      </c>
      <c r="H570" s="152"/>
      <c r="I570" s="160">
        <f t="shared" si="8"/>
        <v>45303.63</v>
      </c>
    </row>
    <row r="571" spans="2:9" x14ac:dyDescent="0.25">
      <c r="B571" s="148"/>
      <c r="C571" s="148" t="s">
        <v>18903</v>
      </c>
      <c r="D571" s="150">
        <v>43978</v>
      </c>
      <c r="E571" s="113" t="s">
        <v>18902</v>
      </c>
      <c r="F571" s="257" t="s">
        <v>14413</v>
      </c>
      <c r="G571" s="258">
        <v>3.62</v>
      </c>
      <c r="H571" s="152"/>
      <c r="I571" s="160">
        <f t="shared" si="8"/>
        <v>45307.25</v>
      </c>
    </row>
    <row r="572" spans="2:9" ht="19.5" x14ac:dyDescent="0.25">
      <c r="B572" s="148"/>
      <c r="C572" s="148" t="s">
        <v>18901</v>
      </c>
      <c r="D572" s="150">
        <v>43978</v>
      </c>
      <c r="E572" s="113" t="s">
        <v>18900</v>
      </c>
      <c r="F572" s="256">
        <v>17</v>
      </c>
      <c r="G572" s="255">
        <v>92.13</v>
      </c>
      <c r="H572" s="152"/>
      <c r="I572" s="160">
        <f t="shared" si="8"/>
        <v>45399.38</v>
      </c>
    </row>
    <row r="573" spans="2:9" ht="19.5" x14ac:dyDescent="0.25">
      <c r="B573" s="148"/>
      <c r="C573" s="148" t="s">
        <v>18899</v>
      </c>
      <c r="D573" s="150">
        <v>43978</v>
      </c>
      <c r="E573" s="113" t="s">
        <v>18898</v>
      </c>
      <c r="F573" s="256">
        <v>17</v>
      </c>
      <c r="G573" s="255">
        <v>33.880000000000003</v>
      </c>
      <c r="H573" s="152"/>
      <c r="I573" s="160">
        <f t="shared" si="8"/>
        <v>45433.259999999995</v>
      </c>
    </row>
    <row r="574" spans="2:9" x14ac:dyDescent="0.25">
      <c r="B574" s="148"/>
      <c r="C574" s="148" t="s">
        <v>18897</v>
      </c>
      <c r="D574" s="150">
        <v>43978</v>
      </c>
      <c r="E574" s="113" t="s">
        <v>18896</v>
      </c>
      <c r="F574" s="256">
        <v>17</v>
      </c>
      <c r="G574" s="255">
        <v>19.350000000000001</v>
      </c>
      <c r="H574" s="152"/>
      <c r="I574" s="160">
        <f t="shared" si="8"/>
        <v>45452.609999999993</v>
      </c>
    </row>
    <row r="575" spans="2:9" x14ac:dyDescent="0.25">
      <c r="B575" s="148"/>
      <c r="C575" s="148" t="s">
        <v>18895</v>
      </c>
      <c r="D575" s="150">
        <v>43978</v>
      </c>
      <c r="E575" s="113" t="s">
        <v>18894</v>
      </c>
      <c r="F575" s="256">
        <v>17</v>
      </c>
      <c r="G575" s="255">
        <v>0.03</v>
      </c>
      <c r="H575" s="152"/>
      <c r="I575" s="160">
        <f t="shared" si="8"/>
        <v>45452.639999999992</v>
      </c>
    </row>
    <row r="576" spans="2:9" x14ac:dyDescent="0.25">
      <c r="B576" s="148"/>
      <c r="C576" s="148" t="s">
        <v>18893</v>
      </c>
      <c r="D576" s="150">
        <v>43978</v>
      </c>
      <c r="E576" s="113" t="s">
        <v>18892</v>
      </c>
      <c r="F576" s="256">
        <v>17</v>
      </c>
      <c r="G576" s="255">
        <v>8.9700000000000006</v>
      </c>
      <c r="H576" s="152"/>
      <c r="I576" s="160">
        <f t="shared" si="8"/>
        <v>45461.609999999993</v>
      </c>
    </row>
    <row r="577" spans="2:9" x14ac:dyDescent="0.25">
      <c r="B577" s="148"/>
      <c r="C577" s="148" t="s">
        <v>18891</v>
      </c>
      <c r="D577" s="150">
        <v>43978</v>
      </c>
      <c r="E577" s="113" t="s">
        <v>18890</v>
      </c>
      <c r="F577" s="256">
        <v>17</v>
      </c>
      <c r="G577" s="255">
        <v>9.8699999999999992</v>
      </c>
      <c r="H577" s="152"/>
      <c r="I577" s="160">
        <f t="shared" si="8"/>
        <v>45471.479999999996</v>
      </c>
    </row>
    <row r="578" spans="2:9" x14ac:dyDescent="0.25">
      <c r="B578" s="148"/>
      <c r="C578" s="148" t="s">
        <v>18889</v>
      </c>
      <c r="D578" s="150">
        <v>43978</v>
      </c>
      <c r="E578" s="113" t="s">
        <v>18888</v>
      </c>
      <c r="F578" s="257" t="s">
        <v>14436</v>
      </c>
      <c r="G578" s="160">
        <v>2490.33</v>
      </c>
      <c r="H578" s="152"/>
      <c r="I578" s="160">
        <f t="shared" si="8"/>
        <v>47961.81</v>
      </c>
    </row>
    <row r="579" spans="2:9" ht="19.5" x14ac:dyDescent="0.25">
      <c r="B579" s="148"/>
      <c r="C579" s="148" t="s">
        <v>18887</v>
      </c>
      <c r="D579" s="150">
        <v>43979</v>
      </c>
      <c r="E579" s="113" t="s">
        <v>18886</v>
      </c>
      <c r="F579" s="257" t="s">
        <v>14413</v>
      </c>
      <c r="G579" s="258">
        <v>8.41</v>
      </c>
      <c r="H579" s="152"/>
      <c r="I579" s="160">
        <f t="shared" si="8"/>
        <v>47970.22</v>
      </c>
    </row>
    <row r="580" spans="2:9" x14ac:dyDescent="0.25">
      <c r="B580" s="148"/>
      <c r="C580" s="148" t="s">
        <v>18885</v>
      </c>
      <c r="D580" s="150">
        <v>43979</v>
      </c>
      <c r="E580" s="113" t="s">
        <v>18884</v>
      </c>
      <c r="F580" s="257" t="s">
        <v>14413</v>
      </c>
      <c r="G580" s="258">
        <v>21.33</v>
      </c>
      <c r="H580" s="152"/>
      <c r="I580" s="160">
        <f t="shared" si="8"/>
        <v>47991.55</v>
      </c>
    </row>
    <row r="581" spans="2:9" x14ac:dyDescent="0.25">
      <c r="B581" s="148"/>
      <c r="C581" s="148" t="s">
        <v>18883</v>
      </c>
      <c r="D581" s="150">
        <v>43979</v>
      </c>
      <c r="E581" s="113" t="s">
        <v>18882</v>
      </c>
      <c r="F581" s="257" t="s">
        <v>14413</v>
      </c>
      <c r="G581" s="258">
        <v>2.35</v>
      </c>
      <c r="H581" s="152"/>
      <c r="I581" s="160">
        <f t="shared" si="8"/>
        <v>47993.9</v>
      </c>
    </row>
    <row r="582" spans="2:9" x14ac:dyDescent="0.25">
      <c r="B582" s="148"/>
      <c r="C582" s="148" t="s">
        <v>18881</v>
      </c>
      <c r="D582" s="150">
        <v>43979</v>
      </c>
      <c r="E582" s="113" t="s">
        <v>18880</v>
      </c>
      <c r="F582" s="257" t="s">
        <v>14413</v>
      </c>
      <c r="G582" s="258">
        <v>5.19</v>
      </c>
      <c r="H582" s="152"/>
      <c r="I582" s="160">
        <f t="shared" si="8"/>
        <v>47999.090000000004</v>
      </c>
    </row>
    <row r="583" spans="2:9" x14ac:dyDescent="0.25">
      <c r="B583" s="148"/>
      <c r="C583" s="148" t="s">
        <v>18879</v>
      </c>
      <c r="D583" s="150">
        <v>43979</v>
      </c>
      <c r="E583" s="113" t="s">
        <v>18878</v>
      </c>
      <c r="F583" s="257" t="s">
        <v>14413</v>
      </c>
      <c r="G583" s="258">
        <v>6.48</v>
      </c>
      <c r="H583" s="152"/>
      <c r="I583" s="160">
        <f t="shared" si="8"/>
        <v>48005.570000000007</v>
      </c>
    </row>
    <row r="584" spans="2:9" x14ac:dyDescent="0.25">
      <c r="B584" s="148"/>
      <c r="C584" s="148" t="s">
        <v>18877</v>
      </c>
      <c r="D584" s="150">
        <v>43979</v>
      </c>
      <c r="E584" s="113" t="s">
        <v>18876</v>
      </c>
      <c r="F584" s="257" t="s">
        <v>14413</v>
      </c>
      <c r="G584" s="258">
        <v>20.57</v>
      </c>
      <c r="H584" s="152"/>
      <c r="I584" s="160">
        <f t="shared" si="8"/>
        <v>48026.140000000007</v>
      </c>
    </row>
    <row r="585" spans="2:9" x14ac:dyDescent="0.25">
      <c r="B585" s="148"/>
      <c r="C585" s="148" t="s">
        <v>18875</v>
      </c>
      <c r="D585" s="150">
        <v>43979</v>
      </c>
      <c r="E585" s="113" t="s">
        <v>18874</v>
      </c>
      <c r="F585" s="257" t="s">
        <v>14413</v>
      </c>
      <c r="G585" s="258">
        <v>11.88</v>
      </c>
      <c r="H585" s="152"/>
      <c r="I585" s="160">
        <f t="shared" si="8"/>
        <v>48038.020000000004</v>
      </c>
    </row>
    <row r="586" spans="2:9" x14ac:dyDescent="0.25">
      <c r="B586" s="148"/>
      <c r="C586" s="148" t="s">
        <v>18873</v>
      </c>
      <c r="D586" s="150">
        <v>43979</v>
      </c>
      <c r="E586" s="113" t="s">
        <v>18872</v>
      </c>
      <c r="F586" s="257" t="s">
        <v>14413</v>
      </c>
      <c r="G586" s="258">
        <v>21.69</v>
      </c>
      <c r="H586" s="152"/>
      <c r="I586" s="160">
        <f t="shared" si="8"/>
        <v>48059.710000000006</v>
      </c>
    </row>
    <row r="587" spans="2:9" x14ac:dyDescent="0.25">
      <c r="B587" s="148"/>
      <c r="C587" s="148" t="s">
        <v>18871</v>
      </c>
      <c r="D587" s="150">
        <v>43979</v>
      </c>
      <c r="E587" s="113" t="s">
        <v>18870</v>
      </c>
      <c r="F587" s="257" t="s">
        <v>14413</v>
      </c>
      <c r="G587" s="258">
        <v>6.16</v>
      </c>
      <c r="H587" s="152"/>
      <c r="I587" s="160">
        <f t="shared" si="8"/>
        <v>48065.87000000001</v>
      </c>
    </row>
    <row r="588" spans="2:9" ht="19.5" x14ac:dyDescent="0.25">
      <c r="B588" s="148"/>
      <c r="C588" s="148" t="s">
        <v>18869</v>
      </c>
      <c r="D588" s="150">
        <v>43979</v>
      </c>
      <c r="E588" s="113" t="s">
        <v>18868</v>
      </c>
      <c r="F588" s="257" t="s">
        <v>14413</v>
      </c>
      <c r="G588" s="258">
        <v>41.9</v>
      </c>
      <c r="H588" s="152"/>
      <c r="I588" s="160">
        <f t="shared" si="8"/>
        <v>48107.770000000011</v>
      </c>
    </row>
    <row r="589" spans="2:9" x14ac:dyDescent="0.25">
      <c r="B589" s="148"/>
      <c r="C589" s="148" t="s">
        <v>18867</v>
      </c>
      <c r="D589" s="150">
        <v>43979</v>
      </c>
      <c r="E589" s="113" t="s">
        <v>18866</v>
      </c>
      <c r="F589" s="257" t="s">
        <v>14413</v>
      </c>
      <c r="G589" s="258">
        <v>13.75</v>
      </c>
      <c r="H589" s="152"/>
      <c r="I589" s="160">
        <f t="shared" si="8"/>
        <v>48121.520000000011</v>
      </c>
    </row>
    <row r="590" spans="2:9" x14ac:dyDescent="0.25">
      <c r="B590" s="148"/>
      <c r="C590" s="148" t="s">
        <v>18865</v>
      </c>
      <c r="D590" s="150">
        <v>43979</v>
      </c>
      <c r="E590" s="113" t="s">
        <v>18864</v>
      </c>
      <c r="F590" s="257" t="s">
        <v>14413</v>
      </c>
      <c r="G590" s="258">
        <v>23.23</v>
      </c>
      <c r="H590" s="152"/>
      <c r="I590" s="160">
        <f t="shared" si="8"/>
        <v>48144.750000000015</v>
      </c>
    </row>
    <row r="591" spans="2:9" x14ac:dyDescent="0.25">
      <c r="B591" s="148"/>
      <c r="C591" s="148" t="s">
        <v>18863</v>
      </c>
      <c r="D591" s="150">
        <v>43979</v>
      </c>
      <c r="E591" s="113" t="s">
        <v>18862</v>
      </c>
      <c r="F591" s="257" t="s">
        <v>14413</v>
      </c>
      <c r="G591" s="258">
        <v>11.11</v>
      </c>
      <c r="H591" s="152"/>
      <c r="I591" s="160">
        <f t="shared" si="8"/>
        <v>48155.860000000015</v>
      </c>
    </row>
    <row r="592" spans="2:9" ht="19.5" x14ac:dyDescent="0.25">
      <c r="B592" s="148"/>
      <c r="C592" s="148" t="s">
        <v>18861</v>
      </c>
      <c r="D592" s="150">
        <v>43979</v>
      </c>
      <c r="E592" s="113" t="s">
        <v>18860</v>
      </c>
      <c r="F592" s="257" t="s">
        <v>14413</v>
      </c>
      <c r="G592" s="258">
        <v>15.69</v>
      </c>
      <c r="H592" s="152"/>
      <c r="I592" s="160">
        <f t="shared" si="8"/>
        <v>48171.550000000017</v>
      </c>
    </row>
    <row r="593" spans="2:9" ht="19.5" x14ac:dyDescent="0.25">
      <c r="B593" s="148"/>
      <c r="C593" s="148" t="s">
        <v>18859</v>
      </c>
      <c r="D593" s="150">
        <v>43979</v>
      </c>
      <c r="E593" s="113" t="s">
        <v>18858</v>
      </c>
      <c r="F593" s="257" t="s">
        <v>14413</v>
      </c>
      <c r="G593" s="258">
        <v>35.58</v>
      </c>
      <c r="H593" s="152"/>
      <c r="I593" s="160">
        <f t="shared" si="8"/>
        <v>48207.130000000019</v>
      </c>
    </row>
    <row r="594" spans="2:9" ht="19.5" x14ac:dyDescent="0.25">
      <c r="B594" s="148"/>
      <c r="C594" s="148" t="s">
        <v>18857</v>
      </c>
      <c r="D594" s="150">
        <v>43979</v>
      </c>
      <c r="E594" s="113" t="s">
        <v>18856</v>
      </c>
      <c r="F594" s="257" t="s">
        <v>14413</v>
      </c>
      <c r="G594" s="258">
        <v>49.33</v>
      </c>
      <c r="H594" s="152"/>
      <c r="I594" s="160">
        <f t="shared" si="8"/>
        <v>48256.460000000021</v>
      </c>
    </row>
    <row r="595" spans="2:9" x14ac:dyDescent="0.25">
      <c r="B595" s="148"/>
      <c r="C595" s="148" t="s">
        <v>18855</v>
      </c>
      <c r="D595" s="150">
        <v>43979</v>
      </c>
      <c r="E595" s="113" t="s">
        <v>18854</v>
      </c>
      <c r="F595" s="257" t="s">
        <v>14413</v>
      </c>
      <c r="G595" s="258">
        <v>13.66</v>
      </c>
      <c r="H595" s="152"/>
      <c r="I595" s="160">
        <f t="shared" si="8"/>
        <v>48270.120000000024</v>
      </c>
    </row>
    <row r="596" spans="2:9" x14ac:dyDescent="0.25">
      <c r="B596" s="148"/>
      <c r="C596" s="148" t="s">
        <v>18853</v>
      </c>
      <c r="D596" s="150">
        <v>43979</v>
      </c>
      <c r="E596" s="113" t="s">
        <v>18852</v>
      </c>
      <c r="F596" s="257" t="s">
        <v>14413</v>
      </c>
      <c r="G596" s="258">
        <v>4.33</v>
      </c>
      <c r="H596" s="152"/>
      <c r="I596" s="160">
        <f t="shared" ref="I596:I659" si="9">+I595+G596-H596</f>
        <v>48274.450000000026</v>
      </c>
    </row>
    <row r="597" spans="2:9" x14ac:dyDescent="0.25">
      <c r="B597" s="148"/>
      <c r="C597" s="148" t="s">
        <v>18851</v>
      </c>
      <c r="D597" s="150">
        <v>43979</v>
      </c>
      <c r="E597" s="113" t="s">
        <v>18850</v>
      </c>
      <c r="F597" s="257" t="s">
        <v>14413</v>
      </c>
      <c r="G597" s="258">
        <v>30.41</v>
      </c>
      <c r="H597" s="152"/>
      <c r="I597" s="160">
        <f t="shared" si="9"/>
        <v>48304.86000000003</v>
      </c>
    </row>
    <row r="598" spans="2:9" ht="19.5" x14ac:dyDescent="0.25">
      <c r="B598" s="148"/>
      <c r="C598" s="148" t="s">
        <v>18849</v>
      </c>
      <c r="D598" s="150">
        <v>43979</v>
      </c>
      <c r="E598" s="113" t="s">
        <v>18848</v>
      </c>
      <c r="F598" s="257" t="s">
        <v>14413</v>
      </c>
      <c r="G598" s="258">
        <v>27.3</v>
      </c>
      <c r="H598" s="152"/>
      <c r="I598" s="160">
        <f t="shared" si="9"/>
        <v>48332.160000000033</v>
      </c>
    </row>
    <row r="599" spans="2:9" x14ac:dyDescent="0.25">
      <c r="B599" s="148"/>
      <c r="C599" s="148" t="s">
        <v>18847</v>
      </c>
      <c r="D599" s="150">
        <v>43979</v>
      </c>
      <c r="E599" s="113" t="s">
        <v>18846</v>
      </c>
      <c r="F599" s="257" t="s">
        <v>14413</v>
      </c>
      <c r="G599" s="258">
        <v>5.15</v>
      </c>
      <c r="H599" s="152"/>
      <c r="I599" s="160">
        <f t="shared" si="9"/>
        <v>48337.310000000034</v>
      </c>
    </row>
    <row r="600" spans="2:9" x14ac:dyDescent="0.25">
      <c r="B600" s="148"/>
      <c r="C600" s="148" t="s">
        <v>18845</v>
      </c>
      <c r="D600" s="150">
        <v>43979</v>
      </c>
      <c r="E600" s="113" t="s">
        <v>18844</v>
      </c>
      <c r="F600" s="256">
        <v>18</v>
      </c>
      <c r="G600" s="255">
        <v>1.69</v>
      </c>
      <c r="H600" s="152"/>
      <c r="I600" s="160">
        <f t="shared" si="9"/>
        <v>48339.000000000036</v>
      </c>
    </row>
    <row r="601" spans="2:9" ht="19.5" x14ac:dyDescent="0.25">
      <c r="B601" s="148"/>
      <c r="C601" s="148" t="s">
        <v>18843</v>
      </c>
      <c r="D601" s="150">
        <v>43979</v>
      </c>
      <c r="E601" s="113" t="s">
        <v>18842</v>
      </c>
      <c r="F601" s="256">
        <v>18</v>
      </c>
      <c r="G601" s="255">
        <v>7.02</v>
      </c>
      <c r="H601" s="152"/>
      <c r="I601" s="160">
        <f t="shared" si="9"/>
        <v>48346.020000000033</v>
      </c>
    </row>
    <row r="602" spans="2:9" x14ac:dyDescent="0.25">
      <c r="B602" s="148"/>
      <c r="C602" s="148" t="s">
        <v>18841</v>
      </c>
      <c r="D602" s="150">
        <v>43979</v>
      </c>
      <c r="E602" s="113" t="s">
        <v>18840</v>
      </c>
      <c r="F602" s="256">
        <v>18</v>
      </c>
      <c r="G602" s="255">
        <v>3.48</v>
      </c>
      <c r="H602" s="152"/>
      <c r="I602" s="160">
        <f t="shared" si="9"/>
        <v>48349.500000000036</v>
      </c>
    </row>
    <row r="603" spans="2:9" x14ac:dyDescent="0.25">
      <c r="B603" s="148"/>
      <c r="C603" s="148" t="s">
        <v>18839</v>
      </c>
      <c r="D603" s="150">
        <v>43979</v>
      </c>
      <c r="E603" s="113" t="s">
        <v>18838</v>
      </c>
      <c r="F603" s="256">
        <v>18</v>
      </c>
      <c r="G603" s="255">
        <v>7.12</v>
      </c>
      <c r="H603" s="152"/>
      <c r="I603" s="160">
        <f t="shared" si="9"/>
        <v>48356.620000000039</v>
      </c>
    </row>
    <row r="604" spans="2:9" ht="19.5" x14ac:dyDescent="0.25">
      <c r="B604" s="148"/>
      <c r="C604" s="148" t="s">
        <v>18837</v>
      </c>
      <c r="D604" s="150">
        <v>43979</v>
      </c>
      <c r="E604" s="113" t="s">
        <v>18836</v>
      </c>
      <c r="F604" s="257" t="s">
        <v>14436</v>
      </c>
      <c r="G604" s="160">
        <v>27.4</v>
      </c>
      <c r="H604" s="152"/>
      <c r="I604" s="160">
        <f t="shared" si="9"/>
        <v>48384.02000000004</v>
      </c>
    </row>
    <row r="605" spans="2:9" x14ac:dyDescent="0.25">
      <c r="B605" s="148"/>
      <c r="C605" s="148" t="s">
        <v>18835</v>
      </c>
      <c r="D605" s="150">
        <v>43979</v>
      </c>
      <c r="E605" s="113" t="s">
        <v>18834</v>
      </c>
      <c r="F605" s="257" t="s">
        <v>14436</v>
      </c>
      <c r="G605" s="160">
        <v>27.4</v>
      </c>
      <c r="H605" s="152"/>
      <c r="I605" s="160">
        <f t="shared" si="9"/>
        <v>48411.420000000042</v>
      </c>
    </row>
    <row r="606" spans="2:9" x14ac:dyDescent="0.25">
      <c r="B606" s="148"/>
      <c r="C606" s="148" t="s">
        <v>18833</v>
      </c>
      <c r="D606" s="150">
        <v>43980</v>
      </c>
      <c r="E606" s="113" t="s">
        <v>18832</v>
      </c>
      <c r="F606" s="257" t="s">
        <v>14436</v>
      </c>
      <c r="G606" s="160">
        <v>182.42</v>
      </c>
      <c r="H606" s="152"/>
      <c r="I606" s="160">
        <f t="shared" si="9"/>
        <v>48593.84000000004</v>
      </c>
    </row>
    <row r="607" spans="2:9" x14ac:dyDescent="0.25">
      <c r="B607" s="148"/>
      <c r="C607" s="148" t="s">
        <v>18831</v>
      </c>
      <c r="D607" s="150">
        <v>43980</v>
      </c>
      <c r="E607" s="113" t="s">
        <v>18830</v>
      </c>
      <c r="F607" s="257" t="s">
        <v>14436</v>
      </c>
      <c r="G607" s="160">
        <v>8.3800000000000008</v>
      </c>
      <c r="H607" s="152"/>
      <c r="I607" s="160">
        <f t="shared" si="9"/>
        <v>48602.220000000038</v>
      </c>
    </row>
    <row r="608" spans="2:9" ht="19.5" x14ac:dyDescent="0.25">
      <c r="B608" s="148" t="s">
        <v>14414</v>
      </c>
      <c r="C608" s="148" t="s">
        <v>18829</v>
      </c>
      <c r="D608" s="150">
        <v>43980</v>
      </c>
      <c r="E608" s="113" t="s">
        <v>18828</v>
      </c>
      <c r="G608" s="258">
        <v>26.43</v>
      </c>
      <c r="H608" s="152"/>
      <c r="I608" s="160">
        <f t="shared" si="9"/>
        <v>48628.650000000038</v>
      </c>
    </row>
    <row r="609" spans="2:9" x14ac:dyDescent="0.25">
      <c r="B609" s="148" t="s">
        <v>14414</v>
      </c>
      <c r="C609" s="148" t="s">
        <v>18827</v>
      </c>
      <c r="D609" s="150">
        <v>43980</v>
      </c>
      <c r="E609" s="113" t="s">
        <v>18826</v>
      </c>
      <c r="G609" s="258">
        <v>1.74</v>
      </c>
      <c r="H609" s="152"/>
      <c r="I609" s="160">
        <f t="shared" si="9"/>
        <v>48630.390000000036</v>
      </c>
    </row>
    <row r="610" spans="2:9" x14ac:dyDescent="0.25">
      <c r="B610" s="148" t="s">
        <v>14414</v>
      </c>
      <c r="C610" s="148" t="s">
        <v>18825</v>
      </c>
      <c r="D610" s="150">
        <v>43980</v>
      </c>
      <c r="E610" s="113" t="s">
        <v>18824</v>
      </c>
      <c r="G610" s="258">
        <v>5.31</v>
      </c>
      <c r="H610" s="152"/>
      <c r="I610" s="160">
        <f t="shared" si="9"/>
        <v>48635.700000000033</v>
      </c>
    </row>
    <row r="611" spans="2:9" x14ac:dyDescent="0.25">
      <c r="B611" s="148" t="s">
        <v>14414</v>
      </c>
      <c r="C611" s="148" t="s">
        <v>18823</v>
      </c>
      <c r="D611" s="150">
        <v>43980</v>
      </c>
      <c r="E611" s="113" t="s">
        <v>18822</v>
      </c>
      <c r="G611" s="258">
        <v>5.14</v>
      </c>
      <c r="H611" s="152"/>
      <c r="I611" s="160">
        <f t="shared" si="9"/>
        <v>48640.840000000033</v>
      </c>
    </row>
    <row r="612" spans="2:9" ht="19.5" x14ac:dyDescent="0.25">
      <c r="B612" s="148" t="s">
        <v>14414</v>
      </c>
      <c r="C612" s="148" t="s">
        <v>18821</v>
      </c>
      <c r="D612" s="150">
        <v>43980</v>
      </c>
      <c r="E612" s="113" t="s">
        <v>18820</v>
      </c>
      <c r="G612" s="258">
        <v>23.25</v>
      </c>
      <c r="H612" s="152"/>
      <c r="I612" s="160">
        <f t="shared" si="9"/>
        <v>48664.090000000033</v>
      </c>
    </row>
    <row r="613" spans="2:9" ht="19.5" x14ac:dyDescent="0.25">
      <c r="B613" s="148" t="s">
        <v>14414</v>
      </c>
      <c r="C613" s="148" t="s">
        <v>18819</v>
      </c>
      <c r="D613" s="150">
        <v>43980</v>
      </c>
      <c r="E613" s="113" t="s">
        <v>18818</v>
      </c>
      <c r="G613" s="258">
        <v>70.55</v>
      </c>
      <c r="H613" s="152"/>
      <c r="I613" s="160">
        <f t="shared" si="9"/>
        <v>48734.640000000036</v>
      </c>
    </row>
    <row r="614" spans="2:9" x14ac:dyDescent="0.25">
      <c r="B614" s="148" t="s">
        <v>14414</v>
      </c>
      <c r="C614" s="148" t="s">
        <v>18817</v>
      </c>
      <c r="D614" s="150">
        <v>43980</v>
      </c>
      <c r="E614" s="113" t="s">
        <v>18816</v>
      </c>
      <c r="G614" s="258">
        <v>4.29</v>
      </c>
      <c r="H614" s="152"/>
      <c r="I614" s="160">
        <f t="shared" si="9"/>
        <v>48738.930000000037</v>
      </c>
    </row>
    <row r="615" spans="2:9" ht="19.5" x14ac:dyDescent="0.25">
      <c r="B615" s="148" t="s">
        <v>14414</v>
      </c>
      <c r="C615" s="148" t="s">
        <v>18815</v>
      </c>
      <c r="D615" s="150">
        <v>43980</v>
      </c>
      <c r="E615" s="113" t="s">
        <v>18814</v>
      </c>
      <c r="G615" s="258">
        <v>13.37</v>
      </c>
      <c r="H615" s="152"/>
      <c r="I615" s="160">
        <f t="shared" si="9"/>
        <v>48752.300000000039</v>
      </c>
    </row>
    <row r="616" spans="2:9" ht="19.5" x14ac:dyDescent="0.25">
      <c r="B616" s="148" t="s">
        <v>14414</v>
      </c>
      <c r="C616" s="148" t="s">
        <v>18813</v>
      </c>
      <c r="D616" s="150">
        <v>43980</v>
      </c>
      <c r="E616" s="113" t="s">
        <v>18812</v>
      </c>
      <c r="G616" s="258">
        <v>33.520000000000003</v>
      </c>
      <c r="H616" s="152"/>
      <c r="I616" s="160">
        <f t="shared" si="9"/>
        <v>48785.820000000036</v>
      </c>
    </row>
    <row r="617" spans="2:9" x14ac:dyDescent="0.25">
      <c r="B617" s="148" t="s">
        <v>14414</v>
      </c>
      <c r="C617" s="148" t="s">
        <v>18811</v>
      </c>
      <c r="D617" s="150">
        <v>43980</v>
      </c>
      <c r="E617" s="113" t="s">
        <v>18810</v>
      </c>
      <c r="G617" s="258">
        <v>6.3</v>
      </c>
      <c r="H617" s="152"/>
      <c r="I617" s="160">
        <f t="shared" si="9"/>
        <v>48792.120000000039</v>
      </c>
    </row>
    <row r="618" spans="2:9" x14ac:dyDescent="0.25">
      <c r="B618" s="148" t="s">
        <v>14414</v>
      </c>
      <c r="C618" s="148" t="s">
        <v>18809</v>
      </c>
      <c r="D618" s="150">
        <v>43980</v>
      </c>
      <c r="E618" s="113" t="s">
        <v>18808</v>
      </c>
      <c r="G618" s="258">
        <v>25.14</v>
      </c>
      <c r="H618" s="152"/>
      <c r="I618" s="160">
        <f t="shared" si="9"/>
        <v>48817.260000000038</v>
      </c>
    </row>
    <row r="619" spans="2:9" x14ac:dyDescent="0.25">
      <c r="B619" s="148" t="s">
        <v>14414</v>
      </c>
      <c r="C619" s="148" t="s">
        <v>18807</v>
      </c>
      <c r="D619" s="150">
        <v>43980</v>
      </c>
      <c r="E619" s="113" t="s">
        <v>18806</v>
      </c>
      <c r="G619" s="258">
        <v>12.31</v>
      </c>
      <c r="H619" s="152"/>
      <c r="I619" s="160">
        <f t="shared" si="9"/>
        <v>48829.570000000036</v>
      </c>
    </row>
    <row r="620" spans="2:9" x14ac:dyDescent="0.25">
      <c r="B620" s="148" t="s">
        <v>14414</v>
      </c>
      <c r="C620" s="148" t="s">
        <v>18805</v>
      </c>
      <c r="D620" s="150">
        <v>43980</v>
      </c>
      <c r="E620" s="113" t="s">
        <v>18804</v>
      </c>
      <c r="G620" s="258">
        <v>8.3800000000000008</v>
      </c>
      <c r="H620" s="152"/>
      <c r="I620" s="160">
        <f t="shared" si="9"/>
        <v>48837.950000000033</v>
      </c>
    </row>
    <row r="621" spans="2:9" ht="19.5" x14ac:dyDescent="0.25">
      <c r="B621" s="148" t="s">
        <v>14414</v>
      </c>
      <c r="C621" s="148" t="s">
        <v>18803</v>
      </c>
      <c r="D621" s="150">
        <v>43980</v>
      </c>
      <c r="E621" s="113" t="s">
        <v>18802</v>
      </c>
      <c r="G621" s="258">
        <v>7.01</v>
      </c>
      <c r="H621" s="152"/>
      <c r="I621" s="160">
        <f t="shared" si="9"/>
        <v>48844.960000000036</v>
      </c>
    </row>
    <row r="622" spans="2:9" x14ac:dyDescent="0.25">
      <c r="B622" s="148" t="s">
        <v>14414</v>
      </c>
      <c r="C622" s="148" t="s">
        <v>18801</v>
      </c>
      <c r="D622" s="150">
        <v>43980</v>
      </c>
      <c r="E622" s="113" t="s">
        <v>18800</v>
      </c>
      <c r="G622" s="258">
        <v>26.36</v>
      </c>
      <c r="H622" s="152"/>
      <c r="I622" s="160">
        <f t="shared" si="9"/>
        <v>48871.320000000036</v>
      </c>
    </row>
    <row r="623" spans="2:9" x14ac:dyDescent="0.25">
      <c r="B623" s="148" t="s">
        <v>14414</v>
      </c>
      <c r="C623" s="148" t="s">
        <v>18799</v>
      </c>
      <c r="D623" s="150">
        <v>43980</v>
      </c>
      <c r="E623" s="113" t="s">
        <v>18798</v>
      </c>
      <c r="G623" s="258">
        <v>3.68</v>
      </c>
      <c r="H623" s="152"/>
      <c r="I623" s="160">
        <f t="shared" si="9"/>
        <v>48875.000000000036</v>
      </c>
    </row>
    <row r="624" spans="2:9" ht="19.5" x14ac:dyDescent="0.25">
      <c r="B624" s="148" t="s">
        <v>14414</v>
      </c>
      <c r="C624" s="148" t="s">
        <v>18797</v>
      </c>
      <c r="D624" s="150">
        <v>43980</v>
      </c>
      <c r="E624" s="113" t="s">
        <v>18796</v>
      </c>
      <c r="G624" s="258">
        <v>6.72</v>
      </c>
      <c r="H624" s="152"/>
      <c r="I624" s="160">
        <f t="shared" si="9"/>
        <v>48881.720000000038</v>
      </c>
    </row>
    <row r="625" spans="2:9" x14ac:dyDescent="0.25">
      <c r="B625" s="148" t="s">
        <v>14414</v>
      </c>
      <c r="C625" s="148" t="s">
        <v>18795</v>
      </c>
      <c r="D625" s="150">
        <v>43980</v>
      </c>
      <c r="E625" s="113" t="s">
        <v>18794</v>
      </c>
      <c r="G625" s="258">
        <v>6.75</v>
      </c>
      <c r="H625" s="152"/>
      <c r="I625" s="160">
        <f t="shared" si="9"/>
        <v>48888.470000000038</v>
      </c>
    </row>
    <row r="626" spans="2:9" x14ac:dyDescent="0.25">
      <c r="B626" s="148" t="s">
        <v>14414</v>
      </c>
      <c r="C626" s="148" t="s">
        <v>18793</v>
      </c>
      <c r="D626" s="150">
        <v>43980</v>
      </c>
      <c r="E626" s="113" t="s">
        <v>18792</v>
      </c>
      <c r="G626" s="258">
        <v>1.7</v>
      </c>
      <c r="H626" s="152"/>
      <c r="I626" s="160">
        <f t="shared" si="9"/>
        <v>48890.170000000035</v>
      </c>
    </row>
    <row r="627" spans="2:9" x14ac:dyDescent="0.25">
      <c r="B627" s="148" t="s">
        <v>14414</v>
      </c>
      <c r="C627" s="148" t="s">
        <v>18791</v>
      </c>
      <c r="D627" s="150">
        <v>43980</v>
      </c>
      <c r="E627" s="113" t="s">
        <v>18790</v>
      </c>
      <c r="G627" s="258">
        <v>7.78</v>
      </c>
      <c r="H627" s="152"/>
      <c r="I627" s="160">
        <f t="shared" si="9"/>
        <v>48897.950000000033</v>
      </c>
    </row>
    <row r="628" spans="2:9" ht="19.5" x14ac:dyDescent="0.25">
      <c r="B628" s="148" t="s">
        <v>14414</v>
      </c>
      <c r="C628" s="148" t="s">
        <v>18789</v>
      </c>
      <c r="D628" s="150">
        <v>43980</v>
      </c>
      <c r="E628" s="113" t="s">
        <v>18788</v>
      </c>
      <c r="G628" s="258">
        <v>7.07</v>
      </c>
      <c r="H628" s="152"/>
      <c r="I628" s="160">
        <f t="shared" si="9"/>
        <v>48905.020000000033</v>
      </c>
    </row>
    <row r="629" spans="2:9" ht="19.5" x14ac:dyDescent="0.25">
      <c r="B629" s="148" t="s">
        <v>14414</v>
      </c>
      <c r="C629" s="148" t="s">
        <v>18787</v>
      </c>
      <c r="D629" s="150">
        <v>43980</v>
      </c>
      <c r="E629" s="113" t="s">
        <v>18786</v>
      </c>
      <c r="G629" s="258">
        <v>31.89</v>
      </c>
      <c r="H629" s="152"/>
      <c r="I629" s="160">
        <f t="shared" si="9"/>
        <v>48936.910000000033</v>
      </c>
    </row>
    <row r="630" spans="2:9" x14ac:dyDescent="0.25">
      <c r="B630" s="148" t="s">
        <v>14414</v>
      </c>
      <c r="C630" s="148" t="s">
        <v>18785</v>
      </c>
      <c r="D630" s="150">
        <v>43980</v>
      </c>
      <c r="E630" s="113" t="s">
        <v>18784</v>
      </c>
      <c r="G630" s="258">
        <v>5.04</v>
      </c>
      <c r="H630" s="152"/>
      <c r="I630" s="160">
        <f t="shared" si="9"/>
        <v>48941.950000000033</v>
      </c>
    </row>
    <row r="631" spans="2:9" ht="19.5" x14ac:dyDescent="0.25">
      <c r="B631" s="148" t="s">
        <v>14414</v>
      </c>
      <c r="C631" s="148" t="s">
        <v>18783</v>
      </c>
      <c r="D631" s="150">
        <v>43980</v>
      </c>
      <c r="E631" s="113" t="s">
        <v>18782</v>
      </c>
      <c r="G631" s="258">
        <v>25.11</v>
      </c>
      <c r="H631" s="152"/>
      <c r="I631" s="160">
        <f t="shared" si="9"/>
        <v>48967.060000000034</v>
      </c>
    </row>
    <row r="632" spans="2:9" x14ac:dyDescent="0.25">
      <c r="B632" s="148" t="s">
        <v>14414</v>
      </c>
      <c r="C632" s="148" t="s">
        <v>18781</v>
      </c>
      <c r="D632" s="150">
        <v>43980</v>
      </c>
      <c r="E632" s="113" t="s">
        <v>18780</v>
      </c>
      <c r="G632" s="258">
        <v>3.17</v>
      </c>
      <c r="H632" s="152"/>
      <c r="I632" s="160">
        <f t="shared" si="9"/>
        <v>48970.230000000032</v>
      </c>
    </row>
    <row r="633" spans="2:9" x14ac:dyDescent="0.25">
      <c r="B633" s="148"/>
      <c r="C633" s="148" t="s">
        <v>18779</v>
      </c>
      <c r="D633" s="150">
        <v>43980</v>
      </c>
      <c r="E633" s="113" t="s">
        <v>18778</v>
      </c>
      <c r="F633" s="256">
        <v>19</v>
      </c>
      <c r="G633" s="255">
        <v>1.1399999999999999</v>
      </c>
      <c r="H633" s="152"/>
      <c r="I633" s="160">
        <f t="shared" si="9"/>
        <v>48971.370000000032</v>
      </c>
    </row>
    <row r="634" spans="2:9" x14ac:dyDescent="0.25">
      <c r="B634" s="148"/>
      <c r="C634" s="148" t="s">
        <v>18777</v>
      </c>
      <c r="D634" s="150">
        <v>43980</v>
      </c>
      <c r="E634" s="113" t="s">
        <v>18776</v>
      </c>
      <c r="F634" s="256">
        <v>19</v>
      </c>
      <c r="G634" s="255">
        <v>12.86</v>
      </c>
      <c r="H634" s="152"/>
      <c r="I634" s="160">
        <f t="shared" si="9"/>
        <v>48984.230000000032</v>
      </c>
    </row>
    <row r="635" spans="2:9" ht="19.5" x14ac:dyDescent="0.25">
      <c r="B635" s="148"/>
      <c r="C635" s="148" t="s">
        <v>18775</v>
      </c>
      <c r="D635" s="150">
        <v>43980</v>
      </c>
      <c r="E635" s="113" t="s">
        <v>18774</v>
      </c>
      <c r="F635" s="256">
        <v>19</v>
      </c>
      <c r="G635" s="255">
        <v>20.82</v>
      </c>
      <c r="H635" s="152"/>
      <c r="I635" s="160">
        <f t="shared" si="9"/>
        <v>49005.050000000032</v>
      </c>
    </row>
    <row r="636" spans="2:9" x14ac:dyDescent="0.25">
      <c r="B636" s="148"/>
      <c r="C636" s="148" t="s">
        <v>18773</v>
      </c>
      <c r="D636" s="150">
        <v>43980</v>
      </c>
      <c r="E636" s="113" t="s">
        <v>18772</v>
      </c>
      <c r="F636" s="256">
        <v>19</v>
      </c>
      <c r="G636" s="255">
        <v>13.96</v>
      </c>
      <c r="H636" s="152"/>
      <c r="I636" s="160">
        <f t="shared" si="9"/>
        <v>49019.010000000031</v>
      </c>
    </row>
    <row r="637" spans="2:9" ht="19.5" x14ac:dyDescent="0.25">
      <c r="B637" s="148"/>
      <c r="C637" s="148" t="s">
        <v>18771</v>
      </c>
      <c r="D637" s="150">
        <v>43980</v>
      </c>
      <c r="E637" s="113" t="s">
        <v>18770</v>
      </c>
      <c r="F637" s="256">
        <v>19</v>
      </c>
      <c r="G637" s="255">
        <v>3.91</v>
      </c>
      <c r="H637" s="152"/>
      <c r="I637" s="160">
        <f t="shared" si="9"/>
        <v>49022.920000000035</v>
      </c>
    </row>
    <row r="638" spans="2:9" ht="19.5" x14ac:dyDescent="0.25">
      <c r="B638" s="148"/>
      <c r="C638" s="148" t="s">
        <v>18769</v>
      </c>
      <c r="D638" s="150">
        <v>43980</v>
      </c>
      <c r="E638" s="113" t="s">
        <v>18768</v>
      </c>
      <c r="F638" s="256">
        <v>19</v>
      </c>
      <c r="G638" s="255">
        <v>35.58</v>
      </c>
      <c r="H638" s="152"/>
      <c r="I638" s="160">
        <f t="shared" si="9"/>
        <v>49058.500000000036</v>
      </c>
    </row>
    <row r="639" spans="2:9" x14ac:dyDescent="0.25">
      <c r="B639" s="148"/>
      <c r="C639" s="148" t="s">
        <v>18767</v>
      </c>
      <c r="D639" s="150">
        <v>43980</v>
      </c>
      <c r="E639" s="113" t="s">
        <v>18766</v>
      </c>
      <c r="F639" s="256">
        <v>19</v>
      </c>
      <c r="G639" s="255">
        <v>1.68</v>
      </c>
      <c r="H639" s="152"/>
      <c r="I639" s="160">
        <f t="shared" si="9"/>
        <v>49060.180000000037</v>
      </c>
    </row>
    <row r="640" spans="2:9" x14ac:dyDescent="0.25">
      <c r="B640" s="148"/>
      <c r="C640" s="148" t="s">
        <v>18765</v>
      </c>
      <c r="D640" s="150">
        <v>43980</v>
      </c>
      <c r="E640" s="113" t="s">
        <v>18764</v>
      </c>
      <c r="F640" s="256">
        <v>19</v>
      </c>
      <c r="G640" s="255">
        <v>2.67</v>
      </c>
      <c r="H640" s="152"/>
      <c r="I640" s="160">
        <f t="shared" si="9"/>
        <v>49062.850000000035</v>
      </c>
    </row>
    <row r="641" spans="2:9" ht="19.5" x14ac:dyDescent="0.25">
      <c r="B641" s="148"/>
      <c r="C641" s="148" t="s">
        <v>16368</v>
      </c>
      <c r="D641" s="150">
        <v>43980</v>
      </c>
      <c r="E641" s="113" t="s">
        <v>18763</v>
      </c>
      <c r="F641" s="257" t="s">
        <v>14433</v>
      </c>
      <c r="G641" s="152"/>
      <c r="H641" s="161">
        <v>1663.42</v>
      </c>
      <c r="I641" s="160">
        <f t="shared" si="9"/>
        <v>47399.430000000037</v>
      </c>
    </row>
    <row r="642" spans="2:9" x14ac:dyDescent="0.25">
      <c r="B642" s="148"/>
      <c r="C642" s="148" t="s">
        <v>16366</v>
      </c>
      <c r="D642" s="150">
        <v>43980</v>
      </c>
      <c r="E642" s="113" t="s">
        <v>18762</v>
      </c>
      <c r="F642" s="257" t="s">
        <v>14433</v>
      </c>
      <c r="G642" s="152"/>
      <c r="H642" s="161">
        <v>3031.7</v>
      </c>
      <c r="I642" s="160">
        <f t="shared" si="9"/>
        <v>44367.73000000004</v>
      </c>
    </row>
    <row r="643" spans="2:9" x14ac:dyDescent="0.25">
      <c r="B643" s="148"/>
      <c r="C643" s="148" t="s">
        <v>18761</v>
      </c>
      <c r="D643" s="150">
        <v>43981</v>
      </c>
      <c r="E643" s="113" t="s">
        <v>18760</v>
      </c>
      <c r="G643" s="160">
        <v>5.86</v>
      </c>
      <c r="H643" s="152"/>
      <c r="I643" s="160">
        <f t="shared" si="9"/>
        <v>44373.59000000004</v>
      </c>
    </row>
    <row r="644" spans="2:9" x14ac:dyDescent="0.25">
      <c r="B644" s="148"/>
      <c r="C644" s="148" t="s">
        <v>18759</v>
      </c>
      <c r="D644" s="150">
        <v>43981</v>
      </c>
      <c r="E644" s="113" t="s">
        <v>18758</v>
      </c>
      <c r="G644" s="160">
        <v>1</v>
      </c>
      <c r="H644" s="152"/>
      <c r="I644" s="160">
        <f t="shared" si="9"/>
        <v>44374.59000000004</v>
      </c>
    </row>
    <row r="645" spans="2:9" x14ac:dyDescent="0.25">
      <c r="B645" s="148"/>
      <c r="C645" s="148" t="s">
        <v>18757</v>
      </c>
      <c r="D645" s="150">
        <v>43981</v>
      </c>
      <c r="E645" s="113" t="s">
        <v>18756</v>
      </c>
      <c r="G645" s="160">
        <v>3.17</v>
      </c>
      <c r="H645" s="152"/>
      <c r="I645" s="160">
        <f t="shared" si="9"/>
        <v>44377.760000000038</v>
      </c>
    </row>
    <row r="646" spans="2:9" x14ac:dyDescent="0.25">
      <c r="B646" s="148" t="s">
        <v>14414</v>
      </c>
      <c r="C646" s="148" t="s">
        <v>18755</v>
      </c>
      <c r="D646" s="150">
        <v>43981</v>
      </c>
      <c r="E646" s="113" t="s">
        <v>18754</v>
      </c>
      <c r="G646" s="258">
        <v>6.17</v>
      </c>
      <c r="H646" s="152"/>
      <c r="I646" s="160">
        <f t="shared" si="9"/>
        <v>44383.930000000037</v>
      </c>
    </row>
    <row r="647" spans="2:9" x14ac:dyDescent="0.25">
      <c r="B647" s="148" t="s">
        <v>14414</v>
      </c>
      <c r="C647" s="148" t="s">
        <v>18753</v>
      </c>
      <c r="D647" s="150">
        <v>43981</v>
      </c>
      <c r="E647" s="113" t="s">
        <v>18752</v>
      </c>
      <c r="G647" s="258">
        <v>1.68</v>
      </c>
      <c r="H647" s="152"/>
      <c r="I647" s="160">
        <f t="shared" si="9"/>
        <v>44385.610000000037</v>
      </c>
    </row>
    <row r="648" spans="2:9" x14ac:dyDescent="0.25">
      <c r="B648" s="148" t="s">
        <v>14414</v>
      </c>
      <c r="C648" s="148" t="s">
        <v>18751</v>
      </c>
      <c r="D648" s="150">
        <v>43981</v>
      </c>
      <c r="E648" s="113" t="s">
        <v>18750</v>
      </c>
      <c r="G648" s="258">
        <v>6.02</v>
      </c>
      <c r="H648" s="152"/>
      <c r="I648" s="160">
        <f t="shared" si="9"/>
        <v>44391.630000000034</v>
      </c>
    </row>
    <row r="649" spans="2:9" x14ac:dyDescent="0.25">
      <c r="B649" s="148" t="s">
        <v>14414</v>
      </c>
      <c r="C649" s="148" t="s">
        <v>18749</v>
      </c>
      <c r="D649" s="150">
        <v>43981</v>
      </c>
      <c r="E649" s="113" t="s">
        <v>18748</v>
      </c>
      <c r="G649" s="258">
        <v>1.7</v>
      </c>
      <c r="H649" s="152"/>
      <c r="I649" s="160">
        <f t="shared" si="9"/>
        <v>44393.330000000031</v>
      </c>
    </row>
    <row r="650" spans="2:9" x14ac:dyDescent="0.25">
      <c r="B650" s="148" t="s">
        <v>14414</v>
      </c>
      <c r="C650" s="148" t="s">
        <v>18747</v>
      </c>
      <c r="D650" s="150">
        <v>43981</v>
      </c>
      <c r="E650" s="113" t="s">
        <v>18746</v>
      </c>
      <c r="G650" s="258">
        <v>4.28</v>
      </c>
      <c r="H650" s="152"/>
      <c r="I650" s="160">
        <f t="shared" si="9"/>
        <v>44397.61000000003</v>
      </c>
    </row>
    <row r="651" spans="2:9" x14ac:dyDescent="0.25">
      <c r="B651" s="148" t="s">
        <v>14414</v>
      </c>
      <c r="C651" s="148" t="s">
        <v>18745</v>
      </c>
      <c r="D651" s="150">
        <v>43981</v>
      </c>
      <c r="E651" s="113" t="s">
        <v>18744</v>
      </c>
      <c r="G651" s="258">
        <v>1.87</v>
      </c>
      <c r="H651" s="152"/>
      <c r="I651" s="160">
        <f t="shared" si="9"/>
        <v>44399.480000000032</v>
      </c>
    </row>
    <row r="652" spans="2:9" ht="19.5" x14ac:dyDescent="0.25">
      <c r="B652" s="148" t="s">
        <v>14414</v>
      </c>
      <c r="C652" s="148" t="s">
        <v>18743</v>
      </c>
      <c r="D652" s="150">
        <v>43981</v>
      </c>
      <c r="E652" s="113" t="s">
        <v>18742</v>
      </c>
      <c r="G652" s="258">
        <v>22.41</v>
      </c>
      <c r="H652" s="152"/>
      <c r="I652" s="160">
        <f t="shared" si="9"/>
        <v>44421.890000000036</v>
      </c>
    </row>
    <row r="653" spans="2:9" ht="19.5" x14ac:dyDescent="0.25">
      <c r="B653" s="148" t="s">
        <v>14414</v>
      </c>
      <c r="C653" s="148" t="s">
        <v>18741</v>
      </c>
      <c r="D653" s="150">
        <v>43981</v>
      </c>
      <c r="E653" s="113" t="s">
        <v>18740</v>
      </c>
      <c r="G653" s="258">
        <v>5.15</v>
      </c>
      <c r="H653" s="152"/>
      <c r="I653" s="160">
        <f t="shared" si="9"/>
        <v>44427.040000000037</v>
      </c>
    </row>
    <row r="654" spans="2:9" ht="19.5" x14ac:dyDescent="0.25">
      <c r="B654" s="148" t="s">
        <v>14414</v>
      </c>
      <c r="C654" s="148" t="s">
        <v>18739</v>
      </c>
      <c r="D654" s="150">
        <v>43981</v>
      </c>
      <c r="E654" s="113" t="s">
        <v>18738</v>
      </c>
      <c r="G654" s="258">
        <v>18.87</v>
      </c>
      <c r="H654" s="152"/>
      <c r="I654" s="160">
        <f t="shared" si="9"/>
        <v>44445.91000000004</v>
      </c>
    </row>
    <row r="655" spans="2:9" ht="19.5" x14ac:dyDescent="0.25">
      <c r="B655" s="148" t="s">
        <v>14414</v>
      </c>
      <c r="C655" s="148" t="s">
        <v>18737</v>
      </c>
      <c r="D655" s="150">
        <v>43981</v>
      </c>
      <c r="E655" s="113" t="s">
        <v>18736</v>
      </c>
      <c r="G655" s="258">
        <v>26.28</v>
      </c>
      <c r="H655" s="152"/>
      <c r="I655" s="160">
        <f t="shared" si="9"/>
        <v>44472.190000000039</v>
      </c>
    </row>
    <row r="656" spans="2:9" x14ac:dyDescent="0.25">
      <c r="B656" s="148" t="s">
        <v>14414</v>
      </c>
      <c r="C656" s="148" t="s">
        <v>18735</v>
      </c>
      <c r="D656" s="150">
        <v>43981</v>
      </c>
      <c r="E656" s="113" t="s">
        <v>18734</v>
      </c>
      <c r="G656" s="258">
        <v>7.85</v>
      </c>
      <c r="H656" s="152"/>
      <c r="I656" s="160">
        <f t="shared" si="9"/>
        <v>44480.040000000037</v>
      </c>
    </row>
    <row r="657" spans="2:9" x14ac:dyDescent="0.25">
      <c r="B657" s="148" t="s">
        <v>14414</v>
      </c>
      <c r="C657" s="148" t="s">
        <v>18733</v>
      </c>
      <c r="D657" s="150">
        <v>43981</v>
      </c>
      <c r="E657" s="113" t="s">
        <v>18732</v>
      </c>
      <c r="G657" s="258">
        <v>1.95</v>
      </c>
      <c r="H657" s="152"/>
      <c r="I657" s="160">
        <f t="shared" si="9"/>
        <v>44481.990000000034</v>
      </c>
    </row>
    <row r="658" spans="2:9" x14ac:dyDescent="0.25">
      <c r="B658" s="148" t="s">
        <v>14414</v>
      </c>
      <c r="C658" s="148" t="s">
        <v>18731</v>
      </c>
      <c r="D658" s="150">
        <v>43981</v>
      </c>
      <c r="E658" s="113" t="s">
        <v>18730</v>
      </c>
      <c r="G658" s="258">
        <v>10.08</v>
      </c>
      <c r="H658" s="152"/>
      <c r="I658" s="160">
        <f t="shared" si="9"/>
        <v>44492.070000000036</v>
      </c>
    </row>
    <row r="659" spans="2:9" ht="19.5" x14ac:dyDescent="0.25">
      <c r="B659" s="148" t="s">
        <v>14414</v>
      </c>
      <c r="C659" s="148" t="s">
        <v>18729</v>
      </c>
      <c r="D659" s="150">
        <v>43981</v>
      </c>
      <c r="E659" s="113" t="s">
        <v>18728</v>
      </c>
      <c r="G659" s="258">
        <v>5.0999999999999996</v>
      </c>
      <c r="H659" s="152"/>
      <c r="I659" s="160">
        <f t="shared" si="9"/>
        <v>44497.170000000035</v>
      </c>
    </row>
    <row r="660" spans="2:9" ht="19.5" x14ac:dyDescent="0.25">
      <c r="B660" s="148" t="s">
        <v>14414</v>
      </c>
      <c r="C660" s="148" t="s">
        <v>16657</v>
      </c>
      <c r="D660" s="150">
        <v>43981</v>
      </c>
      <c r="E660" s="113" t="s">
        <v>18727</v>
      </c>
      <c r="G660" s="298"/>
      <c r="H660" s="161">
        <v>1375</v>
      </c>
      <c r="I660" s="160">
        <f t="shared" ref="I660:I665" si="10">+I659+G660-H660</f>
        <v>43122.170000000035</v>
      </c>
    </row>
    <row r="661" spans="2:9" x14ac:dyDescent="0.25">
      <c r="B661" s="148" t="s">
        <v>14414</v>
      </c>
      <c r="C661" s="148" t="s">
        <v>18726</v>
      </c>
      <c r="D661" s="150">
        <v>43982</v>
      </c>
      <c r="E661" s="113" t="s">
        <v>18725</v>
      </c>
      <c r="G661" s="258">
        <v>4.2300000000000004</v>
      </c>
      <c r="H661" s="152"/>
      <c r="I661" s="160">
        <f t="shared" si="10"/>
        <v>43126.400000000038</v>
      </c>
    </row>
    <row r="662" spans="2:9" x14ac:dyDescent="0.25">
      <c r="B662" s="148" t="s">
        <v>14414</v>
      </c>
      <c r="C662" s="148" t="s">
        <v>18724</v>
      </c>
      <c r="D662" s="150">
        <v>43982</v>
      </c>
      <c r="E662" s="113" t="s">
        <v>18723</v>
      </c>
      <c r="G662" s="258">
        <v>4.3499999999999996</v>
      </c>
      <c r="H662" s="152"/>
      <c r="I662" s="160">
        <f t="shared" si="10"/>
        <v>43130.750000000036</v>
      </c>
    </row>
    <row r="663" spans="2:9" x14ac:dyDescent="0.25">
      <c r="B663" s="148" t="s">
        <v>14414</v>
      </c>
      <c r="C663" s="148" t="s">
        <v>18722</v>
      </c>
      <c r="D663" s="150">
        <v>43982</v>
      </c>
      <c r="E663" s="113" t="s">
        <v>18721</v>
      </c>
      <c r="G663" s="258">
        <v>2.1800000000000002</v>
      </c>
      <c r="H663" s="152"/>
      <c r="I663" s="160">
        <f t="shared" si="10"/>
        <v>43132.930000000037</v>
      </c>
    </row>
    <row r="664" spans="2:9" ht="19.5" x14ac:dyDescent="0.25">
      <c r="B664" s="148" t="s">
        <v>14414</v>
      </c>
      <c r="C664" s="148" t="s">
        <v>18720</v>
      </c>
      <c r="D664" s="150">
        <v>43982</v>
      </c>
      <c r="E664" s="113" t="s">
        <v>18719</v>
      </c>
      <c r="G664" s="258">
        <v>8.77</v>
      </c>
      <c r="H664" s="152"/>
      <c r="I664" s="160">
        <f t="shared" si="10"/>
        <v>43141.700000000033</v>
      </c>
    </row>
    <row r="665" spans="2:9" x14ac:dyDescent="0.25">
      <c r="B665" s="148" t="s">
        <v>14414</v>
      </c>
      <c r="C665" s="148" t="s">
        <v>18718</v>
      </c>
      <c r="D665" s="150">
        <v>43982</v>
      </c>
      <c r="E665" s="113" t="s">
        <v>18717</v>
      </c>
      <c r="G665" s="258">
        <v>3.92</v>
      </c>
      <c r="H665" s="152"/>
      <c r="I665" s="160">
        <f t="shared" si="10"/>
        <v>43145.620000000032</v>
      </c>
    </row>
    <row r="666" spans="2:9" x14ac:dyDescent="0.25">
      <c r="B666" s="109"/>
      <c r="C666" s="109" t="s">
        <v>323</v>
      </c>
      <c r="D666" s="151">
        <v>35475.89</v>
      </c>
      <c r="E666" s="313" t="s">
        <v>322</v>
      </c>
      <c r="F666" s="318"/>
      <c r="G666" s="152"/>
      <c r="H666" s="153" t="s">
        <v>320</v>
      </c>
      <c r="I666" s="162">
        <f>+I665</f>
        <v>43145.620000000032</v>
      </c>
    </row>
    <row r="669" spans="2:9" x14ac:dyDescent="0.2">
      <c r="E669" s="114" t="s">
        <v>319</v>
      </c>
      <c r="I669" s="273" t="s">
        <v>318</v>
      </c>
    </row>
  </sheetData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3274B-8DF3-4805-B297-56A2D45E9202}">
  <sheetPr>
    <pageSetUpPr fitToPage="1"/>
  </sheetPr>
  <dimension ref="A1:G207"/>
  <sheetViews>
    <sheetView topLeftCell="A58" workbookViewId="0">
      <selection activeCell="A67" sqref="A67:XFD68"/>
    </sheetView>
  </sheetViews>
  <sheetFormatPr baseColWidth="10" defaultColWidth="11.5703125" defaultRowHeight="15.75" x14ac:dyDescent="0.25"/>
  <cols>
    <col min="1" max="1" width="11.5703125" style="137"/>
    <col min="2" max="2" width="45.42578125" style="215" customWidth="1"/>
    <col min="3" max="3" width="10.28515625" style="142" customWidth="1"/>
    <col min="4" max="4" width="12" style="137" customWidth="1"/>
    <col min="5" max="5" width="17.28515625" style="137" bestFit="1" customWidth="1"/>
    <col min="6" max="6" width="10.42578125" style="137" bestFit="1" customWidth="1"/>
    <col min="7" max="7" width="10.7109375" style="137" customWidth="1"/>
    <col min="8" max="16384" width="11.5703125" style="137"/>
  </cols>
  <sheetData>
    <row r="1" spans="1:6" x14ac:dyDescent="0.25">
      <c r="A1" s="384" t="s">
        <v>14420</v>
      </c>
      <c r="B1" s="384"/>
      <c r="C1" s="384"/>
      <c r="D1" s="384"/>
      <c r="E1" s="384"/>
      <c r="F1" s="384"/>
    </row>
    <row r="2" spans="1:6" x14ac:dyDescent="0.25">
      <c r="A2" s="123" t="s">
        <v>2772</v>
      </c>
      <c r="B2" s="123" t="s">
        <v>2773</v>
      </c>
      <c r="C2" s="208" t="s">
        <v>11</v>
      </c>
      <c r="D2" s="123" t="s">
        <v>2774</v>
      </c>
      <c r="E2" s="123" t="s">
        <v>7</v>
      </c>
      <c r="F2" s="123" t="s">
        <v>2775</v>
      </c>
    </row>
    <row r="3" spans="1:6" x14ac:dyDescent="0.25">
      <c r="A3" s="203" t="str">
        <f>"3908182"</f>
        <v>3908182</v>
      </c>
      <c r="B3" s="207" t="s">
        <v>5820</v>
      </c>
      <c r="C3" s="209">
        <v>0.65</v>
      </c>
      <c r="D3" s="203">
        <v>327559</v>
      </c>
      <c r="E3" s="205">
        <v>43955.381516203706</v>
      </c>
      <c r="F3" s="123">
        <v>5473</v>
      </c>
    </row>
    <row r="4" spans="1:6" x14ac:dyDescent="0.25">
      <c r="A4" s="203" t="str">
        <f>"23923168"</f>
        <v>23923168</v>
      </c>
      <c r="B4" s="207" t="s">
        <v>5818</v>
      </c>
      <c r="C4" s="209">
        <v>2.06</v>
      </c>
      <c r="D4" s="203">
        <v>1738</v>
      </c>
      <c r="E4" s="205">
        <v>43955.398912037039</v>
      </c>
      <c r="F4" s="123">
        <v>5474</v>
      </c>
    </row>
    <row r="5" spans="1:6" x14ac:dyDescent="0.25">
      <c r="A5" s="203" t="str">
        <f>"23923173"</f>
        <v>23923173</v>
      </c>
      <c r="B5" s="207" t="s">
        <v>5818</v>
      </c>
      <c r="C5" s="209">
        <v>1.68</v>
      </c>
      <c r="D5" s="203">
        <v>1740</v>
      </c>
      <c r="E5" s="205">
        <v>43955.40042824074</v>
      </c>
      <c r="F5" s="123">
        <v>5475</v>
      </c>
    </row>
    <row r="6" spans="1:6" x14ac:dyDescent="0.25">
      <c r="A6" s="203" t="str">
        <f>"3903548"</f>
        <v>3903548</v>
      </c>
      <c r="B6" s="207" t="s">
        <v>2776</v>
      </c>
      <c r="C6" s="209">
        <v>25.8</v>
      </c>
      <c r="D6" s="203">
        <v>326326</v>
      </c>
      <c r="E6" s="205">
        <v>43955.491412037038</v>
      </c>
      <c r="F6" s="123">
        <v>5476</v>
      </c>
    </row>
    <row r="7" spans="1:6" x14ac:dyDescent="0.25">
      <c r="A7" s="203" t="str">
        <f>"3907892"</f>
        <v>3907892</v>
      </c>
      <c r="B7" s="207" t="s">
        <v>5727</v>
      </c>
      <c r="C7" s="209">
        <v>5.8</v>
      </c>
      <c r="D7" s="203">
        <v>326576</v>
      </c>
      <c r="E7" s="205">
        <v>43955.513668981483</v>
      </c>
      <c r="F7" s="123">
        <v>5477</v>
      </c>
    </row>
    <row r="8" spans="1:6" x14ac:dyDescent="0.25">
      <c r="A8" s="203" t="str">
        <f>"3908204"</f>
        <v>3908204</v>
      </c>
      <c r="B8" s="207" t="s">
        <v>5785</v>
      </c>
      <c r="C8" s="209">
        <v>15.17</v>
      </c>
      <c r="D8" s="203">
        <v>327571</v>
      </c>
      <c r="E8" s="205">
        <v>43955.578923611109</v>
      </c>
      <c r="F8" s="123">
        <v>5478</v>
      </c>
    </row>
    <row r="9" spans="1:6" x14ac:dyDescent="0.25">
      <c r="A9" s="203" t="str">
        <f>"3960252"</f>
        <v>3960252</v>
      </c>
      <c r="B9" s="207" t="s">
        <v>5816</v>
      </c>
      <c r="C9" s="209">
        <v>8.3800000000000008</v>
      </c>
      <c r="D9" s="203">
        <v>325475</v>
      </c>
      <c r="E9" s="205">
        <v>43955.701562499999</v>
      </c>
      <c r="F9" s="123">
        <v>5479</v>
      </c>
    </row>
    <row r="10" spans="1:6" x14ac:dyDescent="0.25">
      <c r="A10" s="203" t="str">
        <f>"3906821"</f>
        <v>3906821</v>
      </c>
      <c r="B10" s="207" t="s">
        <v>2950</v>
      </c>
      <c r="C10" s="209">
        <v>15.61</v>
      </c>
      <c r="D10" s="203">
        <v>326537</v>
      </c>
      <c r="E10" s="205">
        <v>43955.438368055555</v>
      </c>
      <c r="F10" s="123">
        <v>5480</v>
      </c>
    </row>
    <row r="11" spans="1:6" x14ac:dyDescent="0.25">
      <c r="A11" s="203" t="str">
        <f>"3908938"</f>
        <v>3908938</v>
      </c>
      <c r="B11" s="207" t="s">
        <v>5850</v>
      </c>
      <c r="C11" s="209">
        <v>10.38</v>
      </c>
      <c r="D11" s="203">
        <v>326141</v>
      </c>
      <c r="E11" s="205">
        <v>43955.472673611112</v>
      </c>
      <c r="F11" s="123">
        <v>5481</v>
      </c>
    </row>
    <row r="12" spans="1:6" x14ac:dyDescent="0.25">
      <c r="A12" s="203" t="str">
        <f>"3920203"</f>
        <v>3920203</v>
      </c>
      <c r="B12" s="207" t="s">
        <v>5736</v>
      </c>
      <c r="C12" s="209">
        <v>53.7</v>
      </c>
      <c r="D12" s="203">
        <v>325393</v>
      </c>
      <c r="E12" s="205">
        <v>43955.698067129626</v>
      </c>
      <c r="F12" s="123">
        <v>5482</v>
      </c>
    </row>
    <row r="13" spans="1:6" x14ac:dyDescent="0.25">
      <c r="A13" s="203" t="str">
        <f>"3909981"</f>
        <v>3909981</v>
      </c>
      <c r="B13" s="207" t="s">
        <v>2845</v>
      </c>
      <c r="C13" s="209">
        <v>1.68</v>
      </c>
      <c r="D13" s="203">
        <v>325899</v>
      </c>
      <c r="E13" s="205">
        <v>43955.718402777777</v>
      </c>
      <c r="F13" s="123">
        <v>5483</v>
      </c>
    </row>
    <row r="14" spans="1:6" x14ac:dyDescent="0.25">
      <c r="A14" s="203" t="str">
        <f>"3940013"</f>
        <v>3940013</v>
      </c>
      <c r="B14" s="207" t="s">
        <v>2854</v>
      </c>
      <c r="C14" s="209">
        <v>8.3800000000000008</v>
      </c>
      <c r="D14" s="203">
        <v>325391</v>
      </c>
      <c r="E14" s="205">
        <v>43955.718402777777</v>
      </c>
      <c r="F14" s="123">
        <v>5484</v>
      </c>
    </row>
    <row r="15" spans="1:6" x14ac:dyDescent="0.25">
      <c r="A15" s="203" t="str">
        <f>"3950041"</f>
        <v>3950041</v>
      </c>
      <c r="B15" s="207" t="s">
        <v>2850</v>
      </c>
      <c r="C15" s="209">
        <v>4.1900000000000004</v>
      </c>
      <c r="D15" s="203">
        <v>325411</v>
      </c>
      <c r="E15" s="205">
        <v>43955.718402777777</v>
      </c>
      <c r="F15" s="123">
        <v>5485</v>
      </c>
    </row>
    <row r="16" spans="1:6" x14ac:dyDescent="0.25">
      <c r="A16" s="203" t="str">
        <f>"3960232"</f>
        <v>3960232</v>
      </c>
      <c r="B16" s="207" t="s">
        <v>2859</v>
      </c>
      <c r="C16" s="209">
        <v>12.3</v>
      </c>
      <c r="D16" s="203">
        <v>325481</v>
      </c>
      <c r="E16" s="205">
        <v>43955.718402777777</v>
      </c>
      <c r="F16" s="123">
        <v>5486</v>
      </c>
    </row>
    <row r="17" spans="1:6" x14ac:dyDescent="0.25">
      <c r="A17" s="203" t="str">
        <f>"3903292"</f>
        <v>3903292</v>
      </c>
      <c r="B17" s="207" t="s">
        <v>2869</v>
      </c>
      <c r="C17" s="209">
        <v>13.94</v>
      </c>
      <c r="D17" s="203">
        <v>326005</v>
      </c>
      <c r="E17" s="205">
        <v>43955.718402777777</v>
      </c>
      <c r="F17" s="123">
        <v>5487</v>
      </c>
    </row>
    <row r="18" spans="1:6" x14ac:dyDescent="0.25">
      <c r="A18" s="203" t="str">
        <f>"3950328"</f>
        <v>3950328</v>
      </c>
      <c r="B18" s="207" t="s">
        <v>2848</v>
      </c>
      <c r="C18" s="209">
        <v>8.3800000000000008</v>
      </c>
      <c r="D18" s="203">
        <v>325561</v>
      </c>
      <c r="E18" s="205">
        <v>43955.718402777777</v>
      </c>
      <c r="F18" s="123">
        <v>5488</v>
      </c>
    </row>
    <row r="19" spans="1:6" x14ac:dyDescent="0.25">
      <c r="A19" s="203" t="str">
        <f>"3900963"</f>
        <v>3900963</v>
      </c>
      <c r="B19" s="207" t="s">
        <v>5796</v>
      </c>
      <c r="C19" s="209">
        <v>7.13</v>
      </c>
      <c r="D19" s="203">
        <v>325982</v>
      </c>
      <c r="E19" s="205">
        <v>43955.718402777777</v>
      </c>
      <c r="F19" s="123">
        <v>5489</v>
      </c>
    </row>
    <row r="20" spans="1:6" x14ac:dyDescent="0.25">
      <c r="A20" s="203" t="str">
        <f>"3960256"</f>
        <v>3960256</v>
      </c>
      <c r="B20" s="207" t="s">
        <v>2843</v>
      </c>
      <c r="C20" s="209">
        <v>17.899999999999999</v>
      </c>
      <c r="D20" s="203">
        <v>325408</v>
      </c>
      <c r="E20" s="205">
        <v>43955.718402777777</v>
      </c>
      <c r="F20" s="123">
        <v>5490</v>
      </c>
    </row>
    <row r="21" spans="1:6" x14ac:dyDescent="0.25">
      <c r="A21" s="203" t="str">
        <f>"3900389"</f>
        <v>3900389</v>
      </c>
      <c r="B21" s="207" t="s">
        <v>2844</v>
      </c>
      <c r="C21" s="209">
        <v>1.68</v>
      </c>
      <c r="D21" s="203">
        <v>326920</v>
      </c>
      <c r="E21" s="205">
        <v>43955.718402777777</v>
      </c>
      <c r="F21" s="123">
        <v>5491</v>
      </c>
    </row>
    <row r="22" spans="1:6" x14ac:dyDescent="0.25">
      <c r="A22" s="203" t="str">
        <f>"3909223"</f>
        <v>3909223</v>
      </c>
      <c r="B22" s="207" t="s">
        <v>2846</v>
      </c>
      <c r="C22" s="209">
        <v>1.68</v>
      </c>
      <c r="D22" s="203">
        <v>326728</v>
      </c>
      <c r="E22" s="205">
        <v>43955.718402777777</v>
      </c>
      <c r="F22" s="123">
        <v>5492</v>
      </c>
    </row>
    <row r="23" spans="1:6" x14ac:dyDescent="0.25">
      <c r="A23" s="203" t="str">
        <f>"3903282"</f>
        <v>3903282</v>
      </c>
      <c r="B23" s="207" t="s">
        <v>2847</v>
      </c>
      <c r="C23" s="209">
        <v>2.3199999999999998</v>
      </c>
      <c r="D23" s="203">
        <v>327255</v>
      </c>
      <c r="E23" s="205">
        <v>43955.718402777777</v>
      </c>
      <c r="F23" s="123">
        <v>5493</v>
      </c>
    </row>
    <row r="24" spans="1:6" x14ac:dyDescent="0.25">
      <c r="A24" s="203" t="str">
        <f>"3903098"</f>
        <v>3903098</v>
      </c>
      <c r="B24" s="207" t="s">
        <v>2849</v>
      </c>
      <c r="C24" s="209">
        <v>6.61</v>
      </c>
      <c r="D24" s="203">
        <v>325746</v>
      </c>
      <c r="E24" s="205">
        <v>43955.718402777777</v>
      </c>
      <c r="F24" s="123">
        <v>5494</v>
      </c>
    </row>
    <row r="25" spans="1:6" x14ac:dyDescent="0.25">
      <c r="A25" s="203" t="str">
        <f>"3906324"</f>
        <v>3906324</v>
      </c>
      <c r="B25" s="207" t="s">
        <v>2855</v>
      </c>
      <c r="C25" s="209">
        <v>4.1900000000000004</v>
      </c>
      <c r="D25" s="203">
        <v>325652</v>
      </c>
      <c r="E25" s="205">
        <v>43955.718402777777</v>
      </c>
      <c r="F25" s="123">
        <v>5495</v>
      </c>
    </row>
    <row r="26" spans="1:6" x14ac:dyDescent="0.25">
      <c r="A26" s="203" t="str">
        <f>"3920281"</f>
        <v>3920281</v>
      </c>
      <c r="B26" s="207" t="s">
        <v>2851</v>
      </c>
      <c r="C26" s="209">
        <v>7.82</v>
      </c>
      <c r="D26" s="203">
        <v>325388</v>
      </c>
      <c r="E26" s="205">
        <v>43955.718402777777</v>
      </c>
      <c r="F26" s="123">
        <v>5496</v>
      </c>
    </row>
    <row r="27" spans="1:6" x14ac:dyDescent="0.25">
      <c r="A27" s="203" t="str">
        <f>"3908927"</f>
        <v>3908927</v>
      </c>
      <c r="B27" s="207" t="s">
        <v>2852</v>
      </c>
      <c r="C27" s="209">
        <v>1.68</v>
      </c>
      <c r="D27" s="203">
        <v>326142</v>
      </c>
      <c r="E27" s="205">
        <v>43955.718402777777</v>
      </c>
      <c r="F27" s="123">
        <v>5497</v>
      </c>
    </row>
    <row r="28" spans="1:6" x14ac:dyDescent="0.25">
      <c r="A28" s="203" t="str">
        <f>"3945272"</f>
        <v>3945272</v>
      </c>
      <c r="B28" s="207" t="s">
        <v>2853</v>
      </c>
      <c r="C28" s="209">
        <v>4.1900000000000004</v>
      </c>
      <c r="D28" s="203">
        <v>325628</v>
      </c>
      <c r="E28" s="205">
        <v>43955.718402777777</v>
      </c>
      <c r="F28" s="123">
        <v>5498</v>
      </c>
    </row>
    <row r="29" spans="1:6" x14ac:dyDescent="0.25">
      <c r="A29" s="203" t="str">
        <f>"3901113"</f>
        <v>3901113</v>
      </c>
      <c r="B29" s="207" t="s">
        <v>2856</v>
      </c>
      <c r="C29" s="209">
        <v>1.84</v>
      </c>
      <c r="D29" s="203">
        <v>326166</v>
      </c>
      <c r="E29" s="205">
        <v>43955.718402777777</v>
      </c>
      <c r="F29" s="123">
        <v>5499</v>
      </c>
    </row>
    <row r="30" spans="1:6" x14ac:dyDescent="0.25">
      <c r="A30" s="203" t="str">
        <f>"3900676"</f>
        <v>3900676</v>
      </c>
      <c r="B30" s="207" t="s">
        <v>5795</v>
      </c>
      <c r="C30" s="209">
        <v>2.62</v>
      </c>
      <c r="D30" s="203">
        <v>327487</v>
      </c>
      <c r="E30" s="205">
        <v>43955.718402777777</v>
      </c>
      <c r="F30" s="123">
        <v>5500</v>
      </c>
    </row>
    <row r="31" spans="1:6" x14ac:dyDescent="0.25">
      <c r="A31" s="203" t="str">
        <f>"3945262"</f>
        <v>3945262</v>
      </c>
      <c r="B31" s="207" t="s">
        <v>2857</v>
      </c>
      <c r="C31" s="209">
        <v>3.36</v>
      </c>
      <c r="D31" s="203">
        <v>325631</v>
      </c>
      <c r="E31" s="205">
        <v>43955.718402777777</v>
      </c>
      <c r="F31" s="123">
        <v>5501</v>
      </c>
    </row>
    <row r="32" spans="1:6" x14ac:dyDescent="0.25">
      <c r="A32" s="203" t="str">
        <f>"3902750"</f>
        <v>3902750</v>
      </c>
      <c r="B32" s="207" t="s">
        <v>2824</v>
      </c>
      <c r="C32" s="209">
        <v>8.3800000000000008</v>
      </c>
      <c r="D32" s="203">
        <v>325614</v>
      </c>
      <c r="E32" s="205">
        <v>43955.718402777777</v>
      </c>
      <c r="F32" s="123">
        <v>5502</v>
      </c>
    </row>
    <row r="33" spans="1:7" x14ac:dyDescent="0.25">
      <c r="A33" s="203" t="str">
        <f>"3960364"</f>
        <v>3960364</v>
      </c>
      <c r="B33" s="207" t="s">
        <v>2839</v>
      </c>
      <c r="C33" s="209">
        <v>9.48</v>
      </c>
      <c r="D33" s="203">
        <v>325495</v>
      </c>
      <c r="E33" s="205">
        <v>43955.718402777777</v>
      </c>
      <c r="F33" s="123">
        <v>5503</v>
      </c>
      <c r="G33" s="216"/>
    </row>
    <row r="34" spans="1:7" x14ac:dyDescent="0.25">
      <c r="A34" s="203" t="str">
        <f>"3960277"</f>
        <v>3960277</v>
      </c>
      <c r="B34" s="207" t="s">
        <v>2838</v>
      </c>
      <c r="C34" s="209">
        <v>10.85</v>
      </c>
      <c r="D34" s="203">
        <v>325425</v>
      </c>
      <c r="E34" s="205">
        <v>43955.718402777777</v>
      </c>
      <c r="F34" s="123">
        <v>5504</v>
      </c>
    </row>
    <row r="35" spans="1:7" x14ac:dyDescent="0.25">
      <c r="A35" s="203" t="str">
        <f>"3903364"</f>
        <v>3903364</v>
      </c>
      <c r="B35" s="207" t="s">
        <v>2825</v>
      </c>
      <c r="C35" s="209">
        <v>20.27</v>
      </c>
      <c r="D35" s="203">
        <v>326103</v>
      </c>
      <c r="E35" s="205">
        <v>43955.718402777777</v>
      </c>
      <c r="F35" s="123">
        <v>5505</v>
      </c>
    </row>
    <row r="36" spans="1:7" x14ac:dyDescent="0.25">
      <c r="A36" s="203" t="str">
        <f>"3960315"</f>
        <v>3960315</v>
      </c>
      <c r="B36" s="207" t="s">
        <v>2826</v>
      </c>
      <c r="C36" s="209">
        <v>8.81</v>
      </c>
      <c r="D36" s="203">
        <v>325556</v>
      </c>
      <c r="E36" s="205">
        <v>43955.718402777777</v>
      </c>
      <c r="F36" s="123">
        <v>5506</v>
      </c>
    </row>
    <row r="37" spans="1:7" x14ac:dyDescent="0.25">
      <c r="A37" s="203" t="str">
        <f>"3900349"</f>
        <v>3900349</v>
      </c>
      <c r="B37" s="207" t="s">
        <v>2827</v>
      </c>
      <c r="C37" s="209">
        <v>9.41</v>
      </c>
      <c r="D37" s="203">
        <v>326902</v>
      </c>
      <c r="E37" s="205">
        <v>43955.718402777777</v>
      </c>
      <c r="F37" s="123">
        <v>5507</v>
      </c>
    </row>
    <row r="38" spans="1:7" x14ac:dyDescent="0.25">
      <c r="A38" s="203" t="str">
        <f>"3945284"</f>
        <v>3945284</v>
      </c>
      <c r="B38" s="207" t="s">
        <v>2842</v>
      </c>
      <c r="C38" s="209">
        <v>8.3800000000000008</v>
      </c>
      <c r="D38" s="203">
        <v>325630</v>
      </c>
      <c r="E38" s="205">
        <v>43955.718402777777</v>
      </c>
      <c r="F38" s="123">
        <v>5508</v>
      </c>
    </row>
    <row r="39" spans="1:7" x14ac:dyDescent="0.25">
      <c r="A39" s="203" t="str">
        <f>"3945102"</f>
        <v>3945102</v>
      </c>
      <c r="B39" s="207" t="s">
        <v>2835</v>
      </c>
      <c r="C39" s="209">
        <v>8.3800000000000008</v>
      </c>
      <c r="D39" s="203">
        <v>325480</v>
      </c>
      <c r="E39" s="205">
        <v>43955.718402777777</v>
      </c>
      <c r="F39" s="123">
        <v>5509</v>
      </c>
    </row>
    <row r="40" spans="1:7" x14ac:dyDescent="0.25">
      <c r="A40" s="203" t="str">
        <f>"3907239"</f>
        <v>3907239</v>
      </c>
      <c r="B40" s="207" t="s">
        <v>2836</v>
      </c>
      <c r="C40" s="209">
        <v>6.94</v>
      </c>
      <c r="D40" s="203">
        <v>325725</v>
      </c>
      <c r="E40" s="205">
        <v>43955.718402777777</v>
      </c>
      <c r="F40" s="123">
        <v>5510</v>
      </c>
    </row>
    <row r="41" spans="1:7" x14ac:dyDescent="0.25">
      <c r="A41" s="203" t="str">
        <f>"3960212"</f>
        <v>3960212</v>
      </c>
      <c r="B41" s="207" t="s">
        <v>2837</v>
      </c>
      <c r="C41" s="209">
        <v>7.82</v>
      </c>
      <c r="D41" s="203">
        <v>325440</v>
      </c>
      <c r="E41" s="205">
        <v>43955.718402777777</v>
      </c>
      <c r="F41" s="123">
        <v>5511</v>
      </c>
    </row>
    <row r="42" spans="1:7" x14ac:dyDescent="0.25">
      <c r="A42" s="203" t="str">
        <f>"3901398"</f>
        <v>3901398</v>
      </c>
      <c r="B42" s="207" t="s">
        <v>2829</v>
      </c>
      <c r="C42" s="209">
        <v>3.76</v>
      </c>
      <c r="D42" s="203">
        <v>327062</v>
      </c>
      <c r="E42" s="205">
        <v>43955.718402777777</v>
      </c>
      <c r="F42" s="123">
        <v>5512</v>
      </c>
    </row>
    <row r="43" spans="1:7" x14ac:dyDescent="0.25">
      <c r="A43" s="203" t="str">
        <f>"3903781"</f>
        <v>3903781</v>
      </c>
      <c r="B43" s="207" t="s">
        <v>2830</v>
      </c>
      <c r="C43" s="209">
        <v>7.82</v>
      </c>
      <c r="D43" s="203">
        <v>325623</v>
      </c>
      <c r="E43" s="205">
        <v>43955.718402777777</v>
      </c>
      <c r="F43" s="123">
        <v>5513</v>
      </c>
    </row>
    <row r="44" spans="1:7" x14ac:dyDescent="0.25">
      <c r="A44" s="203" t="str">
        <f>"3903061"</f>
        <v>3903061</v>
      </c>
      <c r="B44" s="207" t="s">
        <v>2832</v>
      </c>
      <c r="C44" s="209">
        <v>6.94</v>
      </c>
      <c r="D44" s="203">
        <v>325737</v>
      </c>
      <c r="E44" s="205">
        <v>43955.718402777777</v>
      </c>
      <c r="F44" s="123">
        <v>5514</v>
      </c>
    </row>
    <row r="45" spans="1:7" x14ac:dyDescent="0.25">
      <c r="A45" s="203" t="str">
        <f>"3902419"</f>
        <v>3902419</v>
      </c>
      <c r="B45" s="207" t="s">
        <v>2821</v>
      </c>
      <c r="C45" s="209">
        <v>6.81</v>
      </c>
      <c r="D45" s="203">
        <v>326660</v>
      </c>
      <c r="E45" s="205">
        <v>43955.718402777777</v>
      </c>
      <c r="F45" s="123">
        <v>5515</v>
      </c>
    </row>
    <row r="46" spans="1:7" x14ac:dyDescent="0.25">
      <c r="A46" s="203" t="str">
        <f>"3909039"</f>
        <v>3909039</v>
      </c>
      <c r="B46" s="207" t="s">
        <v>2833</v>
      </c>
      <c r="C46" s="209">
        <v>1.68</v>
      </c>
      <c r="D46" s="203">
        <v>326412</v>
      </c>
      <c r="E46" s="205">
        <v>43955.718402777777</v>
      </c>
      <c r="F46" s="123">
        <v>5516</v>
      </c>
    </row>
    <row r="47" spans="1:7" x14ac:dyDescent="0.25">
      <c r="A47" s="203" t="str">
        <f>"3903467"</f>
        <v>3903467</v>
      </c>
      <c r="B47" s="207" t="s">
        <v>2823</v>
      </c>
      <c r="C47" s="209">
        <v>1.68</v>
      </c>
      <c r="D47" s="203">
        <v>326054</v>
      </c>
      <c r="E47" s="205">
        <v>43955.718402777777</v>
      </c>
      <c r="F47" s="123">
        <v>5517</v>
      </c>
    </row>
    <row r="48" spans="1:7" x14ac:dyDescent="0.25">
      <c r="A48" s="203" t="str">
        <f>"3903127"</f>
        <v>3903127</v>
      </c>
      <c r="B48" s="207" t="s">
        <v>2840</v>
      </c>
      <c r="C48" s="209">
        <v>1.68</v>
      </c>
      <c r="D48" s="203">
        <v>325816</v>
      </c>
      <c r="E48" s="205">
        <v>43955.718402777777</v>
      </c>
      <c r="F48" s="123">
        <v>5518</v>
      </c>
    </row>
    <row r="49" spans="1:6" x14ac:dyDescent="0.25">
      <c r="A49" s="203" t="str">
        <f>"3945105"</f>
        <v>3945105</v>
      </c>
      <c r="B49" s="207" t="s">
        <v>5750</v>
      </c>
      <c r="C49" s="209">
        <v>9.49</v>
      </c>
      <c r="D49" s="203">
        <v>325487</v>
      </c>
      <c r="E49" s="205">
        <v>43955.718402777777</v>
      </c>
      <c r="F49" s="123">
        <v>5519</v>
      </c>
    </row>
    <row r="50" spans="1:6" x14ac:dyDescent="0.25">
      <c r="A50" s="203" t="str">
        <f>"3907541"</f>
        <v>3907541</v>
      </c>
      <c r="B50" s="207" t="s">
        <v>2841</v>
      </c>
      <c r="C50" s="209">
        <v>3.37</v>
      </c>
      <c r="D50" s="203">
        <v>325835</v>
      </c>
      <c r="E50" s="205">
        <v>43955.718402777777</v>
      </c>
      <c r="F50" s="123">
        <v>5520</v>
      </c>
    </row>
    <row r="51" spans="1:6" x14ac:dyDescent="0.25">
      <c r="A51" s="203" t="str">
        <f>"3909936"</f>
        <v>3909936</v>
      </c>
      <c r="B51" s="207" t="s">
        <v>2820</v>
      </c>
      <c r="C51" s="209">
        <v>1.8</v>
      </c>
      <c r="D51" s="203">
        <v>325971</v>
      </c>
      <c r="E51" s="205">
        <v>43955.718402777777</v>
      </c>
      <c r="F51" s="123">
        <v>5521</v>
      </c>
    </row>
    <row r="52" spans="1:6" x14ac:dyDescent="0.25">
      <c r="A52" s="203" t="str">
        <f>"3900568"</f>
        <v>3900568</v>
      </c>
      <c r="B52" s="207" t="s">
        <v>5849</v>
      </c>
      <c r="C52" s="209">
        <v>1.46</v>
      </c>
      <c r="D52" s="203">
        <v>326984</v>
      </c>
      <c r="E52" s="205">
        <v>43955.718402777777</v>
      </c>
      <c r="F52" s="123">
        <v>5522</v>
      </c>
    </row>
    <row r="53" spans="1:6" x14ac:dyDescent="0.25">
      <c r="A53" s="203" t="str">
        <f>"3906802"</f>
        <v>3906802</v>
      </c>
      <c r="B53" s="207" t="s">
        <v>2822</v>
      </c>
      <c r="C53" s="209">
        <v>2.36</v>
      </c>
      <c r="D53" s="203">
        <v>326526</v>
      </c>
      <c r="E53" s="205">
        <v>43955.718402777777</v>
      </c>
      <c r="F53" s="123">
        <v>5523</v>
      </c>
    </row>
    <row r="54" spans="1:6" x14ac:dyDescent="0.25">
      <c r="A54" s="203" t="str">
        <f>"3945435"</f>
        <v>3945435</v>
      </c>
      <c r="B54" s="207" t="s">
        <v>2834</v>
      </c>
      <c r="C54" s="209">
        <v>8.3800000000000008</v>
      </c>
      <c r="D54" s="203">
        <v>325526</v>
      </c>
      <c r="E54" s="205">
        <v>43955.718402777777</v>
      </c>
      <c r="F54" s="123">
        <v>5524</v>
      </c>
    </row>
    <row r="55" spans="1:6" x14ac:dyDescent="0.25">
      <c r="A55" s="203" t="str">
        <f>"3950033"</f>
        <v>3950033</v>
      </c>
      <c r="B55" s="207" t="s">
        <v>2828</v>
      </c>
      <c r="C55" s="209">
        <v>8.3800000000000008</v>
      </c>
      <c r="D55" s="203">
        <v>325412</v>
      </c>
      <c r="E55" s="205">
        <v>43955.718402777777</v>
      </c>
      <c r="F55" s="123">
        <v>5525</v>
      </c>
    </row>
    <row r="56" spans="1:6" x14ac:dyDescent="0.25">
      <c r="A56" s="203" t="str">
        <f>"3945221"</f>
        <v>3945221</v>
      </c>
      <c r="B56" s="207" t="s">
        <v>5751</v>
      </c>
      <c r="C56" s="209">
        <v>3.36</v>
      </c>
      <c r="D56" s="203">
        <v>325610</v>
      </c>
      <c r="E56" s="205">
        <v>43955.718402777777</v>
      </c>
      <c r="F56" s="123">
        <v>5526</v>
      </c>
    </row>
    <row r="57" spans="1:6" x14ac:dyDescent="0.25">
      <c r="A57" s="203" t="str">
        <f>"3909054"</f>
        <v>3909054</v>
      </c>
      <c r="B57" s="207" t="s">
        <v>2864</v>
      </c>
      <c r="C57" s="209">
        <v>2.11</v>
      </c>
      <c r="D57" s="203">
        <v>327880</v>
      </c>
      <c r="E57" s="205">
        <v>43955.718402777777</v>
      </c>
      <c r="F57" s="123">
        <v>5527</v>
      </c>
    </row>
    <row r="58" spans="1:6" x14ac:dyDescent="0.25">
      <c r="A58" s="203" t="str">
        <f>"3945038"</f>
        <v>3945038</v>
      </c>
      <c r="B58" s="207" t="s">
        <v>2867</v>
      </c>
      <c r="C58" s="209">
        <v>15.3</v>
      </c>
      <c r="D58" s="203">
        <v>327652</v>
      </c>
      <c r="E58" s="205">
        <v>43955.718402777777</v>
      </c>
      <c r="F58" s="123">
        <v>5528</v>
      </c>
    </row>
    <row r="59" spans="1:6" x14ac:dyDescent="0.25">
      <c r="A59" s="203" t="str">
        <f>"3901033"</f>
        <v>3901033</v>
      </c>
      <c r="B59" s="207" t="s">
        <v>2868</v>
      </c>
      <c r="C59" s="209">
        <v>30.6</v>
      </c>
      <c r="D59" s="203">
        <v>327657</v>
      </c>
      <c r="E59" s="205">
        <v>43955.718402777777</v>
      </c>
      <c r="F59" s="123">
        <v>5529</v>
      </c>
    </row>
    <row r="60" spans="1:6" x14ac:dyDescent="0.25">
      <c r="A60" s="203" t="str">
        <f>"3900340"</f>
        <v>3900340</v>
      </c>
      <c r="B60" s="207" t="s">
        <v>2865</v>
      </c>
      <c r="C60" s="209">
        <v>30.6</v>
      </c>
      <c r="D60" s="203">
        <v>327648</v>
      </c>
      <c r="E60" s="205">
        <v>43955.718402777777</v>
      </c>
      <c r="F60" s="123">
        <v>5530</v>
      </c>
    </row>
    <row r="61" spans="1:6" x14ac:dyDescent="0.25">
      <c r="A61" s="203" t="str">
        <f>"3900344"</f>
        <v>3900344</v>
      </c>
      <c r="B61" s="207" t="s">
        <v>2865</v>
      </c>
      <c r="C61" s="209">
        <v>30.6</v>
      </c>
      <c r="D61" s="203">
        <v>327649</v>
      </c>
      <c r="E61" s="205">
        <v>43955.718402777777</v>
      </c>
      <c r="F61" s="123">
        <v>5531</v>
      </c>
    </row>
    <row r="62" spans="1:6" x14ac:dyDescent="0.25">
      <c r="A62" s="203" t="str">
        <f>"3900657"</f>
        <v>3900657</v>
      </c>
      <c r="B62" s="207" t="s">
        <v>2865</v>
      </c>
      <c r="C62" s="209">
        <v>30.6</v>
      </c>
      <c r="D62" s="203">
        <v>327647</v>
      </c>
      <c r="E62" s="205">
        <v>43955.718402777777</v>
      </c>
      <c r="F62" s="123">
        <v>5532</v>
      </c>
    </row>
    <row r="63" spans="1:6" x14ac:dyDescent="0.25">
      <c r="A63" s="203" t="str">
        <f>"3907922"</f>
        <v>3907922</v>
      </c>
      <c r="B63" s="207" t="s">
        <v>2860</v>
      </c>
      <c r="C63" s="209">
        <v>1.68</v>
      </c>
      <c r="D63" s="203">
        <v>327877</v>
      </c>
      <c r="E63" s="205">
        <v>43955.718402777777</v>
      </c>
      <c r="F63" s="123">
        <v>5533</v>
      </c>
    </row>
    <row r="64" spans="1:6" x14ac:dyDescent="0.25">
      <c r="A64" s="203" t="str">
        <f>"3906796"</f>
        <v>3906796</v>
      </c>
      <c r="B64" s="207" t="s">
        <v>2861</v>
      </c>
      <c r="C64" s="209">
        <v>1.94</v>
      </c>
      <c r="D64" s="203">
        <v>327891</v>
      </c>
      <c r="E64" s="205">
        <v>43955.718402777777</v>
      </c>
      <c r="F64" s="123">
        <v>5534</v>
      </c>
    </row>
    <row r="65" spans="1:6" x14ac:dyDescent="0.25">
      <c r="A65" s="203" t="str">
        <f>"3908716"</f>
        <v>3908716</v>
      </c>
      <c r="B65" s="207" t="s">
        <v>2862</v>
      </c>
      <c r="C65" s="209">
        <v>1.94</v>
      </c>
      <c r="D65" s="203">
        <v>327769</v>
      </c>
      <c r="E65" s="205">
        <v>43955.718402777777</v>
      </c>
      <c r="F65" s="123">
        <v>5535</v>
      </c>
    </row>
    <row r="66" spans="1:6" x14ac:dyDescent="0.25">
      <c r="A66" s="203" t="str">
        <f>"3908672"</f>
        <v>3908672</v>
      </c>
      <c r="B66" s="207" t="s">
        <v>2863</v>
      </c>
      <c r="C66" s="209">
        <v>2.2999999999999998</v>
      </c>
      <c r="D66" s="203">
        <v>327760</v>
      </c>
      <c r="E66" s="205">
        <v>43955.718402777777</v>
      </c>
      <c r="F66" s="123">
        <v>5536</v>
      </c>
    </row>
    <row r="67" spans="1:6" s="164" customFormat="1" ht="15" x14ac:dyDescent="0.25">
      <c r="A67" s="115"/>
      <c r="B67" s="115" t="s">
        <v>5691</v>
      </c>
      <c r="C67" s="167">
        <f>SUM(C3:C66)</f>
        <v>566.48000000000025</v>
      </c>
      <c r="D67" s="115">
        <v>1</v>
      </c>
      <c r="E67" s="163"/>
      <c r="F67" s="115"/>
    </row>
    <row r="68" spans="1:6" customFormat="1" ht="15" x14ac:dyDescent="0.25">
      <c r="A68" s="118"/>
      <c r="B68" s="116"/>
      <c r="C68" s="166"/>
      <c r="D68" s="118"/>
      <c r="E68" s="117"/>
      <c r="F68" s="118"/>
    </row>
    <row r="69" spans="1:6" x14ac:dyDescent="0.25">
      <c r="A69" s="203" t="str">
        <f>"3945113"</f>
        <v>3945113</v>
      </c>
      <c r="B69" s="207" t="s">
        <v>2790</v>
      </c>
      <c r="C69" s="209">
        <v>8.3800000000000008</v>
      </c>
      <c r="D69" s="203">
        <v>325498</v>
      </c>
      <c r="E69" s="205">
        <v>43956.28696759259</v>
      </c>
      <c r="F69" s="123">
        <v>5606</v>
      </c>
    </row>
    <row r="70" spans="1:6" x14ac:dyDescent="0.25">
      <c r="A70" s="203" t="str">
        <f>"3960373"</f>
        <v>3960373</v>
      </c>
      <c r="B70" s="207" t="s">
        <v>2940</v>
      </c>
      <c r="C70" s="209">
        <v>16.760000000000002</v>
      </c>
      <c r="D70" s="203">
        <v>325514</v>
      </c>
      <c r="E70" s="205">
        <v>43956.38177083333</v>
      </c>
      <c r="F70" s="123">
        <v>5607</v>
      </c>
    </row>
    <row r="71" spans="1:6" x14ac:dyDescent="0.25">
      <c r="A71" s="203" t="str">
        <f>"3906795"</f>
        <v>3906795</v>
      </c>
      <c r="B71" s="207" t="s">
        <v>5848</v>
      </c>
      <c r="C71" s="209">
        <v>7.11</v>
      </c>
      <c r="D71" s="203">
        <v>326522</v>
      </c>
      <c r="E71" s="205">
        <v>43956.451099537036</v>
      </c>
      <c r="F71" s="123">
        <v>5608</v>
      </c>
    </row>
    <row r="72" spans="1:6" x14ac:dyDescent="0.25">
      <c r="A72" s="203" t="str">
        <f>"3908875"</f>
        <v>3908875</v>
      </c>
      <c r="B72" s="207" t="s">
        <v>5759</v>
      </c>
      <c r="C72" s="209">
        <v>3.36</v>
      </c>
      <c r="D72" s="203">
        <v>326089</v>
      </c>
      <c r="E72" s="205">
        <v>43956.465277777781</v>
      </c>
      <c r="F72" s="123">
        <v>5609</v>
      </c>
    </row>
    <row r="73" spans="1:6" x14ac:dyDescent="0.25">
      <c r="A73" s="203" t="str">
        <f>"3907169"</f>
        <v>3907169</v>
      </c>
      <c r="B73" s="207" t="s">
        <v>2893</v>
      </c>
      <c r="C73" s="209">
        <v>20.82</v>
      </c>
      <c r="D73" s="203">
        <v>325721</v>
      </c>
      <c r="E73" s="205">
        <v>43956.55505787037</v>
      </c>
      <c r="F73" s="123">
        <v>5610</v>
      </c>
    </row>
    <row r="74" spans="1:6" x14ac:dyDescent="0.25">
      <c r="A74" s="203" t="str">
        <f>"3909239"</f>
        <v>3909239</v>
      </c>
      <c r="B74" s="207" t="s">
        <v>5732</v>
      </c>
      <c r="C74" s="209">
        <v>1.68</v>
      </c>
      <c r="D74" s="203">
        <v>326737</v>
      </c>
      <c r="E74" s="205">
        <v>43956.557835648149</v>
      </c>
      <c r="F74" s="123">
        <v>5611</v>
      </c>
    </row>
    <row r="75" spans="1:6" x14ac:dyDescent="0.25">
      <c r="A75" s="203" t="str">
        <f>"3930391"</f>
        <v>3930391</v>
      </c>
      <c r="B75" s="207" t="s">
        <v>5771</v>
      </c>
      <c r="C75" s="209">
        <v>5.12</v>
      </c>
      <c r="D75" s="203">
        <v>326621</v>
      </c>
      <c r="E75" s="205">
        <v>43956.567523148151</v>
      </c>
      <c r="F75" s="123">
        <v>5612</v>
      </c>
    </row>
    <row r="76" spans="1:6" x14ac:dyDescent="0.25">
      <c r="A76" s="203" t="str">
        <f>"3903497"</f>
        <v>3903497</v>
      </c>
      <c r="B76" s="207" t="s">
        <v>5847</v>
      </c>
      <c r="C76" s="209">
        <v>5.92</v>
      </c>
      <c r="D76" s="203">
        <v>328118</v>
      </c>
      <c r="E76" s="205">
        <v>43956.581875000003</v>
      </c>
      <c r="F76" s="123">
        <v>5613</v>
      </c>
    </row>
    <row r="77" spans="1:6" x14ac:dyDescent="0.25">
      <c r="A77" s="203" t="str">
        <f>"3901995"</f>
        <v>3901995</v>
      </c>
      <c r="B77" s="207" t="s">
        <v>5817</v>
      </c>
      <c r="C77" s="209">
        <v>5.17</v>
      </c>
      <c r="D77" s="203">
        <v>326817</v>
      </c>
      <c r="E77" s="205">
        <v>43956.683182870373</v>
      </c>
      <c r="F77" s="123">
        <v>5614</v>
      </c>
    </row>
    <row r="78" spans="1:6" x14ac:dyDescent="0.25">
      <c r="A78" s="203" t="str">
        <f>"3908109"</f>
        <v>3908109</v>
      </c>
      <c r="B78" s="207" t="s">
        <v>5846</v>
      </c>
      <c r="C78" s="209">
        <v>32.54</v>
      </c>
      <c r="D78" s="203">
        <v>327531</v>
      </c>
      <c r="E78" s="205">
        <v>43956.859074074076</v>
      </c>
      <c r="F78" s="123">
        <v>5615</v>
      </c>
    </row>
    <row r="79" spans="1:6" s="164" customFormat="1" ht="15" x14ac:dyDescent="0.25">
      <c r="A79" s="115"/>
      <c r="B79" s="115" t="s">
        <v>5691</v>
      </c>
      <c r="C79" s="167">
        <f>SUM(C69:C78)</f>
        <v>106.85999999999999</v>
      </c>
      <c r="D79" s="115">
        <v>2</v>
      </c>
      <c r="E79" s="163"/>
      <c r="F79" s="115"/>
    </row>
    <row r="80" spans="1:6" customFormat="1" ht="15" x14ac:dyDescent="0.25">
      <c r="A80" s="118"/>
      <c r="B80" s="116"/>
      <c r="C80" s="166"/>
      <c r="D80" s="118"/>
      <c r="E80" s="117"/>
      <c r="F80" s="118"/>
    </row>
    <row r="81" spans="1:6" x14ac:dyDescent="0.25">
      <c r="A81" s="203" t="str">
        <f>"3907531"</f>
        <v>3907531</v>
      </c>
      <c r="B81" s="207" t="s">
        <v>2959</v>
      </c>
      <c r="C81" s="209">
        <v>24.19</v>
      </c>
      <c r="D81" s="203">
        <v>325767</v>
      </c>
      <c r="E81" s="205">
        <v>43957.420543981483</v>
      </c>
      <c r="F81" s="123">
        <v>5759</v>
      </c>
    </row>
    <row r="82" spans="1:6" x14ac:dyDescent="0.25">
      <c r="A82" s="203" t="str">
        <f>"3900397"</f>
        <v>3900397</v>
      </c>
      <c r="B82" s="207" t="s">
        <v>2984</v>
      </c>
      <c r="C82" s="209">
        <v>3.84</v>
      </c>
      <c r="D82" s="203">
        <v>328007</v>
      </c>
      <c r="E82" s="205">
        <v>43957.444618055553</v>
      </c>
      <c r="F82" s="123">
        <v>5760</v>
      </c>
    </row>
    <row r="83" spans="1:6" x14ac:dyDescent="0.25">
      <c r="A83" s="203" t="str">
        <f>"3907489"</f>
        <v>3907489</v>
      </c>
      <c r="B83" s="207" t="s">
        <v>5749</v>
      </c>
      <c r="C83" s="209">
        <v>7.24</v>
      </c>
      <c r="D83" s="203">
        <v>325757</v>
      </c>
      <c r="E83" s="205">
        <v>43957.462418981479</v>
      </c>
      <c r="F83" s="123">
        <v>5761</v>
      </c>
    </row>
    <row r="84" spans="1:6" s="164" customFormat="1" ht="15" x14ac:dyDescent="0.25">
      <c r="A84" s="115"/>
      <c r="B84" s="115" t="s">
        <v>5691</v>
      </c>
      <c r="C84" s="167">
        <f>SUM(C81:C83)</f>
        <v>35.270000000000003</v>
      </c>
      <c r="D84" s="115">
        <v>3</v>
      </c>
      <c r="E84" s="163"/>
      <c r="F84" s="115"/>
    </row>
    <row r="85" spans="1:6" customFormat="1" ht="15" x14ac:dyDescent="0.25">
      <c r="A85" s="118"/>
      <c r="B85" s="116"/>
      <c r="C85" s="166"/>
      <c r="D85" s="118"/>
      <c r="E85" s="117"/>
      <c r="F85" s="118"/>
    </row>
    <row r="86" spans="1:6" x14ac:dyDescent="0.25">
      <c r="A86" s="203" t="str">
        <f>"3903080"</f>
        <v>3903080</v>
      </c>
      <c r="B86" s="207" t="s">
        <v>5845</v>
      </c>
      <c r="C86" s="209">
        <v>3.36</v>
      </c>
      <c r="D86" s="203">
        <v>327245</v>
      </c>
      <c r="E86" s="205">
        <v>43958.48541666667</v>
      </c>
      <c r="F86" s="123">
        <v>5787</v>
      </c>
    </row>
    <row r="87" spans="1:6" x14ac:dyDescent="0.25">
      <c r="A87" s="203" t="str">
        <f>"3901180"</f>
        <v>3901180</v>
      </c>
      <c r="B87" s="207" t="s">
        <v>5844</v>
      </c>
      <c r="C87" s="209">
        <v>9.5</v>
      </c>
      <c r="D87" s="203">
        <v>326297</v>
      </c>
      <c r="E87" s="205">
        <v>43958.498171296298</v>
      </c>
      <c r="F87" s="123">
        <v>5788</v>
      </c>
    </row>
    <row r="88" spans="1:6" x14ac:dyDescent="0.25">
      <c r="A88" s="203" t="str">
        <f>"3930030"</f>
        <v>3930030</v>
      </c>
      <c r="B88" s="207" t="s">
        <v>5830</v>
      </c>
      <c r="C88" s="209">
        <v>11.62</v>
      </c>
      <c r="D88" s="203">
        <v>326064</v>
      </c>
      <c r="E88" s="205">
        <v>43958.502523148149</v>
      </c>
      <c r="F88" s="123">
        <v>5789</v>
      </c>
    </row>
    <row r="89" spans="1:6" x14ac:dyDescent="0.25">
      <c r="A89" s="203" t="str">
        <f>"3907791"</f>
        <v>3907791</v>
      </c>
      <c r="B89" s="207" t="s">
        <v>5726</v>
      </c>
      <c r="C89" s="209">
        <v>4.09</v>
      </c>
      <c r="D89" s="203">
        <v>326122</v>
      </c>
      <c r="E89" s="205">
        <v>43958.565763888888</v>
      </c>
      <c r="F89" s="123">
        <v>5790</v>
      </c>
    </row>
    <row r="90" spans="1:6" x14ac:dyDescent="0.25">
      <c r="A90" s="203" t="str">
        <f>"3901461"</f>
        <v>3901461</v>
      </c>
      <c r="B90" s="207" t="s">
        <v>2931</v>
      </c>
      <c r="C90" s="209">
        <v>15.3</v>
      </c>
      <c r="D90" s="203">
        <v>327663</v>
      </c>
      <c r="E90" s="205">
        <v>43958.634837962964</v>
      </c>
      <c r="F90" s="123">
        <v>5791</v>
      </c>
    </row>
    <row r="91" spans="1:6" s="164" customFormat="1" ht="15" x14ac:dyDescent="0.25">
      <c r="A91" s="115"/>
      <c r="B91" s="115" t="s">
        <v>5691</v>
      </c>
      <c r="C91" s="167">
        <f>SUM(C86:C90)</f>
        <v>43.87</v>
      </c>
      <c r="D91" s="115">
        <v>4</v>
      </c>
      <c r="E91" s="163"/>
      <c r="F91" s="115"/>
    </row>
    <row r="92" spans="1:6" customFormat="1" ht="15" x14ac:dyDescent="0.25">
      <c r="A92" s="118"/>
      <c r="B92" s="116"/>
      <c r="C92" s="166"/>
      <c r="D92" s="118"/>
      <c r="E92" s="117"/>
      <c r="F92" s="118"/>
    </row>
    <row r="93" spans="1:6" x14ac:dyDescent="0.25">
      <c r="A93" s="203" t="str">
        <f>"3903516"</f>
        <v>3903516</v>
      </c>
      <c r="B93" s="207" t="s">
        <v>2785</v>
      </c>
      <c r="C93" s="209">
        <v>16.7</v>
      </c>
      <c r="D93" s="203">
        <v>326574</v>
      </c>
      <c r="E93" s="205">
        <v>43959.446145833332</v>
      </c>
      <c r="F93" s="123">
        <v>5840</v>
      </c>
    </row>
    <row r="94" spans="1:6" x14ac:dyDescent="0.25">
      <c r="A94" s="203" t="str">
        <f>"3900244"</f>
        <v>3900244</v>
      </c>
      <c r="B94" s="207" t="s">
        <v>2926</v>
      </c>
      <c r="C94" s="209">
        <v>2.96</v>
      </c>
      <c r="D94" s="203">
        <v>327994</v>
      </c>
      <c r="E94" s="205">
        <v>43959.464780092596</v>
      </c>
      <c r="F94" s="123">
        <v>5841</v>
      </c>
    </row>
    <row r="95" spans="1:6" x14ac:dyDescent="0.25">
      <c r="A95" s="203" t="str">
        <f>"3960257"</f>
        <v>3960257</v>
      </c>
      <c r="B95" s="207" t="s">
        <v>2880</v>
      </c>
      <c r="C95" s="209">
        <v>30.85</v>
      </c>
      <c r="D95" s="203">
        <v>327644</v>
      </c>
      <c r="E95" s="205">
        <v>43959.718101851853</v>
      </c>
      <c r="F95" s="123">
        <v>5842</v>
      </c>
    </row>
    <row r="96" spans="1:6" x14ac:dyDescent="0.25">
      <c r="A96" s="203" t="str">
        <f>"3960275"</f>
        <v>3960275</v>
      </c>
      <c r="B96" s="207" t="s">
        <v>2880</v>
      </c>
      <c r="C96" s="209">
        <v>35.14</v>
      </c>
      <c r="D96" s="203">
        <v>327651</v>
      </c>
      <c r="E96" s="205">
        <v>43959.718842592592</v>
      </c>
      <c r="F96" s="123">
        <v>5843</v>
      </c>
    </row>
    <row r="97" spans="1:6" x14ac:dyDescent="0.25">
      <c r="A97" s="203" t="str">
        <f>"3930385"</f>
        <v>3930385</v>
      </c>
      <c r="B97" s="207" t="s">
        <v>5843</v>
      </c>
      <c r="C97" s="209">
        <v>14.81</v>
      </c>
      <c r="D97" s="203">
        <v>326616</v>
      </c>
      <c r="E97" s="205">
        <v>43959.823993055557</v>
      </c>
      <c r="F97" s="123">
        <v>5844</v>
      </c>
    </row>
    <row r="98" spans="1:6" s="164" customFormat="1" ht="15" x14ac:dyDescent="0.25">
      <c r="A98" s="115"/>
      <c r="B98" s="115" t="s">
        <v>5691</v>
      </c>
      <c r="C98" s="167">
        <f>SUM(C93:C97)</f>
        <v>100.46000000000001</v>
      </c>
      <c r="D98" s="115">
        <v>5</v>
      </c>
      <c r="E98" s="163"/>
      <c r="F98" s="115"/>
    </row>
    <row r="99" spans="1:6" customFormat="1" ht="15" x14ac:dyDescent="0.25">
      <c r="A99" s="118"/>
      <c r="B99" s="116"/>
      <c r="C99" s="166"/>
      <c r="D99" s="118"/>
      <c r="E99" s="117"/>
      <c r="F99" s="118"/>
    </row>
    <row r="100" spans="1:6" x14ac:dyDescent="0.25">
      <c r="A100" s="203" t="str">
        <f>"3960274"</f>
        <v>3960274</v>
      </c>
      <c r="B100" s="207" t="s">
        <v>2798</v>
      </c>
      <c r="C100" s="209">
        <v>25.03</v>
      </c>
      <c r="D100" s="203">
        <v>325404</v>
      </c>
      <c r="E100" s="205">
        <v>43962.467789351853</v>
      </c>
      <c r="F100" s="123">
        <v>5863</v>
      </c>
    </row>
    <row r="101" spans="1:6" x14ac:dyDescent="0.25">
      <c r="A101" s="203" t="str">
        <f>"3906750"</f>
        <v>3906750</v>
      </c>
      <c r="B101" s="207" t="s">
        <v>2911</v>
      </c>
      <c r="C101" s="209">
        <v>16.63</v>
      </c>
      <c r="D101" s="203">
        <v>326359</v>
      </c>
      <c r="E101" s="205">
        <v>43962.60832175926</v>
      </c>
      <c r="F101" s="123">
        <v>5864</v>
      </c>
    </row>
    <row r="102" spans="1:6" x14ac:dyDescent="0.25">
      <c r="A102" s="203" t="str">
        <f>"3903204"</f>
        <v>3903204</v>
      </c>
      <c r="B102" s="207" t="s">
        <v>5787</v>
      </c>
      <c r="C102" s="209">
        <v>23.35</v>
      </c>
      <c r="D102" s="203">
        <v>325902</v>
      </c>
      <c r="E102" s="205">
        <v>43962.435381944444</v>
      </c>
      <c r="F102" s="123">
        <v>5865</v>
      </c>
    </row>
    <row r="103" spans="1:6" x14ac:dyDescent="0.25">
      <c r="A103" s="203" t="str">
        <f>"3945218"</f>
        <v>3945218</v>
      </c>
      <c r="B103" s="207" t="s">
        <v>5842</v>
      </c>
      <c r="C103" s="209">
        <v>25.14</v>
      </c>
      <c r="D103" s="203">
        <v>325607</v>
      </c>
      <c r="E103" s="205">
        <v>43962.344398148147</v>
      </c>
      <c r="F103" s="123">
        <v>5866</v>
      </c>
    </row>
    <row r="104" spans="1:6" x14ac:dyDescent="0.25">
      <c r="A104" s="203" t="str">
        <f>"3930203"</f>
        <v>3930203</v>
      </c>
      <c r="B104" s="207" t="s">
        <v>2902</v>
      </c>
      <c r="C104" s="209">
        <v>3.36</v>
      </c>
      <c r="D104" s="203">
        <v>326264</v>
      </c>
      <c r="E104" s="205">
        <v>43962.422060185185</v>
      </c>
      <c r="F104" s="123">
        <v>5867</v>
      </c>
    </row>
    <row r="105" spans="1:6" x14ac:dyDescent="0.25">
      <c r="A105" s="203" t="str">
        <f>"3945401"</f>
        <v>3945401</v>
      </c>
      <c r="B105" s="207" t="s">
        <v>2967</v>
      </c>
      <c r="C105" s="209">
        <v>16.760000000000002</v>
      </c>
      <c r="D105" s="203">
        <v>322762</v>
      </c>
      <c r="E105" s="205">
        <v>43962.535543981481</v>
      </c>
      <c r="F105" s="123">
        <v>5868</v>
      </c>
    </row>
    <row r="106" spans="1:6" x14ac:dyDescent="0.25">
      <c r="A106" s="203" t="str">
        <f>"3900953"</f>
        <v>3900953</v>
      </c>
      <c r="B106" s="207" t="s">
        <v>5841</v>
      </c>
      <c r="C106" s="209">
        <v>5.0599999999999996</v>
      </c>
      <c r="D106" s="203">
        <v>309578</v>
      </c>
      <c r="E106" s="205">
        <v>43962.686284722222</v>
      </c>
      <c r="F106" s="123">
        <v>5869</v>
      </c>
    </row>
    <row r="107" spans="1:6" s="164" customFormat="1" ht="15" x14ac:dyDescent="0.25">
      <c r="A107" s="115"/>
      <c r="B107" s="115" t="s">
        <v>5691</v>
      </c>
      <c r="C107" s="167">
        <f>SUM(C100:C106)</f>
        <v>115.33</v>
      </c>
      <c r="D107" s="115">
        <v>6</v>
      </c>
      <c r="E107" s="163"/>
      <c r="F107" s="115"/>
    </row>
    <row r="108" spans="1:6" customFormat="1" ht="15" x14ac:dyDescent="0.25">
      <c r="A108" s="118"/>
      <c r="B108" s="116"/>
      <c r="C108" s="166"/>
      <c r="D108" s="118"/>
      <c r="E108" s="117"/>
      <c r="F108" s="118"/>
    </row>
    <row r="109" spans="1:6" x14ac:dyDescent="0.25">
      <c r="A109" s="203" t="str">
        <f>"3930042"</f>
        <v>3930042</v>
      </c>
      <c r="B109" s="207" t="s">
        <v>2929</v>
      </c>
      <c r="C109" s="209">
        <v>13.84</v>
      </c>
      <c r="D109" s="203">
        <v>327787</v>
      </c>
      <c r="E109" s="205">
        <v>43963.365798611114</v>
      </c>
      <c r="F109" s="123">
        <v>5904</v>
      </c>
    </row>
    <row r="110" spans="1:6" x14ac:dyDescent="0.25">
      <c r="A110" s="203" t="str">
        <f>"3907960"</f>
        <v>3907960</v>
      </c>
      <c r="B110" s="207" t="s">
        <v>2916</v>
      </c>
      <c r="C110" s="209">
        <v>10.29</v>
      </c>
      <c r="D110" s="203">
        <v>326641</v>
      </c>
      <c r="E110" s="205">
        <v>43963.582002314812</v>
      </c>
      <c r="F110" s="123">
        <v>5905</v>
      </c>
    </row>
    <row r="111" spans="1:6" s="164" customFormat="1" ht="15" x14ac:dyDescent="0.25">
      <c r="A111" s="115"/>
      <c r="B111" s="115" t="s">
        <v>5691</v>
      </c>
      <c r="C111" s="167">
        <f>SUM(C109:C110)</f>
        <v>24.13</v>
      </c>
      <c r="D111" s="115">
        <v>7</v>
      </c>
      <c r="E111" s="163"/>
      <c r="F111" s="115"/>
    </row>
    <row r="112" spans="1:6" customFormat="1" ht="15" x14ac:dyDescent="0.25">
      <c r="A112" s="118"/>
      <c r="B112" s="116"/>
      <c r="C112" s="166"/>
      <c r="D112" s="118"/>
      <c r="E112" s="117"/>
      <c r="F112" s="118"/>
    </row>
    <row r="113" spans="1:6" x14ac:dyDescent="0.25">
      <c r="A113" s="203" t="str">
        <f>"3920065"</f>
        <v>3920065</v>
      </c>
      <c r="B113" s="207" t="s">
        <v>2895</v>
      </c>
      <c r="C113" s="209">
        <v>15.3</v>
      </c>
      <c r="D113" s="203">
        <v>327643</v>
      </c>
      <c r="E113" s="205">
        <v>43964.445810185185</v>
      </c>
      <c r="F113" s="123">
        <v>5950</v>
      </c>
    </row>
    <row r="114" spans="1:6" x14ac:dyDescent="0.25">
      <c r="A114" s="203" t="str">
        <f>"3930044"</f>
        <v>3930044</v>
      </c>
      <c r="B114" s="207" t="s">
        <v>5840</v>
      </c>
      <c r="C114" s="209">
        <v>3.48</v>
      </c>
      <c r="D114" s="203">
        <v>326639</v>
      </c>
      <c r="E114" s="205">
        <v>43964.446631944447</v>
      </c>
      <c r="F114" s="123">
        <v>5951</v>
      </c>
    </row>
    <row r="115" spans="1:6" x14ac:dyDescent="0.25">
      <c r="A115" s="203" t="str">
        <f>"3906832"</f>
        <v>3906832</v>
      </c>
      <c r="B115" s="207" t="s">
        <v>5839</v>
      </c>
      <c r="C115" s="209">
        <v>7.25</v>
      </c>
      <c r="D115" s="203">
        <v>326551</v>
      </c>
      <c r="E115" s="205">
        <v>43964.477164351854</v>
      </c>
      <c r="F115" s="123">
        <v>5952</v>
      </c>
    </row>
    <row r="116" spans="1:6" x14ac:dyDescent="0.25">
      <c r="A116" s="203" t="str">
        <f>"3920094"</f>
        <v>3920094</v>
      </c>
      <c r="B116" s="207" t="s">
        <v>5793</v>
      </c>
      <c r="C116" s="209">
        <v>35.799999999999997</v>
      </c>
      <c r="D116" s="203">
        <v>325423</v>
      </c>
      <c r="E116" s="205">
        <v>43964.53328703704</v>
      </c>
      <c r="F116" s="123">
        <v>5953</v>
      </c>
    </row>
    <row r="117" spans="1:6" x14ac:dyDescent="0.25">
      <c r="A117" s="203" t="str">
        <f>"3960269"</f>
        <v>3960269</v>
      </c>
      <c r="B117" s="207" t="s">
        <v>2927</v>
      </c>
      <c r="C117" s="209">
        <v>12.3</v>
      </c>
      <c r="D117" s="203">
        <v>325401</v>
      </c>
      <c r="E117" s="205">
        <v>43964.716874999998</v>
      </c>
      <c r="F117" s="123">
        <v>5954</v>
      </c>
    </row>
    <row r="118" spans="1:6" s="164" customFormat="1" ht="15" x14ac:dyDescent="0.25">
      <c r="A118" s="115"/>
      <c r="B118" s="115" t="s">
        <v>5691</v>
      </c>
      <c r="C118" s="167">
        <f>SUM(C113:C117)</f>
        <v>74.13</v>
      </c>
      <c r="D118" s="115">
        <v>8</v>
      </c>
      <c r="E118" s="163"/>
      <c r="F118" s="115"/>
    </row>
    <row r="119" spans="1:6" customFormat="1" ht="15" x14ac:dyDescent="0.25">
      <c r="A119" s="118"/>
      <c r="B119" s="116"/>
      <c r="C119" s="166"/>
      <c r="D119" s="118"/>
      <c r="E119" s="117"/>
      <c r="F119" s="118"/>
    </row>
    <row r="120" spans="1:6" x14ac:dyDescent="0.25">
      <c r="A120" s="203" t="str">
        <f>"3930318"</f>
        <v>3930318</v>
      </c>
      <c r="B120" s="207" t="s">
        <v>5838</v>
      </c>
      <c r="C120" s="209">
        <v>4.67</v>
      </c>
      <c r="D120" s="203">
        <v>326583</v>
      </c>
      <c r="E120" s="205">
        <v>43965.386423611111</v>
      </c>
      <c r="F120" s="123">
        <v>5997</v>
      </c>
    </row>
    <row r="121" spans="1:6" x14ac:dyDescent="0.25">
      <c r="A121" s="203" t="str">
        <f>"3903179"</f>
        <v>3903179</v>
      </c>
      <c r="B121" s="207" t="s">
        <v>5837</v>
      </c>
      <c r="C121" s="209">
        <v>4.82</v>
      </c>
      <c r="D121" s="203">
        <v>325771</v>
      </c>
      <c r="E121" s="205">
        <v>43965.386805555558</v>
      </c>
      <c r="F121" s="123">
        <v>5998</v>
      </c>
    </row>
    <row r="122" spans="1:6" x14ac:dyDescent="0.25">
      <c r="A122" s="203" t="str">
        <f>"3960361"</f>
        <v>3960361</v>
      </c>
      <c r="B122" s="207" t="s">
        <v>2871</v>
      </c>
      <c r="C122" s="209">
        <v>33.520000000000003</v>
      </c>
      <c r="D122" s="203">
        <v>325655</v>
      </c>
      <c r="E122" s="205">
        <v>43965.387858796297</v>
      </c>
      <c r="F122" s="123">
        <v>6003</v>
      </c>
    </row>
    <row r="123" spans="1:6" x14ac:dyDescent="0.25">
      <c r="A123" s="203" t="str">
        <f>"23923029"</f>
        <v>23923029</v>
      </c>
      <c r="B123" s="207" t="s">
        <v>2930</v>
      </c>
      <c r="C123" s="209">
        <v>37.07</v>
      </c>
      <c r="D123" s="203">
        <v>1587</v>
      </c>
      <c r="E123" s="205">
        <v>43965.422118055554</v>
      </c>
      <c r="F123" s="123">
        <v>5999</v>
      </c>
    </row>
    <row r="124" spans="1:6" x14ac:dyDescent="0.25">
      <c r="A124" s="203" t="str">
        <f>"3902396"</f>
        <v>3902396</v>
      </c>
      <c r="B124" s="207" t="s">
        <v>2909</v>
      </c>
      <c r="C124" s="209">
        <v>5.82</v>
      </c>
      <c r="D124" s="203">
        <v>327900</v>
      </c>
      <c r="E124" s="205">
        <v>43965.442800925928</v>
      </c>
      <c r="F124" s="123">
        <v>6000</v>
      </c>
    </row>
    <row r="125" spans="1:6" x14ac:dyDescent="0.25">
      <c r="A125" s="203" t="str">
        <f>"3902009"</f>
        <v>3902009</v>
      </c>
      <c r="B125" s="207" t="s">
        <v>2890</v>
      </c>
      <c r="C125" s="209">
        <v>3.36</v>
      </c>
      <c r="D125" s="203">
        <v>327807</v>
      </c>
      <c r="E125" s="205">
        <v>43965.498437499999</v>
      </c>
      <c r="F125" s="123">
        <v>6001</v>
      </c>
    </row>
    <row r="126" spans="1:6" x14ac:dyDescent="0.25">
      <c r="A126" s="203" t="str">
        <f>"3903545"</f>
        <v>3903545</v>
      </c>
      <c r="B126" s="207" t="s">
        <v>2877</v>
      </c>
      <c r="C126" s="209">
        <v>9.39</v>
      </c>
      <c r="D126" s="203">
        <v>326337</v>
      </c>
      <c r="E126" s="205">
        <v>43965.585648148146</v>
      </c>
      <c r="F126" s="123">
        <v>6002</v>
      </c>
    </row>
    <row r="127" spans="1:6" s="164" customFormat="1" ht="15" x14ac:dyDescent="0.25">
      <c r="A127" s="115"/>
      <c r="B127" s="115" t="s">
        <v>5691</v>
      </c>
      <c r="C127" s="167">
        <f>SUM(C120:C126)</f>
        <v>98.65</v>
      </c>
      <c r="D127" s="115">
        <v>9</v>
      </c>
      <c r="E127" s="163"/>
      <c r="F127" s="115"/>
    </row>
    <row r="128" spans="1:6" customFormat="1" ht="15" x14ac:dyDescent="0.25">
      <c r="A128" s="118"/>
      <c r="B128" s="116"/>
      <c r="C128" s="166"/>
      <c r="D128" s="118"/>
      <c r="E128" s="117"/>
      <c r="F128" s="118"/>
    </row>
    <row r="129" spans="1:6" x14ac:dyDescent="0.25">
      <c r="A129" s="203" t="str">
        <f>"3960375"</f>
        <v>3960375</v>
      </c>
      <c r="B129" s="207" t="s">
        <v>2936</v>
      </c>
      <c r="C129" s="209">
        <v>6.05</v>
      </c>
      <c r="D129" s="203">
        <v>325518</v>
      </c>
      <c r="E129" s="205">
        <v>43966.498923611114</v>
      </c>
      <c r="F129" s="123">
        <v>6042</v>
      </c>
    </row>
    <row r="130" spans="1:6" x14ac:dyDescent="0.25">
      <c r="A130" s="203" t="str">
        <f>"3907525"</f>
        <v>3907525</v>
      </c>
      <c r="B130" s="207" t="s">
        <v>2905</v>
      </c>
      <c r="C130" s="209">
        <v>7.76</v>
      </c>
      <c r="D130" s="203">
        <v>327763</v>
      </c>
      <c r="E130" s="205">
        <v>43966.536354166667</v>
      </c>
      <c r="F130" s="123">
        <v>6043</v>
      </c>
    </row>
    <row r="131" spans="1:6" x14ac:dyDescent="0.25">
      <c r="A131" s="203" t="str">
        <f>"3907544"</f>
        <v>3907544</v>
      </c>
      <c r="B131" s="207" t="s">
        <v>2905</v>
      </c>
      <c r="C131" s="209">
        <v>3.88</v>
      </c>
      <c r="D131" s="203">
        <v>327762</v>
      </c>
      <c r="E131" s="205">
        <v>43966.537546296298</v>
      </c>
      <c r="F131" s="123">
        <v>6044</v>
      </c>
    </row>
    <row r="132" spans="1:6" x14ac:dyDescent="0.25">
      <c r="A132" s="203" t="str">
        <f>"3904228"</f>
        <v>3904228</v>
      </c>
      <c r="B132" s="207" t="s">
        <v>5836</v>
      </c>
      <c r="C132" s="209">
        <v>90.84</v>
      </c>
      <c r="D132" s="203">
        <v>327696</v>
      </c>
      <c r="E132" s="205">
        <v>43966.54409722222</v>
      </c>
      <c r="F132" s="123">
        <v>6045</v>
      </c>
    </row>
    <row r="133" spans="1:6" x14ac:dyDescent="0.25">
      <c r="A133" s="203" t="str">
        <f>"3909922"</f>
        <v>3909922</v>
      </c>
      <c r="B133" s="207" t="s">
        <v>5740</v>
      </c>
      <c r="C133" s="209">
        <v>12.23</v>
      </c>
      <c r="D133" s="203">
        <v>327766</v>
      </c>
      <c r="E133" s="205">
        <v>43966.562013888892</v>
      </c>
      <c r="F133" s="123">
        <v>6046</v>
      </c>
    </row>
    <row r="134" spans="1:6" x14ac:dyDescent="0.25">
      <c r="A134" s="203" t="str">
        <f>"3909033"</f>
        <v>3909033</v>
      </c>
      <c r="B134" s="207" t="s">
        <v>2812</v>
      </c>
      <c r="C134" s="209">
        <v>1.68</v>
      </c>
      <c r="D134" s="203">
        <v>326579</v>
      </c>
      <c r="E134" s="205">
        <v>43966.699421296296</v>
      </c>
      <c r="F134" s="123">
        <v>6047</v>
      </c>
    </row>
    <row r="135" spans="1:6" s="164" customFormat="1" ht="15" x14ac:dyDescent="0.25">
      <c r="A135" s="115"/>
      <c r="B135" s="115" t="s">
        <v>5691</v>
      </c>
      <c r="C135" s="167">
        <f>SUM(C129:C134)</f>
        <v>122.44000000000001</v>
      </c>
      <c r="D135" s="115">
        <v>10</v>
      </c>
      <c r="E135" s="163"/>
      <c r="F135" s="115"/>
    </row>
    <row r="136" spans="1:6" customFormat="1" ht="15" x14ac:dyDescent="0.25">
      <c r="A136" s="118"/>
      <c r="B136" s="116"/>
      <c r="C136" s="166"/>
      <c r="D136" s="118"/>
      <c r="E136" s="117"/>
      <c r="F136" s="118"/>
    </row>
    <row r="137" spans="1:6" x14ac:dyDescent="0.25">
      <c r="A137" s="203" t="str">
        <f>"3900258"</f>
        <v>3900258</v>
      </c>
      <c r="B137" s="207" t="s">
        <v>5781</v>
      </c>
      <c r="C137" s="209">
        <v>10.3</v>
      </c>
      <c r="D137" s="203">
        <v>326873</v>
      </c>
      <c r="E137" s="205">
        <v>43969.413831018515</v>
      </c>
      <c r="F137" s="123">
        <v>6083</v>
      </c>
    </row>
    <row r="138" spans="1:6" x14ac:dyDescent="0.25">
      <c r="A138" s="203" t="str">
        <f>"3906656"</f>
        <v>3906656</v>
      </c>
      <c r="B138" s="207" t="s">
        <v>2975</v>
      </c>
      <c r="C138" s="209">
        <v>26.62</v>
      </c>
      <c r="D138" s="203">
        <v>327715</v>
      </c>
      <c r="E138" s="205">
        <v>43969.566377314812</v>
      </c>
      <c r="F138" s="123">
        <v>6084</v>
      </c>
    </row>
    <row r="139" spans="1:6" x14ac:dyDescent="0.25">
      <c r="A139" s="203" t="str">
        <f>"3904598"</f>
        <v>3904598</v>
      </c>
      <c r="B139" s="207" t="s">
        <v>2985</v>
      </c>
      <c r="C139" s="209">
        <v>16.760000000000002</v>
      </c>
      <c r="D139" s="203">
        <v>325667</v>
      </c>
      <c r="E139" s="205">
        <v>43969.567025462966</v>
      </c>
      <c r="F139" s="123">
        <v>6085</v>
      </c>
    </row>
    <row r="140" spans="1:6" x14ac:dyDescent="0.25">
      <c r="A140" s="203" t="str">
        <f>"3900329"</f>
        <v>3900329</v>
      </c>
      <c r="B140" s="207" t="s">
        <v>5762</v>
      </c>
      <c r="C140" s="209">
        <v>3.58</v>
      </c>
      <c r="D140" s="203">
        <v>326893</v>
      </c>
      <c r="E140" s="205">
        <v>43969.392870370371</v>
      </c>
      <c r="F140" s="123">
        <v>6086</v>
      </c>
    </row>
    <row r="141" spans="1:6" x14ac:dyDescent="0.25">
      <c r="A141" s="203" t="str">
        <f>"3908699"</f>
        <v>3908699</v>
      </c>
      <c r="B141" s="207" t="s">
        <v>5764</v>
      </c>
      <c r="C141" s="209">
        <v>6.37</v>
      </c>
      <c r="D141" s="203">
        <v>325855</v>
      </c>
      <c r="E141" s="205">
        <v>43969.468449074076</v>
      </c>
      <c r="F141" s="123">
        <v>6087</v>
      </c>
    </row>
    <row r="142" spans="1:6" x14ac:dyDescent="0.25">
      <c r="A142" s="203" t="str">
        <f>"3909959"</f>
        <v>3909959</v>
      </c>
      <c r="B142" s="207" t="s">
        <v>2998</v>
      </c>
      <c r="C142" s="209">
        <v>6.05</v>
      </c>
      <c r="D142" s="203">
        <v>325958</v>
      </c>
      <c r="E142" s="205">
        <v>43969.66847222222</v>
      </c>
      <c r="F142" s="123">
        <v>6088</v>
      </c>
    </row>
    <row r="143" spans="1:6" s="164" customFormat="1" ht="15" x14ac:dyDescent="0.25">
      <c r="A143" s="115"/>
      <c r="B143" s="115" t="s">
        <v>5691</v>
      </c>
      <c r="C143" s="167">
        <f>SUM(C137:C142)</f>
        <v>69.680000000000007</v>
      </c>
      <c r="D143" s="115">
        <v>11</v>
      </c>
      <c r="E143" s="163"/>
      <c r="F143" s="115"/>
    </row>
    <row r="144" spans="1:6" customFormat="1" ht="15" x14ac:dyDescent="0.25">
      <c r="A144" s="118"/>
      <c r="B144" s="116"/>
      <c r="C144" s="166"/>
      <c r="D144" s="118"/>
      <c r="E144" s="117"/>
      <c r="F144" s="118"/>
    </row>
    <row r="145" spans="1:6" x14ac:dyDescent="0.25">
      <c r="A145" s="203" t="str">
        <f>"3903866"</f>
        <v>3903866</v>
      </c>
      <c r="B145" s="207" t="s">
        <v>5792</v>
      </c>
      <c r="C145" s="209">
        <v>11.37</v>
      </c>
      <c r="D145" s="203">
        <v>327291</v>
      </c>
      <c r="E145" s="205">
        <v>43970.406041666669</v>
      </c>
      <c r="F145" s="123">
        <v>6127</v>
      </c>
    </row>
    <row r="146" spans="1:6" x14ac:dyDescent="0.25">
      <c r="A146" s="203" t="str">
        <f>"3903060"</f>
        <v>3903060</v>
      </c>
      <c r="B146" s="207" t="s">
        <v>5827</v>
      </c>
      <c r="C146" s="209">
        <v>16.079999999999998</v>
      </c>
      <c r="D146" s="203">
        <v>325740</v>
      </c>
      <c r="E146" s="205">
        <v>43970.430405092593</v>
      </c>
      <c r="F146" s="123">
        <v>6128</v>
      </c>
    </row>
    <row r="147" spans="1:6" x14ac:dyDescent="0.25">
      <c r="A147" s="203" t="str">
        <f>"3908621"</f>
        <v>3908621</v>
      </c>
      <c r="B147" s="207" t="s">
        <v>2912</v>
      </c>
      <c r="C147" s="209">
        <v>3.37</v>
      </c>
      <c r="D147" s="203">
        <v>325783</v>
      </c>
      <c r="E147" s="205">
        <v>43970.471030092594</v>
      </c>
      <c r="F147" s="123">
        <v>6129</v>
      </c>
    </row>
    <row r="148" spans="1:6" x14ac:dyDescent="0.25">
      <c r="A148" s="203" t="str">
        <f>"3945504"</f>
        <v>3945504</v>
      </c>
      <c r="B148" s="207" t="s">
        <v>5831</v>
      </c>
      <c r="C148" s="209">
        <v>8.3800000000000008</v>
      </c>
      <c r="D148" s="203">
        <v>325538</v>
      </c>
      <c r="E148" s="205">
        <v>43970.526608796295</v>
      </c>
      <c r="F148" s="123">
        <v>6130</v>
      </c>
    </row>
    <row r="149" spans="1:6" s="164" customFormat="1" ht="15" x14ac:dyDescent="0.25">
      <c r="A149" s="115"/>
      <c r="B149" s="115" t="s">
        <v>5691</v>
      </c>
      <c r="C149" s="167">
        <f>SUM(C145:C148)</f>
        <v>39.199999999999996</v>
      </c>
      <c r="D149" s="115">
        <v>12</v>
      </c>
      <c r="E149" s="163"/>
      <c r="F149" s="115"/>
    </row>
    <row r="150" spans="1:6" customFormat="1" ht="15" x14ac:dyDescent="0.25">
      <c r="A150" s="118"/>
      <c r="B150" s="116"/>
      <c r="C150" s="166"/>
      <c r="D150" s="118"/>
      <c r="E150" s="117"/>
      <c r="F150" s="118"/>
    </row>
    <row r="151" spans="1:6" x14ac:dyDescent="0.25">
      <c r="A151" s="203" t="str">
        <f>"3960346"</f>
        <v>3960346</v>
      </c>
      <c r="B151" s="207" t="s">
        <v>5835</v>
      </c>
      <c r="C151" s="209">
        <v>25.14</v>
      </c>
      <c r="D151" s="203">
        <v>319953</v>
      </c>
      <c r="E151" s="205">
        <v>43971.599432870367</v>
      </c>
      <c r="F151" s="123">
        <v>6162</v>
      </c>
    </row>
    <row r="152" spans="1:6" x14ac:dyDescent="0.25">
      <c r="A152" s="203" t="str">
        <f>"3902576"</f>
        <v>3902576</v>
      </c>
      <c r="B152" s="207" t="s">
        <v>5834</v>
      </c>
      <c r="C152" s="209">
        <v>11.56</v>
      </c>
      <c r="D152" s="203">
        <v>327168</v>
      </c>
      <c r="E152" s="205">
        <v>43971.611909722225</v>
      </c>
      <c r="F152" s="123">
        <v>6160</v>
      </c>
    </row>
    <row r="153" spans="1:6" s="164" customFormat="1" ht="15" x14ac:dyDescent="0.25">
      <c r="A153" s="115"/>
      <c r="B153" s="115" t="s">
        <v>5691</v>
      </c>
      <c r="C153" s="167">
        <f>SUM(C151:C152)</f>
        <v>36.700000000000003</v>
      </c>
      <c r="D153" s="115">
        <v>13</v>
      </c>
      <c r="E153" s="163"/>
      <c r="F153" s="115"/>
    </row>
    <row r="154" spans="1:6" customFormat="1" ht="15" x14ac:dyDescent="0.25">
      <c r="A154" s="118"/>
      <c r="B154" s="116"/>
      <c r="C154" s="166"/>
      <c r="D154" s="118"/>
      <c r="E154" s="117"/>
      <c r="F154" s="118"/>
    </row>
    <row r="155" spans="1:6" x14ac:dyDescent="0.25">
      <c r="A155" s="203" t="str">
        <f>"3900176"</f>
        <v>3900176</v>
      </c>
      <c r="B155" s="207" t="s">
        <v>5833</v>
      </c>
      <c r="C155" s="209">
        <v>0.45</v>
      </c>
      <c r="D155" s="203">
        <v>325360</v>
      </c>
      <c r="E155" s="205">
        <v>43972.341620370367</v>
      </c>
      <c r="F155" s="123">
        <v>6186</v>
      </c>
    </row>
    <row r="156" spans="1:6" x14ac:dyDescent="0.25">
      <c r="A156" s="203" t="str">
        <f>"3903931"</f>
        <v>3903931</v>
      </c>
      <c r="B156" s="207" t="s">
        <v>2952</v>
      </c>
      <c r="C156" s="209">
        <v>38.92</v>
      </c>
      <c r="D156" s="203">
        <v>325624</v>
      </c>
      <c r="E156" s="205">
        <v>43972.489710648151</v>
      </c>
      <c r="F156" s="123">
        <v>6187</v>
      </c>
    </row>
    <row r="157" spans="1:6" x14ac:dyDescent="0.25">
      <c r="A157" s="203" t="str">
        <f>"3909154"</f>
        <v>3909154</v>
      </c>
      <c r="B157" s="207" t="s">
        <v>5832</v>
      </c>
      <c r="C157" s="209">
        <v>16.89</v>
      </c>
      <c r="D157" s="203">
        <v>326566</v>
      </c>
      <c r="E157" s="205">
        <v>43972.644108796296</v>
      </c>
      <c r="F157" s="123">
        <v>6188</v>
      </c>
    </row>
    <row r="158" spans="1:6" x14ac:dyDescent="0.25">
      <c r="A158" s="203" t="str">
        <f>"3903121"</f>
        <v>3903121</v>
      </c>
      <c r="B158" s="207" t="s">
        <v>2794</v>
      </c>
      <c r="C158" s="209">
        <v>1.68</v>
      </c>
      <c r="D158" s="203">
        <v>325800</v>
      </c>
      <c r="E158" s="205">
        <v>43972.700439814813</v>
      </c>
      <c r="F158" s="123">
        <v>6189</v>
      </c>
    </row>
    <row r="159" spans="1:6" s="164" customFormat="1" ht="15" x14ac:dyDescent="0.25">
      <c r="A159" s="115"/>
      <c r="B159" s="115" t="s">
        <v>5691</v>
      </c>
      <c r="C159" s="167">
        <f>SUM(C155:C158)</f>
        <v>57.940000000000005</v>
      </c>
      <c r="D159" s="115">
        <v>14</v>
      </c>
      <c r="E159" s="163"/>
      <c r="F159" s="115"/>
    </row>
    <row r="160" spans="1:6" customFormat="1" ht="15" x14ac:dyDescent="0.25">
      <c r="A160" s="118"/>
      <c r="B160" s="116"/>
      <c r="C160" s="166"/>
      <c r="D160" s="118"/>
      <c r="E160" s="117"/>
      <c r="F160" s="118"/>
    </row>
    <row r="161" spans="1:6" x14ac:dyDescent="0.25">
      <c r="A161" s="203" t="str">
        <f>"3945504"</f>
        <v>3945504</v>
      </c>
      <c r="B161" s="207" t="s">
        <v>5831</v>
      </c>
      <c r="C161" s="209">
        <v>4.1900000000000004</v>
      </c>
      <c r="D161" s="203">
        <v>328289</v>
      </c>
      <c r="E161" s="205">
        <v>43973.529583333337</v>
      </c>
      <c r="F161" s="123">
        <v>6243</v>
      </c>
    </row>
    <row r="162" spans="1:6" x14ac:dyDescent="0.25">
      <c r="A162" s="203" t="str">
        <f>"3960259"</f>
        <v>3960259</v>
      </c>
      <c r="B162" s="207" t="s">
        <v>5815</v>
      </c>
      <c r="C162" s="209">
        <v>7.82</v>
      </c>
      <c r="D162" s="203">
        <v>328148</v>
      </c>
      <c r="E162" s="205">
        <v>43973.602060185185</v>
      </c>
      <c r="F162" s="123">
        <v>6244</v>
      </c>
    </row>
    <row r="163" spans="1:6" x14ac:dyDescent="0.25">
      <c r="A163" s="203" t="str">
        <f>"3930030"</f>
        <v>3930030</v>
      </c>
      <c r="B163" s="207" t="s">
        <v>5830</v>
      </c>
      <c r="C163" s="209">
        <v>2.92</v>
      </c>
      <c r="D163" s="203">
        <v>328818</v>
      </c>
      <c r="E163" s="205">
        <v>43973.640474537038</v>
      </c>
      <c r="F163" s="123">
        <v>6245</v>
      </c>
    </row>
    <row r="164" spans="1:6" x14ac:dyDescent="0.25">
      <c r="A164" s="203" t="str">
        <f>"3900383"</f>
        <v>3900383</v>
      </c>
      <c r="B164" s="207" t="s">
        <v>2974</v>
      </c>
      <c r="C164" s="209">
        <v>4.18</v>
      </c>
      <c r="D164" s="203">
        <v>329684</v>
      </c>
      <c r="E164" s="205">
        <v>43973.698206018518</v>
      </c>
      <c r="F164" s="123">
        <v>6246</v>
      </c>
    </row>
    <row r="165" spans="1:6" s="164" customFormat="1" ht="15" x14ac:dyDescent="0.25">
      <c r="A165" s="115"/>
      <c r="B165" s="115" t="s">
        <v>5691</v>
      </c>
      <c r="C165" s="167">
        <f>SUM(C161:C164)</f>
        <v>19.11</v>
      </c>
      <c r="D165" s="115">
        <v>15</v>
      </c>
      <c r="E165" s="163"/>
      <c r="F165" s="115"/>
    </row>
    <row r="166" spans="1:6" customFormat="1" ht="15" x14ac:dyDescent="0.25">
      <c r="A166" s="118"/>
      <c r="B166" s="116"/>
      <c r="C166" s="166"/>
      <c r="D166" s="118"/>
      <c r="E166" s="117"/>
      <c r="F166" s="118"/>
    </row>
    <row r="167" spans="1:6" x14ac:dyDescent="0.25">
      <c r="A167" s="203" t="str">
        <f>"3960091"</f>
        <v>3960091</v>
      </c>
      <c r="B167" s="207" t="s">
        <v>5810</v>
      </c>
      <c r="C167" s="209">
        <v>17.39</v>
      </c>
      <c r="D167" s="203">
        <v>328319</v>
      </c>
      <c r="E167" s="205">
        <v>43977.54760416667</v>
      </c>
      <c r="F167" s="123">
        <v>6343</v>
      </c>
    </row>
    <row r="168" spans="1:6" x14ac:dyDescent="0.25">
      <c r="A168" s="203" t="str">
        <f>"3902710"</f>
        <v>3902710</v>
      </c>
      <c r="B168" s="207" t="s">
        <v>2965</v>
      </c>
      <c r="C168" s="209">
        <v>7.33</v>
      </c>
      <c r="D168" s="203">
        <v>329966</v>
      </c>
      <c r="E168" s="205">
        <v>43977.511087962965</v>
      </c>
      <c r="F168" s="123">
        <v>6344</v>
      </c>
    </row>
    <row r="169" spans="1:6" x14ac:dyDescent="0.25">
      <c r="A169" s="203" t="str">
        <f>"3945208"</f>
        <v>3945208</v>
      </c>
      <c r="B169" s="207" t="s">
        <v>5813</v>
      </c>
      <c r="C169" s="209">
        <v>16.760000000000002</v>
      </c>
      <c r="D169" s="203">
        <v>328356</v>
      </c>
      <c r="E169" s="205">
        <v>43977.572118055556</v>
      </c>
      <c r="F169" s="123">
        <v>6345</v>
      </c>
    </row>
    <row r="170" spans="1:6" x14ac:dyDescent="0.25">
      <c r="A170" s="203" t="str">
        <f>"3904598"</f>
        <v>3904598</v>
      </c>
      <c r="B170" s="207" t="s">
        <v>2985</v>
      </c>
      <c r="C170" s="209">
        <v>8.3800000000000008</v>
      </c>
      <c r="D170" s="203">
        <v>328417</v>
      </c>
      <c r="E170" s="205">
        <v>43977.364201388889</v>
      </c>
      <c r="F170" s="123">
        <v>6346</v>
      </c>
    </row>
    <row r="171" spans="1:6" x14ac:dyDescent="0.25">
      <c r="A171" s="203" t="str">
        <f>"3930235"</f>
        <v>3930235</v>
      </c>
      <c r="B171" s="207" t="s">
        <v>5700</v>
      </c>
      <c r="C171" s="209">
        <v>3.87</v>
      </c>
      <c r="D171" s="203">
        <v>329046</v>
      </c>
      <c r="E171" s="205">
        <v>43977.381238425929</v>
      </c>
      <c r="F171" s="123">
        <v>6347</v>
      </c>
    </row>
    <row r="172" spans="1:6" x14ac:dyDescent="0.25">
      <c r="A172" s="203" t="str">
        <f>"3920083"</f>
        <v>3920083</v>
      </c>
      <c r="B172" s="207" t="s">
        <v>2954</v>
      </c>
      <c r="C172" s="209">
        <v>16.46</v>
      </c>
      <c r="D172" s="203">
        <v>328180</v>
      </c>
      <c r="E172" s="205">
        <v>43977.381365740737</v>
      </c>
      <c r="F172" s="123">
        <v>6348</v>
      </c>
    </row>
    <row r="173" spans="1:6" x14ac:dyDescent="0.25">
      <c r="A173" s="203" t="str">
        <f>"3908795"</f>
        <v>3908795</v>
      </c>
      <c r="B173" s="207" t="s">
        <v>5756</v>
      </c>
      <c r="C173" s="209">
        <v>24.01</v>
      </c>
      <c r="D173" s="203">
        <v>328705</v>
      </c>
      <c r="E173" s="205">
        <v>43977.399560185186</v>
      </c>
      <c r="F173" s="123">
        <v>6349</v>
      </c>
    </row>
    <row r="174" spans="1:6" x14ac:dyDescent="0.25">
      <c r="A174" s="203" t="str">
        <f>"3909177"</f>
        <v>3909177</v>
      </c>
      <c r="B174" s="207" t="s">
        <v>2793</v>
      </c>
      <c r="C174" s="209">
        <v>2.2400000000000002</v>
      </c>
      <c r="D174" s="203">
        <v>329350</v>
      </c>
      <c r="E174" s="205">
        <v>43977.437175925923</v>
      </c>
      <c r="F174" s="123">
        <v>6350</v>
      </c>
    </row>
    <row r="175" spans="1:6" x14ac:dyDescent="0.25">
      <c r="A175" s="203" t="str">
        <f>"3908029"</f>
        <v>3908029</v>
      </c>
      <c r="B175" s="207" t="s">
        <v>5829</v>
      </c>
      <c r="C175" s="209">
        <v>8.34</v>
      </c>
      <c r="D175" s="203">
        <v>329450</v>
      </c>
      <c r="E175" s="205">
        <v>43977.505787037036</v>
      </c>
      <c r="F175" s="123">
        <v>6351</v>
      </c>
    </row>
    <row r="176" spans="1:6" x14ac:dyDescent="0.25">
      <c r="A176" s="203" t="str">
        <f>"3930394"</f>
        <v>3930394</v>
      </c>
      <c r="B176" s="207" t="s">
        <v>2813</v>
      </c>
      <c r="C176" s="209">
        <v>9.8699999999999992</v>
      </c>
      <c r="D176" s="203">
        <v>329397</v>
      </c>
      <c r="E176" s="205">
        <v>43977.565613425926</v>
      </c>
      <c r="F176" s="123">
        <v>6352</v>
      </c>
    </row>
    <row r="177" spans="1:6" x14ac:dyDescent="0.25">
      <c r="A177" s="203" t="str">
        <f>"3960323"</f>
        <v>3960323</v>
      </c>
      <c r="B177" s="207" t="s">
        <v>5802</v>
      </c>
      <c r="C177" s="209">
        <v>8.3800000000000008</v>
      </c>
      <c r="D177" s="203">
        <v>328322</v>
      </c>
      <c r="E177" s="205">
        <v>43977.456782407404</v>
      </c>
      <c r="F177" s="123">
        <v>6353</v>
      </c>
    </row>
    <row r="178" spans="1:6" x14ac:dyDescent="0.25">
      <c r="A178" s="203" t="str">
        <f>"3907376"</f>
        <v>3907376</v>
      </c>
      <c r="B178" s="207" t="s">
        <v>5828</v>
      </c>
      <c r="C178" s="209">
        <v>1.81</v>
      </c>
      <c r="D178" s="203">
        <v>330196</v>
      </c>
      <c r="E178" s="205">
        <v>43977.482187499998</v>
      </c>
      <c r="F178" s="123">
        <v>6354</v>
      </c>
    </row>
    <row r="179" spans="1:6" x14ac:dyDescent="0.25">
      <c r="A179" s="203" t="str">
        <f>"3901121"</f>
        <v>3901121</v>
      </c>
      <c r="B179" s="207" t="s">
        <v>2908</v>
      </c>
      <c r="C179" s="209">
        <v>10.46</v>
      </c>
      <c r="D179" s="203">
        <v>328923</v>
      </c>
      <c r="E179" s="205">
        <v>43977.565601851849</v>
      </c>
      <c r="F179" s="123">
        <v>6355</v>
      </c>
    </row>
    <row r="180" spans="1:6" x14ac:dyDescent="0.25">
      <c r="A180" s="203" t="str">
        <f>"3903549"</f>
        <v>3903549</v>
      </c>
      <c r="B180" s="207" t="s">
        <v>2814</v>
      </c>
      <c r="C180" s="209">
        <v>25.29</v>
      </c>
      <c r="D180" s="203">
        <v>329104</v>
      </c>
      <c r="E180" s="205">
        <v>43977.574525462966</v>
      </c>
      <c r="F180" s="123">
        <v>6356</v>
      </c>
    </row>
    <row r="181" spans="1:6" x14ac:dyDescent="0.25">
      <c r="A181" s="203" t="str">
        <f>"3907257"</f>
        <v>3907257</v>
      </c>
      <c r="B181" s="207" t="s">
        <v>2956</v>
      </c>
      <c r="C181" s="209">
        <v>0.44</v>
      </c>
      <c r="D181" s="203">
        <v>328478</v>
      </c>
      <c r="E181" s="205">
        <v>43977.601550925923</v>
      </c>
      <c r="F181" s="123">
        <v>6357</v>
      </c>
    </row>
    <row r="182" spans="1:6" s="164" customFormat="1" ht="15" x14ac:dyDescent="0.25">
      <c r="A182" s="115"/>
      <c r="B182" s="115" t="s">
        <v>5691</v>
      </c>
      <c r="C182" s="167">
        <f>SUM(C167:C181)</f>
        <v>161.03</v>
      </c>
      <c r="D182" s="115">
        <v>16</v>
      </c>
      <c r="E182" s="163"/>
      <c r="F182" s="115"/>
    </row>
    <row r="183" spans="1:6" customFormat="1" ht="15" x14ac:dyDescent="0.25">
      <c r="A183" s="118"/>
      <c r="B183" s="116"/>
      <c r="C183" s="166"/>
      <c r="D183" s="118"/>
      <c r="E183" s="117"/>
      <c r="F183" s="118"/>
    </row>
    <row r="184" spans="1:6" x14ac:dyDescent="0.25">
      <c r="A184" s="203" t="str">
        <f>"3901944"</f>
        <v>3901944</v>
      </c>
      <c r="B184" s="207" t="s">
        <v>3001</v>
      </c>
      <c r="C184" s="209">
        <v>92.13</v>
      </c>
      <c r="D184" s="203">
        <v>329925</v>
      </c>
      <c r="E184" s="205">
        <v>43978.398321759261</v>
      </c>
      <c r="F184" s="123">
        <v>6449</v>
      </c>
    </row>
    <row r="185" spans="1:6" x14ac:dyDescent="0.25">
      <c r="A185" s="203" t="str">
        <f>"3945114"</f>
        <v>3945114</v>
      </c>
      <c r="B185" s="207" t="s">
        <v>2943</v>
      </c>
      <c r="C185" s="209">
        <v>33.880000000000003</v>
      </c>
      <c r="D185" s="203">
        <v>328246</v>
      </c>
      <c r="E185" s="205">
        <v>43978.43309027778</v>
      </c>
      <c r="F185" s="123">
        <v>6450</v>
      </c>
    </row>
    <row r="186" spans="1:6" x14ac:dyDescent="0.25">
      <c r="A186" s="203" t="str">
        <f>"3960274"</f>
        <v>3960274</v>
      </c>
      <c r="B186" s="207" t="s">
        <v>2798</v>
      </c>
      <c r="C186" s="209">
        <v>19.350000000000001</v>
      </c>
      <c r="D186" s="203">
        <v>328152</v>
      </c>
      <c r="E186" s="205">
        <v>43978.510625000003</v>
      </c>
      <c r="F186" s="123">
        <v>6451</v>
      </c>
    </row>
    <row r="187" spans="1:6" x14ac:dyDescent="0.25">
      <c r="A187" s="203" t="str">
        <f>"3908129"</f>
        <v>3908129</v>
      </c>
      <c r="B187" s="207" t="s">
        <v>5809</v>
      </c>
      <c r="C187" s="209">
        <v>0.03</v>
      </c>
      <c r="D187" s="203">
        <v>330329</v>
      </c>
      <c r="E187" s="205">
        <v>43978.648831018516</v>
      </c>
      <c r="F187" s="123">
        <v>6452</v>
      </c>
    </row>
    <row r="188" spans="1:6" x14ac:dyDescent="0.25">
      <c r="A188" s="203" t="str">
        <f>"3903060"</f>
        <v>3903060</v>
      </c>
      <c r="B188" s="207" t="s">
        <v>5827</v>
      </c>
      <c r="C188" s="209">
        <v>8.9700000000000006</v>
      </c>
      <c r="D188" s="203">
        <v>328490</v>
      </c>
      <c r="E188" s="205">
        <v>43978.654803240737</v>
      </c>
      <c r="F188" s="123">
        <v>6453</v>
      </c>
    </row>
    <row r="189" spans="1:6" x14ac:dyDescent="0.25">
      <c r="A189" s="203" t="str">
        <f>"3903841"</f>
        <v>3903841</v>
      </c>
      <c r="B189" s="207" t="s">
        <v>5780</v>
      </c>
      <c r="C189" s="209">
        <v>9.8699999999999992</v>
      </c>
      <c r="D189" s="203">
        <v>330049</v>
      </c>
      <c r="E189" s="205">
        <v>43978.831203703703</v>
      </c>
      <c r="F189" s="123">
        <v>6454</v>
      </c>
    </row>
    <row r="190" spans="1:6" s="164" customFormat="1" ht="15" x14ac:dyDescent="0.25">
      <c r="A190" s="115"/>
      <c r="B190" s="115" t="s">
        <v>5691</v>
      </c>
      <c r="C190" s="167">
        <f>SUM(C184:C189)</f>
        <v>164.23</v>
      </c>
      <c r="D190" s="115">
        <v>17</v>
      </c>
      <c r="E190" s="163"/>
      <c r="F190" s="115"/>
    </row>
    <row r="191" spans="1:6" customFormat="1" ht="15" x14ac:dyDescent="0.25">
      <c r="A191" s="118"/>
      <c r="B191" s="116"/>
      <c r="C191" s="166"/>
      <c r="D191" s="118"/>
      <c r="E191" s="117"/>
      <c r="F191" s="118"/>
    </row>
    <row r="192" spans="1:6" x14ac:dyDescent="0.25">
      <c r="A192" s="203" t="str">
        <f>"3906033"</f>
        <v>3906033</v>
      </c>
      <c r="B192" s="207" t="s">
        <v>5769</v>
      </c>
      <c r="C192" s="209">
        <v>1.69</v>
      </c>
      <c r="D192" s="203">
        <v>330113</v>
      </c>
      <c r="E192" s="205">
        <v>43979.467418981483</v>
      </c>
      <c r="F192" s="123">
        <v>6497</v>
      </c>
    </row>
    <row r="193" spans="1:6" x14ac:dyDescent="0.25">
      <c r="A193" s="203" t="str">
        <f>"3907994"</f>
        <v>3907994</v>
      </c>
      <c r="B193" s="207" t="s">
        <v>5826</v>
      </c>
      <c r="C193" s="209">
        <v>7.02</v>
      </c>
      <c r="D193" s="203">
        <v>329412</v>
      </c>
      <c r="E193" s="205">
        <v>43979.546793981484</v>
      </c>
      <c r="F193" s="123">
        <v>6498</v>
      </c>
    </row>
    <row r="194" spans="1:6" x14ac:dyDescent="0.25">
      <c r="A194" s="203" t="str">
        <f>"3901995"</f>
        <v>3901995</v>
      </c>
      <c r="B194" s="207" t="s">
        <v>5817</v>
      </c>
      <c r="C194" s="209">
        <v>3.48</v>
      </c>
      <c r="D194" s="203">
        <v>329583</v>
      </c>
      <c r="E194" s="205">
        <v>43979.863194444442</v>
      </c>
      <c r="F194" s="123">
        <v>6499</v>
      </c>
    </row>
    <row r="195" spans="1:6" x14ac:dyDescent="0.25">
      <c r="A195" s="203" t="str">
        <f>"3930391"</f>
        <v>3930391</v>
      </c>
      <c r="B195" s="207" t="s">
        <v>5771</v>
      </c>
      <c r="C195" s="209">
        <v>7.12</v>
      </c>
      <c r="D195" s="203">
        <v>329386</v>
      </c>
      <c r="E195" s="205">
        <v>43979.875509259262</v>
      </c>
      <c r="F195" s="123">
        <v>6500</v>
      </c>
    </row>
    <row r="196" spans="1:6" s="164" customFormat="1" ht="15" x14ac:dyDescent="0.25">
      <c r="A196" s="115"/>
      <c r="B196" s="115" t="s">
        <v>5691</v>
      </c>
      <c r="C196" s="167">
        <f>SUM(C192:C195)</f>
        <v>19.309999999999999</v>
      </c>
      <c r="D196" s="115">
        <v>18</v>
      </c>
      <c r="E196" s="163"/>
      <c r="F196" s="115"/>
    </row>
    <row r="197" spans="1:6" customFormat="1" ht="15" x14ac:dyDescent="0.25">
      <c r="A197" s="118"/>
      <c r="B197" s="116"/>
      <c r="C197" s="166"/>
      <c r="D197" s="118"/>
      <c r="E197" s="117"/>
      <c r="F197" s="118"/>
    </row>
    <row r="198" spans="1:6" x14ac:dyDescent="0.25">
      <c r="A198" s="203" t="str">
        <f>"23923267"</f>
        <v>23923267</v>
      </c>
      <c r="B198" s="207" t="s">
        <v>5825</v>
      </c>
      <c r="C198" s="209">
        <v>1.1399999999999999</v>
      </c>
      <c r="D198" s="203">
        <v>1902</v>
      </c>
      <c r="E198" s="205">
        <v>43980.349050925928</v>
      </c>
      <c r="F198" s="123">
        <v>6564</v>
      </c>
    </row>
    <row r="199" spans="1:6" x14ac:dyDescent="0.25">
      <c r="A199" s="203" t="str">
        <f>"3901111"</f>
        <v>3901111</v>
      </c>
      <c r="B199" s="207" t="s">
        <v>2983</v>
      </c>
      <c r="C199" s="209">
        <v>12.86</v>
      </c>
      <c r="D199" s="203">
        <v>327826</v>
      </c>
      <c r="E199" s="205">
        <v>43980.410185185188</v>
      </c>
      <c r="F199" s="123">
        <v>6565</v>
      </c>
    </row>
    <row r="200" spans="1:6" x14ac:dyDescent="0.25">
      <c r="A200" s="203" t="str">
        <f>"3960240"</f>
        <v>3960240</v>
      </c>
      <c r="B200" s="207" t="s">
        <v>5775</v>
      </c>
      <c r="C200" s="209">
        <v>20.82</v>
      </c>
      <c r="D200" s="203">
        <v>328397</v>
      </c>
      <c r="E200" s="205">
        <v>43980.471828703703</v>
      </c>
      <c r="F200" s="123">
        <v>6566</v>
      </c>
    </row>
    <row r="201" spans="1:6" x14ac:dyDescent="0.25">
      <c r="A201" s="203" t="str">
        <f>"3960265"</f>
        <v>3960265</v>
      </c>
      <c r="B201" s="207" t="s">
        <v>2999</v>
      </c>
      <c r="C201" s="209">
        <v>13.96</v>
      </c>
      <c r="D201" s="203">
        <v>328146</v>
      </c>
      <c r="E201" s="205">
        <v>43980.569756944446</v>
      </c>
      <c r="F201" s="123">
        <v>6567</v>
      </c>
    </row>
    <row r="202" spans="1:6" x14ac:dyDescent="0.25">
      <c r="A202" s="203" t="str">
        <f>"3908246"</f>
        <v>3908246</v>
      </c>
      <c r="B202" s="207" t="s">
        <v>5824</v>
      </c>
      <c r="C202" s="209">
        <v>3.91</v>
      </c>
      <c r="D202" s="203">
        <v>330416</v>
      </c>
      <c r="E202" s="205">
        <v>43980.623807870368</v>
      </c>
      <c r="F202" s="123">
        <v>6568</v>
      </c>
    </row>
    <row r="203" spans="1:6" x14ac:dyDescent="0.25">
      <c r="A203" s="203" t="str">
        <f>"3907238"</f>
        <v>3907238</v>
      </c>
      <c r="B203" s="207" t="s">
        <v>5823</v>
      </c>
      <c r="C203" s="209">
        <v>35.58</v>
      </c>
      <c r="D203" s="203">
        <v>328476</v>
      </c>
      <c r="E203" s="205">
        <v>43980.671666666669</v>
      </c>
      <c r="F203" s="123">
        <v>6569</v>
      </c>
    </row>
    <row r="204" spans="1:6" x14ac:dyDescent="0.25">
      <c r="A204" s="203" t="str">
        <f>"3900576"</f>
        <v>3900576</v>
      </c>
      <c r="B204" s="207" t="s">
        <v>2995</v>
      </c>
      <c r="C204" s="209">
        <v>1.68</v>
      </c>
      <c r="D204" s="203">
        <v>329754</v>
      </c>
      <c r="E204" s="205">
        <v>43980.748888888891</v>
      </c>
      <c r="F204" s="123">
        <v>6570</v>
      </c>
    </row>
    <row r="205" spans="1:6" x14ac:dyDescent="0.25">
      <c r="A205" s="203" t="str">
        <f>"3908057"</f>
        <v>3908057</v>
      </c>
      <c r="B205" s="207" t="s">
        <v>3000</v>
      </c>
      <c r="C205" s="209">
        <v>2.67</v>
      </c>
      <c r="D205" s="203">
        <v>329459</v>
      </c>
      <c r="E205" s="205">
        <v>43980.828148148146</v>
      </c>
      <c r="F205" s="123">
        <v>6571</v>
      </c>
    </row>
    <row r="206" spans="1:6" s="164" customFormat="1" ht="15" x14ac:dyDescent="0.25">
      <c r="A206" s="115"/>
      <c r="B206" s="115" t="s">
        <v>5691</v>
      </c>
      <c r="C206" s="167">
        <f>SUM(C198:C205)</f>
        <v>92.62</v>
      </c>
      <c r="D206" s="115">
        <v>19</v>
      </c>
      <c r="E206" s="163"/>
      <c r="F206" s="115"/>
    </row>
    <row r="207" spans="1:6" x14ac:dyDescent="0.25">
      <c r="A207" s="203"/>
      <c r="B207" s="207"/>
      <c r="C207" s="209"/>
      <c r="D207" s="203"/>
      <c r="E207" s="205"/>
      <c r="F207" s="123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2" fitToHeight="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9E0E1-55EF-4047-B98F-78A7404CCF28}">
  <sheetPr>
    <pageSetUpPr fitToPage="1"/>
  </sheetPr>
  <dimension ref="A1:K411"/>
  <sheetViews>
    <sheetView topLeftCell="A389" workbookViewId="0">
      <selection activeCell="A366" sqref="A366:H411"/>
    </sheetView>
  </sheetViews>
  <sheetFormatPr baseColWidth="10" defaultColWidth="35.7109375" defaultRowHeight="15.75" x14ac:dyDescent="0.25"/>
  <cols>
    <col min="1" max="1" width="9.85546875" style="176" bestFit="1" customWidth="1"/>
    <col min="2" max="2" width="9" style="176" bestFit="1" customWidth="1"/>
    <col min="3" max="3" width="37.7109375" style="176" customWidth="1"/>
    <col min="4" max="4" width="9.85546875" style="176" bestFit="1" customWidth="1"/>
    <col min="5" max="5" width="10.7109375" style="182" customWidth="1"/>
    <col min="6" max="6" width="15.42578125" style="176" bestFit="1" customWidth="1"/>
    <col min="7" max="7" width="8.7109375" style="176" bestFit="1" customWidth="1"/>
    <col min="8" max="8" width="8.5703125" style="176" bestFit="1" customWidth="1"/>
    <col min="9" max="10" width="35.7109375" style="176"/>
    <col min="11" max="11" width="1.5703125" style="176" bestFit="1" customWidth="1"/>
    <col min="12" max="16384" width="35.7109375" style="176"/>
  </cols>
  <sheetData>
    <row r="1" spans="1:8" ht="16.5" thickBot="1" x14ac:dyDescent="0.3">
      <c r="A1" s="382" t="s">
        <v>14421</v>
      </c>
      <c r="B1" s="383"/>
      <c r="C1" s="383"/>
      <c r="D1" s="383"/>
      <c r="E1" s="383"/>
      <c r="F1" s="383"/>
      <c r="G1" s="174"/>
      <c r="H1" s="175"/>
    </row>
    <row r="2" spans="1:8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ht="31.5" x14ac:dyDescent="0.25">
      <c r="A3" s="177" t="s">
        <v>10281</v>
      </c>
      <c r="B3" s="177" t="s">
        <v>10315</v>
      </c>
      <c r="C3" s="177" t="s">
        <v>10314</v>
      </c>
      <c r="D3" s="177" t="s">
        <v>8955</v>
      </c>
      <c r="E3" s="181">
        <v>4.55</v>
      </c>
      <c r="F3" s="177" t="s">
        <v>8954</v>
      </c>
      <c r="G3" s="177" t="s">
        <v>3007</v>
      </c>
      <c r="H3" s="172">
        <v>5397</v>
      </c>
    </row>
    <row r="4" spans="1:8" ht="31.5" x14ac:dyDescent="0.25">
      <c r="A4" s="177" t="s">
        <v>10281</v>
      </c>
      <c r="B4" s="177" t="s">
        <v>10313</v>
      </c>
      <c r="C4" s="177" t="s">
        <v>10312</v>
      </c>
      <c r="D4" s="177" t="s">
        <v>4073</v>
      </c>
      <c r="E4" s="181">
        <v>5.23</v>
      </c>
      <c r="F4" s="177" t="s">
        <v>4072</v>
      </c>
      <c r="G4" s="177" t="s">
        <v>3007</v>
      </c>
      <c r="H4" s="172">
        <v>5398</v>
      </c>
    </row>
    <row r="5" spans="1:8" ht="31.5" x14ac:dyDescent="0.25">
      <c r="A5" s="177" t="s">
        <v>10281</v>
      </c>
      <c r="B5" s="177" t="s">
        <v>10311</v>
      </c>
      <c r="C5" s="177" t="s">
        <v>10310</v>
      </c>
      <c r="D5" s="177" t="s">
        <v>10309</v>
      </c>
      <c r="E5" s="181">
        <v>9.27</v>
      </c>
      <c r="F5" s="177" t="s">
        <v>10308</v>
      </c>
      <c r="G5" s="177" t="s">
        <v>3007</v>
      </c>
      <c r="H5" s="172">
        <v>5399</v>
      </c>
    </row>
    <row r="6" spans="1:8" ht="31.5" x14ac:dyDescent="0.25">
      <c r="A6" s="177" t="s">
        <v>10281</v>
      </c>
      <c r="B6" s="177" t="s">
        <v>10307</v>
      </c>
      <c r="C6" s="177" t="s">
        <v>10306</v>
      </c>
      <c r="D6" s="177" t="s">
        <v>10305</v>
      </c>
      <c r="E6" s="181">
        <v>5.99</v>
      </c>
      <c r="F6" s="177" t="s">
        <v>10304</v>
      </c>
      <c r="G6" s="177" t="s">
        <v>3007</v>
      </c>
      <c r="H6" s="172">
        <v>5400</v>
      </c>
    </row>
    <row r="7" spans="1:8" ht="31.5" x14ac:dyDescent="0.25">
      <c r="A7" s="177" t="s">
        <v>10281</v>
      </c>
      <c r="B7" s="177" t="s">
        <v>3036</v>
      </c>
      <c r="C7" s="177" t="s">
        <v>10303</v>
      </c>
      <c r="D7" s="177" t="s">
        <v>4416</v>
      </c>
      <c r="E7" s="181">
        <v>10.83</v>
      </c>
      <c r="F7" s="177" t="s">
        <v>4415</v>
      </c>
      <c r="G7" s="177" t="s">
        <v>3007</v>
      </c>
      <c r="H7" s="172">
        <v>5401</v>
      </c>
    </row>
    <row r="8" spans="1:8" ht="31.5" x14ac:dyDescent="0.25">
      <c r="A8" s="177" t="s">
        <v>10281</v>
      </c>
      <c r="B8" s="177" t="s">
        <v>10302</v>
      </c>
      <c r="C8" s="177" t="s">
        <v>10301</v>
      </c>
      <c r="D8" s="177" t="s">
        <v>4001</v>
      </c>
      <c r="E8" s="181">
        <v>13.05</v>
      </c>
      <c r="F8" s="177" t="s">
        <v>4000</v>
      </c>
      <c r="G8" s="177" t="s">
        <v>3007</v>
      </c>
      <c r="H8" s="172">
        <v>5402</v>
      </c>
    </row>
    <row r="9" spans="1:8" ht="31.5" x14ac:dyDescent="0.25">
      <c r="A9" s="177" t="s">
        <v>10281</v>
      </c>
      <c r="B9" s="177" t="s">
        <v>10300</v>
      </c>
      <c r="C9" s="177" t="s">
        <v>10299</v>
      </c>
      <c r="D9" s="177" t="s">
        <v>3759</v>
      </c>
      <c r="E9" s="181">
        <v>14.81</v>
      </c>
      <c r="F9" s="177" t="s">
        <v>3758</v>
      </c>
      <c r="G9" s="177" t="s">
        <v>3007</v>
      </c>
      <c r="H9" s="172">
        <v>5403</v>
      </c>
    </row>
    <row r="10" spans="1:8" ht="31.5" x14ac:dyDescent="0.25">
      <c r="A10" s="177" t="s">
        <v>10281</v>
      </c>
      <c r="B10" s="177" t="s">
        <v>10298</v>
      </c>
      <c r="C10" s="177" t="s">
        <v>10297</v>
      </c>
      <c r="D10" s="177" t="s">
        <v>3127</v>
      </c>
      <c r="E10" s="181">
        <v>6.26</v>
      </c>
      <c r="F10" s="177" t="s">
        <v>3126</v>
      </c>
      <c r="G10" s="177" t="s">
        <v>3007</v>
      </c>
      <c r="H10" s="172">
        <v>5404</v>
      </c>
    </row>
    <row r="11" spans="1:8" ht="31.5" x14ac:dyDescent="0.25">
      <c r="A11" s="177" t="s">
        <v>10281</v>
      </c>
      <c r="B11" s="177" t="s">
        <v>10296</v>
      </c>
      <c r="C11" s="177" t="s">
        <v>10295</v>
      </c>
      <c r="D11" s="177" t="s">
        <v>9201</v>
      </c>
      <c r="E11" s="181">
        <v>1.88</v>
      </c>
      <c r="F11" s="177" t="s">
        <v>9200</v>
      </c>
      <c r="G11" s="177" t="s">
        <v>3007</v>
      </c>
      <c r="H11" s="172">
        <v>5405</v>
      </c>
    </row>
    <row r="12" spans="1:8" ht="31.5" x14ac:dyDescent="0.25">
      <c r="A12" s="177" t="s">
        <v>10281</v>
      </c>
      <c r="B12" s="177" t="s">
        <v>10294</v>
      </c>
      <c r="C12" s="177" t="s">
        <v>10293</v>
      </c>
      <c r="D12" s="177" t="s">
        <v>4354</v>
      </c>
      <c r="E12" s="181">
        <v>6.12</v>
      </c>
      <c r="F12" s="177" t="s">
        <v>4353</v>
      </c>
      <c r="G12" s="177" t="s">
        <v>3007</v>
      </c>
      <c r="H12" s="172">
        <v>5406</v>
      </c>
    </row>
    <row r="13" spans="1:8" ht="31.5" x14ac:dyDescent="0.25">
      <c r="A13" s="177" t="s">
        <v>10281</v>
      </c>
      <c r="B13" s="177" t="s">
        <v>7780</v>
      </c>
      <c r="C13" s="177" t="s">
        <v>10292</v>
      </c>
      <c r="D13" s="177" t="s">
        <v>3787</v>
      </c>
      <c r="E13" s="181">
        <v>9.2799999999999994</v>
      </c>
      <c r="F13" s="177" t="s">
        <v>3786</v>
      </c>
      <c r="G13" s="177" t="s">
        <v>3007</v>
      </c>
      <c r="H13" s="172">
        <v>5407</v>
      </c>
    </row>
    <row r="14" spans="1:8" ht="31.5" x14ac:dyDescent="0.25">
      <c r="A14" s="177" t="s">
        <v>10281</v>
      </c>
      <c r="B14" s="177" t="s">
        <v>10291</v>
      </c>
      <c r="C14" s="177" t="s">
        <v>10290</v>
      </c>
      <c r="D14" s="177" t="s">
        <v>10289</v>
      </c>
      <c r="E14" s="181">
        <v>37.630000000000003</v>
      </c>
      <c r="F14" s="177" t="s">
        <v>10288</v>
      </c>
      <c r="G14" s="177" t="s">
        <v>3007</v>
      </c>
      <c r="H14" s="172">
        <v>5408</v>
      </c>
    </row>
    <row r="15" spans="1:8" ht="31.5" x14ac:dyDescent="0.25">
      <c r="A15" s="177" t="s">
        <v>10281</v>
      </c>
      <c r="B15" s="177" t="s">
        <v>10287</v>
      </c>
      <c r="C15" s="177" t="s">
        <v>10286</v>
      </c>
      <c r="D15" s="177" t="s">
        <v>4524</v>
      </c>
      <c r="E15" s="181">
        <v>5.3</v>
      </c>
      <c r="F15" s="177" t="s">
        <v>4523</v>
      </c>
      <c r="G15" s="177" t="s">
        <v>3007</v>
      </c>
      <c r="H15" s="172">
        <v>5409</v>
      </c>
    </row>
    <row r="16" spans="1:8" ht="31.5" x14ac:dyDescent="0.25">
      <c r="A16" s="177" t="s">
        <v>10281</v>
      </c>
      <c r="B16" s="177" t="s">
        <v>10285</v>
      </c>
      <c r="C16" s="177" t="s">
        <v>10284</v>
      </c>
      <c r="D16" s="177" t="s">
        <v>7966</v>
      </c>
      <c r="E16" s="181">
        <v>18.61</v>
      </c>
      <c r="F16" s="177" t="s">
        <v>7965</v>
      </c>
      <c r="G16" s="177" t="s">
        <v>3007</v>
      </c>
      <c r="H16" s="172">
        <v>5410</v>
      </c>
    </row>
    <row r="17" spans="1:8" ht="31.5" x14ac:dyDescent="0.25">
      <c r="A17" s="177" t="s">
        <v>10281</v>
      </c>
      <c r="B17" s="177" t="s">
        <v>10283</v>
      </c>
      <c r="C17" s="177" t="s">
        <v>10282</v>
      </c>
      <c r="D17" s="177" t="s">
        <v>7355</v>
      </c>
      <c r="E17" s="181">
        <v>12.77</v>
      </c>
      <c r="F17" s="177" t="s">
        <v>7354</v>
      </c>
      <c r="G17" s="177" t="s">
        <v>3007</v>
      </c>
      <c r="H17" s="172">
        <v>5411</v>
      </c>
    </row>
    <row r="18" spans="1:8" ht="31.5" x14ac:dyDescent="0.25">
      <c r="A18" s="177" t="s">
        <v>10281</v>
      </c>
      <c r="B18" s="177" t="s">
        <v>10280</v>
      </c>
      <c r="C18" s="177" t="s">
        <v>10279</v>
      </c>
      <c r="D18" s="177" t="s">
        <v>10278</v>
      </c>
      <c r="E18" s="181">
        <v>5.18</v>
      </c>
      <c r="F18" s="177" t="s">
        <v>10277</v>
      </c>
      <c r="G18" s="177" t="s">
        <v>3007</v>
      </c>
      <c r="H18" s="172">
        <v>5412</v>
      </c>
    </row>
    <row r="19" spans="1:8" ht="31.5" x14ac:dyDescent="0.25">
      <c r="A19" s="177" t="s">
        <v>10258</v>
      </c>
      <c r="B19" s="177" t="s">
        <v>10276</v>
      </c>
      <c r="C19" s="177" t="s">
        <v>10275</v>
      </c>
      <c r="D19" s="177" t="s">
        <v>8542</v>
      </c>
      <c r="E19" s="181">
        <v>35.700000000000003</v>
      </c>
      <c r="F19" s="177" t="s">
        <v>8541</v>
      </c>
      <c r="G19" s="177" t="s">
        <v>3007</v>
      </c>
      <c r="H19" s="172">
        <v>5413</v>
      </c>
    </row>
    <row r="20" spans="1:8" ht="31.5" x14ac:dyDescent="0.25">
      <c r="A20" s="177" t="s">
        <v>10258</v>
      </c>
      <c r="B20" s="177" t="s">
        <v>10274</v>
      </c>
      <c r="C20" s="177" t="s">
        <v>10273</v>
      </c>
      <c r="D20" s="177" t="s">
        <v>8120</v>
      </c>
      <c r="E20" s="181">
        <v>3.39</v>
      </c>
      <c r="F20" s="177" t="s">
        <v>8119</v>
      </c>
      <c r="G20" s="177" t="s">
        <v>3007</v>
      </c>
      <c r="H20" s="172">
        <v>5414</v>
      </c>
    </row>
    <row r="21" spans="1:8" ht="31.5" x14ac:dyDescent="0.25">
      <c r="A21" s="177" t="s">
        <v>10258</v>
      </c>
      <c r="B21" s="177" t="s">
        <v>10272</v>
      </c>
      <c r="C21" s="177" t="s">
        <v>10271</v>
      </c>
      <c r="D21" s="177" t="s">
        <v>10270</v>
      </c>
      <c r="E21" s="181">
        <v>13.02</v>
      </c>
      <c r="F21" s="177" t="s">
        <v>10269</v>
      </c>
      <c r="G21" s="177" t="s">
        <v>3007</v>
      </c>
      <c r="H21" s="172">
        <v>5415</v>
      </c>
    </row>
    <row r="22" spans="1:8" ht="31.5" x14ac:dyDescent="0.25">
      <c r="A22" s="177" t="s">
        <v>10258</v>
      </c>
      <c r="B22" s="177" t="s">
        <v>10268</v>
      </c>
      <c r="C22" s="177" t="s">
        <v>10267</v>
      </c>
      <c r="D22" s="177" t="s">
        <v>4867</v>
      </c>
      <c r="E22" s="181">
        <v>6.64</v>
      </c>
      <c r="F22" s="177" t="s">
        <v>4866</v>
      </c>
      <c r="G22" s="177" t="s">
        <v>3007</v>
      </c>
      <c r="H22" s="172">
        <v>5416</v>
      </c>
    </row>
    <row r="23" spans="1:8" ht="31.5" x14ac:dyDescent="0.25">
      <c r="A23" s="177" t="s">
        <v>10258</v>
      </c>
      <c r="B23" s="177" t="s">
        <v>10266</v>
      </c>
      <c r="C23" s="177" t="s">
        <v>10265</v>
      </c>
      <c r="D23" s="177" t="s">
        <v>4384</v>
      </c>
      <c r="E23" s="181">
        <v>3.16</v>
      </c>
      <c r="F23" s="177" t="s">
        <v>4383</v>
      </c>
      <c r="G23" s="177" t="s">
        <v>3007</v>
      </c>
      <c r="H23" s="172">
        <v>5417</v>
      </c>
    </row>
    <row r="24" spans="1:8" ht="31.5" x14ac:dyDescent="0.25">
      <c r="A24" s="177" t="s">
        <v>10258</v>
      </c>
      <c r="B24" s="177" t="s">
        <v>10264</v>
      </c>
      <c r="C24" s="177" t="s">
        <v>10263</v>
      </c>
      <c r="D24" s="177" t="s">
        <v>10262</v>
      </c>
      <c r="E24" s="181">
        <v>17.87</v>
      </c>
      <c r="F24" s="177" t="s">
        <v>10261</v>
      </c>
      <c r="G24" s="177" t="s">
        <v>3007</v>
      </c>
      <c r="H24" s="172">
        <v>5418</v>
      </c>
    </row>
    <row r="25" spans="1:8" ht="31.5" x14ac:dyDescent="0.25">
      <c r="A25" s="177" t="s">
        <v>10258</v>
      </c>
      <c r="B25" s="177" t="s">
        <v>10260</v>
      </c>
      <c r="C25" s="177" t="s">
        <v>10259</v>
      </c>
      <c r="D25" s="177" t="s">
        <v>5983</v>
      </c>
      <c r="E25" s="181">
        <v>3.19</v>
      </c>
      <c r="F25" s="177" t="s">
        <v>5982</v>
      </c>
      <c r="G25" s="177" t="s">
        <v>3007</v>
      </c>
      <c r="H25" s="172">
        <v>5419</v>
      </c>
    </row>
    <row r="26" spans="1:8" ht="31.5" x14ac:dyDescent="0.25">
      <c r="A26" s="177" t="s">
        <v>10258</v>
      </c>
      <c r="B26" s="177" t="s">
        <v>10257</v>
      </c>
      <c r="C26" s="177" t="s">
        <v>10256</v>
      </c>
      <c r="D26" s="177" t="s">
        <v>5417</v>
      </c>
      <c r="E26" s="181">
        <v>18.86</v>
      </c>
      <c r="F26" s="177" t="s">
        <v>5416</v>
      </c>
      <c r="G26" s="177" t="s">
        <v>3007</v>
      </c>
      <c r="H26" s="172">
        <v>5420</v>
      </c>
    </row>
    <row r="27" spans="1:8" ht="31.5" x14ac:dyDescent="0.25">
      <c r="A27" s="177" t="s">
        <v>10253</v>
      </c>
      <c r="B27" s="177" t="s">
        <v>10255</v>
      </c>
      <c r="C27" s="177" t="s">
        <v>10254</v>
      </c>
      <c r="D27" s="177" t="s">
        <v>5346</v>
      </c>
      <c r="E27" s="181">
        <v>14.84</v>
      </c>
      <c r="F27" s="177" t="s">
        <v>5345</v>
      </c>
      <c r="G27" s="177" t="s">
        <v>3007</v>
      </c>
      <c r="H27" s="172">
        <v>5421</v>
      </c>
    </row>
    <row r="28" spans="1:8" ht="31.5" x14ac:dyDescent="0.25">
      <c r="A28" s="177" t="s">
        <v>10253</v>
      </c>
      <c r="B28" s="177" t="s">
        <v>10252</v>
      </c>
      <c r="C28" s="177" t="s">
        <v>10251</v>
      </c>
      <c r="D28" s="177" t="s">
        <v>10250</v>
      </c>
      <c r="E28" s="181">
        <v>6.78</v>
      </c>
      <c r="F28" s="177" t="s">
        <v>10249</v>
      </c>
      <c r="G28" s="177" t="s">
        <v>3007</v>
      </c>
      <c r="H28" s="172">
        <v>5422</v>
      </c>
    </row>
    <row r="29" spans="1:8" ht="31.5" x14ac:dyDescent="0.25">
      <c r="A29" s="177" t="s">
        <v>10209</v>
      </c>
      <c r="B29" s="177" t="s">
        <v>10248</v>
      </c>
      <c r="C29" s="177" t="s">
        <v>10247</v>
      </c>
      <c r="D29" s="177" t="s">
        <v>3940</v>
      </c>
      <c r="E29" s="181">
        <v>6.38</v>
      </c>
      <c r="F29" s="177" t="s">
        <v>3939</v>
      </c>
      <c r="G29" s="177" t="s">
        <v>3007</v>
      </c>
      <c r="H29" s="172">
        <v>5453</v>
      </c>
    </row>
    <row r="30" spans="1:8" ht="31.5" x14ac:dyDescent="0.25">
      <c r="A30" s="177" t="s">
        <v>10209</v>
      </c>
      <c r="B30" s="177" t="s">
        <v>10246</v>
      </c>
      <c r="C30" s="177" t="s">
        <v>10245</v>
      </c>
      <c r="D30" s="177" t="s">
        <v>8769</v>
      </c>
      <c r="E30" s="181">
        <v>4.8499999999999996</v>
      </c>
      <c r="F30" s="177" t="s">
        <v>8768</v>
      </c>
      <c r="G30" s="177" t="s">
        <v>3007</v>
      </c>
      <c r="H30" s="173">
        <v>5454</v>
      </c>
    </row>
    <row r="31" spans="1:8" ht="31.5" x14ac:dyDescent="0.25">
      <c r="A31" s="177" t="s">
        <v>10209</v>
      </c>
      <c r="B31" s="177" t="s">
        <v>10244</v>
      </c>
      <c r="C31" s="177" t="s">
        <v>10243</v>
      </c>
      <c r="D31" s="177" t="s">
        <v>3062</v>
      </c>
      <c r="E31" s="181">
        <v>5.12</v>
      </c>
      <c r="F31" s="177" t="s">
        <v>3061</v>
      </c>
      <c r="G31" s="177" t="s">
        <v>3007</v>
      </c>
      <c r="H31" s="173">
        <v>5455</v>
      </c>
    </row>
    <row r="32" spans="1:8" ht="31.5" x14ac:dyDescent="0.25">
      <c r="A32" s="177" t="s">
        <v>10209</v>
      </c>
      <c r="B32" s="177" t="s">
        <v>10242</v>
      </c>
      <c r="C32" s="177" t="s">
        <v>10241</v>
      </c>
      <c r="D32" s="177" t="s">
        <v>3058</v>
      </c>
      <c r="E32" s="181">
        <v>16.64</v>
      </c>
      <c r="F32" s="177" t="s">
        <v>3057</v>
      </c>
      <c r="G32" s="177" t="s">
        <v>3007</v>
      </c>
      <c r="H32" s="173">
        <v>5456</v>
      </c>
    </row>
    <row r="33" spans="1:11" ht="31.5" x14ac:dyDescent="0.25">
      <c r="A33" s="177" t="s">
        <v>10209</v>
      </c>
      <c r="B33" s="177" t="s">
        <v>10240</v>
      </c>
      <c r="C33" s="177" t="s">
        <v>10239</v>
      </c>
      <c r="D33" s="177" t="s">
        <v>6010</v>
      </c>
      <c r="E33" s="181">
        <v>16.760000000000002</v>
      </c>
      <c r="F33" s="177" t="s">
        <v>6009</v>
      </c>
      <c r="G33" s="177" t="s">
        <v>3007</v>
      </c>
      <c r="H33" s="173">
        <v>5457</v>
      </c>
    </row>
    <row r="34" spans="1:11" ht="31.5" x14ac:dyDescent="0.25">
      <c r="A34" s="177" t="s">
        <v>10209</v>
      </c>
      <c r="B34" s="177" t="s">
        <v>10238</v>
      </c>
      <c r="C34" s="177" t="s">
        <v>10237</v>
      </c>
      <c r="D34" s="177" t="s">
        <v>7407</v>
      </c>
      <c r="E34" s="181">
        <v>9.7799999999999994</v>
      </c>
      <c r="F34" s="177" t="s">
        <v>7406</v>
      </c>
      <c r="G34" s="177" t="s">
        <v>3007</v>
      </c>
      <c r="H34" s="173">
        <v>5458</v>
      </c>
    </row>
    <row r="35" spans="1:11" ht="31.5" x14ac:dyDescent="0.25">
      <c r="A35" s="177" t="s">
        <v>10209</v>
      </c>
      <c r="B35" s="177" t="s">
        <v>10236</v>
      </c>
      <c r="C35" s="177" t="s">
        <v>10235</v>
      </c>
      <c r="D35" s="177" t="s">
        <v>10234</v>
      </c>
      <c r="E35" s="181">
        <v>14.93</v>
      </c>
      <c r="F35" s="177" t="s">
        <v>10233</v>
      </c>
      <c r="G35" s="177" t="s">
        <v>3007</v>
      </c>
      <c r="H35" s="173">
        <v>5459</v>
      </c>
    </row>
    <row r="36" spans="1:11" ht="31.5" x14ac:dyDescent="0.25">
      <c r="A36" s="177" t="s">
        <v>10209</v>
      </c>
      <c r="B36" s="177" t="s">
        <v>10232</v>
      </c>
      <c r="C36" s="177" t="s">
        <v>10231</v>
      </c>
      <c r="D36" s="177" t="s">
        <v>4317</v>
      </c>
      <c r="E36" s="181">
        <v>9.84</v>
      </c>
      <c r="F36" s="177" t="s">
        <v>4316</v>
      </c>
      <c r="G36" s="177" t="s">
        <v>3007</v>
      </c>
      <c r="H36" s="173">
        <v>5460</v>
      </c>
    </row>
    <row r="37" spans="1:11" ht="31.5" x14ac:dyDescent="0.25">
      <c r="A37" s="177" t="s">
        <v>10209</v>
      </c>
      <c r="B37" s="177" t="s">
        <v>10230</v>
      </c>
      <c r="C37" s="177" t="s">
        <v>10229</v>
      </c>
      <c r="D37" s="177" t="s">
        <v>5198</v>
      </c>
      <c r="E37" s="181">
        <v>39.94</v>
      </c>
      <c r="F37" s="177" t="s">
        <v>5197</v>
      </c>
      <c r="G37" s="177" t="s">
        <v>3007</v>
      </c>
      <c r="H37" s="173">
        <v>5461</v>
      </c>
    </row>
    <row r="38" spans="1:11" ht="31.5" x14ac:dyDescent="0.25">
      <c r="A38" s="177" t="s">
        <v>10209</v>
      </c>
      <c r="B38" s="177" t="s">
        <v>10228</v>
      </c>
      <c r="C38" s="177" t="s">
        <v>10227</v>
      </c>
      <c r="D38" s="177" t="s">
        <v>4289</v>
      </c>
      <c r="E38" s="181">
        <v>7</v>
      </c>
      <c r="F38" s="177" t="s">
        <v>4288</v>
      </c>
      <c r="G38" s="177" t="s">
        <v>3007</v>
      </c>
      <c r="H38" s="172">
        <v>5462</v>
      </c>
    </row>
    <row r="39" spans="1:11" ht="31.5" x14ac:dyDescent="0.25">
      <c r="A39" s="177" t="s">
        <v>10209</v>
      </c>
      <c r="B39" s="177" t="s">
        <v>9974</v>
      </c>
      <c r="C39" s="177" t="s">
        <v>10226</v>
      </c>
      <c r="D39" s="177" t="s">
        <v>5462</v>
      </c>
      <c r="E39" s="181">
        <v>15.56</v>
      </c>
      <c r="F39" s="177" t="s">
        <v>5461</v>
      </c>
      <c r="G39" s="177" t="s">
        <v>3007</v>
      </c>
      <c r="H39" s="172">
        <v>5463</v>
      </c>
    </row>
    <row r="40" spans="1:11" ht="31.5" x14ac:dyDescent="0.25">
      <c r="A40" s="177" t="s">
        <v>10209</v>
      </c>
      <c r="B40" s="177" t="s">
        <v>10225</v>
      </c>
      <c r="C40" s="177" t="s">
        <v>10224</v>
      </c>
      <c r="D40" s="177" t="s">
        <v>4901</v>
      </c>
      <c r="E40" s="181">
        <v>1.84</v>
      </c>
      <c r="F40" s="177" t="s">
        <v>4900</v>
      </c>
      <c r="G40" s="177" t="s">
        <v>3007</v>
      </c>
      <c r="H40" s="172">
        <v>5464</v>
      </c>
    </row>
    <row r="41" spans="1:11" ht="31.5" x14ac:dyDescent="0.25">
      <c r="A41" s="177" t="s">
        <v>10209</v>
      </c>
      <c r="B41" s="177" t="s">
        <v>10223</v>
      </c>
      <c r="C41" s="177" t="s">
        <v>10222</v>
      </c>
      <c r="D41" s="177" t="s">
        <v>4893</v>
      </c>
      <c r="E41" s="181">
        <v>11.74</v>
      </c>
      <c r="F41" s="177" t="s">
        <v>4892</v>
      </c>
      <c r="G41" s="177" t="s">
        <v>3007</v>
      </c>
      <c r="H41" s="172">
        <v>5465</v>
      </c>
    </row>
    <row r="42" spans="1:11" ht="31.5" x14ac:dyDescent="0.25">
      <c r="A42" s="177" t="s">
        <v>10209</v>
      </c>
      <c r="B42" s="177" t="s">
        <v>10221</v>
      </c>
      <c r="C42" s="177" t="s">
        <v>10220</v>
      </c>
      <c r="D42" s="177" t="s">
        <v>6250</v>
      </c>
      <c r="E42" s="181">
        <v>21.62</v>
      </c>
      <c r="F42" s="177" t="s">
        <v>6249</v>
      </c>
      <c r="G42" s="177" t="s">
        <v>3007</v>
      </c>
      <c r="H42" s="172">
        <v>5466</v>
      </c>
    </row>
    <row r="43" spans="1:11" ht="31.5" x14ac:dyDescent="0.25">
      <c r="A43" s="177" t="s">
        <v>10209</v>
      </c>
      <c r="B43" s="177" t="s">
        <v>10219</v>
      </c>
      <c r="C43" s="177" t="s">
        <v>10218</v>
      </c>
      <c r="D43" s="177" t="s">
        <v>3719</v>
      </c>
      <c r="E43" s="181">
        <v>8.3800000000000008</v>
      </c>
      <c r="F43" s="177" t="s">
        <v>3718</v>
      </c>
      <c r="G43" s="177" t="s">
        <v>3007</v>
      </c>
      <c r="H43" s="172">
        <v>5467</v>
      </c>
    </row>
    <row r="44" spans="1:11" ht="31.5" x14ac:dyDescent="0.25">
      <c r="A44" s="177" t="s">
        <v>10209</v>
      </c>
      <c r="B44" s="177" t="s">
        <v>10217</v>
      </c>
      <c r="C44" s="177" t="s">
        <v>10216</v>
      </c>
      <c r="D44" s="177" t="s">
        <v>5309</v>
      </c>
      <c r="E44" s="181">
        <v>6.1</v>
      </c>
      <c r="F44" s="177" t="s">
        <v>5308</v>
      </c>
      <c r="G44" s="177" t="s">
        <v>3007</v>
      </c>
      <c r="H44" s="172">
        <v>5468</v>
      </c>
    </row>
    <row r="45" spans="1:11" ht="31.5" x14ac:dyDescent="0.25">
      <c r="A45" s="177" t="s">
        <v>10209</v>
      </c>
      <c r="B45" s="177" t="s">
        <v>10215</v>
      </c>
      <c r="C45" s="177" t="s">
        <v>10214</v>
      </c>
      <c r="D45" s="177" t="s">
        <v>3530</v>
      </c>
      <c r="E45" s="181">
        <v>6.72</v>
      </c>
      <c r="F45" s="177" t="s">
        <v>3526</v>
      </c>
      <c r="G45" s="177" t="s">
        <v>3007</v>
      </c>
      <c r="H45" s="172">
        <v>5469</v>
      </c>
    </row>
    <row r="46" spans="1:11" ht="31.5" x14ac:dyDescent="0.25">
      <c r="A46" s="177" t="s">
        <v>10209</v>
      </c>
      <c r="B46" s="177" t="s">
        <v>10213</v>
      </c>
      <c r="C46" s="177" t="s">
        <v>10212</v>
      </c>
      <c r="D46" s="177" t="s">
        <v>3527</v>
      </c>
      <c r="E46" s="181">
        <v>5.01</v>
      </c>
      <c r="F46" s="177" t="s">
        <v>3526</v>
      </c>
      <c r="G46" s="177" t="s">
        <v>3007</v>
      </c>
      <c r="H46" s="172">
        <v>5470</v>
      </c>
    </row>
    <row r="47" spans="1:11" ht="31.5" x14ac:dyDescent="0.25">
      <c r="A47" s="177" t="s">
        <v>10209</v>
      </c>
      <c r="B47" s="177" t="s">
        <v>10211</v>
      </c>
      <c r="C47" s="177" t="s">
        <v>10210</v>
      </c>
      <c r="D47" s="177" t="s">
        <v>4488</v>
      </c>
      <c r="E47" s="181">
        <v>11.5</v>
      </c>
      <c r="F47" s="177" t="s">
        <v>4487</v>
      </c>
      <c r="G47" s="177" t="s">
        <v>3007</v>
      </c>
      <c r="H47" s="172">
        <v>5471</v>
      </c>
      <c r="K47" s="176" t="s">
        <v>5521</v>
      </c>
    </row>
    <row r="48" spans="1:11" ht="31.5" x14ac:dyDescent="0.25">
      <c r="A48" s="177" t="s">
        <v>10209</v>
      </c>
      <c r="B48" s="177" t="s">
        <v>10208</v>
      </c>
      <c r="C48" s="177" t="s">
        <v>10207</v>
      </c>
      <c r="D48" s="177" t="s">
        <v>6996</v>
      </c>
      <c r="E48" s="181">
        <v>8.3000000000000007</v>
      </c>
      <c r="F48" s="177" t="s">
        <v>6995</v>
      </c>
      <c r="G48" s="177" t="s">
        <v>3007</v>
      </c>
      <c r="H48" s="172">
        <v>5472</v>
      </c>
    </row>
    <row r="49" spans="1:8" ht="31.5" x14ac:dyDescent="0.25">
      <c r="A49" s="177" t="s">
        <v>10171</v>
      </c>
      <c r="B49" s="177" t="s">
        <v>10206</v>
      </c>
      <c r="C49" s="177" t="s">
        <v>10205</v>
      </c>
      <c r="D49" s="177" t="s">
        <v>5214</v>
      </c>
      <c r="E49" s="181">
        <v>15.09</v>
      </c>
      <c r="F49" s="177" t="s">
        <v>5213</v>
      </c>
      <c r="G49" s="177" t="s">
        <v>3007</v>
      </c>
      <c r="H49" s="172">
        <v>5588</v>
      </c>
    </row>
    <row r="50" spans="1:8" ht="31.5" x14ac:dyDescent="0.25">
      <c r="A50" s="177" t="s">
        <v>10171</v>
      </c>
      <c r="B50" s="177" t="s">
        <v>10168</v>
      </c>
      <c r="C50" s="177" t="s">
        <v>10204</v>
      </c>
      <c r="D50" s="177" t="s">
        <v>10203</v>
      </c>
      <c r="E50" s="181">
        <v>2.57</v>
      </c>
      <c r="F50" s="177" t="s">
        <v>10202</v>
      </c>
      <c r="G50" s="177" t="s">
        <v>3007</v>
      </c>
      <c r="H50" s="172">
        <v>5589</v>
      </c>
    </row>
    <row r="51" spans="1:8" ht="31.5" x14ac:dyDescent="0.25">
      <c r="A51" s="177" t="s">
        <v>10171</v>
      </c>
      <c r="B51" s="177" t="s">
        <v>10201</v>
      </c>
      <c r="C51" s="177" t="s">
        <v>10200</v>
      </c>
      <c r="D51" s="177" t="s">
        <v>5166</v>
      </c>
      <c r="E51" s="181">
        <v>24.46</v>
      </c>
      <c r="F51" s="177" t="s">
        <v>5165</v>
      </c>
      <c r="G51" s="177" t="s">
        <v>3007</v>
      </c>
      <c r="H51" s="172">
        <v>5590</v>
      </c>
    </row>
    <row r="52" spans="1:8" ht="31.5" x14ac:dyDescent="0.25">
      <c r="A52" s="177" t="s">
        <v>10171</v>
      </c>
      <c r="B52" s="177" t="s">
        <v>10199</v>
      </c>
      <c r="C52" s="177" t="s">
        <v>10198</v>
      </c>
      <c r="D52" s="177" t="s">
        <v>9351</v>
      </c>
      <c r="E52" s="181">
        <v>11.35</v>
      </c>
      <c r="F52" s="177" t="s">
        <v>9350</v>
      </c>
      <c r="G52" s="177" t="s">
        <v>3007</v>
      </c>
      <c r="H52" s="172">
        <v>5591</v>
      </c>
    </row>
    <row r="53" spans="1:8" ht="31.5" x14ac:dyDescent="0.25">
      <c r="A53" s="177" t="s">
        <v>10171</v>
      </c>
      <c r="B53" s="177" t="s">
        <v>6679</v>
      </c>
      <c r="C53" s="177" t="s">
        <v>10197</v>
      </c>
      <c r="D53" s="177" t="s">
        <v>6842</v>
      </c>
      <c r="E53" s="181">
        <v>5.57</v>
      </c>
      <c r="F53" s="177" t="s">
        <v>6841</v>
      </c>
      <c r="G53" s="177" t="s">
        <v>3007</v>
      </c>
      <c r="H53" s="172">
        <v>5592</v>
      </c>
    </row>
    <row r="54" spans="1:8" ht="31.5" x14ac:dyDescent="0.25">
      <c r="A54" s="177" t="s">
        <v>10171</v>
      </c>
      <c r="B54" s="177" t="s">
        <v>10196</v>
      </c>
      <c r="C54" s="177" t="s">
        <v>10195</v>
      </c>
      <c r="D54" s="177" t="s">
        <v>5646</v>
      </c>
      <c r="E54" s="181">
        <v>5.75</v>
      </c>
      <c r="F54" s="177" t="s">
        <v>5645</v>
      </c>
      <c r="G54" s="177" t="s">
        <v>3007</v>
      </c>
      <c r="H54" s="172">
        <v>5593</v>
      </c>
    </row>
    <row r="55" spans="1:8" ht="31.5" x14ac:dyDescent="0.25">
      <c r="A55" s="177" t="s">
        <v>10171</v>
      </c>
      <c r="B55" s="177" t="s">
        <v>10194</v>
      </c>
      <c r="C55" s="177" t="s">
        <v>10193</v>
      </c>
      <c r="D55" s="177" t="s">
        <v>4164</v>
      </c>
      <c r="E55" s="181">
        <v>12.94</v>
      </c>
      <c r="F55" s="177" t="s">
        <v>4163</v>
      </c>
      <c r="G55" s="177" t="s">
        <v>3007</v>
      </c>
      <c r="H55" s="172">
        <v>5594</v>
      </c>
    </row>
    <row r="56" spans="1:8" ht="31.5" x14ac:dyDescent="0.25">
      <c r="A56" s="177" t="s">
        <v>10171</v>
      </c>
      <c r="B56" s="177" t="s">
        <v>10192</v>
      </c>
      <c r="C56" s="177" t="s">
        <v>10191</v>
      </c>
      <c r="D56" s="177" t="s">
        <v>5285</v>
      </c>
      <c r="E56" s="181">
        <v>17.100000000000001</v>
      </c>
      <c r="F56" s="177" t="s">
        <v>5284</v>
      </c>
      <c r="G56" s="177" t="s">
        <v>3007</v>
      </c>
      <c r="H56" s="172">
        <v>5595</v>
      </c>
    </row>
    <row r="57" spans="1:8" ht="17.25" customHeight="1" x14ac:dyDescent="0.25">
      <c r="A57" s="177" t="s">
        <v>10171</v>
      </c>
      <c r="B57" s="177" t="s">
        <v>10190</v>
      </c>
      <c r="C57" s="177" t="s">
        <v>10189</v>
      </c>
      <c r="D57" s="177" t="s">
        <v>8578</v>
      </c>
      <c r="E57" s="181">
        <v>2.8</v>
      </c>
      <c r="F57" s="177" t="s">
        <v>8577</v>
      </c>
      <c r="G57" s="177" t="s">
        <v>3007</v>
      </c>
      <c r="H57" s="172">
        <v>5596</v>
      </c>
    </row>
    <row r="58" spans="1:8" ht="31.5" x14ac:dyDescent="0.25">
      <c r="A58" s="177" t="s">
        <v>10171</v>
      </c>
      <c r="B58" s="177" t="s">
        <v>10188</v>
      </c>
      <c r="C58" s="177" t="s">
        <v>10187</v>
      </c>
      <c r="D58" s="177" t="s">
        <v>5321</v>
      </c>
      <c r="E58" s="181">
        <v>8.58</v>
      </c>
      <c r="F58" s="177" t="s">
        <v>5320</v>
      </c>
      <c r="G58" s="177" t="s">
        <v>3007</v>
      </c>
      <c r="H58" s="172">
        <v>5597</v>
      </c>
    </row>
    <row r="59" spans="1:8" ht="31.5" x14ac:dyDescent="0.25">
      <c r="A59" s="177" t="s">
        <v>10171</v>
      </c>
      <c r="B59" s="177" t="s">
        <v>9293</v>
      </c>
      <c r="C59" s="177" t="s">
        <v>10186</v>
      </c>
      <c r="D59" s="177" t="s">
        <v>6022</v>
      </c>
      <c r="E59" s="181">
        <v>3.88</v>
      </c>
      <c r="F59" s="177" t="s">
        <v>6021</v>
      </c>
      <c r="G59" s="177" t="s">
        <v>3007</v>
      </c>
      <c r="H59" s="172">
        <v>5598</v>
      </c>
    </row>
    <row r="60" spans="1:8" ht="31.5" x14ac:dyDescent="0.25">
      <c r="A60" s="177" t="s">
        <v>10171</v>
      </c>
      <c r="B60" s="177" t="s">
        <v>10185</v>
      </c>
      <c r="C60" s="177" t="s">
        <v>10184</v>
      </c>
      <c r="D60" s="177" t="s">
        <v>7113</v>
      </c>
      <c r="E60" s="181">
        <v>6.55</v>
      </c>
      <c r="F60" s="177" t="s">
        <v>7112</v>
      </c>
      <c r="G60" s="177" t="s">
        <v>3007</v>
      </c>
      <c r="H60" s="172">
        <v>5599</v>
      </c>
    </row>
    <row r="61" spans="1:8" ht="31.5" x14ac:dyDescent="0.25">
      <c r="A61" s="177" t="s">
        <v>10171</v>
      </c>
      <c r="B61" s="177" t="s">
        <v>10183</v>
      </c>
      <c r="C61" s="177" t="s">
        <v>10182</v>
      </c>
      <c r="D61" s="177" t="s">
        <v>7865</v>
      </c>
      <c r="E61" s="181">
        <v>1.87</v>
      </c>
      <c r="F61" s="177" t="s">
        <v>7864</v>
      </c>
      <c r="G61" s="177" t="s">
        <v>3007</v>
      </c>
      <c r="H61" s="172">
        <v>5600</v>
      </c>
    </row>
    <row r="62" spans="1:8" ht="31.5" x14ac:dyDescent="0.25">
      <c r="A62" s="177" t="s">
        <v>10171</v>
      </c>
      <c r="B62" s="177" t="s">
        <v>10181</v>
      </c>
      <c r="C62" s="177" t="s">
        <v>10180</v>
      </c>
      <c r="D62" s="177" t="s">
        <v>3434</v>
      </c>
      <c r="E62" s="181">
        <v>8.3800000000000008</v>
      </c>
      <c r="F62" s="177" t="s">
        <v>3433</v>
      </c>
      <c r="G62" s="177" t="s">
        <v>3007</v>
      </c>
      <c r="H62" s="172">
        <v>5601</v>
      </c>
    </row>
    <row r="63" spans="1:8" ht="31.5" x14ac:dyDescent="0.25">
      <c r="A63" s="177" t="s">
        <v>10171</v>
      </c>
      <c r="B63" s="177" t="s">
        <v>10179</v>
      </c>
      <c r="C63" s="177" t="s">
        <v>10178</v>
      </c>
      <c r="D63" s="177" t="s">
        <v>4540</v>
      </c>
      <c r="E63" s="181">
        <v>32.43</v>
      </c>
      <c r="F63" s="177" t="s">
        <v>4539</v>
      </c>
      <c r="G63" s="177" t="s">
        <v>3007</v>
      </c>
      <c r="H63" s="172">
        <v>5602</v>
      </c>
    </row>
    <row r="64" spans="1:8" ht="31.5" x14ac:dyDescent="0.25">
      <c r="A64" s="177" t="s">
        <v>10171</v>
      </c>
      <c r="B64" s="177" t="s">
        <v>10177</v>
      </c>
      <c r="C64" s="177" t="s">
        <v>10176</v>
      </c>
      <c r="D64" s="177" t="s">
        <v>4099</v>
      </c>
      <c r="E64" s="181">
        <v>9.2200000000000006</v>
      </c>
      <c r="F64" s="177" t="s">
        <v>4098</v>
      </c>
      <c r="G64" s="177" t="s">
        <v>3007</v>
      </c>
      <c r="H64" s="172">
        <v>5603</v>
      </c>
    </row>
    <row r="65" spans="1:8" ht="31.5" x14ac:dyDescent="0.25">
      <c r="A65" s="177" t="s">
        <v>10171</v>
      </c>
      <c r="B65" s="177" t="s">
        <v>10175</v>
      </c>
      <c r="C65" s="177" t="s">
        <v>10174</v>
      </c>
      <c r="D65" s="177" t="s">
        <v>10173</v>
      </c>
      <c r="E65" s="181">
        <v>9.23</v>
      </c>
      <c r="F65" s="177" t="s">
        <v>10172</v>
      </c>
      <c r="G65" s="177" t="s">
        <v>3007</v>
      </c>
      <c r="H65" s="172">
        <v>5604</v>
      </c>
    </row>
    <row r="66" spans="1:8" ht="31.5" x14ac:dyDescent="0.25">
      <c r="A66" s="177" t="s">
        <v>10171</v>
      </c>
      <c r="B66" s="177" t="s">
        <v>10170</v>
      </c>
      <c r="C66" s="177" t="s">
        <v>10169</v>
      </c>
      <c r="D66" s="177" t="s">
        <v>4843</v>
      </c>
      <c r="E66" s="181">
        <v>24.45</v>
      </c>
      <c r="F66" s="177" t="s">
        <v>4842</v>
      </c>
      <c r="G66" s="177" t="s">
        <v>3007</v>
      </c>
      <c r="H66" s="172">
        <v>5605</v>
      </c>
    </row>
    <row r="67" spans="1:8" ht="31.5" x14ac:dyDescent="0.25">
      <c r="A67" s="177" t="s">
        <v>10140</v>
      </c>
      <c r="B67" s="177" t="s">
        <v>10168</v>
      </c>
      <c r="C67" s="177" t="s">
        <v>10167</v>
      </c>
      <c r="D67" s="177" t="s">
        <v>4085</v>
      </c>
      <c r="E67" s="181">
        <v>15.64</v>
      </c>
      <c r="F67" s="177" t="s">
        <v>4084</v>
      </c>
      <c r="G67" s="177" t="s">
        <v>3007</v>
      </c>
      <c r="H67" s="172">
        <v>5743</v>
      </c>
    </row>
    <row r="68" spans="1:8" ht="31.5" x14ac:dyDescent="0.25">
      <c r="A68" s="177" t="s">
        <v>10140</v>
      </c>
      <c r="B68" s="177" t="s">
        <v>10166</v>
      </c>
      <c r="C68" s="177" t="s">
        <v>10165</v>
      </c>
      <c r="D68" s="177" t="s">
        <v>3542</v>
      </c>
      <c r="E68" s="181">
        <v>3.71</v>
      </c>
      <c r="F68" s="177" t="s">
        <v>3541</v>
      </c>
      <c r="G68" s="177" t="s">
        <v>3007</v>
      </c>
      <c r="H68" s="172">
        <v>5744</v>
      </c>
    </row>
    <row r="69" spans="1:8" ht="31.5" x14ac:dyDescent="0.25">
      <c r="A69" s="177" t="s">
        <v>10140</v>
      </c>
      <c r="B69" s="177" t="s">
        <v>10164</v>
      </c>
      <c r="C69" s="177" t="s">
        <v>10163</v>
      </c>
      <c r="D69" s="177" t="s">
        <v>6695</v>
      </c>
      <c r="E69" s="181">
        <v>3.61</v>
      </c>
      <c r="F69" s="177" t="s">
        <v>6694</v>
      </c>
      <c r="G69" s="177" t="s">
        <v>3007</v>
      </c>
      <c r="H69" s="172">
        <v>5745</v>
      </c>
    </row>
    <row r="70" spans="1:8" ht="31.5" x14ac:dyDescent="0.25">
      <c r="A70" s="177" t="s">
        <v>10140</v>
      </c>
      <c r="B70" s="177" t="s">
        <v>10162</v>
      </c>
      <c r="C70" s="177" t="s">
        <v>10161</v>
      </c>
      <c r="D70" s="177" t="s">
        <v>9335</v>
      </c>
      <c r="E70" s="181">
        <v>12.42</v>
      </c>
      <c r="F70" s="177" t="s">
        <v>9334</v>
      </c>
      <c r="G70" s="177" t="s">
        <v>3007</v>
      </c>
      <c r="H70" s="172">
        <v>5746</v>
      </c>
    </row>
    <row r="71" spans="1:8" ht="31.5" x14ac:dyDescent="0.25">
      <c r="A71" s="177" t="s">
        <v>10140</v>
      </c>
      <c r="B71" s="177" t="s">
        <v>10160</v>
      </c>
      <c r="C71" s="177" t="s">
        <v>10159</v>
      </c>
      <c r="D71" s="177" t="s">
        <v>5259</v>
      </c>
      <c r="E71" s="181">
        <v>34.880000000000003</v>
      </c>
      <c r="F71" s="177" t="s">
        <v>5258</v>
      </c>
      <c r="G71" s="177" t="s">
        <v>3007</v>
      </c>
      <c r="H71" s="172">
        <v>5747</v>
      </c>
    </row>
    <row r="72" spans="1:8" ht="31.5" x14ac:dyDescent="0.25">
      <c r="A72" s="177" t="s">
        <v>10140</v>
      </c>
      <c r="B72" s="177" t="s">
        <v>10158</v>
      </c>
      <c r="C72" s="177" t="s">
        <v>10157</v>
      </c>
      <c r="D72" s="177" t="s">
        <v>7464</v>
      </c>
      <c r="E72" s="181">
        <v>37.479999999999997</v>
      </c>
      <c r="F72" s="177" t="s">
        <v>7463</v>
      </c>
      <c r="G72" s="177" t="s">
        <v>3007</v>
      </c>
      <c r="H72" s="172">
        <v>5748</v>
      </c>
    </row>
    <row r="73" spans="1:8" ht="31.5" x14ac:dyDescent="0.25">
      <c r="A73" s="177" t="s">
        <v>10140</v>
      </c>
      <c r="B73" s="177" t="s">
        <v>8599</v>
      </c>
      <c r="C73" s="177" t="s">
        <v>10156</v>
      </c>
      <c r="D73" s="177" t="s">
        <v>4689</v>
      </c>
      <c r="E73" s="181">
        <v>5.9</v>
      </c>
      <c r="F73" s="177" t="s">
        <v>4688</v>
      </c>
      <c r="G73" s="177" t="s">
        <v>3007</v>
      </c>
      <c r="H73" s="172">
        <v>5749</v>
      </c>
    </row>
    <row r="74" spans="1:8" ht="31.5" x14ac:dyDescent="0.25">
      <c r="A74" s="177" t="s">
        <v>10140</v>
      </c>
      <c r="B74" s="177" t="s">
        <v>10155</v>
      </c>
      <c r="C74" s="177" t="s">
        <v>10154</v>
      </c>
      <c r="D74" s="177" t="s">
        <v>3026</v>
      </c>
      <c r="E74" s="181">
        <v>6.59</v>
      </c>
      <c r="F74" s="177" t="s">
        <v>3025</v>
      </c>
      <c r="G74" s="177" t="s">
        <v>3007</v>
      </c>
      <c r="H74" s="172">
        <v>5750</v>
      </c>
    </row>
    <row r="75" spans="1:8" ht="31.5" x14ac:dyDescent="0.25">
      <c r="A75" s="177" t="s">
        <v>10140</v>
      </c>
      <c r="B75" s="177" t="s">
        <v>10153</v>
      </c>
      <c r="C75" s="177" t="s">
        <v>10152</v>
      </c>
      <c r="D75" s="177" t="s">
        <v>5265</v>
      </c>
      <c r="E75" s="181">
        <v>5.08</v>
      </c>
      <c r="F75" s="177" t="s">
        <v>5264</v>
      </c>
      <c r="G75" s="177" t="s">
        <v>3007</v>
      </c>
      <c r="H75" s="172">
        <v>5751</v>
      </c>
    </row>
    <row r="76" spans="1:8" ht="31.5" x14ac:dyDescent="0.25">
      <c r="A76" s="177" t="s">
        <v>10140</v>
      </c>
      <c r="B76" s="177" t="s">
        <v>10151</v>
      </c>
      <c r="C76" s="177" t="s">
        <v>10150</v>
      </c>
      <c r="D76" s="177" t="s">
        <v>3519</v>
      </c>
      <c r="E76" s="181">
        <v>9.84</v>
      </c>
      <c r="F76" s="177" t="s">
        <v>3518</v>
      </c>
      <c r="G76" s="177" t="s">
        <v>3007</v>
      </c>
      <c r="H76" s="172">
        <v>5752</v>
      </c>
    </row>
    <row r="77" spans="1:8" ht="31.5" x14ac:dyDescent="0.25">
      <c r="A77" s="177" t="s">
        <v>10140</v>
      </c>
      <c r="B77" s="177" t="s">
        <v>10149</v>
      </c>
      <c r="C77" s="177" t="s">
        <v>10148</v>
      </c>
      <c r="D77" s="177" t="s">
        <v>5396</v>
      </c>
      <c r="E77" s="181">
        <v>5.69</v>
      </c>
      <c r="F77" s="177" t="s">
        <v>5395</v>
      </c>
      <c r="G77" s="177" t="s">
        <v>3007</v>
      </c>
      <c r="H77" s="172">
        <v>5753</v>
      </c>
    </row>
    <row r="78" spans="1:8" ht="31.5" x14ac:dyDescent="0.25">
      <c r="A78" s="177" t="s">
        <v>10140</v>
      </c>
      <c r="B78" s="177" t="s">
        <v>9233</v>
      </c>
      <c r="C78" s="177" t="s">
        <v>10147</v>
      </c>
      <c r="D78" s="177" t="s">
        <v>5584</v>
      </c>
      <c r="E78" s="181">
        <v>4.8899999999999997</v>
      </c>
      <c r="F78" s="177" t="s">
        <v>5583</v>
      </c>
      <c r="G78" s="177" t="s">
        <v>3007</v>
      </c>
      <c r="H78" s="172">
        <v>5754</v>
      </c>
    </row>
    <row r="79" spans="1:8" ht="31.5" x14ac:dyDescent="0.25">
      <c r="A79" s="177" t="s">
        <v>10140</v>
      </c>
      <c r="B79" s="177" t="s">
        <v>10146</v>
      </c>
      <c r="C79" s="177" t="s">
        <v>10145</v>
      </c>
      <c r="D79" s="177" t="s">
        <v>5423</v>
      </c>
      <c r="E79" s="181">
        <v>4.92</v>
      </c>
      <c r="F79" s="177" t="s">
        <v>5422</v>
      </c>
      <c r="G79" s="177" t="s">
        <v>3007</v>
      </c>
      <c r="H79" s="172">
        <v>5755</v>
      </c>
    </row>
    <row r="80" spans="1:8" ht="31.5" x14ac:dyDescent="0.25">
      <c r="A80" s="177" t="s">
        <v>10140</v>
      </c>
      <c r="B80" s="177" t="s">
        <v>10144</v>
      </c>
      <c r="C80" s="177" t="s">
        <v>10143</v>
      </c>
      <c r="D80" s="177" t="s">
        <v>3390</v>
      </c>
      <c r="E80" s="181">
        <v>16.760000000000002</v>
      </c>
      <c r="F80" s="177" t="s">
        <v>3389</v>
      </c>
      <c r="G80" s="177" t="s">
        <v>3007</v>
      </c>
      <c r="H80" s="172">
        <v>5756</v>
      </c>
    </row>
    <row r="81" spans="1:11" ht="31.5" x14ac:dyDescent="0.25">
      <c r="A81" s="177" t="s">
        <v>10140</v>
      </c>
      <c r="B81" s="177" t="s">
        <v>10142</v>
      </c>
      <c r="C81" s="177" t="s">
        <v>10141</v>
      </c>
      <c r="D81" s="177" t="s">
        <v>8174</v>
      </c>
      <c r="E81" s="181">
        <v>33.9</v>
      </c>
      <c r="F81" s="177" t="s">
        <v>8173</v>
      </c>
      <c r="G81" s="177" t="s">
        <v>3007</v>
      </c>
      <c r="H81" s="172">
        <v>5757</v>
      </c>
    </row>
    <row r="82" spans="1:11" ht="31.5" x14ac:dyDescent="0.25">
      <c r="A82" s="177" t="s">
        <v>10140</v>
      </c>
      <c r="B82" s="177" t="s">
        <v>10139</v>
      </c>
      <c r="C82" s="177" t="s">
        <v>10138</v>
      </c>
      <c r="D82" s="177" t="s">
        <v>5470</v>
      </c>
      <c r="E82" s="181">
        <v>10.87</v>
      </c>
      <c r="F82" s="177" t="s">
        <v>5469</v>
      </c>
      <c r="G82" s="177" t="s">
        <v>3007</v>
      </c>
      <c r="H82" s="172">
        <v>5758</v>
      </c>
    </row>
    <row r="83" spans="1:11" ht="31.5" x14ac:dyDescent="0.25">
      <c r="A83" s="177" t="s">
        <v>10103</v>
      </c>
      <c r="B83" s="177" t="s">
        <v>10137</v>
      </c>
      <c r="C83" s="177" t="s">
        <v>10136</v>
      </c>
      <c r="D83" s="177" t="s">
        <v>7083</v>
      </c>
      <c r="E83" s="181">
        <v>7.47</v>
      </c>
      <c r="F83" s="177" t="s">
        <v>7082</v>
      </c>
      <c r="G83" s="177" t="s">
        <v>3007</v>
      </c>
      <c r="H83" s="172">
        <v>5783</v>
      </c>
    </row>
    <row r="84" spans="1:11" ht="31.5" x14ac:dyDescent="0.25">
      <c r="A84" s="177" t="s">
        <v>10103</v>
      </c>
      <c r="B84" s="177" t="s">
        <v>10135</v>
      </c>
      <c r="C84" s="177" t="s">
        <v>10134</v>
      </c>
      <c r="D84" s="177" t="s">
        <v>7152</v>
      </c>
      <c r="E84" s="181">
        <v>3.39</v>
      </c>
      <c r="F84" s="177" t="s">
        <v>7151</v>
      </c>
      <c r="G84" s="177" t="s">
        <v>3007</v>
      </c>
      <c r="H84" s="172">
        <v>5784</v>
      </c>
    </row>
    <row r="85" spans="1:11" ht="31.5" x14ac:dyDescent="0.25">
      <c r="A85" s="177" t="s">
        <v>10103</v>
      </c>
      <c r="B85" s="177" t="s">
        <v>10133</v>
      </c>
      <c r="C85" s="177" t="s">
        <v>10132</v>
      </c>
      <c r="D85" s="177" t="s">
        <v>10131</v>
      </c>
      <c r="E85" s="181">
        <v>2.2400000000000002</v>
      </c>
      <c r="F85" s="177" t="s">
        <v>10130</v>
      </c>
      <c r="G85" s="177" t="s">
        <v>3007</v>
      </c>
      <c r="H85" s="172">
        <v>5785</v>
      </c>
    </row>
    <row r="86" spans="1:11" ht="31.5" x14ac:dyDescent="0.25">
      <c r="A86" s="177" t="s">
        <v>10103</v>
      </c>
      <c r="B86" s="177" t="s">
        <v>10129</v>
      </c>
      <c r="C86" s="177" t="s">
        <v>10128</v>
      </c>
      <c r="D86" s="177" t="s">
        <v>5514</v>
      </c>
      <c r="E86" s="181">
        <v>32.81</v>
      </c>
      <c r="F86" s="177" t="s">
        <v>5513</v>
      </c>
      <c r="G86" s="177" t="s">
        <v>3007</v>
      </c>
      <c r="H86" s="172">
        <v>5786</v>
      </c>
      <c r="I86" s="178"/>
      <c r="K86" s="172"/>
    </row>
    <row r="87" spans="1:11" ht="31.5" x14ac:dyDescent="0.25">
      <c r="A87" s="177" t="s">
        <v>10103</v>
      </c>
      <c r="B87" s="177" t="s">
        <v>10127</v>
      </c>
      <c r="C87" s="177" t="s">
        <v>10126</v>
      </c>
      <c r="D87" s="177" t="s">
        <v>3430</v>
      </c>
      <c r="E87" s="181">
        <v>5.72</v>
      </c>
      <c r="F87" s="177" t="s">
        <v>3429</v>
      </c>
      <c r="G87" s="177" t="s">
        <v>3007</v>
      </c>
      <c r="H87" s="172">
        <v>5792</v>
      </c>
    </row>
    <row r="88" spans="1:11" ht="31.5" x14ac:dyDescent="0.25">
      <c r="A88" s="177" t="s">
        <v>10103</v>
      </c>
      <c r="B88" s="177" t="s">
        <v>10125</v>
      </c>
      <c r="C88" s="177" t="s">
        <v>10124</v>
      </c>
      <c r="D88" s="177" t="s">
        <v>8759</v>
      </c>
      <c r="E88" s="181">
        <v>11.88</v>
      </c>
      <c r="F88" s="177" t="s">
        <v>8758</v>
      </c>
      <c r="G88" s="177" t="s">
        <v>3007</v>
      </c>
      <c r="H88" s="172">
        <v>5793</v>
      </c>
    </row>
    <row r="89" spans="1:11" ht="31.5" x14ac:dyDescent="0.25">
      <c r="A89" s="177" t="s">
        <v>10103</v>
      </c>
      <c r="B89" s="177" t="s">
        <v>10123</v>
      </c>
      <c r="C89" s="177" t="s">
        <v>10122</v>
      </c>
      <c r="D89" s="177" t="s">
        <v>10121</v>
      </c>
      <c r="E89" s="181">
        <v>20.99</v>
      </c>
      <c r="F89" s="177" t="s">
        <v>10120</v>
      </c>
      <c r="G89" s="177" t="s">
        <v>3007</v>
      </c>
      <c r="H89" s="172">
        <v>5794</v>
      </c>
    </row>
    <row r="90" spans="1:11" ht="31.5" x14ac:dyDescent="0.25">
      <c r="A90" s="177" t="s">
        <v>10103</v>
      </c>
      <c r="B90" s="177" t="s">
        <v>10119</v>
      </c>
      <c r="C90" s="177" t="s">
        <v>10118</v>
      </c>
      <c r="D90" s="177" t="s">
        <v>3070</v>
      </c>
      <c r="E90" s="181">
        <v>5.08</v>
      </c>
      <c r="F90" s="177" t="s">
        <v>3069</v>
      </c>
      <c r="G90" s="177" t="s">
        <v>3007</v>
      </c>
      <c r="H90" s="172">
        <v>5795</v>
      </c>
    </row>
    <row r="91" spans="1:11" ht="31.5" x14ac:dyDescent="0.25">
      <c r="A91" s="177" t="s">
        <v>10103</v>
      </c>
      <c r="B91" s="177" t="s">
        <v>10117</v>
      </c>
      <c r="C91" s="177" t="s">
        <v>10116</v>
      </c>
      <c r="D91" s="177" t="s">
        <v>10115</v>
      </c>
      <c r="E91" s="181">
        <v>8.8800000000000008</v>
      </c>
      <c r="F91" s="177" t="s">
        <v>10114</v>
      </c>
      <c r="G91" s="177" t="s">
        <v>3007</v>
      </c>
      <c r="H91" s="172">
        <v>5796</v>
      </c>
    </row>
    <row r="92" spans="1:11" ht="31.5" x14ac:dyDescent="0.25">
      <c r="A92" s="177" t="s">
        <v>10103</v>
      </c>
      <c r="B92" s="177" t="s">
        <v>10113</v>
      </c>
      <c r="C92" s="177" t="s">
        <v>10112</v>
      </c>
      <c r="D92" s="177" t="s">
        <v>6703</v>
      </c>
      <c r="E92" s="181">
        <v>8.5299999999999994</v>
      </c>
      <c r="F92" s="177" t="s">
        <v>6702</v>
      </c>
      <c r="G92" s="177" t="s">
        <v>3007</v>
      </c>
      <c r="H92" s="172">
        <v>5797</v>
      </c>
    </row>
    <row r="93" spans="1:11" ht="31.5" x14ac:dyDescent="0.25">
      <c r="A93" s="177" t="s">
        <v>10103</v>
      </c>
      <c r="B93" s="177" t="s">
        <v>10111</v>
      </c>
      <c r="C93" s="177" t="s">
        <v>10110</v>
      </c>
      <c r="D93" s="177" t="s">
        <v>10109</v>
      </c>
      <c r="E93" s="181">
        <v>8.4499999999999993</v>
      </c>
      <c r="F93" s="177" t="s">
        <v>10108</v>
      </c>
      <c r="G93" s="177" t="s">
        <v>3007</v>
      </c>
      <c r="H93" s="172">
        <v>5798</v>
      </c>
    </row>
    <row r="94" spans="1:11" ht="31.5" x14ac:dyDescent="0.25">
      <c r="A94" s="177" t="s">
        <v>10103</v>
      </c>
      <c r="B94" s="177" t="s">
        <v>10107</v>
      </c>
      <c r="C94" s="177" t="s">
        <v>10106</v>
      </c>
      <c r="D94" s="177" t="s">
        <v>7123</v>
      </c>
      <c r="E94" s="181">
        <v>3.64</v>
      </c>
      <c r="F94" s="177" t="s">
        <v>7122</v>
      </c>
      <c r="G94" s="177" t="s">
        <v>3007</v>
      </c>
      <c r="H94" s="172">
        <v>5799</v>
      </c>
    </row>
    <row r="95" spans="1:11" ht="31.5" x14ac:dyDescent="0.25">
      <c r="A95" s="177" t="s">
        <v>10103</v>
      </c>
      <c r="B95" s="177" t="s">
        <v>10105</v>
      </c>
      <c r="C95" s="177" t="s">
        <v>10104</v>
      </c>
      <c r="D95" s="177" t="s">
        <v>8589</v>
      </c>
      <c r="E95" s="181">
        <v>6.72</v>
      </c>
      <c r="F95" s="177" t="s">
        <v>8588</v>
      </c>
      <c r="G95" s="177" t="s">
        <v>3007</v>
      </c>
      <c r="H95" s="172">
        <v>5800</v>
      </c>
    </row>
    <row r="96" spans="1:11" ht="31.5" x14ac:dyDescent="0.25">
      <c r="A96" s="177" t="s">
        <v>10103</v>
      </c>
      <c r="B96" s="177" t="s">
        <v>10102</v>
      </c>
      <c r="C96" s="177" t="s">
        <v>10101</v>
      </c>
      <c r="D96" s="177" t="s">
        <v>5032</v>
      </c>
      <c r="E96" s="181">
        <v>3.49</v>
      </c>
      <c r="F96" s="177" t="s">
        <v>5031</v>
      </c>
      <c r="G96" s="177" t="s">
        <v>3007</v>
      </c>
      <c r="H96" s="173">
        <v>5801</v>
      </c>
    </row>
    <row r="97" spans="1:8" s="200" customFormat="1" x14ac:dyDescent="0.25">
      <c r="A97" s="198"/>
      <c r="B97" s="198"/>
      <c r="C97" s="198" t="s">
        <v>5691</v>
      </c>
      <c r="D97" s="198" t="s">
        <v>14408</v>
      </c>
      <c r="E97" s="199">
        <f>SUM(E3:E96)</f>
        <v>1061.9100000000005</v>
      </c>
      <c r="F97" s="198"/>
      <c r="G97" s="198"/>
      <c r="H97" s="172"/>
    </row>
    <row r="98" spans="1:8" s="137" customFormat="1" x14ac:dyDescent="0.25">
      <c r="A98" s="134"/>
      <c r="B98" s="134"/>
      <c r="C98" s="132"/>
      <c r="D98" s="134"/>
      <c r="E98" s="139"/>
      <c r="F98" s="134"/>
      <c r="G98" s="144"/>
      <c r="H98" s="203"/>
    </row>
    <row r="99" spans="1:8" ht="31.5" x14ac:dyDescent="0.25">
      <c r="A99" s="177" t="s">
        <v>10071</v>
      </c>
      <c r="B99" s="177" t="s">
        <v>10100</v>
      </c>
      <c r="C99" s="177" t="s">
        <v>10099</v>
      </c>
      <c r="D99" s="177" t="s">
        <v>4685</v>
      </c>
      <c r="E99" s="181">
        <v>9.27</v>
      </c>
      <c r="F99" s="177" t="s">
        <v>4684</v>
      </c>
      <c r="G99" s="177" t="s">
        <v>3007</v>
      </c>
      <c r="H99" s="172">
        <v>5825</v>
      </c>
    </row>
    <row r="100" spans="1:8" ht="31.5" x14ac:dyDescent="0.25">
      <c r="A100" s="177" t="s">
        <v>10071</v>
      </c>
      <c r="B100" s="177" t="s">
        <v>10098</v>
      </c>
      <c r="C100" s="177" t="s">
        <v>10097</v>
      </c>
      <c r="D100" s="177" t="s">
        <v>5298</v>
      </c>
      <c r="E100" s="181">
        <v>2.95</v>
      </c>
      <c r="F100" s="177" t="s">
        <v>5297</v>
      </c>
      <c r="G100" s="177" t="s">
        <v>3007</v>
      </c>
      <c r="H100" s="172">
        <v>5826</v>
      </c>
    </row>
    <row r="101" spans="1:8" ht="31.5" x14ac:dyDescent="0.25">
      <c r="A101" s="177" t="s">
        <v>10071</v>
      </c>
      <c r="B101" s="177" t="s">
        <v>10096</v>
      </c>
      <c r="C101" s="177" t="s">
        <v>10095</v>
      </c>
      <c r="D101" s="177" t="s">
        <v>7760</v>
      </c>
      <c r="E101" s="181">
        <v>3.5</v>
      </c>
      <c r="F101" s="177" t="s">
        <v>7759</v>
      </c>
      <c r="G101" s="177" t="s">
        <v>3007</v>
      </c>
      <c r="H101" s="172">
        <v>5827</v>
      </c>
    </row>
    <row r="102" spans="1:8" ht="31.5" x14ac:dyDescent="0.25">
      <c r="A102" s="177" t="s">
        <v>10071</v>
      </c>
      <c r="B102" s="177" t="s">
        <v>10094</v>
      </c>
      <c r="C102" s="177" t="s">
        <v>10093</v>
      </c>
      <c r="D102" s="177" t="s">
        <v>10092</v>
      </c>
      <c r="E102" s="181">
        <v>5.1100000000000003</v>
      </c>
      <c r="F102" s="177" t="s">
        <v>10091</v>
      </c>
      <c r="G102" s="177" t="s">
        <v>3007</v>
      </c>
      <c r="H102" s="172">
        <v>5828</v>
      </c>
    </row>
    <row r="103" spans="1:8" ht="31.5" x14ac:dyDescent="0.25">
      <c r="A103" s="177" t="s">
        <v>10071</v>
      </c>
      <c r="B103" s="177" t="s">
        <v>10090</v>
      </c>
      <c r="C103" s="177" t="s">
        <v>10089</v>
      </c>
      <c r="D103" s="177" t="s">
        <v>10088</v>
      </c>
      <c r="E103" s="181">
        <v>5.17</v>
      </c>
      <c r="F103" s="177" t="s">
        <v>10087</v>
      </c>
      <c r="G103" s="177" t="s">
        <v>3007</v>
      </c>
      <c r="H103" s="172">
        <v>5829</v>
      </c>
    </row>
    <row r="104" spans="1:8" ht="31.5" x14ac:dyDescent="0.25">
      <c r="A104" s="177" t="s">
        <v>10071</v>
      </c>
      <c r="B104" s="177" t="s">
        <v>10086</v>
      </c>
      <c r="C104" s="177" t="s">
        <v>10085</v>
      </c>
      <c r="D104" s="177" t="s">
        <v>10084</v>
      </c>
      <c r="E104" s="181">
        <v>6.72</v>
      </c>
      <c r="F104" s="177" t="s">
        <v>10080</v>
      </c>
      <c r="G104" s="177" t="s">
        <v>3007</v>
      </c>
      <c r="H104" s="172">
        <v>5830</v>
      </c>
    </row>
    <row r="105" spans="1:8" ht="31.5" x14ac:dyDescent="0.25">
      <c r="A105" s="177" t="s">
        <v>10071</v>
      </c>
      <c r="B105" s="177" t="s">
        <v>10083</v>
      </c>
      <c r="C105" s="177" t="s">
        <v>10082</v>
      </c>
      <c r="D105" s="177" t="s">
        <v>10081</v>
      </c>
      <c r="E105" s="181">
        <v>1.9</v>
      </c>
      <c r="F105" s="177" t="s">
        <v>10080</v>
      </c>
      <c r="G105" s="177" t="s">
        <v>3007</v>
      </c>
      <c r="H105" s="172">
        <v>5831</v>
      </c>
    </row>
    <row r="106" spans="1:8" ht="31.5" x14ac:dyDescent="0.25">
      <c r="A106" s="177" t="s">
        <v>10071</v>
      </c>
      <c r="B106" s="177" t="s">
        <v>10079</v>
      </c>
      <c r="C106" s="177" t="s">
        <v>10078</v>
      </c>
      <c r="D106" s="177" t="s">
        <v>10077</v>
      </c>
      <c r="E106" s="181">
        <v>9.43</v>
      </c>
      <c r="F106" s="177" t="s">
        <v>10076</v>
      </c>
      <c r="G106" s="177" t="s">
        <v>3007</v>
      </c>
      <c r="H106" s="172">
        <v>5832</v>
      </c>
    </row>
    <row r="107" spans="1:8" ht="31.5" x14ac:dyDescent="0.25">
      <c r="A107" s="177" t="s">
        <v>10071</v>
      </c>
      <c r="B107" s="177" t="s">
        <v>10075</v>
      </c>
      <c r="C107" s="177" t="s">
        <v>10074</v>
      </c>
      <c r="D107" s="177" t="s">
        <v>10073</v>
      </c>
      <c r="E107" s="181">
        <v>2.33</v>
      </c>
      <c r="F107" s="177" t="s">
        <v>10072</v>
      </c>
      <c r="G107" s="177" t="s">
        <v>3007</v>
      </c>
      <c r="H107" s="172">
        <v>5833</v>
      </c>
    </row>
    <row r="108" spans="1:8" ht="31.5" x14ac:dyDescent="0.25">
      <c r="A108" s="177" t="s">
        <v>10071</v>
      </c>
      <c r="B108" s="177" t="s">
        <v>10070</v>
      </c>
      <c r="C108" s="177" t="s">
        <v>10069</v>
      </c>
      <c r="D108" s="177" t="s">
        <v>5539</v>
      </c>
      <c r="E108" s="181">
        <v>7.36</v>
      </c>
      <c r="F108" s="177" t="s">
        <v>5538</v>
      </c>
      <c r="G108" s="177" t="s">
        <v>3007</v>
      </c>
      <c r="H108" s="172">
        <v>5834</v>
      </c>
    </row>
    <row r="109" spans="1:8" ht="31.5" x14ac:dyDescent="0.25">
      <c r="A109" s="177" t="s">
        <v>10062</v>
      </c>
      <c r="B109" s="177" t="s">
        <v>10068</v>
      </c>
      <c r="C109" s="177" t="s">
        <v>10067</v>
      </c>
      <c r="D109" s="177" t="s">
        <v>10066</v>
      </c>
      <c r="E109" s="181">
        <v>15.71</v>
      </c>
      <c r="F109" s="177" t="s">
        <v>10065</v>
      </c>
      <c r="G109" s="177" t="s">
        <v>3007</v>
      </c>
      <c r="H109" s="172">
        <v>5835</v>
      </c>
    </row>
    <row r="110" spans="1:8" ht="31.5" x14ac:dyDescent="0.25">
      <c r="A110" s="177" t="s">
        <v>10062</v>
      </c>
      <c r="B110" s="177" t="s">
        <v>10064</v>
      </c>
      <c r="C110" s="177" t="s">
        <v>10063</v>
      </c>
      <c r="D110" s="177" t="s">
        <v>8089</v>
      </c>
      <c r="E110" s="181">
        <v>3.36</v>
      </c>
      <c r="F110" s="177" t="s">
        <v>8088</v>
      </c>
      <c r="G110" s="177" t="s">
        <v>3007</v>
      </c>
      <c r="H110" s="172">
        <v>5836</v>
      </c>
    </row>
    <row r="111" spans="1:8" ht="31.5" x14ac:dyDescent="0.25">
      <c r="A111" s="177" t="s">
        <v>10062</v>
      </c>
      <c r="B111" s="177" t="s">
        <v>10061</v>
      </c>
      <c r="C111" s="177" t="s">
        <v>10060</v>
      </c>
      <c r="D111" s="177" t="s">
        <v>8221</v>
      </c>
      <c r="E111" s="181">
        <v>17.77</v>
      </c>
      <c r="F111" s="177" t="s">
        <v>8220</v>
      </c>
      <c r="G111" s="177" t="s">
        <v>3007</v>
      </c>
      <c r="H111" s="172">
        <v>5837</v>
      </c>
    </row>
    <row r="112" spans="1:8" ht="31.5" x14ac:dyDescent="0.25">
      <c r="A112" s="177" t="s">
        <v>10057</v>
      </c>
      <c r="B112" s="177" t="s">
        <v>10059</v>
      </c>
      <c r="C112" s="177" t="s">
        <v>10058</v>
      </c>
      <c r="D112" s="177" t="s">
        <v>7997</v>
      </c>
      <c r="E112" s="181">
        <v>3.36</v>
      </c>
      <c r="F112" s="177" t="s">
        <v>7996</v>
      </c>
      <c r="G112" s="177" t="s">
        <v>3007</v>
      </c>
      <c r="H112" s="172">
        <v>5838</v>
      </c>
    </row>
    <row r="113" spans="1:8" ht="31.5" x14ac:dyDescent="0.25">
      <c r="A113" s="177" t="s">
        <v>10057</v>
      </c>
      <c r="B113" s="177" t="s">
        <v>10056</v>
      </c>
      <c r="C113" s="177" t="s">
        <v>10055</v>
      </c>
      <c r="D113" s="177" t="s">
        <v>3587</v>
      </c>
      <c r="E113" s="181">
        <v>41.71</v>
      </c>
      <c r="F113" s="177" t="s">
        <v>3586</v>
      </c>
      <c r="G113" s="177" t="s">
        <v>3007</v>
      </c>
      <c r="H113" s="172">
        <v>5839</v>
      </c>
    </row>
    <row r="114" spans="1:8" ht="31.5" x14ac:dyDescent="0.25">
      <c r="A114" s="177" t="s">
        <v>10040</v>
      </c>
      <c r="B114" s="177" t="s">
        <v>10054</v>
      </c>
      <c r="C114" s="177" t="s">
        <v>10053</v>
      </c>
      <c r="D114" s="177" t="s">
        <v>9498</v>
      </c>
      <c r="E114" s="181">
        <v>10.29</v>
      </c>
      <c r="F114" s="177" t="s">
        <v>9497</v>
      </c>
      <c r="G114" s="177" t="s">
        <v>3007</v>
      </c>
      <c r="H114" s="172">
        <v>5857</v>
      </c>
    </row>
    <row r="115" spans="1:8" ht="31.5" x14ac:dyDescent="0.25">
      <c r="A115" s="177" t="s">
        <v>10040</v>
      </c>
      <c r="B115" s="177" t="s">
        <v>10052</v>
      </c>
      <c r="C115" s="177" t="s">
        <v>10051</v>
      </c>
      <c r="D115" s="177" t="s">
        <v>10050</v>
      </c>
      <c r="E115" s="181">
        <v>14.75</v>
      </c>
      <c r="F115" s="177" t="s">
        <v>10049</v>
      </c>
      <c r="G115" s="177" t="s">
        <v>3007</v>
      </c>
      <c r="H115" s="172">
        <v>5858</v>
      </c>
    </row>
    <row r="116" spans="1:8" ht="31.5" x14ac:dyDescent="0.25">
      <c r="A116" s="177" t="s">
        <v>10040</v>
      </c>
      <c r="B116" s="177" t="s">
        <v>10048</v>
      </c>
      <c r="C116" s="177" t="s">
        <v>10047</v>
      </c>
      <c r="D116" s="177" t="s">
        <v>9174</v>
      </c>
      <c r="E116" s="181">
        <v>26.12</v>
      </c>
      <c r="F116" s="177" t="s">
        <v>9173</v>
      </c>
      <c r="G116" s="177" t="s">
        <v>3007</v>
      </c>
      <c r="H116" s="172">
        <v>5859</v>
      </c>
    </row>
    <row r="117" spans="1:8" ht="31.5" x14ac:dyDescent="0.25">
      <c r="A117" s="177" t="s">
        <v>10040</v>
      </c>
      <c r="B117" s="177" t="s">
        <v>10046</v>
      </c>
      <c r="C117" s="177" t="s">
        <v>10045</v>
      </c>
      <c r="D117" s="177" t="s">
        <v>5622</v>
      </c>
      <c r="E117" s="181">
        <v>4.25</v>
      </c>
      <c r="F117" s="177" t="s">
        <v>5621</v>
      </c>
      <c r="G117" s="177" t="s">
        <v>3007</v>
      </c>
      <c r="H117" s="172">
        <v>5860</v>
      </c>
    </row>
    <row r="118" spans="1:8" ht="31.5" x14ac:dyDescent="0.25">
      <c r="A118" s="177" t="s">
        <v>10040</v>
      </c>
      <c r="B118" s="177" t="s">
        <v>10044</v>
      </c>
      <c r="C118" s="177" t="s">
        <v>10043</v>
      </c>
      <c r="D118" s="177" t="s">
        <v>10042</v>
      </c>
      <c r="E118" s="181">
        <v>3.53</v>
      </c>
      <c r="F118" s="177" t="s">
        <v>10041</v>
      </c>
      <c r="G118" s="177" t="s">
        <v>3007</v>
      </c>
      <c r="H118" s="172">
        <v>5861</v>
      </c>
    </row>
    <row r="119" spans="1:8" ht="31.5" x14ac:dyDescent="0.25">
      <c r="A119" s="177" t="s">
        <v>10040</v>
      </c>
      <c r="B119" s="177" t="s">
        <v>10039</v>
      </c>
      <c r="C119" s="177" t="s">
        <v>10038</v>
      </c>
      <c r="D119" s="177" t="s">
        <v>4309</v>
      </c>
      <c r="E119" s="181">
        <v>4.1900000000000004</v>
      </c>
      <c r="F119" s="177" t="s">
        <v>4308</v>
      </c>
      <c r="G119" s="177" t="s">
        <v>3007</v>
      </c>
      <c r="H119" s="172">
        <v>5862</v>
      </c>
    </row>
    <row r="120" spans="1:8" ht="31.5" x14ac:dyDescent="0.25">
      <c r="A120" s="177" t="s">
        <v>10011</v>
      </c>
      <c r="B120" s="177" t="s">
        <v>10037</v>
      </c>
      <c r="C120" s="177" t="s">
        <v>10036</v>
      </c>
      <c r="D120" s="177" t="s">
        <v>4281</v>
      </c>
      <c r="E120" s="181">
        <v>7</v>
      </c>
      <c r="F120" s="177" t="s">
        <v>4280</v>
      </c>
      <c r="G120" s="177" t="s">
        <v>3007</v>
      </c>
      <c r="H120" s="172">
        <v>5893</v>
      </c>
    </row>
    <row r="121" spans="1:8" ht="31.5" x14ac:dyDescent="0.25">
      <c r="A121" s="177" t="s">
        <v>10011</v>
      </c>
      <c r="B121" s="177" t="s">
        <v>10035</v>
      </c>
      <c r="C121" s="177" t="s">
        <v>10034</v>
      </c>
      <c r="D121" s="177" t="s">
        <v>7054</v>
      </c>
      <c r="E121" s="181">
        <v>5.1100000000000003</v>
      </c>
      <c r="F121" s="177" t="s">
        <v>7053</v>
      </c>
      <c r="G121" s="177" t="s">
        <v>3007</v>
      </c>
      <c r="H121" s="172">
        <v>5894</v>
      </c>
    </row>
    <row r="122" spans="1:8" ht="31.5" x14ac:dyDescent="0.25">
      <c r="A122" s="177" t="s">
        <v>10011</v>
      </c>
      <c r="B122" s="177" t="s">
        <v>10033</v>
      </c>
      <c r="C122" s="177" t="s">
        <v>10032</v>
      </c>
      <c r="D122" s="177" t="s">
        <v>6707</v>
      </c>
      <c r="E122" s="181">
        <v>6.19</v>
      </c>
      <c r="F122" s="177" t="s">
        <v>6706</v>
      </c>
      <c r="G122" s="177" t="s">
        <v>3007</v>
      </c>
      <c r="H122" s="172">
        <v>5895</v>
      </c>
    </row>
    <row r="123" spans="1:8" ht="31.5" x14ac:dyDescent="0.25">
      <c r="A123" s="177" t="s">
        <v>10011</v>
      </c>
      <c r="B123" s="177" t="s">
        <v>10031</v>
      </c>
      <c r="C123" s="177" t="s">
        <v>10030</v>
      </c>
      <c r="D123" s="177" t="s">
        <v>10029</v>
      </c>
      <c r="E123" s="181">
        <v>21</v>
      </c>
      <c r="F123" s="177" t="s">
        <v>10028</v>
      </c>
      <c r="G123" s="177" t="s">
        <v>3007</v>
      </c>
      <c r="H123" s="172">
        <v>5896</v>
      </c>
    </row>
    <row r="124" spans="1:8" ht="31.5" x14ac:dyDescent="0.25">
      <c r="A124" s="177" t="s">
        <v>10011</v>
      </c>
      <c r="B124" s="177" t="s">
        <v>10027</v>
      </c>
      <c r="C124" s="177" t="s">
        <v>10026</v>
      </c>
      <c r="D124" s="177" t="s">
        <v>7741</v>
      </c>
      <c r="E124" s="181">
        <v>3.62</v>
      </c>
      <c r="F124" s="177" t="s">
        <v>7740</v>
      </c>
      <c r="G124" s="177" t="s">
        <v>3007</v>
      </c>
      <c r="H124" s="172">
        <v>5897</v>
      </c>
    </row>
    <row r="125" spans="1:8" ht="31.5" x14ac:dyDescent="0.25">
      <c r="A125" s="177" t="s">
        <v>10011</v>
      </c>
      <c r="B125" s="177" t="s">
        <v>10025</v>
      </c>
      <c r="C125" s="177" t="s">
        <v>10024</v>
      </c>
      <c r="D125" s="177" t="s">
        <v>9165</v>
      </c>
      <c r="E125" s="181">
        <v>1.68</v>
      </c>
      <c r="F125" s="177" t="s">
        <v>9164</v>
      </c>
      <c r="G125" s="177" t="s">
        <v>3007</v>
      </c>
      <c r="H125" s="172">
        <v>5898</v>
      </c>
    </row>
    <row r="126" spans="1:8" ht="31.5" x14ac:dyDescent="0.25">
      <c r="A126" s="177" t="s">
        <v>10011</v>
      </c>
      <c r="B126" s="177" t="s">
        <v>10023</v>
      </c>
      <c r="C126" s="177" t="s">
        <v>10022</v>
      </c>
      <c r="D126" s="177" t="s">
        <v>7754</v>
      </c>
      <c r="E126" s="181">
        <v>0.55000000000000004</v>
      </c>
      <c r="F126" s="177" t="s">
        <v>7753</v>
      </c>
      <c r="G126" s="177" t="s">
        <v>3007</v>
      </c>
      <c r="H126" s="172">
        <v>5899</v>
      </c>
    </row>
    <row r="127" spans="1:8" ht="31.5" x14ac:dyDescent="0.25">
      <c r="A127" s="177" t="s">
        <v>10011</v>
      </c>
      <c r="B127" s="177" t="s">
        <v>10021</v>
      </c>
      <c r="C127" s="177" t="s">
        <v>10020</v>
      </c>
      <c r="D127" s="177" t="s">
        <v>10019</v>
      </c>
      <c r="E127" s="181">
        <v>5.65</v>
      </c>
      <c r="F127" s="177" t="s">
        <v>10018</v>
      </c>
      <c r="G127" s="177" t="s">
        <v>3007</v>
      </c>
      <c r="H127" s="172">
        <v>5900</v>
      </c>
    </row>
    <row r="128" spans="1:8" ht="31.5" x14ac:dyDescent="0.25">
      <c r="A128" s="177" t="s">
        <v>10011</v>
      </c>
      <c r="B128" s="177" t="s">
        <v>10017</v>
      </c>
      <c r="C128" s="177" t="s">
        <v>10016</v>
      </c>
      <c r="D128" s="177" t="s">
        <v>10015</v>
      </c>
      <c r="E128" s="181">
        <v>3.1</v>
      </c>
      <c r="F128" s="177" t="s">
        <v>10014</v>
      </c>
      <c r="G128" s="177" t="s">
        <v>3007</v>
      </c>
      <c r="H128" s="172">
        <v>5901</v>
      </c>
    </row>
    <row r="129" spans="1:8" ht="31.5" x14ac:dyDescent="0.25">
      <c r="A129" s="177" t="s">
        <v>10011</v>
      </c>
      <c r="B129" s="177" t="s">
        <v>10013</v>
      </c>
      <c r="C129" s="177" t="s">
        <v>10012</v>
      </c>
      <c r="D129" s="177" t="s">
        <v>5210</v>
      </c>
      <c r="E129" s="181">
        <v>16.309999999999999</v>
      </c>
      <c r="F129" s="177" t="s">
        <v>5209</v>
      </c>
      <c r="G129" s="177" t="s">
        <v>3007</v>
      </c>
      <c r="H129" s="172">
        <v>5902</v>
      </c>
    </row>
    <row r="130" spans="1:8" ht="31.5" x14ac:dyDescent="0.25">
      <c r="A130" s="177" t="s">
        <v>10011</v>
      </c>
      <c r="B130" s="177" t="s">
        <v>10010</v>
      </c>
      <c r="C130" s="177" t="s">
        <v>10009</v>
      </c>
      <c r="D130" s="177" t="s">
        <v>9254</v>
      </c>
      <c r="E130" s="181">
        <v>7.5</v>
      </c>
      <c r="F130" s="177" t="s">
        <v>9253</v>
      </c>
      <c r="G130" s="177" t="s">
        <v>3007</v>
      </c>
      <c r="H130" s="172">
        <v>5903</v>
      </c>
    </row>
    <row r="131" spans="1:8" ht="31.5" x14ac:dyDescent="0.25">
      <c r="A131" s="177" t="s">
        <v>9968</v>
      </c>
      <c r="B131" s="177" t="s">
        <v>10008</v>
      </c>
      <c r="C131" s="177" t="s">
        <v>10007</v>
      </c>
      <c r="D131" s="177" t="s">
        <v>7524</v>
      </c>
      <c r="E131" s="181">
        <v>6.11</v>
      </c>
      <c r="F131" s="177" t="s">
        <v>7523</v>
      </c>
      <c r="G131" s="177" t="s">
        <v>3007</v>
      </c>
      <c r="H131" s="172">
        <v>5932</v>
      </c>
    </row>
    <row r="132" spans="1:8" ht="31.5" x14ac:dyDescent="0.25">
      <c r="A132" s="177" t="s">
        <v>9968</v>
      </c>
      <c r="B132" s="177" t="s">
        <v>10006</v>
      </c>
      <c r="C132" s="177" t="s">
        <v>10005</v>
      </c>
      <c r="D132" s="177" t="s">
        <v>4504</v>
      </c>
      <c r="E132" s="181">
        <v>1.91</v>
      </c>
      <c r="F132" s="177" t="s">
        <v>8051</v>
      </c>
      <c r="G132" s="177" t="s">
        <v>3007</v>
      </c>
      <c r="H132" s="172">
        <v>5933</v>
      </c>
    </row>
    <row r="133" spans="1:8" ht="31.5" x14ac:dyDescent="0.25">
      <c r="A133" s="177" t="s">
        <v>9968</v>
      </c>
      <c r="B133" s="177" t="s">
        <v>10004</v>
      </c>
      <c r="C133" s="177" t="s">
        <v>10003</v>
      </c>
      <c r="D133" s="177" t="s">
        <v>4342</v>
      </c>
      <c r="E133" s="181">
        <v>16.12</v>
      </c>
      <c r="F133" s="177" t="s">
        <v>4341</v>
      </c>
      <c r="G133" s="177" t="s">
        <v>3007</v>
      </c>
      <c r="H133" s="172">
        <v>5934</v>
      </c>
    </row>
    <row r="134" spans="1:8" ht="31.5" x14ac:dyDescent="0.25">
      <c r="A134" s="177" t="s">
        <v>9968</v>
      </c>
      <c r="B134" s="177" t="s">
        <v>10002</v>
      </c>
      <c r="C134" s="177" t="s">
        <v>10001</v>
      </c>
      <c r="D134" s="177" t="s">
        <v>7589</v>
      </c>
      <c r="E134" s="181">
        <v>3.36</v>
      </c>
      <c r="F134" s="177" t="s">
        <v>7588</v>
      </c>
      <c r="G134" s="177" t="s">
        <v>3007</v>
      </c>
      <c r="H134" s="172">
        <v>5935</v>
      </c>
    </row>
    <row r="135" spans="1:8" ht="31.5" x14ac:dyDescent="0.25">
      <c r="A135" s="177" t="s">
        <v>9968</v>
      </c>
      <c r="B135" s="177" t="s">
        <v>10000</v>
      </c>
      <c r="C135" s="177" t="s">
        <v>9999</v>
      </c>
      <c r="D135" s="177" t="s">
        <v>6743</v>
      </c>
      <c r="E135" s="181">
        <v>9.57</v>
      </c>
      <c r="F135" s="177" t="s">
        <v>6742</v>
      </c>
      <c r="G135" s="177" t="s">
        <v>3007</v>
      </c>
      <c r="H135" s="172">
        <v>5936</v>
      </c>
    </row>
    <row r="136" spans="1:8" ht="31.5" x14ac:dyDescent="0.25">
      <c r="A136" s="177" t="s">
        <v>9968</v>
      </c>
      <c r="B136" s="177" t="s">
        <v>9998</v>
      </c>
      <c r="C136" s="177" t="s">
        <v>9997</v>
      </c>
      <c r="D136" s="177" t="s">
        <v>6790</v>
      </c>
      <c r="E136" s="181">
        <v>6.37</v>
      </c>
      <c r="F136" s="177" t="s">
        <v>6789</v>
      </c>
      <c r="G136" s="177" t="s">
        <v>3007</v>
      </c>
      <c r="H136" s="172">
        <v>5937</v>
      </c>
    </row>
    <row r="137" spans="1:8" ht="31.5" x14ac:dyDescent="0.25">
      <c r="A137" s="177" t="s">
        <v>9968</v>
      </c>
      <c r="B137" s="177" t="s">
        <v>9996</v>
      </c>
      <c r="C137" s="177" t="s">
        <v>9995</v>
      </c>
      <c r="D137" s="177" t="s">
        <v>4847</v>
      </c>
      <c r="E137" s="181">
        <v>1.68</v>
      </c>
      <c r="F137" s="177" t="s">
        <v>4846</v>
      </c>
      <c r="G137" s="177" t="s">
        <v>3007</v>
      </c>
      <c r="H137" s="172">
        <v>5938</v>
      </c>
    </row>
    <row r="138" spans="1:8" ht="31.5" x14ac:dyDescent="0.25">
      <c r="A138" s="177" t="s">
        <v>9968</v>
      </c>
      <c r="B138" s="177" t="s">
        <v>9994</v>
      </c>
      <c r="C138" s="177" t="s">
        <v>9993</v>
      </c>
      <c r="D138" s="177" t="s">
        <v>7025</v>
      </c>
      <c r="E138" s="181">
        <v>29.5</v>
      </c>
      <c r="F138" s="177" t="s">
        <v>7024</v>
      </c>
      <c r="G138" s="177" t="s">
        <v>3007</v>
      </c>
      <c r="H138" s="172">
        <v>5939</v>
      </c>
    </row>
    <row r="139" spans="1:8" ht="31.5" x14ac:dyDescent="0.25">
      <c r="A139" s="177" t="s">
        <v>9968</v>
      </c>
      <c r="B139" s="177" t="s">
        <v>9992</v>
      </c>
      <c r="C139" s="177" t="s">
        <v>9991</v>
      </c>
      <c r="D139" s="177" t="s">
        <v>9990</v>
      </c>
      <c r="E139" s="181">
        <v>13.72</v>
      </c>
      <c r="F139" s="177" t="s">
        <v>9989</v>
      </c>
      <c r="G139" s="177" t="s">
        <v>3007</v>
      </c>
      <c r="H139" s="172">
        <v>5940</v>
      </c>
    </row>
    <row r="140" spans="1:8" ht="31.5" x14ac:dyDescent="0.25">
      <c r="A140" s="177" t="s">
        <v>9968</v>
      </c>
      <c r="B140" s="177" t="s">
        <v>9988</v>
      </c>
      <c r="C140" s="177" t="s">
        <v>9987</v>
      </c>
      <c r="D140" s="177" t="s">
        <v>9986</v>
      </c>
      <c r="E140" s="181">
        <v>55.81</v>
      </c>
      <c r="F140" s="177" t="s">
        <v>9985</v>
      </c>
      <c r="G140" s="177" t="s">
        <v>3007</v>
      </c>
      <c r="H140" s="172">
        <v>5941</v>
      </c>
    </row>
    <row r="141" spans="1:8" ht="31.5" x14ac:dyDescent="0.25">
      <c r="A141" s="177" t="s">
        <v>9968</v>
      </c>
      <c r="B141" s="177" t="s">
        <v>9984</v>
      </c>
      <c r="C141" s="177" t="s">
        <v>9983</v>
      </c>
      <c r="D141" s="177" t="s">
        <v>3969</v>
      </c>
      <c r="E141" s="181">
        <v>13.53</v>
      </c>
      <c r="F141" s="177" t="s">
        <v>3968</v>
      </c>
      <c r="G141" s="177" t="s">
        <v>3007</v>
      </c>
      <c r="H141" s="172">
        <v>5942</v>
      </c>
    </row>
    <row r="142" spans="1:8" ht="31.5" x14ac:dyDescent="0.25">
      <c r="A142" s="177" t="s">
        <v>9968</v>
      </c>
      <c r="B142" s="177" t="s">
        <v>9982</v>
      </c>
      <c r="C142" s="177" t="s">
        <v>9981</v>
      </c>
      <c r="D142" s="177" t="s">
        <v>9980</v>
      </c>
      <c r="E142" s="181">
        <v>5.0999999999999996</v>
      </c>
      <c r="F142" s="177" t="s">
        <v>9979</v>
      </c>
      <c r="G142" s="177" t="s">
        <v>3007</v>
      </c>
      <c r="H142" s="172">
        <v>5943</v>
      </c>
    </row>
    <row r="143" spans="1:8" ht="31.5" x14ac:dyDescent="0.25">
      <c r="A143" s="177" t="s">
        <v>9968</v>
      </c>
      <c r="B143" s="177" t="s">
        <v>9978</v>
      </c>
      <c r="C143" s="177" t="s">
        <v>9977</v>
      </c>
      <c r="D143" s="177" t="s">
        <v>3820</v>
      </c>
      <c r="E143" s="181">
        <v>12.75</v>
      </c>
      <c r="F143" s="177" t="s">
        <v>3819</v>
      </c>
      <c r="G143" s="177" t="s">
        <v>3007</v>
      </c>
      <c r="H143" s="172">
        <v>5944</v>
      </c>
    </row>
    <row r="144" spans="1:8" ht="31.5" x14ac:dyDescent="0.25">
      <c r="A144" s="177" t="s">
        <v>9968</v>
      </c>
      <c r="B144" s="177" t="s">
        <v>9976</v>
      </c>
      <c r="C144" s="177" t="s">
        <v>9975</v>
      </c>
      <c r="D144" s="177" t="s">
        <v>4783</v>
      </c>
      <c r="E144" s="181">
        <v>4.83</v>
      </c>
      <c r="F144" s="177" t="s">
        <v>4782</v>
      </c>
      <c r="G144" s="177" t="s">
        <v>3007</v>
      </c>
      <c r="H144" s="172">
        <v>5945</v>
      </c>
    </row>
    <row r="145" spans="1:8" ht="31.5" x14ac:dyDescent="0.25">
      <c r="A145" s="177" t="s">
        <v>9968</v>
      </c>
      <c r="B145" s="177" t="s">
        <v>9974</v>
      </c>
      <c r="C145" s="177" t="s">
        <v>9973</v>
      </c>
      <c r="D145" s="177" t="s">
        <v>5206</v>
      </c>
      <c r="E145" s="181">
        <v>11.98</v>
      </c>
      <c r="F145" s="177" t="s">
        <v>5205</v>
      </c>
      <c r="G145" s="177" t="s">
        <v>3007</v>
      </c>
      <c r="H145" s="172">
        <v>5946</v>
      </c>
    </row>
    <row r="146" spans="1:8" ht="31.5" x14ac:dyDescent="0.25">
      <c r="A146" s="177" t="s">
        <v>9968</v>
      </c>
      <c r="B146" s="177" t="s">
        <v>9972</v>
      </c>
      <c r="C146" s="177" t="s">
        <v>9971</v>
      </c>
      <c r="D146" s="177" t="s">
        <v>4500</v>
      </c>
      <c r="E146" s="181">
        <v>11.93</v>
      </c>
      <c r="F146" s="177" t="s">
        <v>4499</v>
      </c>
      <c r="G146" s="177" t="s">
        <v>3007</v>
      </c>
      <c r="H146" s="172">
        <v>5947</v>
      </c>
    </row>
    <row r="147" spans="1:8" ht="31.5" x14ac:dyDescent="0.25">
      <c r="A147" s="177" t="s">
        <v>9968</v>
      </c>
      <c r="B147" s="177" t="s">
        <v>9970</v>
      </c>
      <c r="C147" s="177" t="s">
        <v>9969</v>
      </c>
      <c r="D147" s="177" t="s">
        <v>4925</v>
      </c>
      <c r="E147" s="181">
        <v>8.81</v>
      </c>
      <c r="F147" s="177" t="s">
        <v>4924</v>
      </c>
      <c r="G147" s="177" t="s">
        <v>3007</v>
      </c>
      <c r="H147" s="172">
        <v>5948</v>
      </c>
    </row>
    <row r="148" spans="1:8" ht="31.5" x14ac:dyDescent="0.25">
      <c r="A148" s="177" t="s">
        <v>9968</v>
      </c>
      <c r="B148" s="177" t="s">
        <v>9967</v>
      </c>
      <c r="C148" s="177" t="s">
        <v>9966</v>
      </c>
      <c r="D148" s="177" t="s">
        <v>3692</v>
      </c>
      <c r="E148" s="181">
        <v>8.11</v>
      </c>
      <c r="F148" s="177" t="s">
        <v>3691</v>
      </c>
      <c r="G148" s="177" t="s">
        <v>3007</v>
      </c>
      <c r="H148" s="172">
        <v>5949</v>
      </c>
    </row>
    <row r="149" spans="1:8" ht="31.5" x14ac:dyDescent="0.25">
      <c r="A149" s="177" t="s">
        <v>9935</v>
      </c>
      <c r="B149" s="177" t="s">
        <v>9965</v>
      </c>
      <c r="C149" s="177" t="s">
        <v>9964</v>
      </c>
      <c r="D149" s="177" t="s">
        <v>6431</v>
      </c>
      <c r="E149" s="181">
        <v>36.020000000000003</v>
      </c>
      <c r="F149" s="177" t="s">
        <v>6430</v>
      </c>
      <c r="G149" s="177" t="s">
        <v>3007</v>
      </c>
      <c r="H149" s="172">
        <v>5983</v>
      </c>
    </row>
    <row r="150" spans="1:8" ht="31.5" x14ac:dyDescent="0.25">
      <c r="A150" s="177" t="s">
        <v>9935</v>
      </c>
      <c r="B150" s="177" t="s">
        <v>9963</v>
      </c>
      <c r="C150" s="177" t="s">
        <v>9962</v>
      </c>
      <c r="D150" s="177" t="s">
        <v>6798</v>
      </c>
      <c r="E150" s="181">
        <v>6.64</v>
      </c>
      <c r="F150" s="177" t="s">
        <v>6797</v>
      </c>
      <c r="G150" s="177" t="s">
        <v>3007</v>
      </c>
      <c r="H150" s="172">
        <v>5984</v>
      </c>
    </row>
    <row r="151" spans="1:8" ht="31.5" x14ac:dyDescent="0.25">
      <c r="A151" s="177" t="s">
        <v>9935</v>
      </c>
      <c r="B151" s="177" t="s">
        <v>9961</v>
      </c>
      <c r="C151" s="177" t="s">
        <v>9960</v>
      </c>
      <c r="D151" s="177" t="s">
        <v>7240</v>
      </c>
      <c r="E151" s="181">
        <v>17.510000000000002</v>
      </c>
      <c r="F151" s="177" t="s">
        <v>7239</v>
      </c>
      <c r="G151" s="177" t="s">
        <v>3007</v>
      </c>
      <c r="H151" s="172">
        <v>5985</v>
      </c>
    </row>
    <row r="152" spans="1:8" ht="31.5" x14ac:dyDescent="0.25">
      <c r="A152" s="177" t="s">
        <v>9935</v>
      </c>
      <c r="B152" s="177" t="s">
        <v>9959</v>
      </c>
      <c r="C152" s="177" t="s">
        <v>9958</v>
      </c>
      <c r="D152" s="177" t="s">
        <v>9957</v>
      </c>
      <c r="E152" s="181">
        <v>15.83</v>
      </c>
      <c r="F152" s="177" t="s">
        <v>9956</v>
      </c>
      <c r="G152" s="177" t="s">
        <v>3007</v>
      </c>
      <c r="H152" s="172">
        <v>5986</v>
      </c>
    </row>
    <row r="153" spans="1:8" ht="31.5" x14ac:dyDescent="0.25">
      <c r="A153" s="177" t="s">
        <v>9935</v>
      </c>
      <c r="B153" s="177" t="s">
        <v>9955</v>
      </c>
      <c r="C153" s="177" t="s">
        <v>9954</v>
      </c>
      <c r="D153" s="177" t="s">
        <v>5060</v>
      </c>
      <c r="E153" s="181">
        <v>14.51</v>
      </c>
      <c r="F153" s="177" t="s">
        <v>5059</v>
      </c>
      <c r="G153" s="177" t="s">
        <v>3007</v>
      </c>
      <c r="H153" s="172">
        <v>5987</v>
      </c>
    </row>
    <row r="154" spans="1:8" ht="31.5" x14ac:dyDescent="0.25">
      <c r="A154" s="177" t="s">
        <v>9935</v>
      </c>
      <c r="B154" s="177" t="s">
        <v>9953</v>
      </c>
      <c r="C154" s="177" t="s">
        <v>9952</v>
      </c>
      <c r="D154" s="177" t="s">
        <v>5052</v>
      </c>
      <c r="E154" s="181">
        <v>6.72</v>
      </c>
      <c r="F154" s="177" t="s">
        <v>5051</v>
      </c>
      <c r="G154" s="177" t="s">
        <v>3007</v>
      </c>
      <c r="H154" s="172">
        <v>5988</v>
      </c>
    </row>
    <row r="155" spans="1:8" ht="31.5" x14ac:dyDescent="0.25">
      <c r="A155" s="177" t="s">
        <v>9935</v>
      </c>
      <c r="B155" s="177" t="s">
        <v>9951</v>
      </c>
      <c r="C155" s="177" t="s">
        <v>9950</v>
      </c>
      <c r="D155" s="177" t="s">
        <v>4477</v>
      </c>
      <c r="E155" s="181">
        <v>4.78</v>
      </c>
      <c r="F155" s="177" t="s">
        <v>4476</v>
      </c>
      <c r="G155" s="177" t="s">
        <v>3007</v>
      </c>
      <c r="H155" s="172">
        <v>5989</v>
      </c>
    </row>
    <row r="156" spans="1:8" ht="31.5" x14ac:dyDescent="0.25">
      <c r="A156" s="177" t="s">
        <v>9935</v>
      </c>
      <c r="B156" s="177" t="s">
        <v>9949</v>
      </c>
      <c r="C156" s="177" t="s">
        <v>9948</v>
      </c>
      <c r="D156" s="177" t="s">
        <v>4480</v>
      </c>
      <c r="E156" s="181">
        <v>17.260000000000002</v>
      </c>
      <c r="F156" s="177" t="s">
        <v>4476</v>
      </c>
      <c r="G156" s="177" t="s">
        <v>3007</v>
      </c>
      <c r="H156" s="172">
        <v>5990</v>
      </c>
    </row>
    <row r="157" spans="1:8" ht="31.5" x14ac:dyDescent="0.25">
      <c r="A157" s="177" t="s">
        <v>9935</v>
      </c>
      <c r="B157" s="177" t="s">
        <v>9947</v>
      </c>
      <c r="C157" s="177" t="s">
        <v>9946</v>
      </c>
      <c r="D157" s="177" t="s">
        <v>4204</v>
      </c>
      <c r="E157" s="181">
        <v>21.31</v>
      </c>
      <c r="F157" s="177" t="s">
        <v>4203</v>
      </c>
      <c r="G157" s="177" t="s">
        <v>3007</v>
      </c>
      <c r="H157" s="172">
        <v>5991</v>
      </c>
    </row>
    <row r="158" spans="1:8" ht="31.5" x14ac:dyDescent="0.25">
      <c r="A158" s="177" t="s">
        <v>9935</v>
      </c>
      <c r="B158" s="177" t="s">
        <v>9945</v>
      </c>
      <c r="C158" s="177" t="s">
        <v>9944</v>
      </c>
      <c r="D158" s="177" t="s">
        <v>5087</v>
      </c>
      <c r="E158" s="181">
        <v>3.88</v>
      </c>
      <c r="F158" s="177" t="s">
        <v>5086</v>
      </c>
      <c r="G158" s="177" t="s">
        <v>3007</v>
      </c>
      <c r="H158" s="172">
        <v>5992</v>
      </c>
    </row>
    <row r="159" spans="1:8" ht="31.5" x14ac:dyDescent="0.25">
      <c r="A159" s="177" t="s">
        <v>9935</v>
      </c>
      <c r="B159" s="177" t="s">
        <v>9943</v>
      </c>
      <c r="C159" s="177" t="s">
        <v>9942</v>
      </c>
      <c r="D159" s="177" t="s">
        <v>9941</v>
      </c>
      <c r="E159" s="181">
        <v>27.82</v>
      </c>
      <c r="F159" s="177" t="s">
        <v>9940</v>
      </c>
      <c r="G159" s="177" t="s">
        <v>3007</v>
      </c>
      <c r="H159" s="172">
        <v>5993</v>
      </c>
    </row>
    <row r="160" spans="1:8" ht="31.5" x14ac:dyDescent="0.25">
      <c r="A160" s="177" t="s">
        <v>9935</v>
      </c>
      <c r="B160" s="177" t="s">
        <v>9939</v>
      </c>
      <c r="C160" s="177" t="s">
        <v>9938</v>
      </c>
      <c r="D160" s="177" t="s">
        <v>4741</v>
      </c>
      <c r="E160" s="181">
        <v>17.3</v>
      </c>
      <c r="F160" s="177" t="s">
        <v>4740</v>
      </c>
      <c r="G160" s="177" t="s">
        <v>3007</v>
      </c>
      <c r="H160" s="172">
        <v>5994</v>
      </c>
    </row>
    <row r="161" spans="1:8" ht="31.5" x14ac:dyDescent="0.25">
      <c r="A161" s="177" t="s">
        <v>9935</v>
      </c>
      <c r="B161" s="177" t="s">
        <v>9937</v>
      </c>
      <c r="C161" s="177" t="s">
        <v>9936</v>
      </c>
      <c r="D161" s="177" t="s">
        <v>4021</v>
      </c>
      <c r="E161" s="181">
        <v>5.63</v>
      </c>
      <c r="F161" s="177" t="s">
        <v>4020</v>
      </c>
      <c r="G161" s="177" t="s">
        <v>3007</v>
      </c>
      <c r="H161" s="172">
        <v>5995</v>
      </c>
    </row>
    <row r="162" spans="1:8" ht="31.5" x14ac:dyDescent="0.25">
      <c r="A162" s="177" t="s">
        <v>9935</v>
      </c>
      <c r="B162" s="177" t="s">
        <v>9934</v>
      </c>
      <c r="C162" s="177" t="s">
        <v>9933</v>
      </c>
      <c r="D162" s="177" t="s">
        <v>9932</v>
      </c>
      <c r="E162" s="181">
        <v>7.45</v>
      </c>
      <c r="F162" s="177" t="s">
        <v>9931</v>
      </c>
      <c r="G162" s="177" t="s">
        <v>3007</v>
      </c>
      <c r="H162" s="172">
        <v>5996</v>
      </c>
    </row>
    <row r="163" spans="1:8" s="200" customFormat="1" x14ac:dyDescent="0.25">
      <c r="A163" s="198"/>
      <c r="B163" s="198"/>
      <c r="C163" s="198" t="s">
        <v>5691</v>
      </c>
      <c r="D163" s="198" t="s">
        <v>14409</v>
      </c>
      <c r="E163" s="199">
        <f>SUM(E99:E162)</f>
        <v>700.34000000000015</v>
      </c>
      <c r="F163" s="198"/>
      <c r="G163" s="198"/>
      <c r="H163" s="172"/>
    </row>
    <row r="164" spans="1:8" s="195" customFormat="1" ht="16.5" thickBot="1" x14ac:dyDescent="0.3">
      <c r="A164" s="193"/>
      <c r="B164" s="193"/>
      <c r="C164" s="193" t="s">
        <v>14410</v>
      </c>
      <c r="D164" s="193"/>
      <c r="E164" s="197">
        <v>-24.65</v>
      </c>
      <c r="F164" s="193"/>
      <c r="G164" s="193"/>
      <c r="H164" s="123"/>
    </row>
    <row r="165" spans="1:8" s="195" customFormat="1" x14ac:dyDescent="0.25">
      <c r="A165" s="193"/>
      <c r="B165" s="193"/>
      <c r="C165" s="193" t="s">
        <v>5691</v>
      </c>
      <c r="D165" s="193"/>
      <c r="E165" s="196">
        <f>SUM(E163:E164)</f>
        <v>675.69000000000017</v>
      </c>
      <c r="F165" s="193"/>
      <c r="G165" s="193"/>
      <c r="H165" s="123"/>
    </row>
    <row r="166" spans="1:8" s="137" customFormat="1" x14ac:dyDescent="0.25">
      <c r="A166" s="134"/>
      <c r="B166" s="134"/>
      <c r="C166" s="132"/>
      <c r="D166" s="134"/>
      <c r="E166" s="139"/>
      <c r="F166" s="134"/>
      <c r="G166" s="144"/>
      <c r="H166" s="203"/>
    </row>
    <row r="167" spans="1:8" ht="31.5" x14ac:dyDescent="0.25">
      <c r="A167" s="177" t="s">
        <v>9903</v>
      </c>
      <c r="B167" s="177" t="s">
        <v>9930</v>
      </c>
      <c r="C167" s="177" t="s">
        <v>9929</v>
      </c>
      <c r="D167" s="177" t="s">
        <v>8675</v>
      </c>
      <c r="E167" s="181">
        <v>1.68</v>
      </c>
      <c r="F167" s="177" t="s">
        <v>8674</v>
      </c>
      <c r="G167" s="177" t="s">
        <v>3007</v>
      </c>
      <c r="H167" s="172">
        <v>6019</v>
      </c>
    </row>
    <row r="168" spans="1:8" ht="31.5" x14ac:dyDescent="0.25">
      <c r="A168" s="177" t="s">
        <v>9903</v>
      </c>
      <c r="B168" s="177" t="s">
        <v>9928</v>
      </c>
      <c r="C168" s="177" t="s">
        <v>9927</v>
      </c>
      <c r="D168" s="177" t="s">
        <v>7668</v>
      </c>
      <c r="E168" s="181">
        <v>1.72</v>
      </c>
      <c r="F168" s="177" t="s">
        <v>7667</v>
      </c>
      <c r="G168" s="177" t="s">
        <v>3007</v>
      </c>
      <c r="H168" s="172">
        <v>6020</v>
      </c>
    </row>
    <row r="169" spans="1:8" ht="31.5" x14ac:dyDescent="0.25">
      <c r="A169" s="177" t="s">
        <v>9903</v>
      </c>
      <c r="B169" s="177" t="s">
        <v>9926</v>
      </c>
      <c r="C169" s="177" t="s">
        <v>9925</v>
      </c>
      <c r="D169" s="177" t="s">
        <v>9924</v>
      </c>
      <c r="E169" s="181">
        <v>18.010000000000002</v>
      </c>
      <c r="F169" s="177" t="s">
        <v>9923</v>
      </c>
      <c r="G169" s="177" t="s">
        <v>3007</v>
      </c>
      <c r="H169" s="172">
        <v>6021</v>
      </c>
    </row>
    <row r="170" spans="1:8" ht="31.5" x14ac:dyDescent="0.25">
      <c r="A170" s="177" t="s">
        <v>9903</v>
      </c>
      <c r="B170" s="177" t="s">
        <v>9922</v>
      </c>
      <c r="C170" s="177" t="s">
        <v>9921</v>
      </c>
      <c r="D170" s="177" t="s">
        <v>9218</v>
      </c>
      <c r="E170" s="181">
        <v>12.3</v>
      </c>
      <c r="F170" s="177" t="s">
        <v>9217</v>
      </c>
      <c r="G170" s="177" t="s">
        <v>3007</v>
      </c>
      <c r="H170" s="172">
        <v>6022</v>
      </c>
    </row>
    <row r="171" spans="1:8" ht="31.5" x14ac:dyDescent="0.25">
      <c r="A171" s="177" t="s">
        <v>9903</v>
      </c>
      <c r="B171" s="177" t="s">
        <v>9920</v>
      </c>
      <c r="C171" s="177" t="s">
        <v>9919</v>
      </c>
      <c r="D171" s="177" t="s">
        <v>3888</v>
      </c>
      <c r="E171" s="181">
        <v>16.39</v>
      </c>
      <c r="F171" s="177" t="s">
        <v>3887</v>
      </c>
      <c r="G171" s="177" t="s">
        <v>3007</v>
      </c>
      <c r="H171" s="172">
        <v>6023</v>
      </c>
    </row>
    <row r="172" spans="1:8" ht="31.5" x14ac:dyDescent="0.25">
      <c r="A172" s="177" t="s">
        <v>9903</v>
      </c>
      <c r="B172" s="177" t="s">
        <v>4247</v>
      </c>
      <c r="C172" s="177" t="s">
        <v>9918</v>
      </c>
      <c r="D172" s="177" t="s">
        <v>6296</v>
      </c>
      <c r="E172" s="181">
        <v>15.21</v>
      </c>
      <c r="F172" s="177" t="s">
        <v>6295</v>
      </c>
      <c r="G172" s="177" t="s">
        <v>3007</v>
      </c>
      <c r="H172" s="172">
        <v>6024</v>
      </c>
    </row>
    <row r="173" spans="1:8" ht="31.5" x14ac:dyDescent="0.25">
      <c r="A173" s="177" t="s">
        <v>9903</v>
      </c>
      <c r="B173" s="177" t="s">
        <v>9917</v>
      </c>
      <c r="C173" s="177" t="s">
        <v>9916</v>
      </c>
      <c r="D173" s="177" t="s">
        <v>7142</v>
      </c>
      <c r="E173" s="181">
        <v>17.739999999999998</v>
      </c>
      <c r="F173" s="177" t="s">
        <v>7141</v>
      </c>
      <c r="G173" s="177" t="s">
        <v>3007</v>
      </c>
      <c r="H173" s="172">
        <v>6026</v>
      </c>
    </row>
    <row r="174" spans="1:8" ht="31.5" x14ac:dyDescent="0.25">
      <c r="A174" s="177" t="s">
        <v>9903</v>
      </c>
      <c r="B174" s="177" t="s">
        <v>9915</v>
      </c>
      <c r="C174" s="177" t="s">
        <v>9914</v>
      </c>
      <c r="D174" s="177" t="s">
        <v>7145</v>
      </c>
      <c r="E174" s="181">
        <v>3.85</v>
      </c>
      <c r="F174" s="177" t="s">
        <v>7141</v>
      </c>
      <c r="G174" s="177" t="s">
        <v>3007</v>
      </c>
      <c r="H174" s="172">
        <v>6025</v>
      </c>
    </row>
    <row r="175" spans="1:8" ht="31.5" x14ac:dyDescent="0.25">
      <c r="A175" s="177" t="s">
        <v>9903</v>
      </c>
      <c r="B175" s="177" t="s">
        <v>9913</v>
      </c>
      <c r="C175" s="177" t="s">
        <v>9912</v>
      </c>
      <c r="D175" s="177" t="s">
        <v>5366</v>
      </c>
      <c r="E175" s="181">
        <v>15.93</v>
      </c>
      <c r="F175" s="177" t="s">
        <v>5365</v>
      </c>
      <c r="G175" s="177" t="s">
        <v>3007</v>
      </c>
      <c r="H175" s="172">
        <v>6027</v>
      </c>
    </row>
    <row r="176" spans="1:8" ht="31.5" x14ac:dyDescent="0.25">
      <c r="A176" s="177" t="s">
        <v>9903</v>
      </c>
      <c r="B176" s="177" t="s">
        <v>9911</v>
      </c>
      <c r="C176" s="177" t="s">
        <v>9910</v>
      </c>
      <c r="D176" s="177" t="s">
        <v>4229</v>
      </c>
      <c r="E176" s="181">
        <v>9.41</v>
      </c>
      <c r="F176" s="177" t="s">
        <v>4228</v>
      </c>
      <c r="G176" s="177" t="s">
        <v>3007</v>
      </c>
      <c r="H176" s="172">
        <v>6028</v>
      </c>
    </row>
    <row r="177" spans="1:8" ht="31.5" x14ac:dyDescent="0.25">
      <c r="A177" s="177" t="s">
        <v>9903</v>
      </c>
      <c r="B177" s="177" t="s">
        <v>9909</v>
      </c>
      <c r="C177" s="177" t="s">
        <v>9908</v>
      </c>
      <c r="D177" s="177" t="s">
        <v>9907</v>
      </c>
      <c r="E177" s="181">
        <v>14.36</v>
      </c>
      <c r="F177" s="177" t="s">
        <v>9906</v>
      </c>
      <c r="G177" s="177" t="s">
        <v>3007</v>
      </c>
      <c r="H177" s="172">
        <v>6029</v>
      </c>
    </row>
    <row r="178" spans="1:8" ht="31.5" x14ac:dyDescent="0.25">
      <c r="A178" s="177" t="s">
        <v>9903</v>
      </c>
      <c r="B178" s="177" t="s">
        <v>9905</v>
      </c>
      <c r="C178" s="177" t="s">
        <v>9904</v>
      </c>
      <c r="D178" s="177" t="s">
        <v>5618</v>
      </c>
      <c r="E178" s="181">
        <v>2.34</v>
      </c>
      <c r="F178" s="177" t="s">
        <v>5617</v>
      </c>
      <c r="G178" s="177" t="s">
        <v>3007</v>
      </c>
      <c r="H178" s="172">
        <v>6030</v>
      </c>
    </row>
    <row r="179" spans="1:8" ht="31.5" x14ac:dyDescent="0.25">
      <c r="A179" s="177" t="s">
        <v>9903</v>
      </c>
      <c r="B179" s="177" t="s">
        <v>9902</v>
      </c>
      <c r="C179" s="177" t="s">
        <v>9901</v>
      </c>
      <c r="D179" s="177" t="s">
        <v>3014</v>
      </c>
      <c r="E179" s="181">
        <v>14.14</v>
      </c>
      <c r="F179" s="177" t="s">
        <v>3013</v>
      </c>
      <c r="G179" s="177" t="s">
        <v>3007</v>
      </c>
      <c r="H179" s="172">
        <v>6031</v>
      </c>
    </row>
    <row r="180" spans="1:8" ht="31.5" x14ac:dyDescent="0.25">
      <c r="A180" s="177" t="s">
        <v>9884</v>
      </c>
      <c r="B180" s="177" t="s">
        <v>9900</v>
      </c>
      <c r="C180" s="177" t="s">
        <v>9899</v>
      </c>
      <c r="D180" s="177" t="s">
        <v>4851</v>
      </c>
      <c r="E180" s="181">
        <v>23.19</v>
      </c>
      <c r="F180" s="177" t="s">
        <v>4850</v>
      </c>
      <c r="G180" s="177" t="s">
        <v>3007</v>
      </c>
      <c r="H180" s="172">
        <v>6032</v>
      </c>
    </row>
    <row r="181" spans="1:8" ht="31.5" x14ac:dyDescent="0.25">
      <c r="A181" s="177" t="s">
        <v>9884</v>
      </c>
      <c r="B181" s="177" t="s">
        <v>9898</v>
      </c>
      <c r="C181" s="177" t="s">
        <v>9897</v>
      </c>
      <c r="D181" s="177" t="s">
        <v>7571</v>
      </c>
      <c r="E181" s="181">
        <v>27.17</v>
      </c>
      <c r="F181" s="177" t="s">
        <v>7570</v>
      </c>
      <c r="G181" s="177" t="s">
        <v>3007</v>
      </c>
      <c r="H181" s="172">
        <v>6033</v>
      </c>
    </row>
    <row r="182" spans="1:8" ht="31.5" x14ac:dyDescent="0.25">
      <c r="A182" s="177" t="s">
        <v>9884</v>
      </c>
      <c r="B182" s="177" t="s">
        <v>9896</v>
      </c>
      <c r="C182" s="177" t="s">
        <v>9895</v>
      </c>
      <c r="D182" s="177" t="s">
        <v>6769</v>
      </c>
      <c r="E182" s="181">
        <v>39.69</v>
      </c>
      <c r="F182" s="177" t="s">
        <v>6768</v>
      </c>
      <c r="G182" s="177" t="s">
        <v>3007</v>
      </c>
      <c r="H182" s="172">
        <v>6034</v>
      </c>
    </row>
    <row r="183" spans="1:8" ht="31.5" x14ac:dyDescent="0.25">
      <c r="A183" s="177" t="s">
        <v>9884</v>
      </c>
      <c r="B183" s="177" t="s">
        <v>9894</v>
      </c>
      <c r="C183" s="177" t="s">
        <v>9893</v>
      </c>
      <c r="D183" s="177" t="s">
        <v>4245</v>
      </c>
      <c r="E183" s="181">
        <v>29.06</v>
      </c>
      <c r="F183" s="177" t="s">
        <v>4244</v>
      </c>
      <c r="G183" s="177" t="s">
        <v>3007</v>
      </c>
      <c r="H183" s="172">
        <v>6035</v>
      </c>
    </row>
    <row r="184" spans="1:8" ht="31.5" x14ac:dyDescent="0.25">
      <c r="A184" s="177" t="s">
        <v>9884</v>
      </c>
      <c r="B184" s="177" t="s">
        <v>9892</v>
      </c>
      <c r="C184" s="177" t="s">
        <v>9891</v>
      </c>
      <c r="D184" s="177" t="s">
        <v>3867</v>
      </c>
      <c r="E184" s="181">
        <v>5.32</v>
      </c>
      <c r="F184" s="177" t="s">
        <v>3866</v>
      </c>
      <c r="G184" s="177" t="s">
        <v>3007</v>
      </c>
      <c r="H184" s="172">
        <v>6036</v>
      </c>
    </row>
    <row r="185" spans="1:8" ht="31.5" x14ac:dyDescent="0.25">
      <c r="A185" s="177" t="s">
        <v>9884</v>
      </c>
      <c r="B185" s="177" t="s">
        <v>9890</v>
      </c>
      <c r="C185" s="177" t="s">
        <v>9889</v>
      </c>
      <c r="D185" s="177" t="s">
        <v>9888</v>
      </c>
      <c r="E185" s="181">
        <v>20.84</v>
      </c>
      <c r="F185" s="177" t="s">
        <v>9887</v>
      </c>
      <c r="G185" s="177" t="s">
        <v>3007</v>
      </c>
      <c r="H185" s="172">
        <v>6037</v>
      </c>
    </row>
    <row r="186" spans="1:8" ht="31.5" x14ac:dyDescent="0.25">
      <c r="A186" s="177" t="s">
        <v>9884</v>
      </c>
      <c r="B186" s="177" t="s">
        <v>9886</v>
      </c>
      <c r="C186" s="177" t="s">
        <v>9885</v>
      </c>
      <c r="D186" s="177" t="s">
        <v>9445</v>
      </c>
      <c r="E186" s="181">
        <v>7.49</v>
      </c>
      <c r="F186" s="177" t="s">
        <v>9444</v>
      </c>
      <c r="G186" s="177" t="s">
        <v>3007</v>
      </c>
      <c r="H186" s="172">
        <v>6038</v>
      </c>
    </row>
    <row r="187" spans="1:8" ht="31.5" x14ac:dyDescent="0.25">
      <c r="A187" s="177" t="s">
        <v>9884</v>
      </c>
      <c r="B187" s="177" t="s">
        <v>8693</v>
      </c>
      <c r="C187" s="177" t="s">
        <v>9883</v>
      </c>
      <c r="D187" s="177" t="s">
        <v>4443</v>
      </c>
      <c r="E187" s="181">
        <v>8.32</v>
      </c>
      <c r="F187" s="177" t="s">
        <v>4442</v>
      </c>
      <c r="G187" s="177" t="s">
        <v>3007</v>
      </c>
      <c r="H187" s="172">
        <v>6039</v>
      </c>
    </row>
    <row r="188" spans="1:8" ht="31.5" x14ac:dyDescent="0.25">
      <c r="A188" s="177" t="s">
        <v>9878</v>
      </c>
      <c r="B188" s="177" t="s">
        <v>9882</v>
      </c>
      <c r="C188" s="177" t="s">
        <v>9881</v>
      </c>
      <c r="D188" s="177" t="s">
        <v>9880</v>
      </c>
      <c r="E188" s="181">
        <v>1.68</v>
      </c>
      <c r="F188" s="177" t="s">
        <v>9879</v>
      </c>
      <c r="G188" s="177" t="s">
        <v>3007</v>
      </c>
      <c r="H188" s="172">
        <v>6040</v>
      </c>
    </row>
    <row r="189" spans="1:8" ht="31.5" x14ac:dyDescent="0.25">
      <c r="A189" s="177" t="s">
        <v>9878</v>
      </c>
      <c r="B189" s="177" t="s">
        <v>9877</v>
      </c>
      <c r="C189" s="177" t="s">
        <v>9876</v>
      </c>
      <c r="D189" s="177" t="s">
        <v>6489</v>
      </c>
      <c r="E189" s="181">
        <v>16.29</v>
      </c>
      <c r="F189" s="177" t="s">
        <v>6488</v>
      </c>
      <c r="G189" s="177" t="s">
        <v>3007</v>
      </c>
      <c r="H189" s="172">
        <v>6041</v>
      </c>
    </row>
    <row r="190" spans="1:8" ht="31.5" x14ac:dyDescent="0.25">
      <c r="A190" s="177" t="s">
        <v>9844</v>
      </c>
      <c r="B190" s="177" t="s">
        <v>9875</v>
      </c>
      <c r="C190" s="177" t="s">
        <v>9874</v>
      </c>
      <c r="D190" s="177" t="s">
        <v>4060</v>
      </c>
      <c r="E190" s="181">
        <v>4.22</v>
      </c>
      <c r="F190" s="177" t="s">
        <v>4059</v>
      </c>
      <c r="G190" s="177" t="s">
        <v>3007</v>
      </c>
      <c r="H190" s="172">
        <v>6069</v>
      </c>
    </row>
    <row r="191" spans="1:8" ht="31.5" x14ac:dyDescent="0.25">
      <c r="A191" s="177" t="s">
        <v>9844</v>
      </c>
      <c r="B191" s="177" t="s">
        <v>9873</v>
      </c>
      <c r="C191" s="177" t="s">
        <v>9872</v>
      </c>
      <c r="D191" s="177" t="s">
        <v>5518</v>
      </c>
      <c r="E191" s="181">
        <v>3.76</v>
      </c>
      <c r="F191" s="177" t="s">
        <v>5517</v>
      </c>
      <c r="G191" s="177" t="s">
        <v>3007</v>
      </c>
      <c r="H191" s="172">
        <v>6070</v>
      </c>
    </row>
    <row r="192" spans="1:8" ht="31.5" x14ac:dyDescent="0.25">
      <c r="A192" s="177" t="s">
        <v>9844</v>
      </c>
      <c r="B192" s="177" t="s">
        <v>9871</v>
      </c>
      <c r="C192" s="177" t="s">
        <v>9870</v>
      </c>
      <c r="D192" s="177" t="s">
        <v>6143</v>
      </c>
      <c r="E192" s="181">
        <v>8.6999999999999993</v>
      </c>
      <c r="F192" s="177" t="s">
        <v>6142</v>
      </c>
      <c r="G192" s="177" t="s">
        <v>3007</v>
      </c>
      <c r="H192" s="172">
        <v>6071</v>
      </c>
    </row>
    <row r="193" spans="1:8" ht="31.5" x14ac:dyDescent="0.25">
      <c r="A193" s="177" t="s">
        <v>9844</v>
      </c>
      <c r="B193" s="177" t="s">
        <v>9869</v>
      </c>
      <c r="C193" s="177" t="s">
        <v>9868</v>
      </c>
      <c r="D193" s="177" t="s">
        <v>5194</v>
      </c>
      <c r="E193" s="181">
        <v>4.74</v>
      </c>
      <c r="F193" s="177" t="s">
        <v>5193</v>
      </c>
      <c r="G193" s="177" t="s">
        <v>3007</v>
      </c>
      <c r="H193" s="172">
        <v>6072</v>
      </c>
    </row>
    <row r="194" spans="1:8" ht="31.5" x14ac:dyDescent="0.25">
      <c r="A194" s="177" t="s">
        <v>9844</v>
      </c>
      <c r="B194" s="177" t="s">
        <v>9867</v>
      </c>
      <c r="C194" s="177" t="s">
        <v>9866</v>
      </c>
      <c r="D194" s="177" t="s">
        <v>3353</v>
      </c>
      <c r="E194" s="181">
        <v>92.35</v>
      </c>
      <c r="F194" s="177" t="s">
        <v>3352</v>
      </c>
      <c r="G194" s="177" t="s">
        <v>3007</v>
      </c>
      <c r="H194" s="172">
        <v>6073</v>
      </c>
    </row>
    <row r="195" spans="1:8" ht="31.5" x14ac:dyDescent="0.25">
      <c r="A195" s="177" t="s">
        <v>9844</v>
      </c>
      <c r="B195" s="177" t="s">
        <v>9865</v>
      </c>
      <c r="C195" s="177" t="s">
        <v>9864</v>
      </c>
      <c r="D195" s="177" t="s">
        <v>4380</v>
      </c>
      <c r="E195" s="181">
        <v>3.66</v>
      </c>
      <c r="F195" s="177" t="s">
        <v>4379</v>
      </c>
      <c r="G195" s="177" t="s">
        <v>3007</v>
      </c>
      <c r="H195" s="172">
        <v>6074</v>
      </c>
    </row>
    <row r="196" spans="1:8" ht="31.5" x14ac:dyDescent="0.25">
      <c r="A196" s="177" t="s">
        <v>9844</v>
      </c>
      <c r="B196" s="177" t="s">
        <v>9863</v>
      </c>
      <c r="C196" s="177" t="s">
        <v>9862</v>
      </c>
      <c r="D196" s="177" t="s">
        <v>9861</v>
      </c>
      <c r="E196" s="181">
        <v>0.24</v>
      </c>
      <c r="F196" s="177" t="s">
        <v>9860</v>
      </c>
      <c r="G196" s="177" t="s">
        <v>3007</v>
      </c>
      <c r="H196" s="172">
        <v>6075</v>
      </c>
    </row>
    <row r="197" spans="1:8" ht="31.5" x14ac:dyDescent="0.25">
      <c r="A197" s="177" t="s">
        <v>9844</v>
      </c>
      <c r="B197" s="177" t="s">
        <v>9859</v>
      </c>
      <c r="C197" s="177" t="s">
        <v>9858</v>
      </c>
      <c r="D197" s="177" t="s">
        <v>9857</v>
      </c>
      <c r="E197" s="181">
        <v>5.78</v>
      </c>
      <c r="F197" s="177" t="s">
        <v>9856</v>
      </c>
      <c r="G197" s="177" t="s">
        <v>3007</v>
      </c>
      <c r="H197" s="172">
        <v>6076</v>
      </c>
    </row>
    <row r="198" spans="1:8" ht="31.5" x14ac:dyDescent="0.25">
      <c r="A198" s="177" t="s">
        <v>9844</v>
      </c>
      <c r="B198" s="177" t="s">
        <v>9855</v>
      </c>
      <c r="C198" s="177" t="s">
        <v>9854</v>
      </c>
      <c r="D198" s="177" t="s">
        <v>3828</v>
      </c>
      <c r="E198" s="181">
        <v>60.86</v>
      </c>
      <c r="F198" s="177" t="s">
        <v>3827</v>
      </c>
      <c r="G198" s="177" t="s">
        <v>3007</v>
      </c>
      <c r="H198" s="172">
        <v>6077</v>
      </c>
    </row>
    <row r="199" spans="1:8" ht="31.5" x14ac:dyDescent="0.25">
      <c r="A199" s="177" t="s">
        <v>9844</v>
      </c>
      <c r="B199" s="177" t="s">
        <v>9853</v>
      </c>
      <c r="C199" s="177" t="s">
        <v>9852</v>
      </c>
      <c r="D199" s="177" t="s">
        <v>7843</v>
      </c>
      <c r="E199" s="181">
        <v>13.46</v>
      </c>
      <c r="F199" s="177" t="s">
        <v>7842</v>
      </c>
      <c r="G199" s="177" t="s">
        <v>3007</v>
      </c>
      <c r="H199" s="172">
        <v>6078</v>
      </c>
    </row>
    <row r="200" spans="1:8" ht="31.5" x14ac:dyDescent="0.25">
      <c r="A200" s="177" t="s">
        <v>9844</v>
      </c>
      <c r="B200" s="177" t="s">
        <v>9851</v>
      </c>
      <c r="C200" s="177" t="s">
        <v>9850</v>
      </c>
      <c r="D200" s="177" t="s">
        <v>3631</v>
      </c>
      <c r="E200" s="181">
        <v>7.48</v>
      </c>
      <c r="F200" s="177" t="s">
        <v>3630</v>
      </c>
      <c r="G200" s="177" t="s">
        <v>3007</v>
      </c>
      <c r="H200" s="172">
        <v>6079</v>
      </c>
    </row>
    <row r="201" spans="1:8" ht="31.5" x14ac:dyDescent="0.25">
      <c r="A201" s="177" t="s">
        <v>9844</v>
      </c>
      <c r="B201" s="177" t="s">
        <v>9849</v>
      </c>
      <c r="C201" s="177" t="s">
        <v>9848</v>
      </c>
      <c r="D201" s="177" t="s">
        <v>8732</v>
      </c>
      <c r="E201" s="181">
        <v>5.4</v>
      </c>
      <c r="F201" s="177" t="s">
        <v>8731</v>
      </c>
      <c r="G201" s="177" t="s">
        <v>3007</v>
      </c>
      <c r="H201" s="172">
        <v>6080</v>
      </c>
    </row>
    <row r="202" spans="1:8" ht="31.5" x14ac:dyDescent="0.25">
      <c r="A202" s="177" t="s">
        <v>9844</v>
      </c>
      <c r="B202" s="177" t="s">
        <v>9847</v>
      </c>
      <c r="C202" s="177" t="s">
        <v>9846</v>
      </c>
      <c r="D202" s="177" t="s">
        <v>4309</v>
      </c>
      <c r="E202" s="181">
        <v>4.1900000000000004</v>
      </c>
      <c r="F202" s="177" t="s">
        <v>4308</v>
      </c>
      <c r="G202" s="177" t="s">
        <v>3007</v>
      </c>
      <c r="H202" s="172" t="s">
        <v>9845</v>
      </c>
    </row>
    <row r="203" spans="1:8" ht="31.5" x14ac:dyDescent="0.25">
      <c r="A203" s="177" t="s">
        <v>9844</v>
      </c>
      <c r="B203" s="177" t="s">
        <v>9843</v>
      </c>
      <c r="C203" s="177" t="s">
        <v>9842</v>
      </c>
      <c r="D203" s="177" t="s">
        <v>7248</v>
      </c>
      <c r="E203" s="181">
        <v>7.12</v>
      </c>
      <c r="F203" s="177" t="s">
        <v>7247</v>
      </c>
      <c r="G203" s="177" t="s">
        <v>3007</v>
      </c>
      <c r="H203" s="172">
        <v>6081</v>
      </c>
    </row>
    <row r="204" spans="1:8" ht="31.5" x14ac:dyDescent="0.25">
      <c r="A204" s="177" t="s">
        <v>9829</v>
      </c>
      <c r="B204" s="177" t="s">
        <v>9841</v>
      </c>
      <c r="C204" s="177" t="s">
        <v>9840</v>
      </c>
      <c r="D204" s="177" t="s">
        <v>3207</v>
      </c>
      <c r="E204" s="181">
        <v>4.6500000000000004</v>
      </c>
      <c r="F204" s="177" t="s">
        <v>3206</v>
      </c>
      <c r="G204" s="177" t="s">
        <v>3007</v>
      </c>
      <c r="H204" s="172">
        <v>6121</v>
      </c>
    </row>
    <row r="205" spans="1:8" ht="31.5" x14ac:dyDescent="0.25">
      <c r="A205" s="177" t="s">
        <v>9829</v>
      </c>
      <c r="B205" s="177" t="s">
        <v>9839</v>
      </c>
      <c r="C205" s="177" t="s">
        <v>9838</v>
      </c>
      <c r="D205" s="177" t="s">
        <v>3848</v>
      </c>
      <c r="E205" s="181">
        <v>8.61</v>
      </c>
      <c r="F205" s="177" t="s">
        <v>3847</v>
      </c>
      <c r="G205" s="177" t="s">
        <v>3007</v>
      </c>
      <c r="H205" s="172">
        <v>6122</v>
      </c>
    </row>
    <row r="206" spans="1:8" ht="31.5" x14ac:dyDescent="0.25">
      <c r="A206" s="177" t="s">
        <v>9829</v>
      </c>
      <c r="B206" s="177" t="s">
        <v>9837</v>
      </c>
      <c r="C206" s="177" t="s">
        <v>9836</v>
      </c>
      <c r="D206" s="177" t="s">
        <v>5376</v>
      </c>
      <c r="E206" s="181">
        <v>2.3199999999999998</v>
      </c>
      <c r="F206" s="177" t="s">
        <v>5375</v>
      </c>
      <c r="G206" s="177" t="s">
        <v>3007</v>
      </c>
      <c r="H206" s="172">
        <v>6123</v>
      </c>
    </row>
    <row r="207" spans="1:8" ht="31.5" x14ac:dyDescent="0.25">
      <c r="A207" s="177" t="s">
        <v>9829</v>
      </c>
      <c r="B207" s="177" t="s">
        <v>9835</v>
      </c>
      <c r="C207" s="177" t="s">
        <v>9834</v>
      </c>
      <c r="D207" s="177" t="s">
        <v>9190</v>
      </c>
      <c r="E207" s="181">
        <v>2.2400000000000002</v>
      </c>
      <c r="F207" s="177" t="s">
        <v>9189</v>
      </c>
      <c r="G207" s="177" t="s">
        <v>3007</v>
      </c>
      <c r="H207" s="172">
        <v>6124</v>
      </c>
    </row>
    <row r="208" spans="1:8" ht="31.5" x14ac:dyDescent="0.25">
      <c r="A208" s="177" t="s">
        <v>9829</v>
      </c>
      <c r="B208" s="177" t="s">
        <v>9833</v>
      </c>
      <c r="C208" s="177" t="s">
        <v>9832</v>
      </c>
      <c r="D208" s="177" t="s">
        <v>9831</v>
      </c>
      <c r="E208" s="181">
        <v>9.92</v>
      </c>
      <c r="F208" s="177" t="s">
        <v>9830</v>
      </c>
      <c r="G208" s="177" t="s">
        <v>3007</v>
      </c>
      <c r="H208" s="172">
        <v>6125</v>
      </c>
    </row>
    <row r="209" spans="1:8" ht="31.5" x14ac:dyDescent="0.25">
      <c r="A209" s="177" t="s">
        <v>9829</v>
      </c>
      <c r="B209" s="177" t="s">
        <v>9828</v>
      </c>
      <c r="C209" s="177" t="s">
        <v>9827</v>
      </c>
      <c r="D209" s="177" t="s">
        <v>6832</v>
      </c>
      <c r="E209" s="181">
        <v>5.04</v>
      </c>
      <c r="F209" s="177" t="s">
        <v>6831</v>
      </c>
      <c r="G209" s="177" t="s">
        <v>3007</v>
      </c>
      <c r="H209" s="172">
        <v>6126</v>
      </c>
    </row>
    <row r="210" spans="1:8" ht="31.5" x14ac:dyDescent="0.25">
      <c r="A210" s="177" t="s">
        <v>9784</v>
      </c>
      <c r="B210" s="177" t="s">
        <v>9826</v>
      </c>
      <c r="C210" s="177" t="s">
        <v>9825</v>
      </c>
      <c r="D210" s="177" t="s">
        <v>4961</v>
      </c>
      <c r="E210" s="181">
        <v>1.68</v>
      </c>
      <c r="F210" s="177" t="s">
        <v>4960</v>
      </c>
      <c r="G210" s="177" t="s">
        <v>3007</v>
      </c>
      <c r="H210" s="172">
        <v>6141</v>
      </c>
    </row>
    <row r="211" spans="1:8" ht="31.5" x14ac:dyDescent="0.25">
      <c r="A211" s="177" t="s">
        <v>9784</v>
      </c>
      <c r="B211" s="177" t="s">
        <v>9824</v>
      </c>
      <c r="C211" s="177" t="s">
        <v>9823</v>
      </c>
      <c r="D211" s="177" t="s">
        <v>9822</v>
      </c>
      <c r="E211" s="181">
        <v>2.2000000000000002</v>
      </c>
      <c r="F211" s="177" t="s">
        <v>9821</v>
      </c>
      <c r="G211" s="177" t="s">
        <v>3007</v>
      </c>
      <c r="H211" s="172">
        <v>6142</v>
      </c>
    </row>
    <row r="212" spans="1:8" ht="31.5" x14ac:dyDescent="0.25">
      <c r="A212" s="177" t="s">
        <v>9784</v>
      </c>
      <c r="B212" s="177" t="s">
        <v>9820</v>
      </c>
      <c r="C212" s="177" t="s">
        <v>9819</v>
      </c>
      <c r="D212" s="177" t="s">
        <v>3223</v>
      </c>
      <c r="E212" s="181">
        <v>3.36</v>
      </c>
      <c r="F212" s="177" t="s">
        <v>3222</v>
      </c>
      <c r="G212" s="177" t="s">
        <v>3007</v>
      </c>
      <c r="H212" s="172">
        <v>6143</v>
      </c>
    </row>
    <row r="213" spans="1:8" ht="31.5" x14ac:dyDescent="0.25">
      <c r="A213" s="177" t="s">
        <v>9784</v>
      </c>
      <c r="B213" s="177" t="s">
        <v>9818</v>
      </c>
      <c r="C213" s="177" t="s">
        <v>9817</v>
      </c>
      <c r="D213" s="177" t="s">
        <v>4665</v>
      </c>
      <c r="E213" s="181">
        <v>37.130000000000003</v>
      </c>
      <c r="F213" s="177" t="s">
        <v>4664</v>
      </c>
      <c r="G213" s="177" t="s">
        <v>3007</v>
      </c>
      <c r="H213" s="172">
        <v>6144</v>
      </c>
    </row>
    <row r="214" spans="1:8" ht="31.5" x14ac:dyDescent="0.25">
      <c r="A214" s="177" t="s">
        <v>9784</v>
      </c>
      <c r="B214" s="177" t="s">
        <v>9816</v>
      </c>
      <c r="C214" s="177" t="s">
        <v>9815</v>
      </c>
      <c r="D214" s="177" t="s">
        <v>5721</v>
      </c>
      <c r="E214" s="181">
        <v>26.93</v>
      </c>
      <c r="F214" s="177" t="s">
        <v>9814</v>
      </c>
      <c r="G214" s="177" t="s">
        <v>3007</v>
      </c>
      <c r="H214" s="172">
        <v>6145</v>
      </c>
    </row>
    <row r="215" spans="1:8" ht="31.5" x14ac:dyDescent="0.25">
      <c r="A215" s="177" t="s">
        <v>9784</v>
      </c>
      <c r="B215" s="177" t="s">
        <v>9813</v>
      </c>
      <c r="C215" s="177" t="s">
        <v>9812</v>
      </c>
      <c r="D215" s="177" t="s">
        <v>9811</v>
      </c>
      <c r="E215" s="181">
        <v>10.39</v>
      </c>
      <c r="F215" s="177" t="s">
        <v>9810</v>
      </c>
      <c r="G215" s="177" t="s">
        <v>3007</v>
      </c>
      <c r="H215" s="172">
        <v>6146</v>
      </c>
    </row>
    <row r="216" spans="1:8" ht="31.5" x14ac:dyDescent="0.25">
      <c r="A216" s="177" t="s">
        <v>9784</v>
      </c>
      <c r="B216" s="177" t="s">
        <v>9809</v>
      </c>
      <c r="C216" s="177" t="s">
        <v>9808</v>
      </c>
      <c r="D216" s="177" t="s">
        <v>7337</v>
      </c>
      <c r="E216" s="181">
        <v>83.74</v>
      </c>
      <c r="F216" s="177" t="s">
        <v>7336</v>
      </c>
      <c r="G216" s="177" t="s">
        <v>3007</v>
      </c>
      <c r="H216" s="172">
        <v>6147</v>
      </c>
    </row>
    <row r="217" spans="1:8" ht="31.5" x14ac:dyDescent="0.25">
      <c r="A217" s="177" t="s">
        <v>9784</v>
      </c>
      <c r="B217" s="177" t="s">
        <v>9807</v>
      </c>
      <c r="C217" s="177" t="s">
        <v>9806</v>
      </c>
      <c r="D217" s="177" t="s">
        <v>3158</v>
      </c>
      <c r="E217" s="181">
        <v>9.06</v>
      </c>
      <c r="F217" s="177" t="s">
        <v>3157</v>
      </c>
      <c r="G217" s="177" t="s">
        <v>3007</v>
      </c>
      <c r="H217" s="172">
        <v>6148</v>
      </c>
    </row>
    <row r="218" spans="1:8" ht="31.5" x14ac:dyDescent="0.25">
      <c r="A218" s="177" t="s">
        <v>9784</v>
      </c>
      <c r="B218" s="177" t="s">
        <v>9805</v>
      </c>
      <c r="C218" s="177" t="s">
        <v>9804</v>
      </c>
      <c r="D218" s="177" t="s">
        <v>4305</v>
      </c>
      <c r="E218" s="181">
        <v>13.88</v>
      </c>
      <c r="F218" s="177" t="s">
        <v>4304</v>
      </c>
      <c r="G218" s="177" t="s">
        <v>3007</v>
      </c>
      <c r="H218" s="172">
        <v>6149</v>
      </c>
    </row>
    <row r="219" spans="1:8" ht="31.5" x14ac:dyDescent="0.25">
      <c r="A219" s="177" t="s">
        <v>9784</v>
      </c>
      <c r="B219" s="177" t="s">
        <v>9803</v>
      </c>
      <c r="C219" s="177" t="s">
        <v>9802</v>
      </c>
      <c r="D219" s="177" t="s">
        <v>5122</v>
      </c>
      <c r="E219" s="181">
        <v>4.87</v>
      </c>
      <c r="F219" s="177" t="s">
        <v>5121</v>
      </c>
      <c r="G219" s="177" t="s">
        <v>3007</v>
      </c>
      <c r="H219" s="172">
        <v>6150</v>
      </c>
    </row>
    <row r="220" spans="1:8" ht="31.5" x14ac:dyDescent="0.25">
      <c r="A220" s="177" t="s">
        <v>9784</v>
      </c>
      <c r="B220" s="177" t="s">
        <v>3806</v>
      </c>
      <c r="C220" s="177" t="s">
        <v>9801</v>
      </c>
      <c r="D220" s="177" t="s">
        <v>5076</v>
      </c>
      <c r="E220" s="181">
        <v>6.72</v>
      </c>
      <c r="F220" s="177" t="s">
        <v>5075</v>
      </c>
      <c r="G220" s="177" t="s">
        <v>3007</v>
      </c>
      <c r="H220" s="172">
        <v>6151</v>
      </c>
    </row>
    <row r="221" spans="1:8" ht="31.5" x14ac:dyDescent="0.25">
      <c r="A221" s="177" t="s">
        <v>9784</v>
      </c>
      <c r="B221" s="177" t="s">
        <v>9800</v>
      </c>
      <c r="C221" s="177" t="s">
        <v>9799</v>
      </c>
      <c r="D221" s="177" t="s">
        <v>5313</v>
      </c>
      <c r="E221" s="181">
        <v>3.45</v>
      </c>
      <c r="F221" s="177" t="s">
        <v>5312</v>
      </c>
      <c r="G221" s="177" t="s">
        <v>3007</v>
      </c>
      <c r="H221" s="172">
        <v>6152</v>
      </c>
    </row>
    <row r="222" spans="1:8" ht="31.5" x14ac:dyDescent="0.25">
      <c r="A222" s="177" t="s">
        <v>9784</v>
      </c>
      <c r="B222" s="177" t="s">
        <v>9798</v>
      </c>
      <c r="C222" s="177" t="s">
        <v>9797</v>
      </c>
      <c r="D222" s="177" t="s">
        <v>9796</v>
      </c>
      <c r="E222" s="181">
        <v>34.76</v>
      </c>
      <c r="F222" s="177" t="s">
        <v>9795</v>
      </c>
      <c r="G222" s="177" t="s">
        <v>3007</v>
      </c>
      <c r="H222" s="172">
        <v>6153</v>
      </c>
    </row>
    <row r="223" spans="1:8" ht="31.5" x14ac:dyDescent="0.25">
      <c r="A223" s="177" t="s">
        <v>9784</v>
      </c>
      <c r="B223" s="177" t="s">
        <v>9794</v>
      </c>
      <c r="C223" s="177" t="s">
        <v>9793</v>
      </c>
      <c r="D223" s="177" t="s">
        <v>9792</v>
      </c>
      <c r="E223" s="181">
        <v>14.44</v>
      </c>
      <c r="F223" s="177" t="s">
        <v>9791</v>
      </c>
      <c r="G223" s="177" t="s">
        <v>3007</v>
      </c>
      <c r="H223" s="172">
        <v>6154</v>
      </c>
    </row>
    <row r="224" spans="1:8" ht="31.5" x14ac:dyDescent="0.25">
      <c r="A224" s="177" t="s">
        <v>9784</v>
      </c>
      <c r="B224" s="177" t="s">
        <v>9790</v>
      </c>
      <c r="C224" s="177" t="s">
        <v>9789</v>
      </c>
      <c r="D224" s="177" t="s">
        <v>6351</v>
      </c>
      <c r="E224" s="181">
        <v>7.34</v>
      </c>
      <c r="F224" s="177" t="s">
        <v>6350</v>
      </c>
      <c r="G224" s="177" t="s">
        <v>3007</v>
      </c>
      <c r="H224" s="172">
        <v>6155</v>
      </c>
    </row>
    <row r="225" spans="1:8" ht="31.5" x14ac:dyDescent="0.25">
      <c r="A225" s="177" t="s">
        <v>9784</v>
      </c>
      <c r="B225" s="177" t="s">
        <v>9788</v>
      </c>
      <c r="C225" s="177" t="s">
        <v>9787</v>
      </c>
      <c r="D225" s="177" t="s">
        <v>6520</v>
      </c>
      <c r="E225" s="181">
        <v>13.11</v>
      </c>
      <c r="F225" s="177" t="s">
        <v>6519</v>
      </c>
      <c r="G225" s="177" t="s">
        <v>3007</v>
      </c>
      <c r="H225" s="172">
        <v>6156</v>
      </c>
    </row>
    <row r="226" spans="1:8" ht="31.5" x14ac:dyDescent="0.25">
      <c r="A226" s="177" t="s">
        <v>9784</v>
      </c>
      <c r="B226" s="177" t="s">
        <v>9786</v>
      </c>
      <c r="C226" s="177" t="s">
        <v>9785</v>
      </c>
      <c r="D226" s="177" t="s">
        <v>4257</v>
      </c>
      <c r="E226" s="181">
        <v>25.14</v>
      </c>
      <c r="F226" s="177" t="s">
        <v>4256</v>
      </c>
      <c r="G226" s="177" t="s">
        <v>3007</v>
      </c>
      <c r="H226" s="172">
        <v>6157</v>
      </c>
    </row>
    <row r="227" spans="1:8" ht="31.5" x14ac:dyDescent="0.25">
      <c r="A227" s="177" t="s">
        <v>9784</v>
      </c>
      <c r="B227" s="177" t="s">
        <v>9783</v>
      </c>
      <c r="C227" s="177" t="s">
        <v>9782</v>
      </c>
      <c r="D227" s="177" t="s">
        <v>9781</v>
      </c>
      <c r="E227" s="181">
        <v>19.149999999999999</v>
      </c>
      <c r="F227" s="177" t="s">
        <v>9780</v>
      </c>
      <c r="G227" s="177" t="s">
        <v>3007</v>
      </c>
      <c r="H227" s="172">
        <v>6158</v>
      </c>
    </row>
    <row r="228" spans="1:8" ht="31.5" x14ac:dyDescent="0.25">
      <c r="A228" s="177" t="s">
        <v>9753</v>
      </c>
      <c r="B228" s="177" t="s">
        <v>9779</v>
      </c>
      <c r="C228" s="177" t="s">
        <v>9778</v>
      </c>
      <c r="D228" s="177" t="s">
        <v>5405</v>
      </c>
      <c r="E228" s="181">
        <v>4.9800000000000004</v>
      </c>
      <c r="F228" s="177" t="s">
        <v>5404</v>
      </c>
      <c r="G228" s="177" t="s">
        <v>3007</v>
      </c>
      <c r="H228" s="172">
        <v>6176</v>
      </c>
    </row>
    <row r="229" spans="1:8" ht="31.5" x14ac:dyDescent="0.25">
      <c r="A229" s="177" t="s">
        <v>9753</v>
      </c>
      <c r="B229" s="177" t="s">
        <v>9777</v>
      </c>
      <c r="C229" s="177" t="s">
        <v>9776</v>
      </c>
      <c r="D229" s="177" t="s">
        <v>3450</v>
      </c>
      <c r="E229" s="181">
        <v>8.86</v>
      </c>
      <c r="F229" s="177" t="s">
        <v>3449</v>
      </c>
      <c r="G229" s="177" t="s">
        <v>3007</v>
      </c>
      <c r="H229" s="172">
        <v>6177</v>
      </c>
    </row>
    <row r="230" spans="1:8" ht="31.5" x14ac:dyDescent="0.25">
      <c r="A230" s="177" t="s">
        <v>9753</v>
      </c>
      <c r="B230" s="177" t="s">
        <v>9775</v>
      </c>
      <c r="C230" s="177" t="s">
        <v>9774</v>
      </c>
      <c r="D230" s="177" t="s">
        <v>3450</v>
      </c>
      <c r="E230" s="181">
        <v>8.86</v>
      </c>
      <c r="F230" s="177" t="s">
        <v>3449</v>
      </c>
      <c r="G230" s="177" t="s">
        <v>3007</v>
      </c>
      <c r="H230" s="172" t="s">
        <v>9773</v>
      </c>
    </row>
    <row r="231" spans="1:8" ht="31.5" x14ac:dyDescent="0.25">
      <c r="A231" s="177" t="s">
        <v>9753</v>
      </c>
      <c r="B231" s="177" t="s">
        <v>9772</v>
      </c>
      <c r="C231" s="177" t="s">
        <v>9771</v>
      </c>
      <c r="D231" s="177" t="s">
        <v>8857</v>
      </c>
      <c r="E231" s="181">
        <v>38.68</v>
      </c>
      <c r="F231" s="177" t="s">
        <v>8856</v>
      </c>
      <c r="G231" s="177" t="s">
        <v>3007</v>
      </c>
      <c r="H231" s="172">
        <v>6178</v>
      </c>
    </row>
    <row r="232" spans="1:8" ht="31.5" x14ac:dyDescent="0.25">
      <c r="A232" s="177" t="s">
        <v>9753</v>
      </c>
      <c r="B232" s="177" t="s">
        <v>9770</v>
      </c>
      <c r="C232" s="177" t="s">
        <v>9769</v>
      </c>
      <c r="D232" s="177" t="s">
        <v>7707</v>
      </c>
      <c r="E232" s="181">
        <v>2.15</v>
      </c>
      <c r="F232" s="177" t="s">
        <v>7706</v>
      </c>
      <c r="G232" s="177" t="s">
        <v>3007</v>
      </c>
      <c r="H232" s="172">
        <v>6179</v>
      </c>
    </row>
    <row r="233" spans="1:8" ht="31.5" x14ac:dyDescent="0.25">
      <c r="A233" s="177" t="s">
        <v>9753</v>
      </c>
      <c r="B233" s="177" t="s">
        <v>9768</v>
      </c>
      <c r="C233" s="177" t="s">
        <v>9767</v>
      </c>
      <c r="D233" s="177" t="s">
        <v>9766</v>
      </c>
      <c r="E233" s="181">
        <v>7.41</v>
      </c>
      <c r="F233" s="177" t="s">
        <v>9765</v>
      </c>
      <c r="G233" s="177" t="s">
        <v>3007</v>
      </c>
      <c r="H233" s="172">
        <v>6180</v>
      </c>
    </row>
    <row r="234" spans="1:8" ht="31.5" x14ac:dyDescent="0.25">
      <c r="A234" s="177" t="s">
        <v>9753</v>
      </c>
      <c r="B234" s="177" t="s">
        <v>9764</v>
      </c>
      <c r="C234" s="177" t="s">
        <v>9763</v>
      </c>
      <c r="D234" s="177" t="s">
        <v>9762</v>
      </c>
      <c r="E234" s="181">
        <v>14.8</v>
      </c>
      <c r="F234" s="177" t="s">
        <v>9758</v>
      </c>
      <c r="G234" s="177" t="s">
        <v>3007</v>
      </c>
      <c r="H234" s="172">
        <v>6181</v>
      </c>
    </row>
    <row r="235" spans="1:8" ht="31.5" x14ac:dyDescent="0.25">
      <c r="A235" s="177" t="s">
        <v>9753</v>
      </c>
      <c r="B235" s="177" t="s">
        <v>9761</v>
      </c>
      <c r="C235" s="177" t="s">
        <v>9760</v>
      </c>
      <c r="D235" s="177" t="s">
        <v>9759</v>
      </c>
      <c r="E235" s="181">
        <v>8.8000000000000007</v>
      </c>
      <c r="F235" s="177" t="s">
        <v>9758</v>
      </c>
      <c r="G235" s="177" t="s">
        <v>3007</v>
      </c>
      <c r="H235" s="172">
        <v>6182</v>
      </c>
    </row>
    <row r="236" spans="1:8" ht="31.5" x14ac:dyDescent="0.25">
      <c r="A236" s="177" t="s">
        <v>9753</v>
      </c>
      <c r="B236" s="177" t="s">
        <v>9757</v>
      </c>
      <c r="C236" s="177" t="s">
        <v>9756</v>
      </c>
      <c r="D236" s="177" t="s">
        <v>4013</v>
      </c>
      <c r="E236" s="181">
        <v>1.68</v>
      </c>
      <c r="F236" s="177" t="s">
        <v>4012</v>
      </c>
      <c r="G236" s="177" t="s">
        <v>3007</v>
      </c>
      <c r="H236" s="172">
        <v>6183</v>
      </c>
    </row>
    <row r="237" spans="1:8" ht="31.5" x14ac:dyDescent="0.25">
      <c r="A237" s="177" t="s">
        <v>9753</v>
      </c>
      <c r="B237" s="177" t="s">
        <v>9755</v>
      </c>
      <c r="C237" s="177" t="s">
        <v>9754</v>
      </c>
      <c r="D237" s="177" t="s">
        <v>3824</v>
      </c>
      <c r="E237" s="181">
        <v>16.760000000000002</v>
      </c>
      <c r="F237" s="177" t="s">
        <v>3823</v>
      </c>
      <c r="G237" s="177" t="s">
        <v>3007</v>
      </c>
      <c r="H237" s="172">
        <v>6184</v>
      </c>
    </row>
    <row r="238" spans="1:8" ht="31.5" x14ac:dyDescent="0.25">
      <c r="A238" s="177" t="s">
        <v>9753</v>
      </c>
      <c r="B238" s="177" t="s">
        <v>9752</v>
      </c>
      <c r="C238" s="177" t="s">
        <v>9751</v>
      </c>
      <c r="D238" s="177" t="s">
        <v>4606</v>
      </c>
      <c r="E238" s="181">
        <v>9.6199999999999992</v>
      </c>
      <c r="F238" s="177" t="s">
        <v>4605</v>
      </c>
      <c r="G238" s="177" t="s">
        <v>3007</v>
      </c>
      <c r="H238" s="172">
        <v>6185</v>
      </c>
    </row>
    <row r="239" spans="1:8" s="200" customFormat="1" x14ac:dyDescent="0.25">
      <c r="A239" s="198"/>
      <c r="B239" s="198"/>
      <c r="C239" s="198" t="s">
        <v>5691</v>
      </c>
      <c r="D239" s="198" t="s">
        <v>14412</v>
      </c>
      <c r="E239" s="199">
        <f>SUM(E167:E238)</f>
        <v>1016.8199999999998</v>
      </c>
      <c r="F239" s="198"/>
      <c r="G239" s="198"/>
      <c r="H239" s="172"/>
    </row>
    <row r="240" spans="1:8" s="137" customFormat="1" x14ac:dyDescent="0.25">
      <c r="A240" s="134"/>
      <c r="B240" s="134"/>
      <c r="C240" s="132"/>
      <c r="D240" s="134"/>
      <c r="E240" s="139"/>
      <c r="F240" s="134"/>
      <c r="G240" s="144"/>
      <c r="H240" s="203"/>
    </row>
    <row r="241" spans="1:8" ht="31.5" x14ac:dyDescent="0.25">
      <c r="A241" s="177" t="s">
        <v>9711</v>
      </c>
      <c r="B241" s="177" t="s">
        <v>9750</v>
      </c>
      <c r="C241" s="177" t="s">
        <v>9749</v>
      </c>
      <c r="D241" s="177" t="s">
        <v>5634</v>
      </c>
      <c r="E241" s="181">
        <v>86.41</v>
      </c>
      <c r="F241" s="177" t="s">
        <v>5633</v>
      </c>
      <c r="G241" s="177" t="s">
        <v>3007</v>
      </c>
      <c r="H241" s="172">
        <v>6203</v>
      </c>
    </row>
    <row r="242" spans="1:8" ht="31.5" x14ac:dyDescent="0.25">
      <c r="A242" s="177" t="s">
        <v>9711</v>
      </c>
      <c r="B242" s="177" t="s">
        <v>3621</v>
      </c>
      <c r="C242" s="177" t="s">
        <v>9748</v>
      </c>
      <c r="D242" s="177" t="s">
        <v>3050</v>
      </c>
      <c r="E242" s="181">
        <v>1.76</v>
      </c>
      <c r="F242" s="177" t="s">
        <v>3049</v>
      </c>
      <c r="G242" s="177" t="s">
        <v>3007</v>
      </c>
      <c r="H242" s="172">
        <v>6204</v>
      </c>
    </row>
    <row r="243" spans="1:8" ht="31.5" x14ac:dyDescent="0.25">
      <c r="A243" s="177" t="s">
        <v>9711</v>
      </c>
      <c r="B243" s="177" t="s">
        <v>9747</v>
      </c>
      <c r="C243" s="177" t="s">
        <v>9746</v>
      </c>
      <c r="D243" s="177" t="s">
        <v>9745</v>
      </c>
      <c r="E243" s="181">
        <v>14.46</v>
      </c>
      <c r="F243" s="177" t="s">
        <v>9744</v>
      </c>
      <c r="G243" s="177" t="s">
        <v>3007</v>
      </c>
      <c r="H243" s="172">
        <v>6205</v>
      </c>
    </row>
    <row r="244" spans="1:8" ht="31.5" x14ac:dyDescent="0.25">
      <c r="A244" s="177" t="s">
        <v>9711</v>
      </c>
      <c r="B244" s="177" t="s">
        <v>9743</v>
      </c>
      <c r="C244" s="177" t="s">
        <v>9742</v>
      </c>
      <c r="D244" s="177" t="s">
        <v>4933</v>
      </c>
      <c r="E244" s="181">
        <v>9.2100000000000009</v>
      </c>
      <c r="F244" s="177" t="s">
        <v>4932</v>
      </c>
      <c r="G244" s="177" t="s">
        <v>3007</v>
      </c>
      <c r="H244" s="172">
        <v>6206</v>
      </c>
    </row>
    <row r="245" spans="1:8" ht="31.5" x14ac:dyDescent="0.25">
      <c r="A245" s="177" t="s">
        <v>9711</v>
      </c>
      <c r="B245" s="177" t="s">
        <v>9741</v>
      </c>
      <c r="C245" s="177" t="s">
        <v>9740</v>
      </c>
      <c r="D245" s="177" t="s">
        <v>7585</v>
      </c>
      <c r="E245" s="181">
        <v>20.13</v>
      </c>
      <c r="F245" s="177" t="s">
        <v>7584</v>
      </c>
      <c r="G245" s="177" t="s">
        <v>3007</v>
      </c>
      <c r="H245" s="172">
        <v>6207</v>
      </c>
    </row>
    <row r="246" spans="1:8" ht="31.5" x14ac:dyDescent="0.25">
      <c r="A246" s="177" t="s">
        <v>9711</v>
      </c>
      <c r="B246" s="177" t="s">
        <v>9739</v>
      </c>
      <c r="C246" s="177" t="s">
        <v>9738</v>
      </c>
      <c r="D246" s="177" t="s">
        <v>3832</v>
      </c>
      <c r="E246" s="181">
        <v>9.3699999999999992</v>
      </c>
      <c r="F246" s="177" t="s">
        <v>3831</v>
      </c>
      <c r="G246" s="177" t="s">
        <v>3007</v>
      </c>
      <c r="H246" s="172">
        <v>6208</v>
      </c>
    </row>
    <row r="247" spans="1:8" ht="31.5" x14ac:dyDescent="0.25">
      <c r="A247" s="177" t="s">
        <v>9711</v>
      </c>
      <c r="B247" s="177" t="s">
        <v>9737</v>
      </c>
      <c r="C247" s="177" t="s">
        <v>9736</v>
      </c>
      <c r="D247" s="177" t="s">
        <v>8775</v>
      </c>
      <c r="E247" s="181">
        <v>3.41</v>
      </c>
      <c r="F247" s="177" t="s">
        <v>8774</v>
      </c>
      <c r="G247" s="177" t="s">
        <v>3007</v>
      </c>
      <c r="H247" s="172">
        <v>6209</v>
      </c>
    </row>
    <row r="248" spans="1:8" ht="31.5" x14ac:dyDescent="0.25">
      <c r="A248" s="177" t="s">
        <v>9711</v>
      </c>
      <c r="B248" s="177" t="s">
        <v>5046</v>
      </c>
      <c r="C248" s="177" t="s">
        <v>9735</v>
      </c>
      <c r="D248" s="177" t="s">
        <v>3763</v>
      </c>
      <c r="E248" s="181">
        <v>14.32</v>
      </c>
      <c r="F248" s="177" t="s">
        <v>3762</v>
      </c>
      <c r="G248" s="177" t="s">
        <v>3007</v>
      </c>
      <c r="H248" s="172">
        <v>6210</v>
      </c>
    </row>
    <row r="249" spans="1:8" ht="31.5" x14ac:dyDescent="0.25">
      <c r="A249" s="177" t="s">
        <v>9711</v>
      </c>
      <c r="B249" s="177" t="s">
        <v>9734</v>
      </c>
      <c r="C249" s="177" t="s">
        <v>9733</v>
      </c>
      <c r="D249" s="177" t="s">
        <v>7701</v>
      </c>
      <c r="E249" s="181">
        <v>7.72</v>
      </c>
      <c r="F249" s="177" t="s">
        <v>7700</v>
      </c>
      <c r="G249" s="177" t="s">
        <v>3007</v>
      </c>
      <c r="H249" s="172">
        <v>6211</v>
      </c>
    </row>
    <row r="250" spans="1:8" ht="31.5" x14ac:dyDescent="0.25">
      <c r="A250" s="177" t="s">
        <v>9711</v>
      </c>
      <c r="B250" s="177" t="s">
        <v>9732</v>
      </c>
      <c r="C250" s="177" t="s">
        <v>9731</v>
      </c>
      <c r="D250" s="177" t="s">
        <v>3506</v>
      </c>
      <c r="E250" s="181">
        <v>3.36</v>
      </c>
      <c r="F250" s="177" t="s">
        <v>3505</v>
      </c>
      <c r="G250" s="177" t="s">
        <v>3007</v>
      </c>
      <c r="H250" s="172">
        <v>6212</v>
      </c>
    </row>
    <row r="251" spans="1:8" ht="31.5" x14ac:dyDescent="0.25">
      <c r="A251" s="177" t="s">
        <v>9711</v>
      </c>
      <c r="B251" s="177" t="s">
        <v>9730</v>
      </c>
      <c r="C251" s="177" t="s">
        <v>9729</v>
      </c>
      <c r="D251" s="177" t="s">
        <v>9728</v>
      </c>
      <c r="E251" s="181">
        <v>4.29</v>
      </c>
      <c r="F251" s="177" t="s">
        <v>3490</v>
      </c>
      <c r="G251" s="177" t="s">
        <v>3007</v>
      </c>
      <c r="H251" s="172">
        <v>6213</v>
      </c>
    </row>
    <row r="252" spans="1:8" ht="31.5" x14ac:dyDescent="0.25">
      <c r="A252" s="177" t="s">
        <v>9711</v>
      </c>
      <c r="B252" s="177" t="s">
        <v>9727</v>
      </c>
      <c r="C252" s="177" t="s">
        <v>9726</v>
      </c>
      <c r="D252" s="177" t="s">
        <v>9725</v>
      </c>
      <c r="E252" s="181">
        <v>7.82</v>
      </c>
      <c r="F252" s="177" t="s">
        <v>9724</v>
      </c>
      <c r="G252" s="177" t="s">
        <v>3007</v>
      </c>
      <c r="H252" s="172">
        <v>6214</v>
      </c>
    </row>
    <row r="253" spans="1:8" ht="31.5" x14ac:dyDescent="0.25">
      <c r="A253" s="177" t="s">
        <v>9711</v>
      </c>
      <c r="B253" s="177" t="s">
        <v>9723</v>
      </c>
      <c r="C253" s="177" t="s">
        <v>9722</v>
      </c>
      <c r="D253" s="177" t="s">
        <v>6967</v>
      </c>
      <c r="E253" s="181">
        <v>25.94</v>
      </c>
      <c r="F253" s="177" t="s">
        <v>6966</v>
      </c>
      <c r="G253" s="177" t="s">
        <v>3007</v>
      </c>
      <c r="H253" s="172">
        <v>6215</v>
      </c>
    </row>
    <row r="254" spans="1:8" ht="31.5" x14ac:dyDescent="0.25">
      <c r="A254" s="177" t="s">
        <v>9711</v>
      </c>
      <c r="B254" s="177" t="s">
        <v>9721</v>
      </c>
      <c r="C254" s="177" t="s">
        <v>9720</v>
      </c>
      <c r="D254" s="177" t="s">
        <v>9719</v>
      </c>
      <c r="E254" s="181">
        <v>38.33</v>
      </c>
      <c r="F254" s="177" t="s">
        <v>9718</v>
      </c>
      <c r="G254" s="177" t="s">
        <v>3007</v>
      </c>
      <c r="H254" s="172">
        <v>6216</v>
      </c>
    </row>
    <row r="255" spans="1:8" ht="31.5" x14ac:dyDescent="0.25">
      <c r="A255" s="177" t="s">
        <v>9711</v>
      </c>
      <c r="B255" s="177" t="s">
        <v>9717</v>
      </c>
      <c r="C255" s="177" t="s">
        <v>9716</v>
      </c>
      <c r="D255" s="177" t="s">
        <v>9615</v>
      </c>
      <c r="E255" s="181">
        <v>5.04</v>
      </c>
      <c r="F255" s="177" t="s">
        <v>9614</v>
      </c>
      <c r="G255" s="177" t="s">
        <v>3007</v>
      </c>
      <c r="H255" s="172">
        <v>6217</v>
      </c>
    </row>
    <row r="256" spans="1:8" ht="31.5" x14ac:dyDescent="0.25">
      <c r="A256" s="177" t="s">
        <v>9711</v>
      </c>
      <c r="B256" s="177" t="s">
        <v>9715</v>
      </c>
      <c r="C256" s="177" t="s">
        <v>9714</v>
      </c>
      <c r="D256" s="177" t="s">
        <v>3965</v>
      </c>
      <c r="E256" s="181">
        <v>9.1199999999999992</v>
      </c>
      <c r="F256" s="177" t="s">
        <v>3964</v>
      </c>
      <c r="G256" s="177" t="s">
        <v>3007</v>
      </c>
      <c r="H256" s="172">
        <v>6218</v>
      </c>
    </row>
    <row r="257" spans="1:8" ht="31.5" x14ac:dyDescent="0.25">
      <c r="A257" s="177" t="s">
        <v>9711</v>
      </c>
      <c r="B257" s="177" t="s">
        <v>9713</v>
      </c>
      <c r="C257" s="177" t="s">
        <v>9712</v>
      </c>
      <c r="D257" s="177" t="s">
        <v>5044</v>
      </c>
      <c r="E257" s="181">
        <v>23.25</v>
      </c>
      <c r="F257" s="177" t="s">
        <v>5043</v>
      </c>
      <c r="G257" s="177" t="s">
        <v>3007</v>
      </c>
      <c r="H257" s="172">
        <v>6219</v>
      </c>
    </row>
    <row r="258" spans="1:8" ht="31.5" x14ac:dyDescent="0.25">
      <c r="A258" s="177" t="s">
        <v>9711</v>
      </c>
      <c r="B258" s="177" t="s">
        <v>9710</v>
      </c>
      <c r="C258" s="177" t="s">
        <v>9709</v>
      </c>
      <c r="D258" s="177" t="s">
        <v>6402</v>
      </c>
      <c r="E258" s="181">
        <v>4.32</v>
      </c>
      <c r="F258" s="177" t="s">
        <v>6401</v>
      </c>
      <c r="G258" s="177" t="s">
        <v>3007</v>
      </c>
      <c r="H258" s="172">
        <v>6220</v>
      </c>
    </row>
    <row r="259" spans="1:8" ht="31.5" x14ac:dyDescent="0.25">
      <c r="A259" s="177" t="s">
        <v>9664</v>
      </c>
      <c r="B259" s="177" t="s">
        <v>9708</v>
      </c>
      <c r="C259" s="177" t="s">
        <v>9707</v>
      </c>
      <c r="D259" s="177" t="s">
        <v>9074</v>
      </c>
      <c r="E259" s="181">
        <v>36.03</v>
      </c>
      <c r="F259" s="177" t="s">
        <v>9073</v>
      </c>
      <c r="G259" s="177" t="s">
        <v>3007</v>
      </c>
      <c r="H259" s="172">
        <v>6221</v>
      </c>
    </row>
    <row r="260" spans="1:8" ht="31.5" x14ac:dyDescent="0.25">
      <c r="A260" s="177" t="s">
        <v>9664</v>
      </c>
      <c r="B260" s="177" t="s">
        <v>9706</v>
      </c>
      <c r="C260" s="177" t="s">
        <v>9705</v>
      </c>
      <c r="D260" s="177" t="s">
        <v>3166</v>
      </c>
      <c r="E260" s="181">
        <v>13.02</v>
      </c>
      <c r="F260" s="177" t="s">
        <v>3165</v>
      </c>
      <c r="G260" s="177" t="s">
        <v>3007</v>
      </c>
      <c r="H260" s="172">
        <v>6222</v>
      </c>
    </row>
    <row r="261" spans="1:8" ht="31.5" x14ac:dyDescent="0.25">
      <c r="A261" s="177" t="s">
        <v>9664</v>
      </c>
      <c r="B261" s="177" t="s">
        <v>9704</v>
      </c>
      <c r="C261" s="177" t="s">
        <v>9703</v>
      </c>
      <c r="D261" s="177" t="s">
        <v>9702</v>
      </c>
      <c r="E261" s="181">
        <v>5.04</v>
      </c>
      <c r="F261" s="177" t="s">
        <v>9701</v>
      </c>
      <c r="G261" s="177" t="s">
        <v>3007</v>
      </c>
      <c r="H261" s="172">
        <v>6223</v>
      </c>
    </row>
    <row r="262" spans="1:8" ht="31.5" x14ac:dyDescent="0.25">
      <c r="A262" s="177" t="s">
        <v>9664</v>
      </c>
      <c r="B262" s="177" t="s">
        <v>9700</v>
      </c>
      <c r="C262" s="177" t="s">
        <v>9699</v>
      </c>
      <c r="D262" s="177" t="s">
        <v>6514</v>
      </c>
      <c r="E262" s="181">
        <v>4.78</v>
      </c>
      <c r="F262" s="177" t="s">
        <v>6513</v>
      </c>
      <c r="G262" s="177" t="s">
        <v>3007</v>
      </c>
      <c r="H262" s="172">
        <v>6224</v>
      </c>
    </row>
    <row r="263" spans="1:8" ht="31.5" x14ac:dyDescent="0.25">
      <c r="A263" s="177" t="s">
        <v>9664</v>
      </c>
      <c r="B263" s="177" t="s">
        <v>9698</v>
      </c>
      <c r="C263" s="177" t="s">
        <v>9697</v>
      </c>
      <c r="D263" s="177" t="s">
        <v>9696</v>
      </c>
      <c r="E263" s="181">
        <v>7.43</v>
      </c>
      <c r="F263" s="177" t="s">
        <v>9695</v>
      </c>
      <c r="G263" s="177" t="s">
        <v>3007</v>
      </c>
      <c r="H263" s="172">
        <v>6225</v>
      </c>
    </row>
    <row r="264" spans="1:8" ht="31.5" x14ac:dyDescent="0.25">
      <c r="A264" s="177" t="s">
        <v>9664</v>
      </c>
      <c r="B264" s="177" t="s">
        <v>9694</v>
      </c>
      <c r="C264" s="177" t="s">
        <v>9693</v>
      </c>
      <c r="D264" s="177" t="s">
        <v>9692</v>
      </c>
      <c r="E264" s="181">
        <v>16.72</v>
      </c>
      <c r="F264" s="177" t="s">
        <v>9691</v>
      </c>
      <c r="G264" s="177" t="s">
        <v>3007</v>
      </c>
      <c r="H264" s="172">
        <v>6226</v>
      </c>
    </row>
    <row r="265" spans="1:8" ht="31.5" x14ac:dyDescent="0.25">
      <c r="A265" s="177" t="s">
        <v>9664</v>
      </c>
      <c r="B265" s="177" t="s">
        <v>9690</v>
      </c>
      <c r="C265" s="177" t="s">
        <v>9689</v>
      </c>
      <c r="D265" s="177" t="s">
        <v>6234</v>
      </c>
      <c r="E265" s="181">
        <v>7.53</v>
      </c>
      <c r="F265" s="177" t="s">
        <v>6233</v>
      </c>
      <c r="G265" s="177" t="s">
        <v>3007</v>
      </c>
      <c r="H265" s="172">
        <v>6227</v>
      </c>
    </row>
    <row r="266" spans="1:8" ht="31.5" x14ac:dyDescent="0.25">
      <c r="A266" s="177" t="s">
        <v>9664</v>
      </c>
      <c r="B266" s="177" t="s">
        <v>9688</v>
      </c>
      <c r="C266" s="177" t="s">
        <v>9687</v>
      </c>
      <c r="D266" s="177" t="s">
        <v>9686</v>
      </c>
      <c r="E266" s="181">
        <v>10.71</v>
      </c>
      <c r="F266" s="177" t="s">
        <v>9685</v>
      </c>
      <c r="G266" s="177" t="s">
        <v>3007</v>
      </c>
      <c r="H266" s="172">
        <v>6228</v>
      </c>
    </row>
    <row r="267" spans="1:8" ht="31.5" x14ac:dyDescent="0.25">
      <c r="A267" s="177" t="s">
        <v>9664</v>
      </c>
      <c r="B267" s="177" t="s">
        <v>9684</v>
      </c>
      <c r="C267" s="177" t="s">
        <v>9683</v>
      </c>
      <c r="D267" s="177" t="s">
        <v>3583</v>
      </c>
      <c r="E267" s="181">
        <v>32.799999999999997</v>
      </c>
      <c r="F267" s="177" t="s">
        <v>3582</v>
      </c>
      <c r="G267" s="177" t="s">
        <v>3007</v>
      </c>
      <c r="H267" s="172">
        <v>6229</v>
      </c>
    </row>
    <row r="268" spans="1:8" ht="31.5" x14ac:dyDescent="0.25">
      <c r="A268" s="177" t="s">
        <v>9664</v>
      </c>
      <c r="B268" s="177" t="s">
        <v>9682</v>
      </c>
      <c r="C268" s="177" t="s">
        <v>9681</v>
      </c>
      <c r="D268" s="177" t="s">
        <v>6986</v>
      </c>
      <c r="E268" s="181">
        <v>12.2</v>
      </c>
      <c r="F268" s="177" t="s">
        <v>6985</v>
      </c>
      <c r="G268" s="177" t="s">
        <v>3007</v>
      </c>
      <c r="H268" s="172">
        <v>6230</v>
      </c>
    </row>
    <row r="269" spans="1:8" ht="31.5" x14ac:dyDescent="0.25">
      <c r="A269" s="177" t="s">
        <v>9664</v>
      </c>
      <c r="B269" s="177" t="s">
        <v>9680</v>
      </c>
      <c r="C269" s="177" t="s">
        <v>9679</v>
      </c>
      <c r="D269" s="177" t="s">
        <v>3462</v>
      </c>
      <c r="E269" s="181">
        <v>9.56</v>
      </c>
      <c r="F269" s="177" t="s">
        <v>3461</v>
      </c>
      <c r="G269" s="177" t="s">
        <v>3007</v>
      </c>
      <c r="H269" s="172">
        <v>6231</v>
      </c>
    </row>
    <row r="270" spans="1:8" ht="31.5" x14ac:dyDescent="0.25">
      <c r="A270" s="177" t="s">
        <v>9664</v>
      </c>
      <c r="B270" s="177" t="s">
        <v>9678</v>
      </c>
      <c r="C270" s="177" t="s">
        <v>9677</v>
      </c>
      <c r="D270" s="177" t="s">
        <v>5486</v>
      </c>
      <c r="E270" s="181">
        <v>11.46</v>
      </c>
      <c r="F270" s="177" t="s">
        <v>5485</v>
      </c>
      <c r="G270" s="177" t="s">
        <v>3007</v>
      </c>
      <c r="H270" s="172">
        <v>6232</v>
      </c>
    </row>
    <row r="271" spans="1:8" ht="31.5" x14ac:dyDescent="0.25">
      <c r="A271" s="177" t="s">
        <v>9664</v>
      </c>
      <c r="B271" s="177" t="s">
        <v>9676</v>
      </c>
      <c r="C271" s="177" t="s">
        <v>9675</v>
      </c>
      <c r="D271" s="177" t="s">
        <v>7788</v>
      </c>
      <c r="E271" s="181">
        <v>47.32</v>
      </c>
      <c r="F271" s="177" t="s">
        <v>7787</v>
      </c>
      <c r="G271" s="177" t="s">
        <v>3007</v>
      </c>
      <c r="H271" s="172">
        <v>6233</v>
      </c>
    </row>
    <row r="272" spans="1:8" ht="31.5" x14ac:dyDescent="0.25">
      <c r="A272" s="177" t="s">
        <v>9664</v>
      </c>
      <c r="B272" s="177" t="s">
        <v>9674</v>
      </c>
      <c r="C272" s="177" t="s">
        <v>9673</v>
      </c>
      <c r="D272" s="177" t="s">
        <v>5588</v>
      </c>
      <c r="E272" s="181">
        <v>8.3800000000000008</v>
      </c>
      <c r="F272" s="177" t="s">
        <v>5587</v>
      </c>
      <c r="G272" s="177" t="s">
        <v>3007</v>
      </c>
      <c r="H272" s="172">
        <v>6234</v>
      </c>
    </row>
    <row r="273" spans="1:8" ht="31.5" x14ac:dyDescent="0.25">
      <c r="A273" s="177" t="s">
        <v>9664</v>
      </c>
      <c r="B273" s="177" t="s">
        <v>9672</v>
      </c>
      <c r="C273" s="177" t="s">
        <v>9671</v>
      </c>
      <c r="D273" s="177" t="s">
        <v>3719</v>
      </c>
      <c r="E273" s="181">
        <v>4.76</v>
      </c>
      <c r="F273" s="177" t="s">
        <v>3718</v>
      </c>
      <c r="G273" s="177" t="s">
        <v>3007</v>
      </c>
      <c r="H273" s="172">
        <v>6235</v>
      </c>
    </row>
    <row r="274" spans="1:8" ht="31.5" x14ac:dyDescent="0.25">
      <c r="A274" s="177" t="s">
        <v>9664</v>
      </c>
      <c r="B274" s="177" t="s">
        <v>9670</v>
      </c>
      <c r="C274" s="177" t="s">
        <v>9669</v>
      </c>
      <c r="D274" s="177" t="s">
        <v>8385</v>
      </c>
      <c r="E274" s="181">
        <v>9.56</v>
      </c>
      <c r="F274" s="177" t="s">
        <v>8384</v>
      </c>
      <c r="G274" s="177" t="s">
        <v>3007</v>
      </c>
      <c r="H274" s="172">
        <v>6236</v>
      </c>
    </row>
    <row r="275" spans="1:8" ht="31.5" x14ac:dyDescent="0.25">
      <c r="A275" s="177" t="s">
        <v>9664</v>
      </c>
      <c r="B275" s="177" t="s">
        <v>9668</v>
      </c>
      <c r="C275" s="177" t="s">
        <v>9667</v>
      </c>
      <c r="D275" s="177" t="s">
        <v>9666</v>
      </c>
      <c r="E275" s="181">
        <v>33.520000000000003</v>
      </c>
      <c r="F275" s="177" t="s">
        <v>9665</v>
      </c>
      <c r="G275" s="177" t="s">
        <v>3007</v>
      </c>
      <c r="H275" s="172">
        <v>6237</v>
      </c>
    </row>
    <row r="276" spans="1:8" ht="31.5" x14ac:dyDescent="0.25">
      <c r="A276" s="177" t="s">
        <v>9664</v>
      </c>
      <c r="B276" s="177" t="s">
        <v>9663</v>
      </c>
      <c r="C276" s="177" t="s">
        <v>9662</v>
      </c>
      <c r="D276" s="177" t="s">
        <v>4188</v>
      </c>
      <c r="E276" s="181">
        <v>20.82</v>
      </c>
      <c r="F276" s="177" t="s">
        <v>4187</v>
      </c>
      <c r="G276" s="177" t="s">
        <v>3007</v>
      </c>
      <c r="H276" s="172">
        <v>6238</v>
      </c>
    </row>
    <row r="277" spans="1:8" ht="31.5" x14ac:dyDescent="0.25">
      <c r="A277" s="177" t="s">
        <v>9655</v>
      </c>
      <c r="B277" s="177" t="s">
        <v>9661</v>
      </c>
      <c r="C277" s="177" t="s">
        <v>9660</v>
      </c>
      <c r="D277" s="177" t="s">
        <v>4504</v>
      </c>
      <c r="E277" s="181">
        <v>0.82</v>
      </c>
      <c r="F277" s="177" t="s">
        <v>8051</v>
      </c>
      <c r="G277" s="177" t="s">
        <v>3007</v>
      </c>
      <c r="H277" s="172">
        <v>6239</v>
      </c>
    </row>
    <row r="278" spans="1:8" ht="31.5" x14ac:dyDescent="0.25">
      <c r="A278" s="177" t="s">
        <v>9655</v>
      </c>
      <c r="B278" s="177" t="s">
        <v>9659</v>
      </c>
      <c r="C278" s="177" t="s">
        <v>9658</v>
      </c>
      <c r="D278" s="177" t="s">
        <v>5234</v>
      </c>
      <c r="E278" s="181">
        <v>20.04</v>
      </c>
      <c r="F278" s="177" t="s">
        <v>5233</v>
      </c>
      <c r="G278" s="177" t="s">
        <v>3007</v>
      </c>
      <c r="H278" s="172">
        <v>6240</v>
      </c>
    </row>
    <row r="279" spans="1:8" ht="31.5" x14ac:dyDescent="0.25">
      <c r="A279" s="177" t="s">
        <v>9655</v>
      </c>
      <c r="B279" s="177" t="s">
        <v>9657</v>
      </c>
      <c r="C279" s="177" t="s">
        <v>9656</v>
      </c>
      <c r="D279" s="177" t="s">
        <v>5523</v>
      </c>
      <c r="E279" s="181">
        <v>1.01</v>
      </c>
      <c r="F279" s="177" t="s">
        <v>5522</v>
      </c>
      <c r="G279" s="177" t="s">
        <v>3007</v>
      </c>
      <c r="H279" s="172">
        <v>6241</v>
      </c>
    </row>
    <row r="280" spans="1:8" ht="31.5" x14ac:dyDescent="0.25">
      <c r="A280" s="177" t="s">
        <v>9655</v>
      </c>
      <c r="B280" s="177" t="s">
        <v>9654</v>
      </c>
      <c r="C280" s="177" t="s">
        <v>9653</v>
      </c>
      <c r="D280" s="177" t="s">
        <v>4108</v>
      </c>
      <c r="E280" s="181">
        <v>11.48</v>
      </c>
      <c r="F280" s="177" t="s">
        <v>4107</v>
      </c>
      <c r="G280" s="177" t="s">
        <v>3007</v>
      </c>
      <c r="H280" s="172">
        <v>6242</v>
      </c>
    </row>
    <row r="281" spans="1:8" ht="31.5" x14ac:dyDescent="0.25">
      <c r="A281" s="177" t="s">
        <v>9610</v>
      </c>
      <c r="B281" s="177" t="s">
        <v>9652</v>
      </c>
      <c r="C281" s="177" t="s">
        <v>9651</v>
      </c>
      <c r="D281" s="177" t="s">
        <v>6296</v>
      </c>
      <c r="E281" s="181">
        <v>6.15</v>
      </c>
      <c r="F281" s="177" t="s">
        <v>6295</v>
      </c>
      <c r="G281" s="177" t="s">
        <v>3007</v>
      </c>
      <c r="H281" s="172">
        <v>6262</v>
      </c>
    </row>
    <row r="282" spans="1:8" ht="31.5" x14ac:dyDescent="0.25">
      <c r="A282" s="177" t="s">
        <v>9610</v>
      </c>
      <c r="B282" s="177" t="s">
        <v>6878</v>
      </c>
      <c r="C282" s="177" t="s">
        <v>9650</v>
      </c>
      <c r="D282" s="177" t="s">
        <v>8311</v>
      </c>
      <c r="E282" s="181">
        <v>9.1300000000000008</v>
      </c>
      <c r="F282" s="177" t="s">
        <v>8310</v>
      </c>
      <c r="G282" s="177" t="s">
        <v>3007</v>
      </c>
      <c r="H282" s="172">
        <v>6263</v>
      </c>
    </row>
    <row r="283" spans="1:8" ht="31.5" x14ac:dyDescent="0.25">
      <c r="A283" s="177" t="s">
        <v>9610</v>
      </c>
      <c r="B283" s="177" t="s">
        <v>9649</v>
      </c>
      <c r="C283" s="177" t="s">
        <v>9648</v>
      </c>
      <c r="D283" s="177" t="s">
        <v>3450</v>
      </c>
      <c r="E283" s="181">
        <v>2.2200000000000002</v>
      </c>
      <c r="F283" s="177" t="s">
        <v>3449</v>
      </c>
      <c r="G283" s="177" t="s">
        <v>3007</v>
      </c>
      <c r="H283" s="172">
        <v>6264</v>
      </c>
    </row>
    <row r="284" spans="1:8" ht="31.5" x14ac:dyDescent="0.25">
      <c r="A284" s="177" t="s">
        <v>9610</v>
      </c>
      <c r="B284" s="177" t="s">
        <v>9647</v>
      </c>
      <c r="C284" s="177" t="s">
        <v>9646</v>
      </c>
      <c r="D284" s="177" t="s">
        <v>3239</v>
      </c>
      <c r="E284" s="181">
        <v>8.3800000000000008</v>
      </c>
      <c r="F284" s="177" t="s">
        <v>3238</v>
      </c>
      <c r="G284" s="177" t="s">
        <v>3007</v>
      </c>
      <c r="H284" s="172">
        <v>6265</v>
      </c>
    </row>
    <row r="285" spans="1:8" ht="31.5" x14ac:dyDescent="0.25">
      <c r="A285" s="177" t="s">
        <v>9610</v>
      </c>
      <c r="B285" s="177" t="s">
        <v>9645</v>
      </c>
      <c r="C285" s="177" t="s">
        <v>9644</v>
      </c>
      <c r="D285" s="177" t="s">
        <v>9643</v>
      </c>
      <c r="E285" s="181">
        <v>3.38</v>
      </c>
      <c r="F285" s="177" t="s">
        <v>9642</v>
      </c>
      <c r="G285" s="177" t="s">
        <v>3007</v>
      </c>
      <c r="H285" s="172">
        <v>6266</v>
      </c>
    </row>
    <row r="286" spans="1:8" ht="31.5" x14ac:dyDescent="0.25">
      <c r="A286" s="177" t="s">
        <v>9610</v>
      </c>
      <c r="B286" s="177" t="s">
        <v>9641</v>
      </c>
      <c r="C286" s="177" t="s">
        <v>9640</v>
      </c>
      <c r="D286" s="177" t="s">
        <v>3325</v>
      </c>
      <c r="E286" s="181">
        <v>33.520000000000003</v>
      </c>
      <c r="F286" s="177" t="s">
        <v>3324</v>
      </c>
      <c r="G286" s="177" t="s">
        <v>3007</v>
      </c>
      <c r="H286" s="172">
        <v>6267</v>
      </c>
    </row>
    <row r="287" spans="1:8" ht="31.5" x14ac:dyDescent="0.25">
      <c r="A287" s="177" t="s">
        <v>9610</v>
      </c>
      <c r="B287" s="177" t="s">
        <v>9639</v>
      </c>
      <c r="C287" s="177" t="s">
        <v>9638</v>
      </c>
      <c r="D287" s="177" t="s">
        <v>7254</v>
      </c>
      <c r="E287" s="181">
        <v>6.72</v>
      </c>
      <c r="F287" s="177" t="s">
        <v>7253</v>
      </c>
      <c r="G287" s="177" t="s">
        <v>3007</v>
      </c>
      <c r="H287" s="172">
        <v>6268</v>
      </c>
    </row>
    <row r="288" spans="1:8" ht="31.5" x14ac:dyDescent="0.25">
      <c r="A288" s="177" t="s">
        <v>9610</v>
      </c>
      <c r="B288" s="177" t="s">
        <v>9637</v>
      </c>
      <c r="C288" s="177" t="s">
        <v>9636</v>
      </c>
      <c r="D288" s="177" t="s">
        <v>3924</v>
      </c>
      <c r="E288" s="181">
        <v>14.65</v>
      </c>
      <c r="F288" s="177" t="s">
        <v>3923</v>
      </c>
      <c r="G288" s="177" t="s">
        <v>3007</v>
      </c>
      <c r="H288" s="172">
        <v>6269</v>
      </c>
    </row>
    <row r="289" spans="1:8" ht="31.5" x14ac:dyDescent="0.25">
      <c r="A289" s="177" t="s">
        <v>9610</v>
      </c>
      <c r="B289" s="177" t="s">
        <v>9635</v>
      </c>
      <c r="C289" s="177" t="s">
        <v>9634</v>
      </c>
      <c r="D289" s="177" t="s">
        <v>3434</v>
      </c>
      <c r="E289" s="181">
        <v>8.3800000000000008</v>
      </c>
      <c r="F289" s="177" t="s">
        <v>3433</v>
      </c>
      <c r="G289" s="177" t="s">
        <v>3007</v>
      </c>
      <c r="H289" s="172">
        <v>6270</v>
      </c>
    </row>
    <row r="290" spans="1:8" ht="31.5" x14ac:dyDescent="0.25">
      <c r="A290" s="177" t="s">
        <v>9610</v>
      </c>
      <c r="B290" s="177" t="s">
        <v>9633</v>
      </c>
      <c r="C290" s="177" t="s">
        <v>9632</v>
      </c>
      <c r="D290" s="177" t="s">
        <v>4237</v>
      </c>
      <c r="E290" s="181">
        <v>16.350000000000001</v>
      </c>
      <c r="F290" s="177" t="s">
        <v>4236</v>
      </c>
      <c r="G290" s="177" t="s">
        <v>3007</v>
      </c>
      <c r="H290" s="172">
        <v>6271</v>
      </c>
    </row>
    <row r="291" spans="1:8" ht="31.5" x14ac:dyDescent="0.25">
      <c r="A291" s="177" t="s">
        <v>9610</v>
      </c>
      <c r="B291" s="177" t="s">
        <v>9631</v>
      </c>
      <c r="C291" s="177" t="s">
        <v>9630</v>
      </c>
      <c r="D291" s="177" t="s">
        <v>9629</v>
      </c>
      <c r="E291" s="181">
        <v>12.22</v>
      </c>
      <c r="F291" s="177" t="s">
        <v>9628</v>
      </c>
      <c r="G291" s="177" t="s">
        <v>3007</v>
      </c>
      <c r="H291" s="172">
        <v>6272</v>
      </c>
    </row>
    <row r="292" spans="1:8" ht="31.5" x14ac:dyDescent="0.25">
      <c r="A292" s="177" t="s">
        <v>9610</v>
      </c>
      <c r="B292" s="177" t="s">
        <v>9627</v>
      </c>
      <c r="C292" s="177" t="s">
        <v>9626</v>
      </c>
      <c r="D292" s="177" t="s">
        <v>3953</v>
      </c>
      <c r="E292" s="181">
        <v>1.99</v>
      </c>
      <c r="F292" s="177" t="s">
        <v>3952</v>
      </c>
      <c r="G292" s="177" t="s">
        <v>3007</v>
      </c>
      <c r="H292" s="172">
        <v>6273</v>
      </c>
    </row>
    <row r="293" spans="1:8" ht="31.5" x14ac:dyDescent="0.25">
      <c r="A293" s="177" t="s">
        <v>9610</v>
      </c>
      <c r="B293" s="177" t="s">
        <v>9625</v>
      </c>
      <c r="C293" s="177" t="s">
        <v>9624</v>
      </c>
      <c r="D293" s="177" t="s">
        <v>4656</v>
      </c>
      <c r="E293" s="181">
        <v>8.4</v>
      </c>
      <c r="F293" s="177" t="s">
        <v>4655</v>
      </c>
      <c r="G293" s="177" t="s">
        <v>3007</v>
      </c>
      <c r="H293" s="172">
        <v>6276</v>
      </c>
    </row>
    <row r="294" spans="1:8" ht="31.5" x14ac:dyDescent="0.25">
      <c r="A294" s="177" t="s">
        <v>9610</v>
      </c>
      <c r="B294" s="177" t="s">
        <v>9623</v>
      </c>
      <c r="C294" s="177" t="s">
        <v>9622</v>
      </c>
      <c r="D294" s="177" t="s">
        <v>6520</v>
      </c>
      <c r="E294" s="181">
        <v>2.4300000000000002</v>
      </c>
      <c r="F294" s="177" t="s">
        <v>6519</v>
      </c>
      <c r="G294" s="177" t="s">
        <v>3007</v>
      </c>
      <c r="H294" s="172">
        <v>6277</v>
      </c>
    </row>
    <row r="295" spans="1:8" ht="31.5" x14ac:dyDescent="0.25">
      <c r="A295" s="177" t="s">
        <v>9610</v>
      </c>
      <c r="B295" s="177" t="s">
        <v>9621</v>
      </c>
      <c r="C295" s="177" t="s">
        <v>9620</v>
      </c>
      <c r="D295" s="177" t="s">
        <v>6355</v>
      </c>
      <c r="E295" s="181">
        <v>6.72</v>
      </c>
      <c r="F295" s="177" t="s">
        <v>6354</v>
      </c>
      <c r="G295" s="177" t="s">
        <v>3007</v>
      </c>
      <c r="H295" s="172">
        <v>6278</v>
      </c>
    </row>
    <row r="296" spans="1:8" ht="31.5" x14ac:dyDescent="0.25">
      <c r="A296" s="177" t="s">
        <v>9610</v>
      </c>
      <c r="B296" s="177" t="s">
        <v>9619</v>
      </c>
      <c r="C296" s="177" t="s">
        <v>9618</v>
      </c>
      <c r="D296" s="177" t="s">
        <v>3800</v>
      </c>
      <c r="E296" s="181">
        <v>13.44</v>
      </c>
      <c r="F296" s="177" t="s">
        <v>3799</v>
      </c>
      <c r="G296" s="177" t="s">
        <v>3007</v>
      </c>
      <c r="H296" s="172">
        <v>6279</v>
      </c>
    </row>
    <row r="297" spans="1:8" ht="31.5" x14ac:dyDescent="0.25">
      <c r="A297" s="177" t="s">
        <v>9610</v>
      </c>
      <c r="B297" s="177" t="s">
        <v>9617</v>
      </c>
      <c r="C297" s="177" t="s">
        <v>9616</v>
      </c>
      <c r="D297" s="177" t="s">
        <v>9615</v>
      </c>
      <c r="E297" s="181">
        <v>5.04</v>
      </c>
      <c r="F297" s="177" t="s">
        <v>9614</v>
      </c>
      <c r="G297" s="177" t="s">
        <v>3007</v>
      </c>
      <c r="H297" s="172" t="s">
        <v>9613</v>
      </c>
    </row>
    <row r="298" spans="1:8" ht="31.5" x14ac:dyDescent="0.25">
      <c r="A298" s="177" t="s">
        <v>9610</v>
      </c>
      <c r="B298" s="177" t="s">
        <v>9612</v>
      </c>
      <c r="C298" s="177" t="s">
        <v>9611</v>
      </c>
      <c r="D298" s="177" t="s">
        <v>3195</v>
      </c>
      <c r="E298" s="181">
        <v>7.15</v>
      </c>
      <c r="F298" s="177" t="s">
        <v>3194</v>
      </c>
      <c r="G298" s="177" t="s">
        <v>3007</v>
      </c>
      <c r="H298" s="172">
        <v>6280</v>
      </c>
    </row>
    <row r="299" spans="1:8" ht="31.5" x14ac:dyDescent="0.25">
      <c r="A299" s="177" t="s">
        <v>9610</v>
      </c>
      <c r="B299" s="177" t="s">
        <v>9609</v>
      </c>
      <c r="C299" s="177" t="s">
        <v>9608</v>
      </c>
      <c r="D299" s="177" t="s">
        <v>4443</v>
      </c>
      <c r="E299" s="181">
        <v>1.68</v>
      </c>
      <c r="F299" s="177" t="s">
        <v>4442</v>
      </c>
      <c r="G299" s="177" t="s">
        <v>3007</v>
      </c>
      <c r="H299" s="172">
        <v>6281</v>
      </c>
    </row>
    <row r="300" spans="1:8" ht="31.5" x14ac:dyDescent="0.25">
      <c r="A300" s="177" t="s">
        <v>9555</v>
      </c>
      <c r="B300" s="177" t="s">
        <v>9607</v>
      </c>
      <c r="C300" s="177" t="s">
        <v>9606</v>
      </c>
      <c r="D300" s="177" t="s">
        <v>5362</v>
      </c>
      <c r="E300" s="181">
        <v>10.68</v>
      </c>
      <c r="F300" s="177" t="s">
        <v>5361</v>
      </c>
      <c r="G300" s="177" t="s">
        <v>3007</v>
      </c>
      <c r="H300" s="172">
        <v>6319</v>
      </c>
    </row>
    <row r="301" spans="1:8" ht="31.5" x14ac:dyDescent="0.25">
      <c r="A301" s="177" t="s">
        <v>9555</v>
      </c>
      <c r="B301" s="177" t="s">
        <v>9605</v>
      </c>
      <c r="C301" s="177" t="s">
        <v>9604</v>
      </c>
      <c r="D301" s="177" t="s">
        <v>5317</v>
      </c>
      <c r="E301" s="181">
        <v>7</v>
      </c>
      <c r="F301" s="177" t="s">
        <v>5316</v>
      </c>
      <c r="G301" s="177" t="s">
        <v>3007</v>
      </c>
      <c r="H301" s="172">
        <v>6320</v>
      </c>
    </row>
    <row r="302" spans="1:8" ht="31.5" x14ac:dyDescent="0.25">
      <c r="A302" s="177" t="s">
        <v>9555</v>
      </c>
      <c r="B302" s="177" t="s">
        <v>9603</v>
      </c>
      <c r="C302" s="177" t="s">
        <v>9602</v>
      </c>
      <c r="D302" s="177" t="s">
        <v>9601</v>
      </c>
      <c r="E302" s="181">
        <v>15.3</v>
      </c>
      <c r="F302" s="177" t="s">
        <v>9600</v>
      </c>
      <c r="G302" s="177" t="s">
        <v>3007</v>
      </c>
      <c r="H302" s="172">
        <v>6321</v>
      </c>
    </row>
    <row r="303" spans="1:8" ht="31.5" x14ac:dyDescent="0.25">
      <c r="A303" s="177" t="s">
        <v>9555</v>
      </c>
      <c r="B303" s="177" t="s">
        <v>9599</v>
      </c>
      <c r="C303" s="177" t="s">
        <v>9598</v>
      </c>
      <c r="D303" s="177" t="s">
        <v>4176</v>
      </c>
      <c r="E303" s="181">
        <v>2.6</v>
      </c>
      <c r="F303" s="177" t="s">
        <v>4175</v>
      </c>
      <c r="G303" s="177" t="s">
        <v>3007</v>
      </c>
      <c r="H303" s="172">
        <v>6322</v>
      </c>
    </row>
    <row r="304" spans="1:8" ht="31.5" x14ac:dyDescent="0.25">
      <c r="A304" s="177" t="s">
        <v>9555</v>
      </c>
      <c r="B304" s="177" t="s">
        <v>9597</v>
      </c>
      <c r="C304" s="177" t="s">
        <v>9596</v>
      </c>
      <c r="D304" s="177" t="s">
        <v>6057</v>
      </c>
      <c r="E304" s="181">
        <v>4.1399999999999997</v>
      </c>
      <c r="F304" s="177" t="s">
        <v>6056</v>
      </c>
      <c r="G304" s="177" t="s">
        <v>3007</v>
      </c>
      <c r="H304" s="172">
        <v>6323</v>
      </c>
    </row>
    <row r="305" spans="1:8" ht="31.5" x14ac:dyDescent="0.25">
      <c r="A305" s="177" t="s">
        <v>9555</v>
      </c>
      <c r="B305" s="177" t="s">
        <v>9595</v>
      </c>
      <c r="C305" s="177" t="s">
        <v>9594</v>
      </c>
      <c r="D305" s="177" t="s">
        <v>3530</v>
      </c>
      <c r="E305" s="181">
        <v>8.6999999999999993</v>
      </c>
      <c r="F305" s="177" t="s">
        <v>3526</v>
      </c>
      <c r="G305" s="177" t="s">
        <v>3007</v>
      </c>
      <c r="H305" s="172">
        <v>6324</v>
      </c>
    </row>
    <row r="306" spans="1:8" ht="31.5" x14ac:dyDescent="0.25">
      <c r="A306" s="177" t="s">
        <v>9555</v>
      </c>
      <c r="B306" s="177" t="s">
        <v>9593</v>
      </c>
      <c r="C306" s="177" t="s">
        <v>9592</v>
      </c>
      <c r="D306" s="177" t="s">
        <v>3527</v>
      </c>
      <c r="E306" s="181">
        <v>11.49</v>
      </c>
      <c r="F306" s="177" t="s">
        <v>3526</v>
      </c>
      <c r="G306" s="177" t="s">
        <v>3007</v>
      </c>
      <c r="H306" s="172">
        <v>6325</v>
      </c>
    </row>
    <row r="307" spans="1:8" ht="31.5" x14ac:dyDescent="0.25">
      <c r="A307" s="177" t="s">
        <v>9555</v>
      </c>
      <c r="B307" s="177" t="s">
        <v>9591</v>
      </c>
      <c r="C307" s="177" t="s">
        <v>9590</v>
      </c>
      <c r="D307" s="177" t="s">
        <v>6777</v>
      </c>
      <c r="E307" s="181">
        <v>7.45</v>
      </c>
      <c r="F307" s="177" t="s">
        <v>6776</v>
      </c>
      <c r="G307" s="177" t="s">
        <v>3007</v>
      </c>
      <c r="H307" s="172">
        <v>6326</v>
      </c>
    </row>
    <row r="308" spans="1:8" ht="31.5" x14ac:dyDescent="0.25">
      <c r="A308" s="177" t="s">
        <v>9555</v>
      </c>
      <c r="B308" s="177" t="s">
        <v>9589</v>
      </c>
      <c r="C308" s="177" t="s">
        <v>9588</v>
      </c>
      <c r="D308" s="177" t="s">
        <v>7349</v>
      </c>
      <c r="E308" s="181">
        <v>25.14</v>
      </c>
      <c r="F308" s="177" t="s">
        <v>7348</v>
      </c>
      <c r="G308" s="177" t="s">
        <v>3007</v>
      </c>
      <c r="H308" s="172">
        <v>6327</v>
      </c>
    </row>
    <row r="309" spans="1:8" ht="31.5" x14ac:dyDescent="0.25">
      <c r="A309" s="177" t="s">
        <v>9555</v>
      </c>
      <c r="B309" s="177" t="s">
        <v>9587</v>
      </c>
      <c r="C309" s="177" t="s">
        <v>9586</v>
      </c>
      <c r="D309" s="177" t="s">
        <v>6317</v>
      </c>
      <c r="E309" s="181">
        <v>10.73</v>
      </c>
      <c r="F309" s="177" t="s">
        <v>6316</v>
      </c>
      <c r="G309" s="177" t="s">
        <v>3007</v>
      </c>
      <c r="H309" s="172">
        <v>6328</v>
      </c>
    </row>
    <row r="310" spans="1:8" ht="31.5" x14ac:dyDescent="0.25">
      <c r="A310" s="177" t="s">
        <v>9555</v>
      </c>
      <c r="B310" s="177" t="s">
        <v>9585</v>
      </c>
      <c r="C310" s="177" t="s">
        <v>9584</v>
      </c>
      <c r="D310" s="177" t="s">
        <v>4372</v>
      </c>
      <c r="E310" s="181">
        <v>25.03</v>
      </c>
      <c r="F310" s="177" t="s">
        <v>4371</v>
      </c>
      <c r="G310" s="177" t="s">
        <v>3007</v>
      </c>
      <c r="H310" s="172">
        <v>6329</v>
      </c>
    </row>
    <row r="311" spans="1:8" ht="31.5" x14ac:dyDescent="0.25">
      <c r="A311" s="177" t="s">
        <v>9555</v>
      </c>
      <c r="B311" s="177" t="s">
        <v>9583</v>
      </c>
      <c r="C311" s="177" t="s">
        <v>9582</v>
      </c>
      <c r="D311" s="177" t="s">
        <v>9581</v>
      </c>
      <c r="E311" s="181">
        <v>10.96</v>
      </c>
      <c r="F311" s="177" t="s">
        <v>9580</v>
      </c>
      <c r="G311" s="177" t="s">
        <v>3007</v>
      </c>
      <c r="H311" s="172">
        <v>6330</v>
      </c>
    </row>
    <row r="312" spans="1:8" ht="31.5" x14ac:dyDescent="0.25">
      <c r="A312" s="177" t="s">
        <v>9555</v>
      </c>
      <c r="B312" s="177" t="s">
        <v>9579</v>
      </c>
      <c r="C312" s="177" t="s">
        <v>9578</v>
      </c>
      <c r="D312" s="177" t="s">
        <v>4408</v>
      </c>
      <c r="E312" s="181">
        <v>13.4</v>
      </c>
      <c r="F312" s="177" t="s">
        <v>4407</v>
      </c>
      <c r="G312" s="177" t="s">
        <v>3007</v>
      </c>
      <c r="H312" s="172">
        <v>6331</v>
      </c>
    </row>
    <row r="313" spans="1:8" ht="31.5" x14ac:dyDescent="0.25">
      <c r="A313" s="177" t="s">
        <v>9555</v>
      </c>
      <c r="B313" s="177" t="s">
        <v>9577</v>
      </c>
      <c r="C313" s="177" t="s">
        <v>9576</v>
      </c>
      <c r="D313" s="177" t="s">
        <v>4775</v>
      </c>
      <c r="E313" s="181">
        <v>35.93</v>
      </c>
      <c r="F313" s="177" t="s">
        <v>4774</v>
      </c>
      <c r="G313" s="177" t="s">
        <v>3007</v>
      </c>
      <c r="H313" s="173">
        <v>6332</v>
      </c>
    </row>
    <row r="314" spans="1:8" ht="31.5" x14ac:dyDescent="0.25">
      <c r="A314" s="177" t="s">
        <v>9555</v>
      </c>
      <c r="B314" s="177" t="s">
        <v>9575</v>
      </c>
      <c r="C314" s="177" t="s">
        <v>9574</v>
      </c>
      <c r="D314" s="177" t="s">
        <v>5182</v>
      </c>
      <c r="E314" s="181">
        <v>10.67</v>
      </c>
      <c r="F314" s="177" t="s">
        <v>5181</v>
      </c>
      <c r="G314" s="177" t="s">
        <v>3007</v>
      </c>
      <c r="H314" s="172">
        <v>6333</v>
      </c>
    </row>
    <row r="315" spans="1:8" ht="31.5" x14ac:dyDescent="0.25">
      <c r="A315" s="177" t="s">
        <v>9555</v>
      </c>
      <c r="B315" s="177" t="s">
        <v>9573</v>
      </c>
      <c r="C315" s="177" t="s">
        <v>9572</v>
      </c>
      <c r="D315" s="177" t="s">
        <v>7697</v>
      </c>
      <c r="E315" s="181">
        <v>47.08</v>
      </c>
      <c r="F315" s="177" t="s">
        <v>7696</v>
      </c>
      <c r="G315" s="177" t="s">
        <v>3007</v>
      </c>
      <c r="H315" s="172">
        <v>6334</v>
      </c>
    </row>
    <row r="316" spans="1:8" ht="31.5" x14ac:dyDescent="0.25">
      <c r="A316" s="177" t="s">
        <v>9555</v>
      </c>
      <c r="B316" s="177" t="s">
        <v>9571</v>
      </c>
      <c r="C316" s="177" t="s">
        <v>9570</v>
      </c>
      <c r="D316" s="177" t="s">
        <v>3611</v>
      </c>
      <c r="E316" s="181">
        <v>20.74</v>
      </c>
      <c r="F316" s="177" t="s">
        <v>3610</v>
      </c>
      <c r="G316" s="177" t="s">
        <v>3007</v>
      </c>
      <c r="H316" s="172">
        <v>6335</v>
      </c>
    </row>
    <row r="317" spans="1:8" ht="31.5" x14ac:dyDescent="0.25">
      <c r="A317" s="177" t="s">
        <v>9555</v>
      </c>
      <c r="B317" s="177" t="s">
        <v>9569</v>
      </c>
      <c r="C317" s="177" t="s">
        <v>9568</v>
      </c>
      <c r="D317" s="177" t="s">
        <v>5718</v>
      </c>
      <c r="E317" s="181">
        <v>12.57</v>
      </c>
      <c r="F317" s="177" t="s">
        <v>8125</v>
      </c>
      <c r="G317" s="177" t="s">
        <v>3007</v>
      </c>
      <c r="H317" s="172">
        <v>6336</v>
      </c>
    </row>
    <row r="318" spans="1:8" ht="31.5" x14ac:dyDescent="0.25">
      <c r="A318" s="177" t="s">
        <v>9555</v>
      </c>
      <c r="B318" s="177" t="s">
        <v>9567</v>
      </c>
      <c r="C318" s="177" t="s">
        <v>9566</v>
      </c>
      <c r="D318" s="177" t="s">
        <v>9565</v>
      </c>
      <c r="E318" s="181">
        <v>5.0599999999999996</v>
      </c>
      <c r="F318" s="177" t="s">
        <v>9564</v>
      </c>
      <c r="G318" s="177" t="s">
        <v>3007</v>
      </c>
      <c r="H318" s="172">
        <v>6337</v>
      </c>
    </row>
    <row r="319" spans="1:8" ht="31.5" x14ac:dyDescent="0.25">
      <c r="A319" s="177" t="s">
        <v>9555</v>
      </c>
      <c r="B319" s="177" t="s">
        <v>9563</v>
      </c>
      <c r="C319" s="177" t="s">
        <v>9562</v>
      </c>
      <c r="D319" s="177" t="s">
        <v>8211</v>
      </c>
      <c r="E319" s="181">
        <v>3.17</v>
      </c>
      <c r="F319" s="177" t="s">
        <v>8210</v>
      </c>
      <c r="G319" s="177" t="s">
        <v>3007</v>
      </c>
      <c r="H319" s="172">
        <v>6338</v>
      </c>
    </row>
    <row r="320" spans="1:8" ht="31.5" x14ac:dyDescent="0.25">
      <c r="A320" s="177" t="s">
        <v>9555</v>
      </c>
      <c r="B320" s="177" t="s">
        <v>9561</v>
      </c>
      <c r="C320" s="177" t="s">
        <v>9560</v>
      </c>
      <c r="D320" s="177" t="s">
        <v>7657</v>
      </c>
      <c r="E320" s="181">
        <v>7.29</v>
      </c>
      <c r="F320" s="177" t="s">
        <v>7656</v>
      </c>
      <c r="G320" s="177" t="s">
        <v>3007</v>
      </c>
      <c r="H320" s="172">
        <v>6339</v>
      </c>
    </row>
    <row r="321" spans="1:8" ht="31.5" x14ac:dyDescent="0.25">
      <c r="A321" s="177" t="s">
        <v>9555</v>
      </c>
      <c r="B321" s="177" t="s">
        <v>9559</v>
      </c>
      <c r="C321" s="177" t="s">
        <v>9558</v>
      </c>
      <c r="D321" s="177" t="s">
        <v>4652</v>
      </c>
      <c r="E321" s="181">
        <v>25.15</v>
      </c>
      <c r="F321" s="177" t="s">
        <v>4651</v>
      </c>
      <c r="G321" s="177" t="s">
        <v>3007</v>
      </c>
      <c r="H321" s="172">
        <v>6340</v>
      </c>
    </row>
    <row r="322" spans="1:8" ht="31.5" x14ac:dyDescent="0.25">
      <c r="A322" s="177" t="s">
        <v>9555</v>
      </c>
      <c r="B322" s="177" t="s">
        <v>9557</v>
      </c>
      <c r="C322" s="177" t="s">
        <v>9556</v>
      </c>
      <c r="D322" s="177" t="s">
        <v>3123</v>
      </c>
      <c r="E322" s="181">
        <v>3.34</v>
      </c>
      <c r="F322" s="177" t="s">
        <v>3122</v>
      </c>
      <c r="G322" s="177" t="s">
        <v>3007</v>
      </c>
      <c r="H322" s="172">
        <v>6341</v>
      </c>
    </row>
    <row r="323" spans="1:8" ht="31.5" x14ac:dyDescent="0.25">
      <c r="A323" s="177" t="s">
        <v>9555</v>
      </c>
      <c r="B323" s="177" t="s">
        <v>9554</v>
      </c>
      <c r="C323" s="177" t="s">
        <v>9553</v>
      </c>
      <c r="D323" s="177" t="s">
        <v>6143</v>
      </c>
      <c r="E323" s="181">
        <v>1.7</v>
      </c>
      <c r="F323" s="177" t="s">
        <v>6142</v>
      </c>
      <c r="G323" s="177" t="s">
        <v>3007</v>
      </c>
      <c r="H323" s="172">
        <v>6342</v>
      </c>
    </row>
    <row r="324" spans="1:8" ht="31.5" x14ac:dyDescent="0.25">
      <c r="A324" s="177" t="s">
        <v>9501</v>
      </c>
      <c r="B324" s="177" t="s">
        <v>9552</v>
      </c>
      <c r="C324" s="177" t="s">
        <v>9551</v>
      </c>
      <c r="D324" s="177" t="s">
        <v>9550</v>
      </c>
      <c r="E324" s="181">
        <v>2.3199999999999998</v>
      </c>
      <c r="F324" s="177" t="s">
        <v>9549</v>
      </c>
      <c r="G324" s="177" t="s">
        <v>3007</v>
      </c>
      <c r="H324" s="172">
        <v>6425</v>
      </c>
    </row>
    <row r="325" spans="1:8" ht="31.5" x14ac:dyDescent="0.25">
      <c r="A325" s="177" t="s">
        <v>9501</v>
      </c>
      <c r="B325" s="177" t="s">
        <v>9548</v>
      </c>
      <c r="C325" s="177" t="s">
        <v>9547</v>
      </c>
      <c r="D325" s="177" t="s">
        <v>4582</v>
      </c>
      <c r="E325" s="181">
        <v>33.6</v>
      </c>
      <c r="F325" s="177" t="s">
        <v>4581</v>
      </c>
      <c r="G325" s="177" t="s">
        <v>3007</v>
      </c>
      <c r="H325" s="172">
        <v>6426</v>
      </c>
    </row>
    <row r="326" spans="1:8" ht="31.5" x14ac:dyDescent="0.25">
      <c r="A326" s="177" t="s">
        <v>9501</v>
      </c>
      <c r="B326" s="177" t="s">
        <v>8677</v>
      </c>
      <c r="C326" s="177" t="s">
        <v>9546</v>
      </c>
      <c r="D326" s="177" t="s">
        <v>9545</v>
      </c>
      <c r="E326" s="181">
        <v>17.510000000000002</v>
      </c>
      <c r="F326" s="177" t="s">
        <v>9544</v>
      </c>
      <c r="G326" s="177" t="s">
        <v>3007</v>
      </c>
      <c r="H326" s="172">
        <v>6428</v>
      </c>
    </row>
    <row r="327" spans="1:8" ht="31.5" x14ac:dyDescent="0.25">
      <c r="A327" s="177" t="s">
        <v>9501</v>
      </c>
      <c r="B327" s="177" t="s">
        <v>9543</v>
      </c>
      <c r="C327" s="177" t="s">
        <v>9542</v>
      </c>
      <c r="D327" s="177" t="s">
        <v>9541</v>
      </c>
      <c r="E327" s="181">
        <v>20.95</v>
      </c>
      <c r="F327" s="177" t="s">
        <v>9540</v>
      </c>
      <c r="G327" s="177" t="s">
        <v>3007</v>
      </c>
      <c r="H327" s="172">
        <v>6429</v>
      </c>
    </row>
    <row r="328" spans="1:8" ht="31.5" x14ac:dyDescent="0.25">
      <c r="A328" s="177" t="s">
        <v>9501</v>
      </c>
      <c r="B328" s="177" t="s">
        <v>9539</v>
      </c>
      <c r="C328" s="177" t="s">
        <v>9538</v>
      </c>
      <c r="D328" s="177" t="s">
        <v>4622</v>
      </c>
      <c r="E328" s="181">
        <v>8.9499999999999993</v>
      </c>
      <c r="F328" s="177" t="s">
        <v>4621</v>
      </c>
      <c r="G328" s="177" t="s">
        <v>3007</v>
      </c>
      <c r="H328" s="172">
        <v>6430</v>
      </c>
    </row>
    <row r="329" spans="1:8" ht="31.5" x14ac:dyDescent="0.25">
      <c r="A329" s="177" t="s">
        <v>9501</v>
      </c>
      <c r="B329" s="177" t="s">
        <v>9537</v>
      </c>
      <c r="C329" s="177" t="s">
        <v>9536</v>
      </c>
      <c r="D329" s="177" t="s">
        <v>9535</v>
      </c>
      <c r="E329" s="181">
        <v>10.46</v>
      </c>
      <c r="F329" s="177" t="s">
        <v>9534</v>
      </c>
      <c r="G329" s="177" t="s">
        <v>3007</v>
      </c>
      <c r="H329" s="172">
        <v>6431</v>
      </c>
    </row>
    <row r="330" spans="1:8" ht="31.5" x14ac:dyDescent="0.25">
      <c r="A330" s="177" t="s">
        <v>9501</v>
      </c>
      <c r="B330" s="177" t="s">
        <v>9533</v>
      </c>
      <c r="C330" s="177" t="s">
        <v>9532</v>
      </c>
      <c r="D330" s="177" t="s">
        <v>3735</v>
      </c>
      <c r="E330" s="181">
        <v>2.52</v>
      </c>
      <c r="F330" s="177" t="s">
        <v>3734</v>
      </c>
      <c r="G330" s="177" t="s">
        <v>3007</v>
      </c>
      <c r="H330" s="172">
        <v>6432</v>
      </c>
    </row>
    <row r="331" spans="1:8" ht="31.5" x14ac:dyDescent="0.25">
      <c r="A331" s="177" t="s">
        <v>9501</v>
      </c>
      <c r="B331" s="177" t="s">
        <v>9531</v>
      </c>
      <c r="C331" s="177" t="s">
        <v>9530</v>
      </c>
      <c r="D331" s="177" t="s">
        <v>9529</v>
      </c>
      <c r="E331" s="181">
        <v>11.84</v>
      </c>
      <c r="F331" s="177" t="s">
        <v>9528</v>
      </c>
      <c r="G331" s="177" t="s">
        <v>3007</v>
      </c>
      <c r="H331" s="172">
        <v>6433</v>
      </c>
    </row>
    <row r="332" spans="1:8" ht="31.5" x14ac:dyDescent="0.25">
      <c r="A332" s="177" t="s">
        <v>9501</v>
      </c>
      <c r="B332" s="177" t="s">
        <v>9527</v>
      </c>
      <c r="C332" s="177" t="s">
        <v>9526</v>
      </c>
      <c r="D332" s="177" t="s">
        <v>8409</v>
      </c>
      <c r="E332" s="181">
        <v>9.99</v>
      </c>
      <c r="F332" s="177" t="s">
        <v>8408</v>
      </c>
      <c r="G332" s="177" t="s">
        <v>3007</v>
      </c>
      <c r="H332" s="172">
        <v>6434</v>
      </c>
    </row>
    <row r="333" spans="1:8" ht="31.5" x14ac:dyDescent="0.25">
      <c r="A333" s="177" t="s">
        <v>9501</v>
      </c>
      <c r="B333" s="177" t="s">
        <v>9525</v>
      </c>
      <c r="C333" s="177" t="s">
        <v>9524</v>
      </c>
      <c r="D333" s="177" t="s">
        <v>9523</v>
      </c>
      <c r="E333" s="181">
        <v>8.2899999999999991</v>
      </c>
      <c r="F333" s="177" t="s">
        <v>9522</v>
      </c>
      <c r="G333" s="177" t="s">
        <v>3007</v>
      </c>
      <c r="H333" s="172">
        <v>6435</v>
      </c>
    </row>
    <row r="334" spans="1:8" ht="31.5" x14ac:dyDescent="0.25">
      <c r="A334" s="177" t="s">
        <v>9501</v>
      </c>
      <c r="B334" s="177" t="s">
        <v>4781</v>
      </c>
      <c r="C334" s="177" t="s">
        <v>9521</v>
      </c>
      <c r="D334" s="177" t="s">
        <v>9520</v>
      </c>
      <c r="E334" s="181">
        <v>3.72</v>
      </c>
      <c r="F334" s="177" t="s">
        <v>9519</v>
      </c>
      <c r="G334" s="177" t="s">
        <v>3007</v>
      </c>
      <c r="H334" s="172">
        <v>6436</v>
      </c>
    </row>
    <row r="335" spans="1:8" ht="31.5" x14ac:dyDescent="0.25">
      <c r="A335" s="177" t="s">
        <v>9501</v>
      </c>
      <c r="B335" s="177" t="s">
        <v>9518</v>
      </c>
      <c r="C335" s="177" t="s">
        <v>9517</v>
      </c>
      <c r="D335" s="177" t="s">
        <v>9280</v>
      </c>
      <c r="E335" s="181">
        <v>1.83</v>
      </c>
      <c r="F335" s="177" t="s">
        <v>9279</v>
      </c>
      <c r="G335" s="177" t="s">
        <v>3007</v>
      </c>
      <c r="H335" s="172">
        <v>6437</v>
      </c>
    </row>
    <row r="336" spans="1:8" ht="31.5" x14ac:dyDescent="0.25">
      <c r="A336" s="177" t="s">
        <v>9501</v>
      </c>
      <c r="B336" s="177" t="s">
        <v>9516</v>
      </c>
      <c r="C336" s="177" t="s">
        <v>9515</v>
      </c>
      <c r="D336" s="177" t="s">
        <v>3920</v>
      </c>
      <c r="E336" s="181">
        <v>37.5</v>
      </c>
      <c r="F336" s="177" t="s">
        <v>3919</v>
      </c>
      <c r="G336" s="177" t="s">
        <v>3007</v>
      </c>
      <c r="H336" s="172">
        <v>6438</v>
      </c>
    </row>
    <row r="337" spans="1:8" ht="31.5" x14ac:dyDescent="0.25">
      <c r="A337" s="177" t="s">
        <v>9501</v>
      </c>
      <c r="B337" s="177" t="s">
        <v>9514</v>
      </c>
      <c r="C337" s="177" t="s">
        <v>9513</v>
      </c>
      <c r="D337" s="177" t="s">
        <v>5358</v>
      </c>
      <c r="E337" s="181">
        <v>8.4600000000000009</v>
      </c>
      <c r="F337" s="177" t="s">
        <v>5357</v>
      </c>
      <c r="G337" s="177" t="s">
        <v>3007</v>
      </c>
      <c r="H337" s="172">
        <v>6439</v>
      </c>
    </row>
    <row r="338" spans="1:8" ht="31.5" x14ac:dyDescent="0.25">
      <c r="A338" s="177" t="s">
        <v>9501</v>
      </c>
      <c r="B338" s="177" t="s">
        <v>9512</v>
      </c>
      <c r="C338" s="177" t="s">
        <v>9511</v>
      </c>
      <c r="D338" s="177" t="s">
        <v>3523</v>
      </c>
      <c r="E338" s="181">
        <v>17.93</v>
      </c>
      <c r="F338" s="177" t="s">
        <v>3522</v>
      </c>
      <c r="G338" s="177" t="s">
        <v>3007</v>
      </c>
      <c r="H338" s="172">
        <v>6440</v>
      </c>
    </row>
    <row r="339" spans="1:8" ht="31.5" x14ac:dyDescent="0.25">
      <c r="A339" s="177" t="s">
        <v>9501</v>
      </c>
      <c r="B339" s="177" t="s">
        <v>9510</v>
      </c>
      <c r="C339" s="177" t="s">
        <v>9509</v>
      </c>
      <c r="D339" s="177" t="s">
        <v>9508</v>
      </c>
      <c r="E339" s="181">
        <v>9.2100000000000009</v>
      </c>
      <c r="F339" s="177" t="s">
        <v>9507</v>
      </c>
      <c r="G339" s="177" t="s">
        <v>3007</v>
      </c>
      <c r="H339" s="172">
        <v>6441</v>
      </c>
    </row>
    <row r="340" spans="1:8" ht="31.5" x14ac:dyDescent="0.25">
      <c r="A340" s="177" t="s">
        <v>9501</v>
      </c>
      <c r="B340" s="177" t="s">
        <v>9506</v>
      </c>
      <c r="C340" s="177" t="s">
        <v>9505</v>
      </c>
      <c r="D340" s="177" t="s">
        <v>4124</v>
      </c>
      <c r="E340" s="181">
        <v>15.97</v>
      </c>
      <c r="F340" s="177" t="s">
        <v>4123</v>
      </c>
      <c r="G340" s="177" t="s">
        <v>3007</v>
      </c>
      <c r="H340" s="172">
        <v>6442</v>
      </c>
    </row>
    <row r="341" spans="1:8" ht="31.5" x14ac:dyDescent="0.25">
      <c r="A341" s="177" t="s">
        <v>9501</v>
      </c>
      <c r="B341" s="177" t="s">
        <v>4857</v>
      </c>
      <c r="C341" s="177" t="s">
        <v>9504</v>
      </c>
      <c r="D341" s="177" t="s">
        <v>9503</v>
      </c>
      <c r="E341" s="181">
        <v>49.2</v>
      </c>
      <c r="F341" s="177" t="s">
        <v>9502</v>
      </c>
      <c r="G341" s="177" t="s">
        <v>3007</v>
      </c>
      <c r="H341" s="172">
        <v>6443</v>
      </c>
    </row>
    <row r="342" spans="1:8" ht="31.5" x14ac:dyDescent="0.25">
      <c r="A342" s="177" t="s">
        <v>9501</v>
      </c>
      <c r="B342" s="177" t="s">
        <v>9500</v>
      </c>
      <c r="C342" s="177" t="s">
        <v>9499</v>
      </c>
      <c r="D342" s="177" t="s">
        <v>9498</v>
      </c>
      <c r="E342" s="181">
        <v>3.62</v>
      </c>
      <c r="F342" s="177" t="s">
        <v>9497</v>
      </c>
      <c r="G342" s="177" t="s">
        <v>3007</v>
      </c>
      <c r="H342" s="172">
        <v>6444</v>
      </c>
    </row>
    <row r="343" spans="1:8" ht="31.5" x14ac:dyDescent="0.25">
      <c r="A343" s="177" t="s">
        <v>9453</v>
      </c>
      <c r="B343" s="177" t="s">
        <v>9496</v>
      </c>
      <c r="C343" s="177" t="s">
        <v>9495</v>
      </c>
      <c r="D343" s="177" t="s">
        <v>4839</v>
      </c>
      <c r="E343" s="181">
        <v>8.41</v>
      </c>
      <c r="F343" s="177" t="s">
        <v>4838</v>
      </c>
      <c r="G343" s="177" t="s">
        <v>3007</v>
      </c>
      <c r="H343" s="172">
        <v>6476</v>
      </c>
    </row>
    <row r="344" spans="1:8" ht="31.5" x14ac:dyDescent="0.25">
      <c r="A344" s="177" t="s">
        <v>9453</v>
      </c>
      <c r="B344" s="177" t="s">
        <v>9494</v>
      </c>
      <c r="C344" s="177" t="s">
        <v>9493</v>
      </c>
      <c r="D344" s="177" t="s">
        <v>6066</v>
      </c>
      <c r="E344" s="181">
        <v>21.33</v>
      </c>
      <c r="F344" s="177" t="s">
        <v>3266</v>
      </c>
      <c r="G344" s="177" t="s">
        <v>3007</v>
      </c>
      <c r="H344" s="172">
        <v>6477</v>
      </c>
    </row>
    <row r="345" spans="1:8" ht="31.5" x14ac:dyDescent="0.25">
      <c r="A345" s="177" t="s">
        <v>9453</v>
      </c>
      <c r="B345" s="177" t="s">
        <v>9492</v>
      </c>
      <c r="C345" s="177" t="s">
        <v>9491</v>
      </c>
      <c r="D345" s="177" t="s">
        <v>5539</v>
      </c>
      <c r="E345" s="181">
        <v>2.35</v>
      </c>
      <c r="F345" s="177" t="s">
        <v>5538</v>
      </c>
      <c r="G345" s="177" t="s">
        <v>3007</v>
      </c>
      <c r="H345" s="172">
        <v>6478</v>
      </c>
    </row>
    <row r="346" spans="1:8" ht="31.5" x14ac:dyDescent="0.25">
      <c r="A346" s="177" t="s">
        <v>9453</v>
      </c>
      <c r="B346" s="177" t="s">
        <v>9490</v>
      </c>
      <c r="C346" s="177" t="s">
        <v>9489</v>
      </c>
      <c r="D346" s="177" t="s">
        <v>9488</v>
      </c>
      <c r="E346" s="181">
        <v>5.19</v>
      </c>
      <c r="F346" s="177" t="s">
        <v>9487</v>
      </c>
      <c r="G346" s="177" t="s">
        <v>3007</v>
      </c>
      <c r="H346" s="172">
        <v>6479</v>
      </c>
    </row>
    <row r="347" spans="1:8" ht="31.5" x14ac:dyDescent="0.25">
      <c r="A347" s="177" t="s">
        <v>9453</v>
      </c>
      <c r="B347" s="177" t="s">
        <v>9486</v>
      </c>
      <c r="C347" s="177" t="s">
        <v>9485</v>
      </c>
      <c r="D347" s="177" t="s">
        <v>3247</v>
      </c>
      <c r="E347" s="181">
        <v>6.48</v>
      </c>
      <c r="F347" s="177" t="s">
        <v>3246</v>
      </c>
      <c r="G347" s="177" t="s">
        <v>3007</v>
      </c>
      <c r="H347" s="172">
        <v>6480</v>
      </c>
    </row>
    <row r="348" spans="1:8" ht="31.5" x14ac:dyDescent="0.25">
      <c r="A348" s="177" t="s">
        <v>9453</v>
      </c>
      <c r="B348" s="177" t="s">
        <v>9484</v>
      </c>
      <c r="C348" s="177" t="s">
        <v>9483</v>
      </c>
      <c r="D348" s="177" t="s">
        <v>3957</v>
      </c>
      <c r="E348" s="181">
        <v>20.57</v>
      </c>
      <c r="F348" s="177" t="s">
        <v>3956</v>
      </c>
      <c r="G348" s="177" t="s">
        <v>3007</v>
      </c>
      <c r="H348" s="172">
        <v>6481</v>
      </c>
    </row>
    <row r="349" spans="1:8" ht="31.5" x14ac:dyDescent="0.25">
      <c r="A349" s="177" t="s">
        <v>9453</v>
      </c>
      <c r="B349" s="177" t="s">
        <v>9482</v>
      </c>
      <c r="C349" s="177" t="s">
        <v>9481</v>
      </c>
      <c r="D349" s="177" t="s">
        <v>5259</v>
      </c>
      <c r="E349" s="181">
        <v>11.88</v>
      </c>
      <c r="F349" s="177" t="s">
        <v>5258</v>
      </c>
      <c r="G349" s="177" t="s">
        <v>3007</v>
      </c>
      <c r="H349" s="172">
        <v>6482</v>
      </c>
    </row>
    <row r="350" spans="1:8" ht="31.5" x14ac:dyDescent="0.25">
      <c r="A350" s="177" t="s">
        <v>9453</v>
      </c>
      <c r="B350" s="177" t="s">
        <v>9480</v>
      </c>
      <c r="C350" s="177" t="s">
        <v>9479</v>
      </c>
      <c r="D350" s="177" t="s">
        <v>3385</v>
      </c>
      <c r="E350" s="181">
        <v>21.69</v>
      </c>
      <c r="F350" s="177" t="s">
        <v>3384</v>
      </c>
      <c r="G350" s="177" t="s">
        <v>3007</v>
      </c>
      <c r="H350" s="172">
        <v>6483</v>
      </c>
    </row>
    <row r="351" spans="1:8" ht="31.5" x14ac:dyDescent="0.25">
      <c r="A351" s="177" t="s">
        <v>9453</v>
      </c>
      <c r="B351" s="177" t="s">
        <v>9478</v>
      </c>
      <c r="C351" s="177" t="s">
        <v>9477</v>
      </c>
      <c r="D351" s="177" t="s">
        <v>8463</v>
      </c>
      <c r="E351" s="181">
        <v>6.16</v>
      </c>
      <c r="F351" s="177" t="s">
        <v>8462</v>
      </c>
      <c r="G351" s="177" t="s">
        <v>3007</v>
      </c>
      <c r="H351" s="172">
        <v>6484</v>
      </c>
    </row>
    <row r="352" spans="1:8" ht="31.5" x14ac:dyDescent="0.25">
      <c r="A352" s="177" t="s">
        <v>9453</v>
      </c>
      <c r="B352" s="177" t="s">
        <v>9476</v>
      </c>
      <c r="C352" s="177" t="s">
        <v>9475</v>
      </c>
      <c r="D352" s="177" t="s">
        <v>4929</v>
      </c>
      <c r="E352" s="181">
        <v>41.9</v>
      </c>
      <c r="F352" s="177" t="s">
        <v>4928</v>
      </c>
      <c r="G352" s="177" t="s">
        <v>3007</v>
      </c>
      <c r="H352" s="172">
        <v>6485</v>
      </c>
    </row>
    <row r="353" spans="1:8" ht="31.5" x14ac:dyDescent="0.25">
      <c r="A353" s="177" t="s">
        <v>9453</v>
      </c>
      <c r="B353" s="177" t="s">
        <v>3040</v>
      </c>
      <c r="C353" s="177" t="s">
        <v>9474</v>
      </c>
      <c r="D353" s="177" t="s">
        <v>3086</v>
      </c>
      <c r="E353" s="181">
        <v>13.75</v>
      </c>
      <c r="F353" s="177" t="s">
        <v>3085</v>
      </c>
      <c r="G353" s="177" t="s">
        <v>3007</v>
      </c>
      <c r="H353" s="172">
        <v>6486</v>
      </c>
    </row>
    <row r="354" spans="1:8" ht="31.5" x14ac:dyDescent="0.25">
      <c r="A354" s="177" t="s">
        <v>9453</v>
      </c>
      <c r="B354" s="177" t="s">
        <v>9473</v>
      </c>
      <c r="C354" s="177" t="s">
        <v>9472</v>
      </c>
      <c r="D354" s="177" t="s">
        <v>9471</v>
      </c>
      <c r="E354" s="181">
        <v>23.23</v>
      </c>
      <c r="F354" s="177" t="s">
        <v>9470</v>
      </c>
      <c r="G354" s="177" t="s">
        <v>3007</v>
      </c>
      <c r="H354" s="172">
        <v>6487</v>
      </c>
    </row>
    <row r="355" spans="1:8" ht="31.5" x14ac:dyDescent="0.25">
      <c r="A355" s="177" t="s">
        <v>9453</v>
      </c>
      <c r="B355" s="177" t="s">
        <v>9469</v>
      </c>
      <c r="C355" s="177" t="s">
        <v>9468</v>
      </c>
      <c r="D355" s="177" t="s">
        <v>3082</v>
      </c>
      <c r="E355" s="181">
        <v>11.11</v>
      </c>
      <c r="F355" s="177" t="s">
        <v>3081</v>
      </c>
      <c r="G355" s="177" t="s">
        <v>3007</v>
      </c>
      <c r="H355" s="172">
        <v>6488</v>
      </c>
    </row>
    <row r="356" spans="1:8" ht="31.5" x14ac:dyDescent="0.25">
      <c r="A356" s="177" t="s">
        <v>9453</v>
      </c>
      <c r="B356" s="177" t="s">
        <v>9467</v>
      </c>
      <c r="C356" s="177" t="s">
        <v>9466</v>
      </c>
      <c r="D356" s="177" t="s">
        <v>7138</v>
      </c>
      <c r="E356" s="181">
        <v>15.69</v>
      </c>
      <c r="F356" s="177" t="s">
        <v>7137</v>
      </c>
      <c r="G356" s="177" t="s">
        <v>3007</v>
      </c>
      <c r="H356" s="172">
        <v>6489</v>
      </c>
    </row>
    <row r="357" spans="1:8" ht="31.5" x14ac:dyDescent="0.25">
      <c r="A357" s="177" t="s">
        <v>9453</v>
      </c>
      <c r="B357" s="177" t="s">
        <v>9465</v>
      </c>
      <c r="C357" s="177" t="s">
        <v>9464</v>
      </c>
      <c r="D357" s="177" t="s">
        <v>6836</v>
      </c>
      <c r="E357" s="181">
        <v>35.58</v>
      </c>
      <c r="F357" s="177" t="s">
        <v>6835</v>
      </c>
      <c r="G357" s="177" t="s">
        <v>3007</v>
      </c>
      <c r="H357" s="172">
        <v>6490</v>
      </c>
    </row>
    <row r="358" spans="1:8" ht="31.5" x14ac:dyDescent="0.25">
      <c r="A358" s="177" t="s">
        <v>9453</v>
      </c>
      <c r="B358" s="177" t="s">
        <v>9463</v>
      </c>
      <c r="C358" s="177" t="s">
        <v>9462</v>
      </c>
      <c r="D358" s="177" t="s">
        <v>6957</v>
      </c>
      <c r="E358" s="181">
        <v>49.33</v>
      </c>
      <c r="F358" s="177" t="s">
        <v>6956</v>
      </c>
      <c r="G358" s="177" t="s">
        <v>3007</v>
      </c>
      <c r="H358" s="172">
        <v>6491</v>
      </c>
    </row>
    <row r="359" spans="1:8" ht="31.5" x14ac:dyDescent="0.25">
      <c r="A359" s="177" t="s">
        <v>9453</v>
      </c>
      <c r="B359" s="177" t="s">
        <v>9461</v>
      </c>
      <c r="C359" s="177" t="s">
        <v>9460</v>
      </c>
      <c r="D359" s="177" t="s">
        <v>4835</v>
      </c>
      <c r="E359" s="181">
        <v>13.66</v>
      </c>
      <c r="F359" s="177" t="s">
        <v>4834</v>
      </c>
      <c r="G359" s="177" t="s">
        <v>3007</v>
      </c>
      <c r="H359" s="172">
        <v>6492</v>
      </c>
    </row>
    <row r="360" spans="1:8" ht="31.5" x14ac:dyDescent="0.25">
      <c r="A360" s="177" t="s">
        <v>9453</v>
      </c>
      <c r="B360" s="177" t="s">
        <v>9459</v>
      </c>
      <c r="C360" s="177" t="s">
        <v>9458</v>
      </c>
      <c r="D360" s="177" t="s">
        <v>5032</v>
      </c>
      <c r="E360" s="181">
        <v>4.33</v>
      </c>
      <c r="F360" s="177" t="s">
        <v>5031</v>
      </c>
      <c r="G360" s="177" t="s">
        <v>3007</v>
      </c>
      <c r="H360" s="172">
        <v>6493</v>
      </c>
    </row>
    <row r="361" spans="1:8" ht="31.5" x14ac:dyDescent="0.25">
      <c r="A361" s="177" t="s">
        <v>9453</v>
      </c>
      <c r="B361" s="177" t="s">
        <v>9457</v>
      </c>
      <c r="C361" s="177" t="s">
        <v>9456</v>
      </c>
      <c r="D361" s="177" t="s">
        <v>9174</v>
      </c>
      <c r="E361" s="181">
        <v>30.41</v>
      </c>
      <c r="F361" s="177" t="s">
        <v>9173</v>
      </c>
      <c r="G361" s="177" t="s">
        <v>3007</v>
      </c>
      <c r="H361" s="172">
        <v>6494</v>
      </c>
    </row>
    <row r="362" spans="1:8" ht="31.5" x14ac:dyDescent="0.25">
      <c r="A362" s="177" t="s">
        <v>9453</v>
      </c>
      <c r="B362" s="177" t="s">
        <v>9455</v>
      </c>
      <c r="C362" s="177" t="s">
        <v>9454</v>
      </c>
      <c r="D362" s="177" t="s">
        <v>3418</v>
      </c>
      <c r="E362" s="181">
        <v>27.3</v>
      </c>
      <c r="F362" s="177" t="s">
        <v>3417</v>
      </c>
      <c r="G362" s="177" t="s">
        <v>3007</v>
      </c>
      <c r="H362" s="172">
        <v>6495</v>
      </c>
    </row>
    <row r="363" spans="1:8" ht="31.5" x14ac:dyDescent="0.25">
      <c r="A363" s="177" t="s">
        <v>9453</v>
      </c>
      <c r="B363" s="177" t="s">
        <v>9452</v>
      </c>
      <c r="C363" s="177" t="s">
        <v>9451</v>
      </c>
      <c r="D363" s="177" t="s">
        <v>9450</v>
      </c>
      <c r="E363" s="181">
        <v>5.15</v>
      </c>
      <c r="F363" s="177" t="s">
        <v>9449</v>
      </c>
      <c r="G363" s="177" t="s">
        <v>3007</v>
      </c>
      <c r="H363" s="172">
        <v>6496</v>
      </c>
    </row>
    <row r="364" spans="1:8" s="200" customFormat="1" x14ac:dyDescent="0.25">
      <c r="A364" s="198"/>
      <c r="B364" s="198"/>
      <c r="C364" s="198" t="s">
        <v>5691</v>
      </c>
      <c r="D364" s="198" t="s">
        <v>14413</v>
      </c>
      <c r="E364" s="199">
        <f>SUM(E241:E363)</f>
        <v>1755.8899999999999</v>
      </c>
      <c r="F364" s="198"/>
      <c r="G364" s="198"/>
      <c r="H364" s="172"/>
    </row>
    <row r="365" spans="1:8" s="137" customFormat="1" x14ac:dyDescent="0.25">
      <c r="A365" s="134"/>
      <c r="B365" s="134"/>
      <c r="C365" s="132"/>
      <c r="D365" s="134"/>
      <c r="E365" s="139"/>
      <c r="F365" s="134"/>
      <c r="G365" s="144"/>
      <c r="H365" s="203"/>
    </row>
    <row r="366" spans="1:8" ht="31.5" x14ac:dyDescent="0.25">
      <c r="A366" s="177" t="s">
        <v>9391</v>
      </c>
      <c r="B366" s="177" t="s">
        <v>9448</v>
      </c>
      <c r="C366" s="177" t="s">
        <v>9447</v>
      </c>
      <c r="D366" s="177" t="s">
        <v>7528</v>
      </c>
      <c r="E366" s="181">
        <v>26.43</v>
      </c>
      <c r="F366" s="177" t="s">
        <v>7527</v>
      </c>
      <c r="G366" s="177" t="s">
        <v>3007</v>
      </c>
      <c r="H366" s="172">
        <v>6535</v>
      </c>
    </row>
    <row r="367" spans="1:8" ht="31.5" x14ac:dyDescent="0.25">
      <c r="A367" s="177" t="s">
        <v>9391</v>
      </c>
      <c r="B367" s="177" t="s">
        <v>6512</v>
      </c>
      <c r="C367" s="177" t="s">
        <v>9446</v>
      </c>
      <c r="D367" s="177" t="s">
        <v>9445</v>
      </c>
      <c r="E367" s="181">
        <v>1.74</v>
      </c>
      <c r="F367" s="177" t="s">
        <v>9444</v>
      </c>
      <c r="G367" s="177" t="s">
        <v>3007</v>
      </c>
      <c r="H367" s="172">
        <v>6536</v>
      </c>
    </row>
    <row r="368" spans="1:8" ht="31.5" x14ac:dyDescent="0.25">
      <c r="A368" s="177" t="s">
        <v>9391</v>
      </c>
      <c r="B368" s="177" t="s">
        <v>9443</v>
      </c>
      <c r="C368" s="177" t="s">
        <v>9442</v>
      </c>
      <c r="D368" s="177" t="s">
        <v>8570</v>
      </c>
      <c r="E368" s="181">
        <v>5.31</v>
      </c>
      <c r="F368" s="177" t="s">
        <v>8569</v>
      </c>
      <c r="G368" s="177" t="s">
        <v>3007</v>
      </c>
      <c r="H368" s="172">
        <v>6537</v>
      </c>
    </row>
    <row r="369" spans="1:8" ht="31.5" x14ac:dyDescent="0.25">
      <c r="A369" s="177" t="s">
        <v>9391</v>
      </c>
      <c r="B369" s="177" t="s">
        <v>9441</v>
      </c>
      <c r="C369" s="177" t="s">
        <v>9440</v>
      </c>
      <c r="D369" s="177" t="s">
        <v>6699</v>
      </c>
      <c r="E369" s="181">
        <v>5.14</v>
      </c>
      <c r="F369" s="177" t="s">
        <v>6698</v>
      </c>
      <c r="G369" s="177" t="s">
        <v>3007</v>
      </c>
      <c r="H369" s="172">
        <v>6538</v>
      </c>
    </row>
    <row r="370" spans="1:8" ht="31.5" x14ac:dyDescent="0.25">
      <c r="A370" s="177" t="s">
        <v>9391</v>
      </c>
      <c r="B370" s="177" t="s">
        <v>9439</v>
      </c>
      <c r="C370" s="177" t="s">
        <v>9438</v>
      </c>
      <c r="D370" s="177" t="s">
        <v>7201</v>
      </c>
      <c r="E370" s="181">
        <v>23.25</v>
      </c>
      <c r="F370" s="177" t="s">
        <v>7200</v>
      </c>
      <c r="G370" s="177" t="s">
        <v>3007</v>
      </c>
      <c r="H370" s="172">
        <v>6539</v>
      </c>
    </row>
    <row r="371" spans="1:8" ht="31.5" x14ac:dyDescent="0.25">
      <c r="A371" s="177" t="s">
        <v>9391</v>
      </c>
      <c r="B371" s="177" t="s">
        <v>9437</v>
      </c>
      <c r="C371" s="177" t="s">
        <v>9436</v>
      </c>
      <c r="D371" s="177" t="s">
        <v>6306</v>
      </c>
      <c r="E371" s="181">
        <v>70.55</v>
      </c>
      <c r="F371" s="177" t="s">
        <v>6305</v>
      </c>
      <c r="G371" s="177" t="s">
        <v>3007</v>
      </c>
      <c r="H371" s="172">
        <v>6540</v>
      </c>
    </row>
    <row r="372" spans="1:8" ht="31.5" x14ac:dyDescent="0.25">
      <c r="A372" s="177" t="s">
        <v>9391</v>
      </c>
      <c r="B372" s="177" t="s">
        <v>9435</v>
      </c>
      <c r="C372" s="177" t="s">
        <v>9434</v>
      </c>
      <c r="D372" s="177" t="s">
        <v>5584</v>
      </c>
      <c r="E372" s="181">
        <v>4.29</v>
      </c>
      <c r="F372" s="177" t="s">
        <v>5583</v>
      </c>
      <c r="G372" s="177" t="s">
        <v>3007</v>
      </c>
      <c r="H372" s="172">
        <v>6541</v>
      </c>
    </row>
    <row r="373" spans="1:8" ht="31.5" x14ac:dyDescent="0.25">
      <c r="A373" s="177" t="s">
        <v>9391</v>
      </c>
      <c r="B373" s="177" t="s">
        <v>9433</v>
      </c>
      <c r="C373" s="177" t="s">
        <v>9432</v>
      </c>
      <c r="D373" s="177" t="s">
        <v>9431</v>
      </c>
      <c r="E373" s="181">
        <v>13.37</v>
      </c>
      <c r="F373" s="177" t="s">
        <v>9430</v>
      </c>
      <c r="G373" s="177" t="s">
        <v>3007</v>
      </c>
      <c r="H373" s="172">
        <v>6542</v>
      </c>
    </row>
    <row r="374" spans="1:8" ht="31.5" x14ac:dyDescent="0.25">
      <c r="A374" s="177" t="s">
        <v>9391</v>
      </c>
      <c r="B374" s="177" t="s">
        <v>9429</v>
      </c>
      <c r="C374" s="177" t="s">
        <v>9428</v>
      </c>
      <c r="D374" s="177" t="s">
        <v>9427</v>
      </c>
      <c r="E374" s="181">
        <v>33.520000000000003</v>
      </c>
      <c r="F374" s="177" t="s">
        <v>9426</v>
      </c>
      <c r="G374" s="177" t="s">
        <v>3007</v>
      </c>
      <c r="H374" s="172">
        <v>6543</v>
      </c>
    </row>
    <row r="375" spans="1:8" ht="31.5" x14ac:dyDescent="0.25">
      <c r="A375" s="177" t="s">
        <v>9391</v>
      </c>
      <c r="B375" s="177" t="s">
        <v>9425</v>
      </c>
      <c r="C375" s="177" t="s">
        <v>9424</v>
      </c>
      <c r="D375" s="177" t="s">
        <v>6714</v>
      </c>
      <c r="E375" s="181">
        <v>6.3</v>
      </c>
      <c r="F375" s="177" t="s">
        <v>6713</v>
      </c>
      <c r="G375" s="177" t="s">
        <v>3007</v>
      </c>
      <c r="H375" s="172">
        <v>6544</v>
      </c>
    </row>
    <row r="376" spans="1:8" ht="31.5" x14ac:dyDescent="0.25">
      <c r="A376" s="177" t="s">
        <v>9391</v>
      </c>
      <c r="B376" s="177" t="s">
        <v>9423</v>
      </c>
      <c r="C376" s="177" t="s">
        <v>9422</v>
      </c>
      <c r="D376" s="177" t="s">
        <v>7283</v>
      </c>
      <c r="E376" s="181">
        <v>25.14</v>
      </c>
      <c r="F376" s="177" t="s">
        <v>7282</v>
      </c>
      <c r="G376" s="177" t="s">
        <v>3007</v>
      </c>
      <c r="H376" s="172">
        <v>6545</v>
      </c>
    </row>
    <row r="377" spans="1:8" ht="31.5" x14ac:dyDescent="0.25">
      <c r="A377" s="177" t="s">
        <v>9391</v>
      </c>
      <c r="B377" s="177" t="s">
        <v>9421</v>
      </c>
      <c r="C377" s="177" t="s">
        <v>9420</v>
      </c>
      <c r="D377" s="177" t="s">
        <v>3466</v>
      </c>
      <c r="E377" s="181">
        <v>12.31</v>
      </c>
      <c r="F377" s="177" t="s">
        <v>3465</v>
      </c>
      <c r="G377" s="177" t="s">
        <v>3007</v>
      </c>
      <c r="H377" s="172">
        <v>6546</v>
      </c>
    </row>
    <row r="378" spans="1:8" ht="31.5" x14ac:dyDescent="0.25">
      <c r="A378" s="177" t="s">
        <v>9391</v>
      </c>
      <c r="B378" s="177" t="s">
        <v>9419</v>
      </c>
      <c r="C378" s="177" t="s">
        <v>9418</v>
      </c>
      <c r="D378" s="177" t="s">
        <v>6010</v>
      </c>
      <c r="E378" s="181">
        <v>8.3800000000000008</v>
      </c>
      <c r="F378" s="177" t="s">
        <v>6009</v>
      </c>
      <c r="G378" s="177" t="s">
        <v>3007</v>
      </c>
      <c r="H378" s="172">
        <v>6547</v>
      </c>
    </row>
    <row r="379" spans="1:8" ht="31.5" x14ac:dyDescent="0.25">
      <c r="A379" s="177" t="s">
        <v>9391</v>
      </c>
      <c r="B379" s="177" t="s">
        <v>9417</v>
      </c>
      <c r="C379" s="177" t="s">
        <v>9416</v>
      </c>
      <c r="D379" s="177" t="s">
        <v>3771</v>
      </c>
      <c r="E379" s="181">
        <v>7.01</v>
      </c>
      <c r="F379" s="177" t="s">
        <v>3770</v>
      </c>
      <c r="G379" s="177" t="s">
        <v>3007</v>
      </c>
      <c r="H379" s="172">
        <v>6552</v>
      </c>
    </row>
    <row r="380" spans="1:8" ht="31.5" x14ac:dyDescent="0.25">
      <c r="A380" s="177" t="s">
        <v>9391</v>
      </c>
      <c r="B380" s="177" t="s">
        <v>9415</v>
      </c>
      <c r="C380" s="177" t="s">
        <v>9414</v>
      </c>
      <c r="D380" s="177" t="s">
        <v>3993</v>
      </c>
      <c r="E380" s="181">
        <v>26.36</v>
      </c>
      <c r="F380" s="177" t="s">
        <v>3992</v>
      </c>
      <c r="G380" s="177" t="s">
        <v>3007</v>
      </c>
      <c r="H380" s="172">
        <v>6553</v>
      </c>
    </row>
    <row r="381" spans="1:8" ht="31.5" x14ac:dyDescent="0.25">
      <c r="A381" s="177" t="s">
        <v>9391</v>
      </c>
      <c r="B381" s="177" t="s">
        <v>9413</v>
      </c>
      <c r="C381" s="177" t="s">
        <v>9412</v>
      </c>
      <c r="D381" s="177" t="s">
        <v>3696</v>
      </c>
      <c r="E381" s="181">
        <v>3.68</v>
      </c>
      <c r="F381" s="177" t="s">
        <v>3695</v>
      </c>
      <c r="G381" s="177" t="s">
        <v>3007</v>
      </c>
      <c r="H381" s="172">
        <v>6554</v>
      </c>
    </row>
    <row r="382" spans="1:8" ht="31.5" x14ac:dyDescent="0.25">
      <c r="A382" s="177" t="s">
        <v>9391</v>
      </c>
      <c r="B382" s="177" t="s">
        <v>9411</v>
      </c>
      <c r="C382" s="177" t="s">
        <v>9410</v>
      </c>
      <c r="D382" s="177" t="s">
        <v>7676</v>
      </c>
      <c r="E382" s="181">
        <v>6.72</v>
      </c>
      <c r="F382" s="177" t="s">
        <v>7675</v>
      </c>
      <c r="G382" s="177" t="s">
        <v>3007</v>
      </c>
      <c r="H382" s="172">
        <v>6555</v>
      </c>
    </row>
    <row r="383" spans="1:8" ht="31.5" x14ac:dyDescent="0.25">
      <c r="A383" s="177" t="s">
        <v>9391</v>
      </c>
      <c r="B383" s="177" t="s">
        <v>9409</v>
      </c>
      <c r="C383" s="177" t="s">
        <v>9408</v>
      </c>
      <c r="D383" s="177" t="s">
        <v>9407</v>
      </c>
      <c r="E383" s="181">
        <v>6.75</v>
      </c>
      <c r="F383" s="177" t="s">
        <v>9406</v>
      </c>
      <c r="G383" s="177" t="s">
        <v>3007</v>
      </c>
      <c r="H383" s="172">
        <v>6556</v>
      </c>
    </row>
    <row r="384" spans="1:8" ht="31.5" x14ac:dyDescent="0.25">
      <c r="A384" s="177" t="s">
        <v>9391</v>
      </c>
      <c r="B384" s="177" t="s">
        <v>9405</v>
      </c>
      <c r="C384" s="177" t="s">
        <v>9404</v>
      </c>
      <c r="D384" s="177" t="s">
        <v>4697</v>
      </c>
      <c r="E384" s="181">
        <v>1.7</v>
      </c>
      <c r="F384" s="177" t="s">
        <v>4696</v>
      </c>
      <c r="G384" s="177" t="s">
        <v>3007</v>
      </c>
      <c r="H384" s="172">
        <v>6557</v>
      </c>
    </row>
    <row r="385" spans="1:8" ht="31.5" x14ac:dyDescent="0.25">
      <c r="A385" s="177" t="s">
        <v>9391</v>
      </c>
      <c r="B385" s="177" t="s">
        <v>9403</v>
      </c>
      <c r="C385" s="177" t="s">
        <v>9402</v>
      </c>
      <c r="D385" s="177" t="s">
        <v>9401</v>
      </c>
      <c r="E385" s="181">
        <v>7.78</v>
      </c>
      <c r="F385" s="177" t="s">
        <v>9400</v>
      </c>
      <c r="G385" s="177" t="s">
        <v>3007</v>
      </c>
      <c r="H385" s="172">
        <v>6558</v>
      </c>
    </row>
    <row r="386" spans="1:8" ht="31.5" x14ac:dyDescent="0.25">
      <c r="A386" s="177" t="s">
        <v>9391</v>
      </c>
      <c r="B386" s="177" t="s">
        <v>9399</v>
      </c>
      <c r="C386" s="177" t="s">
        <v>9398</v>
      </c>
      <c r="D386" s="177" t="s">
        <v>4457</v>
      </c>
      <c r="E386" s="181">
        <v>7.07</v>
      </c>
      <c r="F386" s="177" t="s">
        <v>4456</v>
      </c>
      <c r="G386" s="177" t="s">
        <v>3007</v>
      </c>
      <c r="H386" s="172">
        <v>6559</v>
      </c>
    </row>
    <row r="387" spans="1:8" ht="31.5" x14ac:dyDescent="0.25">
      <c r="A387" s="177" t="s">
        <v>9391</v>
      </c>
      <c r="B387" s="177" t="s">
        <v>9397</v>
      </c>
      <c r="C387" s="177" t="s">
        <v>9396</v>
      </c>
      <c r="D387" s="177" t="s">
        <v>3102</v>
      </c>
      <c r="E387" s="181">
        <v>31.89</v>
      </c>
      <c r="F387" s="177" t="s">
        <v>3101</v>
      </c>
      <c r="G387" s="177" t="s">
        <v>3007</v>
      </c>
      <c r="H387" s="172">
        <v>6560</v>
      </c>
    </row>
    <row r="388" spans="1:8" ht="31.5" x14ac:dyDescent="0.25">
      <c r="A388" s="177" t="s">
        <v>9391</v>
      </c>
      <c r="B388" s="177" t="s">
        <v>9395</v>
      </c>
      <c r="C388" s="177" t="s">
        <v>9394</v>
      </c>
      <c r="D388" s="177" t="s">
        <v>4321</v>
      </c>
      <c r="E388" s="181">
        <v>5.04</v>
      </c>
      <c r="F388" s="177" t="s">
        <v>4320</v>
      </c>
      <c r="G388" s="177" t="s">
        <v>3007</v>
      </c>
      <c r="H388" s="172">
        <v>6561</v>
      </c>
    </row>
    <row r="389" spans="1:8" ht="31.5" x14ac:dyDescent="0.25">
      <c r="A389" s="177" t="s">
        <v>9391</v>
      </c>
      <c r="B389" s="177" t="s">
        <v>9393</v>
      </c>
      <c r="C389" s="177" t="s">
        <v>9392</v>
      </c>
      <c r="D389" s="177" t="s">
        <v>7563</v>
      </c>
      <c r="E389" s="181">
        <v>25.11</v>
      </c>
      <c r="F389" s="177" t="s">
        <v>7562</v>
      </c>
      <c r="G389" s="177" t="s">
        <v>3007</v>
      </c>
      <c r="H389" s="172">
        <v>6562</v>
      </c>
    </row>
    <row r="390" spans="1:8" ht="31.5" x14ac:dyDescent="0.25">
      <c r="A390" s="177" t="s">
        <v>9391</v>
      </c>
      <c r="B390" s="177" t="s">
        <v>9390</v>
      </c>
      <c r="C390" s="177" t="s">
        <v>9389</v>
      </c>
      <c r="D390" s="177" t="s">
        <v>4953</v>
      </c>
      <c r="E390" s="181">
        <v>3.17</v>
      </c>
      <c r="F390" s="177" t="s">
        <v>4952</v>
      </c>
      <c r="G390" s="177" t="s">
        <v>3007</v>
      </c>
      <c r="H390" s="172">
        <v>6563</v>
      </c>
    </row>
    <row r="391" spans="1:8" ht="31.5" x14ac:dyDescent="0.25">
      <c r="A391" s="177" t="s">
        <v>9358</v>
      </c>
      <c r="B391" s="177" t="s">
        <v>9388</v>
      </c>
      <c r="C391" s="177" t="s">
        <v>9387</v>
      </c>
      <c r="D391" s="177" t="s">
        <v>6842</v>
      </c>
      <c r="E391" s="181">
        <v>6.17</v>
      </c>
      <c r="F391" s="177" t="s">
        <v>6841</v>
      </c>
      <c r="G391" s="177" t="s">
        <v>3007</v>
      </c>
      <c r="H391" s="172">
        <v>6631</v>
      </c>
    </row>
    <row r="392" spans="1:8" ht="31.5" x14ac:dyDescent="0.25">
      <c r="A392" s="177" t="s">
        <v>9358</v>
      </c>
      <c r="B392" s="177" t="s">
        <v>9386</v>
      </c>
      <c r="C392" s="177" t="s">
        <v>9385</v>
      </c>
      <c r="D392" s="177" t="s">
        <v>6695</v>
      </c>
      <c r="E392" s="181">
        <v>1.68</v>
      </c>
      <c r="F392" s="177" t="s">
        <v>6694</v>
      </c>
      <c r="G392" s="177" t="s">
        <v>3007</v>
      </c>
      <c r="H392" s="172">
        <v>6632</v>
      </c>
    </row>
    <row r="393" spans="1:8" ht="31.5" x14ac:dyDescent="0.25">
      <c r="A393" s="177" t="s">
        <v>9358</v>
      </c>
      <c r="B393" s="177" t="s">
        <v>9384</v>
      </c>
      <c r="C393" s="177" t="s">
        <v>9383</v>
      </c>
      <c r="D393" s="177" t="s">
        <v>7912</v>
      </c>
      <c r="E393" s="181">
        <v>6.02</v>
      </c>
      <c r="F393" s="177" t="s">
        <v>7911</v>
      </c>
      <c r="G393" s="177" t="s">
        <v>3007</v>
      </c>
      <c r="H393" s="172">
        <v>6633</v>
      </c>
    </row>
    <row r="394" spans="1:8" ht="31.5" x14ac:dyDescent="0.25">
      <c r="A394" s="177" t="s">
        <v>9358</v>
      </c>
      <c r="B394" s="177" t="s">
        <v>9382</v>
      </c>
      <c r="C394" s="177" t="s">
        <v>9381</v>
      </c>
      <c r="D394" s="177" t="s">
        <v>6862</v>
      </c>
      <c r="E394" s="181">
        <v>1.7</v>
      </c>
      <c r="F394" s="177" t="s">
        <v>6861</v>
      </c>
      <c r="G394" s="177" t="s">
        <v>3007</v>
      </c>
      <c r="H394" s="172">
        <v>6634</v>
      </c>
    </row>
    <row r="395" spans="1:8" ht="31.5" x14ac:dyDescent="0.25">
      <c r="A395" s="177" t="s">
        <v>9358</v>
      </c>
      <c r="B395" s="177" t="s">
        <v>9380</v>
      </c>
      <c r="C395" s="177" t="s">
        <v>9379</v>
      </c>
      <c r="D395" s="177" t="s">
        <v>3009</v>
      </c>
      <c r="E395" s="181">
        <v>4.28</v>
      </c>
      <c r="F395" s="177" t="s">
        <v>3008</v>
      </c>
      <c r="G395" s="177" t="s">
        <v>3007</v>
      </c>
      <c r="H395" s="172">
        <v>6635</v>
      </c>
    </row>
    <row r="396" spans="1:8" ht="31.5" x14ac:dyDescent="0.25">
      <c r="A396" s="177" t="s">
        <v>9358</v>
      </c>
      <c r="B396" s="177" t="s">
        <v>9378</v>
      </c>
      <c r="C396" s="177" t="s">
        <v>9377</v>
      </c>
      <c r="D396" s="177" t="s">
        <v>4901</v>
      </c>
      <c r="E396" s="181">
        <v>1.87</v>
      </c>
      <c r="F396" s="177" t="s">
        <v>4900</v>
      </c>
      <c r="G396" s="177" t="s">
        <v>3007</v>
      </c>
      <c r="H396" s="172">
        <v>6636</v>
      </c>
    </row>
    <row r="397" spans="1:8" ht="31.5" x14ac:dyDescent="0.25">
      <c r="A397" s="177" t="s">
        <v>9358</v>
      </c>
      <c r="B397" s="177" t="s">
        <v>9376</v>
      </c>
      <c r="C397" s="177" t="s">
        <v>9375</v>
      </c>
      <c r="D397" s="177" t="s">
        <v>3704</v>
      </c>
      <c r="E397" s="181">
        <v>22.41</v>
      </c>
      <c r="F397" s="177" t="s">
        <v>3703</v>
      </c>
      <c r="G397" s="177" t="s">
        <v>3007</v>
      </c>
      <c r="H397" s="172">
        <v>6637</v>
      </c>
    </row>
    <row r="398" spans="1:8" ht="31.5" x14ac:dyDescent="0.25">
      <c r="A398" s="177" t="s">
        <v>9358</v>
      </c>
      <c r="B398" s="177" t="s">
        <v>9374</v>
      </c>
      <c r="C398" s="177" t="s">
        <v>9373</v>
      </c>
      <c r="D398" s="177" t="s">
        <v>9372</v>
      </c>
      <c r="E398" s="181">
        <v>5.15</v>
      </c>
      <c r="F398" s="177" t="s">
        <v>9371</v>
      </c>
      <c r="G398" s="177" t="s">
        <v>3007</v>
      </c>
      <c r="H398" s="172">
        <v>6638</v>
      </c>
    </row>
    <row r="399" spans="1:8" ht="31.5" x14ac:dyDescent="0.25">
      <c r="A399" s="177" t="s">
        <v>9358</v>
      </c>
      <c r="B399" s="177" t="s">
        <v>9370</v>
      </c>
      <c r="C399" s="177" t="s">
        <v>9369</v>
      </c>
      <c r="D399" s="177" t="s">
        <v>9368</v>
      </c>
      <c r="E399" s="181">
        <v>18.87</v>
      </c>
      <c r="F399" s="177" t="s">
        <v>9367</v>
      </c>
      <c r="G399" s="177" t="s">
        <v>3007</v>
      </c>
      <c r="H399" s="172">
        <v>6639</v>
      </c>
    </row>
    <row r="400" spans="1:8" ht="31.5" x14ac:dyDescent="0.25">
      <c r="A400" s="177" t="s">
        <v>9358</v>
      </c>
      <c r="B400" s="177" t="s">
        <v>9366</v>
      </c>
      <c r="C400" s="177" t="s">
        <v>9365</v>
      </c>
      <c r="D400" s="177" t="s">
        <v>4224</v>
      </c>
      <c r="E400" s="181">
        <v>26.28</v>
      </c>
      <c r="F400" s="177" t="s">
        <v>4223</v>
      </c>
      <c r="G400" s="177" t="s">
        <v>3007</v>
      </c>
      <c r="H400" s="172">
        <v>6640</v>
      </c>
    </row>
    <row r="401" spans="1:8" ht="31.5" x14ac:dyDescent="0.25">
      <c r="A401" s="177" t="s">
        <v>9358</v>
      </c>
      <c r="B401" s="177" t="s">
        <v>9364</v>
      </c>
      <c r="C401" s="177" t="s">
        <v>9363</v>
      </c>
      <c r="D401" s="177" t="s">
        <v>5106</v>
      </c>
      <c r="E401" s="181">
        <v>7.85</v>
      </c>
      <c r="F401" s="177" t="s">
        <v>5105</v>
      </c>
      <c r="G401" s="177" t="s">
        <v>3007</v>
      </c>
      <c r="H401" s="172">
        <v>6641</v>
      </c>
    </row>
    <row r="402" spans="1:8" ht="31.5" x14ac:dyDescent="0.25">
      <c r="A402" s="177" t="s">
        <v>9358</v>
      </c>
      <c r="B402" s="177" t="s">
        <v>9362</v>
      </c>
      <c r="C402" s="177" t="s">
        <v>9361</v>
      </c>
      <c r="D402" s="177" t="s">
        <v>4380</v>
      </c>
      <c r="E402" s="181">
        <v>1.95</v>
      </c>
      <c r="F402" s="177" t="s">
        <v>4379</v>
      </c>
      <c r="G402" s="177" t="s">
        <v>3007</v>
      </c>
      <c r="H402" s="172">
        <v>6642</v>
      </c>
    </row>
    <row r="403" spans="1:8" ht="31.5" x14ac:dyDescent="0.25">
      <c r="A403" s="177" t="s">
        <v>9358</v>
      </c>
      <c r="B403" s="177" t="s">
        <v>9360</v>
      </c>
      <c r="C403" s="177" t="s">
        <v>9359</v>
      </c>
      <c r="D403" s="177" t="s">
        <v>5992</v>
      </c>
      <c r="E403" s="181">
        <v>10.08</v>
      </c>
      <c r="F403" s="177" t="s">
        <v>5991</v>
      </c>
      <c r="G403" s="177" t="s">
        <v>3007</v>
      </c>
      <c r="H403" s="172">
        <v>6643</v>
      </c>
    </row>
    <row r="404" spans="1:8" ht="31.5" x14ac:dyDescent="0.25">
      <c r="A404" s="177" t="s">
        <v>9358</v>
      </c>
      <c r="B404" s="177" t="s">
        <v>9357</v>
      </c>
      <c r="C404" s="177" t="s">
        <v>9356</v>
      </c>
      <c r="D404" s="177" t="s">
        <v>3345</v>
      </c>
      <c r="E404" s="181">
        <v>5.0999999999999996</v>
      </c>
      <c r="F404" s="177" t="s">
        <v>3344</v>
      </c>
      <c r="G404" s="177" t="s">
        <v>3007</v>
      </c>
      <c r="H404" s="172">
        <v>6644</v>
      </c>
    </row>
    <row r="405" spans="1:8" ht="31.5" x14ac:dyDescent="0.25">
      <c r="A405" s="177" t="s">
        <v>9345</v>
      </c>
      <c r="B405" s="177" t="s">
        <v>9355</v>
      </c>
      <c r="C405" s="177" t="s">
        <v>9354</v>
      </c>
      <c r="D405" s="177" t="s">
        <v>4396</v>
      </c>
      <c r="E405" s="181">
        <v>4.2300000000000004</v>
      </c>
      <c r="F405" s="177" t="s">
        <v>4395</v>
      </c>
      <c r="G405" s="177" t="s">
        <v>3007</v>
      </c>
      <c r="H405" s="172">
        <v>6645</v>
      </c>
    </row>
    <row r="406" spans="1:8" ht="31.5" x14ac:dyDescent="0.25">
      <c r="A406" s="177" t="s">
        <v>9345</v>
      </c>
      <c r="B406" s="177" t="s">
        <v>9353</v>
      </c>
      <c r="C406" s="177" t="s">
        <v>9352</v>
      </c>
      <c r="D406" s="177" t="s">
        <v>9351</v>
      </c>
      <c r="E406" s="181">
        <v>4.3499999999999996</v>
      </c>
      <c r="F406" s="177" t="s">
        <v>9350</v>
      </c>
      <c r="G406" s="177" t="s">
        <v>3007</v>
      </c>
      <c r="H406" s="172">
        <v>6646</v>
      </c>
    </row>
    <row r="407" spans="1:8" ht="31.5" x14ac:dyDescent="0.25">
      <c r="A407" s="177" t="s">
        <v>9345</v>
      </c>
      <c r="B407" s="177" t="s">
        <v>9349</v>
      </c>
      <c r="C407" s="177" t="s">
        <v>9348</v>
      </c>
      <c r="D407" s="177" t="s">
        <v>6022</v>
      </c>
      <c r="E407" s="181">
        <v>2.1800000000000002</v>
      </c>
      <c r="F407" s="177" t="s">
        <v>6021</v>
      </c>
      <c r="G407" s="177" t="s">
        <v>3007</v>
      </c>
      <c r="H407" s="172">
        <v>6647</v>
      </c>
    </row>
    <row r="408" spans="1:8" ht="31.5" x14ac:dyDescent="0.25">
      <c r="A408" s="177" t="s">
        <v>9345</v>
      </c>
      <c r="B408" s="177" t="s">
        <v>9347</v>
      </c>
      <c r="C408" s="177" t="s">
        <v>9346</v>
      </c>
      <c r="D408" s="177" t="s">
        <v>3892</v>
      </c>
      <c r="E408" s="181">
        <v>8.77</v>
      </c>
      <c r="F408" s="177" t="s">
        <v>3891</v>
      </c>
      <c r="G408" s="177" t="s">
        <v>3007</v>
      </c>
      <c r="H408" s="172">
        <v>6648</v>
      </c>
    </row>
    <row r="409" spans="1:8" ht="31.5" x14ac:dyDescent="0.25">
      <c r="A409" s="177" t="s">
        <v>9345</v>
      </c>
      <c r="B409" s="177" t="s">
        <v>9344</v>
      </c>
      <c r="C409" s="177" t="s">
        <v>9343</v>
      </c>
      <c r="D409" s="177" t="s">
        <v>7123</v>
      </c>
      <c r="E409" s="181">
        <v>3.92</v>
      </c>
      <c r="F409" s="177" t="s">
        <v>7122</v>
      </c>
      <c r="G409" s="177" t="s">
        <v>3007</v>
      </c>
      <c r="H409" s="172">
        <v>6649</v>
      </c>
    </row>
    <row r="410" spans="1:8" s="200" customFormat="1" x14ac:dyDescent="0.25">
      <c r="A410" s="198"/>
      <c r="B410" s="198"/>
      <c r="C410" s="198" t="s">
        <v>5691</v>
      </c>
      <c r="D410" s="198" t="s">
        <v>14414</v>
      </c>
      <c r="E410" s="199">
        <f>SUM(E366:E409)</f>
        <v>510.87000000000012</v>
      </c>
      <c r="F410" s="198"/>
      <c r="G410" s="198"/>
      <c r="H410" s="172"/>
    </row>
    <row r="411" spans="1:8" s="137" customFormat="1" x14ac:dyDescent="0.25">
      <c r="A411" s="134"/>
      <c r="B411" s="134"/>
      <c r="C411" s="132"/>
      <c r="D411" s="134"/>
      <c r="E411" s="139"/>
      <c r="F411" s="134"/>
      <c r="G411" s="144"/>
      <c r="H411" s="203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79" fitToHeight="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ED6-CC80-41C6-AD76-BC7629E0CA31}">
  <sheetPr>
    <pageSetUpPr fitToPage="1"/>
  </sheetPr>
  <dimension ref="A1:L100"/>
  <sheetViews>
    <sheetView topLeftCell="A76" zoomScaleNormal="100" workbookViewId="0">
      <selection activeCell="D91" sqref="D91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9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9" x14ac:dyDescent="0.2">
      <c r="A2" s="1"/>
      <c r="B2" s="2"/>
      <c r="C2" s="3"/>
      <c r="D2" s="3"/>
      <c r="E2" s="3"/>
      <c r="F2" s="4"/>
      <c r="G2" s="3"/>
      <c r="H2" s="5"/>
    </row>
    <row r="3" spans="1:9" x14ac:dyDescent="0.2">
      <c r="A3" s="1"/>
      <c r="B3" s="2"/>
      <c r="C3" s="3"/>
      <c r="D3" s="3"/>
      <c r="E3" s="3"/>
      <c r="F3" s="4"/>
      <c r="G3" s="3"/>
      <c r="H3" s="5"/>
    </row>
    <row r="4" spans="1:9" x14ac:dyDescent="0.2">
      <c r="A4" s="1" t="s">
        <v>1</v>
      </c>
      <c r="B4" s="1"/>
      <c r="D4" s="6"/>
      <c r="E4" s="6"/>
      <c r="G4" s="6"/>
    </row>
    <row r="5" spans="1:9" x14ac:dyDescent="0.2">
      <c r="A5" s="8"/>
      <c r="B5" s="2"/>
      <c r="C5" s="3"/>
      <c r="D5" s="3"/>
      <c r="E5" s="3"/>
      <c r="F5" s="4"/>
      <c r="G5" s="3"/>
      <c r="H5" s="5"/>
    </row>
    <row r="6" spans="1:9" x14ac:dyDescent="0.2">
      <c r="A6" s="8"/>
      <c r="B6" s="2"/>
      <c r="C6" s="3"/>
      <c r="D6" s="3"/>
      <c r="E6" s="3"/>
      <c r="F6" s="4"/>
      <c r="G6" s="3"/>
      <c r="H6" s="5"/>
    </row>
    <row r="7" spans="1:9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9" x14ac:dyDescent="0.2">
      <c r="A8" s="8"/>
      <c r="B8" s="2"/>
      <c r="C8" s="3"/>
      <c r="D8" s="3"/>
      <c r="E8" s="3"/>
      <c r="F8" s="4"/>
      <c r="G8" s="3"/>
      <c r="H8" s="5"/>
    </row>
    <row r="9" spans="1:9" ht="13.5" customHeight="1" x14ac:dyDescent="0.2">
      <c r="A9" s="10" t="s">
        <v>18716</v>
      </c>
      <c r="B9" s="10"/>
      <c r="C9" s="11"/>
      <c r="D9" s="3"/>
      <c r="E9" s="3"/>
      <c r="F9" s="4"/>
      <c r="G9" s="12" t="s">
        <v>4</v>
      </c>
      <c r="H9" s="13">
        <v>42578.11</v>
      </c>
    </row>
    <row r="10" spans="1:9" x14ac:dyDescent="0.2">
      <c r="A10" s="3"/>
      <c r="B10" s="9"/>
      <c r="C10" s="3"/>
      <c r="D10" s="3"/>
      <c r="E10" s="3"/>
      <c r="F10" s="4"/>
      <c r="G10" s="3"/>
      <c r="H10" s="5"/>
    </row>
    <row r="11" spans="1:9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9" ht="12.75" customHeight="1" x14ac:dyDescent="0.2">
      <c r="A12" s="14"/>
      <c r="B12" s="18" t="s">
        <v>21299</v>
      </c>
      <c r="C12" s="3"/>
      <c r="D12" s="16"/>
      <c r="E12" s="16"/>
      <c r="F12" s="17"/>
      <c r="G12" s="3"/>
      <c r="H12" s="5"/>
    </row>
    <row r="13" spans="1:9" x14ac:dyDescent="0.2">
      <c r="A13" s="14"/>
      <c r="B13" s="9"/>
      <c r="C13" s="3"/>
      <c r="D13" s="16"/>
      <c r="E13" s="16"/>
      <c r="F13" s="17"/>
      <c r="G13" s="3"/>
      <c r="H13" s="5"/>
    </row>
    <row r="14" spans="1:9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9" x14ac:dyDescent="0.2">
      <c r="A15" s="23"/>
      <c r="B15" s="24"/>
      <c r="C15" s="25"/>
      <c r="E15" s="26"/>
      <c r="F15" s="27"/>
      <c r="G15" s="3"/>
      <c r="H15" s="5"/>
      <c r="I15" s="28"/>
    </row>
    <row r="16" spans="1:9" ht="19.5" x14ac:dyDescent="0.2">
      <c r="A16" s="150">
        <v>43981</v>
      </c>
      <c r="B16" s="113" t="s">
        <v>18727</v>
      </c>
      <c r="C16" s="148"/>
      <c r="D16" s="148"/>
      <c r="E16" s="25"/>
      <c r="F16" s="32">
        <v>1375</v>
      </c>
      <c r="G16" s="3"/>
      <c r="I16" s="33"/>
    </row>
    <row r="17" spans="1:9" x14ac:dyDescent="0.2">
      <c r="A17" s="23"/>
      <c r="B17" s="24"/>
      <c r="C17" s="34"/>
      <c r="D17" s="35"/>
      <c r="E17" s="26"/>
      <c r="F17" s="36"/>
      <c r="G17" s="3"/>
      <c r="H17" s="5"/>
    </row>
    <row r="18" spans="1:9" x14ac:dyDescent="0.2">
      <c r="A18" s="37"/>
      <c r="B18" s="38"/>
      <c r="C18" s="39"/>
      <c r="D18" s="40"/>
      <c r="E18" s="22"/>
      <c r="F18" s="41"/>
      <c r="G18" s="3"/>
      <c r="H18" s="13">
        <f>SUM(F16:F17)</f>
        <v>1375</v>
      </c>
    </row>
    <row r="19" spans="1:9" x14ac:dyDescent="0.2">
      <c r="A19" s="19"/>
      <c r="B19" s="42"/>
      <c r="C19" s="3"/>
      <c r="D19" s="22"/>
      <c r="E19" s="22"/>
      <c r="F19" s="43"/>
      <c r="G19" s="12"/>
      <c r="H19" s="5"/>
    </row>
    <row r="20" spans="1:9" x14ac:dyDescent="0.2">
      <c r="A20" s="3"/>
      <c r="B20" s="44" t="s">
        <v>5</v>
      </c>
      <c r="C20" s="3"/>
      <c r="D20" s="16"/>
      <c r="E20" s="16"/>
      <c r="F20" s="22" t="s">
        <v>11</v>
      </c>
      <c r="G20" s="3"/>
      <c r="H20" s="5"/>
    </row>
    <row r="21" spans="1:9" ht="13.5" customHeight="1" x14ac:dyDescent="0.2">
      <c r="A21" s="21" t="s">
        <v>7</v>
      </c>
      <c r="B21" s="18" t="s">
        <v>14</v>
      </c>
      <c r="C21" s="3"/>
      <c r="D21" s="16"/>
      <c r="E21" s="16"/>
      <c r="F21" s="43"/>
      <c r="G21" s="3"/>
      <c r="H21" s="5"/>
    </row>
    <row r="22" spans="1:9" ht="13.5" customHeight="1" x14ac:dyDescent="0.2">
      <c r="A22" s="54"/>
      <c r="B22" s="55"/>
      <c r="D22" s="51"/>
      <c r="E22" s="51"/>
      <c r="F22" s="56"/>
      <c r="H22" s="57"/>
    </row>
    <row r="23" spans="1:9" x14ac:dyDescent="0.2">
      <c r="A23" s="58"/>
      <c r="D23" s="51"/>
      <c r="E23" s="51"/>
      <c r="F23" s="57"/>
      <c r="H23" s="60">
        <f>SUM(F22:F22)</f>
        <v>0</v>
      </c>
    </row>
    <row r="24" spans="1:9" s="64" customFormat="1" x14ac:dyDescent="0.2">
      <c r="A24" s="61"/>
      <c r="B24" s="62" t="s">
        <v>29</v>
      </c>
      <c r="C24" s="63"/>
      <c r="D24" s="63"/>
      <c r="E24" s="63"/>
      <c r="G24" s="65"/>
    </row>
    <row r="25" spans="1:9" s="64" customFormat="1" x14ac:dyDescent="0.2">
      <c r="A25" s="21" t="s">
        <v>7</v>
      </c>
      <c r="B25" s="62" t="s">
        <v>30</v>
      </c>
      <c r="C25" s="63"/>
      <c r="D25" s="63"/>
      <c r="E25" s="63"/>
      <c r="F25" s="22" t="s">
        <v>11</v>
      </c>
      <c r="G25" s="65"/>
    </row>
    <row r="26" spans="1:9" x14ac:dyDescent="0.2">
      <c r="A26" s="45"/>
      <c r="B26" s="66"/>
      <c r="D26" s="51"/>
      <c r="E26" s="51"/>
      <c r="F26" s="56"/>
      <c r="G26" s="3"/>
      <c r="H26" s="5"/>
    </row>
    <row r="27" spans="1:9" x14ac:dyDescent="0.2">
      <c r="A27" s="75"/>
      <c r="B27" s="2"/>
      <c r="C27" s="3"/>
      <c r="D27" s="16"/>
      <c r="E27" s="16"/>
      <c r="F27" s="76"/>
      <c r="G27" s="3"/>
      <c r="H27" s="60">
        <f>SUM(F26:F26)</f>
        <v>0</v>
      </c>
    </row>
    <row r="28" spans="1:9" x14ac:dyDescent="0.2">
      <c r="C28" s="3"/>
      <c r="D28" s="16"/>
      <c r="E28" s="16"/>
      <c r="F28" s="76"/>
      <c r="G28" s="3"/>
      <c r="H28" s="5"/>
    </row>
    <row r="29" spans="1:9" x14ac:dyDescent="0.2">
      <c r="B29" s="62" t="s">
        <v>29</v>
      </c>
      <c r="C29" s="3"/>
      <c r="D29" s="16"/>
      <c r="E29" s="16"/>
      <c r="F29" s="22" t="s">
        <v>11</v>
      </c>
      <c r="G29" s="3"/>
      <c r="H29" s="5"/>
    </row>
    <row r="30" spans="1:9" x14ac:dyDescent="0.2">
      <c r="A30" s="21" t="s">
        <v>7</v>
      </c>
      <c r="B30" s="18" t="s">
        <v>44</v>
      </c>
      <c r="C30" s="3"/>
      <c r="D30" s="16"/>
      <c r="E30" s="16"/>
      <c r="F30" s="12"/>
      <c r="G30" s="3"/>
      <c r="H30" s="5"/>
    </row>
    <row r="31" spans="1:9" ht="15" x14ac:dyDescent="0.2">
      <c r="A31" s="150">
        <v>43902</v>
      </c>
      <c r="B31" s="113" t="s">
        <v>16923</v>
      </c>
      <c r="C31" s="148" t="s">
        <v>16924</v>
      </c>
      <c r="D31" s="68"/>
      <c r="E31" s="25"/>
      <c r="F31" s="160">
        <v>8.3800000000000008</v>
      </c>
      <c r="G31" s="3"/>
      <c r="I31" s="33"/>
    </row>
    <row r="32" spans="1:9" ht="15" x14ac:dyDescent="0.2">
      <c r="A32" s="150">
        <v>43902</v>
      </c>
      <c r="B32" s="113" t="s">
        <v>16921</v>
      </c>
      <c r="C32" s="148" t="s">
        <v>16922</v>
      </c>
      <c r="D32" s="68"/>
      <c r="E32" s="25"/>
      <c r="F32" s="160">
        <v>15.32</v>
      </c>
      <c r="G32" s="3"/>
      <c r="I32" s="33"/>
    </row>
    <row r="33" spans="1:9" ht="15" x14ac:dyDescent="0.2">
      <c r="A33" s="150">
        <v>43902</v>
      </c>
      <c r="B33" s="113" t="s">
        <v>16919</v>
      </c>
      <c r="C33" s="148" t="s">
        <v>16920</v>
      </c>
      <c r="D33" s="68"/>
      <c r="E33" s="25"/>
      <c r="F33" s="160">
        <v>15.3</v>
      </c>
      <c r="G33" s="3"/>
      <c r="I33" s="33"/>
    </row>
    <row r="34" spans="1:9" ht="15" x14ac:dyDescent="0.2">
      <c r="A34" s="150">
        <v>43902</v>
      </c>
      <c r="B34" s="113" t="s">
        <v>16917</v>
      </c>
      <c r="C34" s="148" t="s">
        <v>16918</v>
      </c>
      <c r="D34" s="68"/>
      <c r="E34" s="25"/>
      <c r="F34" s="160">
        <v>1</v>
      </c>
      <c r="G34" s="3"/>
      <c r="I34" s="33"/>
    </row>
    <row r="35" spans="1:9" ht="15" x14ac:dyDescent="0.2">
      <c r="A35" s="150">
        <v>43902</v>
      </c>
      <c r="B35" s="113" t="s">
        <v>16915</v>
      </c>
      <c r="C35" s="148" t="s">
        <v>16916</v>
      </c>
      <c r="D35" s="68"/>
      <c r="E35" s="25"/>
      <c r="F35" s="160">
        <v>30.16</v>
      </c>
      <c r="G35" s="3"/>
      <c r="I35" s="33"/>
    </row>
    <row r="36" spans="1:9" ht="19.5" x14ac:dyDescent="0.2">
      <c r="A36" s="150">
        <v>43902</v>
      </c>
      <c r="B36" s="113" t="s">
        <v>16913</v>
      </c>
      <c r="C36" s="148" t="s">
        <v>16914</v>
      </c>
      <c r="D36" s="68"/>
      <c r="E36" s="25"/>
      <c r="F36" s="160">
        <v>9.82</v>
      </c>
      <c r="G36" s="3"/>
      <c r="I36" s="33"/>
    </row>
    <row r="37" spans="1:9" ht="19.5" x14ac:dyDescent="0.2">
      <c r="A37" s="150">
        <v>43903</v>
      </c>
      <c r="B37" s="113" t="s">
        <v>16785</v>
      </c>
      <c r="C37" s="148" t="s">
        <v>16786</v>
      </c>
      <c r="D37" s="68"/>
      <c r="E37" s="25"/>
      <c r="F37" s="160">
        <v>47.67</v>
      </c>
      <c r="G37" s="3"/>
      <c r="I37" s="33"/>
    </row>
    <row r="38" spans="1:9" ht="15" x14ac:dyDescent="0.2">
      <c r="A38" s="150">
        <v>43903</v>
      </c>
      <c r="B38" s="113" t="s">
        <v>16783</v>
      </c>
      <c r="C38" s="148" t="s">
        <v>16784</v>
      </c>
      <c r="D38" s="68"/>
      <c r="E38" s="25"/>
      <c r="F38" s="160">
        <v>44.13</v>
      </c>
      <c r="G38" s="3"/>
      <c r="I38" s="33"/>
    </row>
    <row r="39" spans="1:9" ht="15" x14ac:dyDescent="0.2">
      <c r="A39" s="150">
        <v>43903</v>
      </c>
      <c r="B39" s="113" t="s">
        <v>16777</v>
      </c>
      <c r="C39" s="148" t="s">
        <v>16778</v>
      </c>
      <c r="D39" s="68"/>
      <c r="E39" s="25"/>
      <c r="F39" s="160">
        <v>15.3</v>
      </c>
      <c r="G39" s="3"/>
      <c r="I39" s="33"/>
    </row>
    <row r="40" spans="1:9" ht="15" x14ac:dyDescent="0.2">
      <c r="A40" s="150">
        <v>43903</v>
      </c>
      <c r="B40" s="113" t="s">
        <v>16775</v>
      </c>
      <c r="C40" s="148" t="s">
        <v>16776</v>
      </c>
      <c r="D40" s="68"/>
      <c r="E40" s="25"/>
      <c r="F40" s="160">
        <v>75.319999999999993</v>
      </c>
      <c r="G40" s="3"/>
      <c r="I40" s="33"/>
    </row>
    <row r="41" spans="1:9" ht="19.5" x14ac:dyDescent="0.2">
      <c r="A41" s="150">
        <v>43980</v>
      </c>
      <c r="B41" s="113" t="s">
        <v>18828</v>
      </c>
      <c r="C41" s="148" t="s">
        <v>18829</v>
      </c>
      <c r="D41" s="68"/>
      <c r="E41" s="25"/>
      <c r="F41" s="258">
        <v>26.43</v>
      </c>
      <c r="G41" s="3"/>
      <c r="I41" s="33"/>
    </row>
    <row r="42" spans="1:9" ht="15" x14ac:dyDescent="0.2">
      <c r="A42" s="150">
        <v>43980</v>
      </c>
      <c r="B42" s="113" t="s">
        <v>18826</v>
      </c>
      <c r="C42" s="148" t="s">
        <v>18827</v>
      </c>
      <c r="D42" s="68"/>
      <c r="E42" s="25"/>
      <c r="F42" s="258">
        <v>1.74</v>
      </c>
      <c r="G42" s="3"/>
      <c r="I42" s="33"/>
    </row>
    <row r="43" spans="1:9" ht="15" x14ac:dyDescent="0.2">
      <c r="A43" s="150">
        <v>43980</v>
      </c>
      <c r="B43" s="113" t="s">
        <v>18824</v>
      </c>
      <c r="C43" s="148" t="s">
        <v>18825</v>
      </c>
      <c r="D43" s="68"/>
      <c r="E43" s="25"/>
      <c r="F43" s="258">
        <v>5.31</v>
      </c>
      <c r="G43" s="3"/>
      <c r="I43" s="33"/>
    </row>
    <row r="44" spans="1:9" ht="15" x14ac:dyDescent="0.2">
      <c r="A44" s="150">
        <v>43980</v>
      </c>
      <c r="B44" s="113" t="s">
        <v>18822</v>
      </c>
      <c r="C44" s="148" t="s">
        <v>18823</v>
      </c>
      <c r="D44" s="68"/>
      <c r="E44" s="25"/>
      <c r="F44" s="258">
        <v>5.14</v>
      </c>
      <c r="G44" s="3"/>
      <c r="I44" s="33"/>
    </row>
    <row r="45" spans="1:9" ht="19.5" x14ac:dyDescent="0.2">
      <c r="A45" s="150">
        <v>43980</v>
      </c>
      <c r="B45" s="113" t="s">
        <v>18820</v>
      </c>
      <c r="C45" s="148" t="s">
        <v>18821</v>
      </c>
      <c r="D45" s="68"/>
      <c r="E45" s="25"/>
      <c r="F45" s="258">
        <v>23.25</v>
      </c>
      <c r="G45" s="3"/>
      <c r="I45" s="33"/>
    </row>
    <row r="46" spans="1:9" ht="19.5" x14ac:dyDescent="0.2">
      <c r="A46" s="150">
        <v>43980</v>
      </c>
      <c r="B46" s="113" t="s">
        <v>18818</v>
      </c>
      <c r="C46" s="148" t="s">
        <v>18819</v>
      </c>
      <c r="D46" s="68"/>
      <c r="E46" s="25"/>
      <c r="F46" s="258">
        <v>70.55</v>
      </c>
      <c r="G46" s="3"/>
      <c r="I46" s="33"/>
    </row>
    <row r="47" spans="1:9" ht="15" x14ac:dyDescent="0.2">
      <c r="A47" s="150">
        <v>43980</v>
      </c>
      <c r="B47" s="113" t="s">
        <v>18816</v>
      </c>
      <c r="C47" s="148" t="s">
        <v>18817</v>
      </c>
      <c r="D47" s="68"/>
      <c r="E47" s="25"/>
      <c r="F47" s="258">
        <v>4.29</v>
      </c>
      <c r="G47" s="3"/>
      <c r="I47" s="33"/>
    </row>
    <row r="48" spans="1:9" ht="19.5" x14ac:dyDescent="0.2">
      <c r="A48" s="150">
        <v>43980</v>
      </c>
      <c r="B48" s="113" t="s">
        <v>18814</v>
      </c>
      <c r="C48" s="148" t="s">
        <v>18815</v>
      </c>
      <c r="D48" s="68"/>
      <c r="E48" s="25"/>
      <c r="F48" s="258">
        <v>13.37</v>
      </c>
      <c r="G48" s="3"/>
      <c r="I48" s="33"/>
    </row>
    <row r="49" spans="1:9" ht="19.5" x14ac:dyDescent="0.2">
      <c r="A49" s="150">
        <v>43980</v>
      </c>
      <c r="B49" s="113" t="s">
        <v>18812</v>
      </c>
      <c r="C49" s="148" t="s">
        <v>18813</v>
      </c>
      <c r="D49" s="68"/>
      <c r="E49" s="25"/>
      <c r="F49" s="258">
        <v>33.520000000000003</v>
      </c>
      <c r="G49" s="3"/>
      <c r="I49" s="33"/>
    </row>
    <row r="50" spans="1:9" ht="15" x14ac:dyDescent="0.2">
      <c r="A50" s="150">
        <v>43980</v>
      </c>
      <c r="B50" s="113" t="s">
        <v>18810</v>
      </c>
      <c r="C50" s="148" t="s">
        <v>18811</v>
      </c>
      <c r="D50" s="68"/>
      <c r="E50" s="25"/>
      <c r="F50" s="258">
        <v>6.3</v>
      </c>
      <c r="G50" s="3"/>
      <c r="I50" s="33"/>
    </row>
    <row r="51" spans="1:9" ht="15" x14ac:dyDescent="0.2">
      <c r="A51" s="150">
        <v>43980</v>
      </c>
      <c r="B51" s="113" t="s">
        <v>18808</v>
      </c>
      <c r="C51" s="148" t="s">
        <v>18809</v>
      </c>
      <c r="D51" s="68"/>
      <c r="E51" s="25"/>
      <c r="F51" s="258">
        <v>25.14</v>
      </c>
      <c r="G51" s="3"/>
      <c r="I51" s="33"/>
    </row>
    <row r="52" spans="1:9" ht="15" x14ac:dyDescent="0.2">
      <c r="A52" s="150">
        <v>43980</v>
      </c>
      <c r="B52" s="113" t="s">
        <v>18806</v>
      </c>
      <c r="C52" s="148" t="s">
        <v>18807</v>
      </c>
      <c r="D52" s="68"/>
      <c r="E52" s="25"/>
      <c r="F52" s="258">
        <v>12.31</v>
      </c>
      <c r="G52" s="3"/>
      <c r="I52" s="33"/>
    </row>
    <row r="53" spans="1:9" ht="15" x14ac:dyDescent="0.2">
      <c r="A53" s="150">
        <v>43980</v>
      </c>
      <c r="B53" s="113" t="s">
        <v>18804</v>
      </c>
      <c r="C53" s="148" t="s">
        <v>18805</v>
      </c>
      <c r="D53" s="68"/>
      <c r="E53" s="25"/>
      <c r="F53" s="258">
        <v>8.3800000000000008</v>
      </c>
      <c r="G53" s="3"/>
      <c r="I53" s="33"/>
    </row>
    <row r="54" spans="1:9" ht="19.5" x14ac:dyDescent="0.2">
      <c r="A54" s="150">
        <v>43980</v>
      </c>
      <c r="B54" s="113" t="s">
        <v>18802</v>
      </c>
      <c r="C54" s="148" t="s">
        <v>18803</v>
      </c>
      <c r="D54" s="68"/>
      <c r="E54" s="25"/>
      <c r="F54" s="258">
        <v>7.01</v>
      </c>
      <c r="G54" s="3"/>
      <c r="I54" s="33"/>
    </row>
    <row r="55" spans="1:9" ht="15" x14ac:dyDescent="0.2">
      <c r="A55" s="150">
        <v>43980</v>
      </c>
      <c r="B55" s="113" t="s">
        <v>18800</v>
      </c>
      <c r="C55" s="148" t="s">
        <v>18801</v>
      </c>
      <c r="D55" s="68"/>
      <c r="E55" s="25"/>
      <c r="F55" s="258">
        <v>26.36</v>
      </c>
      <c r="G55" s="3"/>
      <c r="I55" s="33"/>
    </row>
    <row r="56" spans="1:9" ht="15" x14ac:dyDescent="0.2">
      <c r="A56" s="150">
        <v>43980</v>
      </c>
      <c r="B56" s="113" t="s">
        <v>18798</v>
      </c>
      <c r="C56" s="148" t="s">
        <v>18799</v>
      </c>
      <c r="D56" s="68"/>
      <c r="E56" s="25"/>
      <c r="F56" s="258">
        <v>3.68</v>
      </c>
      <c r="G56" s="3"/>
      <c r="I56" s="33"/>
    </row>
    <row r="57" spans="1:9" ht="19.5" x14ac:dyDescent="0.2">
      <c r="A57" s="150">
        <v>43980</v>
      </c>
      <c r="B57" s="113" t="s">
        <v>18796</v>
      </c>
      <c r="C57" s="148" t="s">
        <v>18797</v>
      </c>
      <c r="D57" s="68"/>
      <c r="E57" s="25"/>
      <c r="F57" s="258">
        <v>6.72</v>
      </c>
      <c r="G57" s="3"/>
      <c r="I57" s="33"/>
    </row>
    <row r="58" spans="1:9" ht="19.5" x14ac:dyDescent="0.2">
      <c r="A58" s="150">
        <v>43980</v>
      </c>
      <c r="B58" s="113" t="s">
        <v>18794</v>
      </c>
      <c r="C58" s="148" t="s">
        <v>18795</v>
      </c>
      <c r="D58" s="68"/>
      <c r="E58" s="25"/>
      <c r="F58" s="258">
        <v>6.75</v>
      </c>
      <c r="G58" s="3"/>
      <c r="I58" s="33"/>
    </row>
    <row r="59" spans="1:9" ht="15" x14ac:dyDescent="0.2">
      <c r="A59" s="150">
        <v>43980</v>
      </c>
      <c r="B59" s="113" t="s">
        <v>18792</v>
      </c>
      <c r="C59" s="148" t="s">
        <v>18793</v>
      </c>
      <c r="D59" s="68"/>
      <c r="E59" s="25"/>
      <c r="F59" s="258">
        <v>1.7</v>
      </c>
      <c r="G59" s="3"/>
      <c r="I59" s="33"/>
    </row>
    <row r="60" spans="1:9" ht="15" x14ac:dyDescent="0.2">
      <c r="A60" s="150">
        <v>43980</v>
      </c>
      <c r="B60" s="113" t="s">
        <v>18790</v>
      </c>
      <c r="C60" s="148" t="s">
        <v>18791</v>
      </c>
      <c r="D60" s="68"/>
      <c r="E60" s="25"/>
      <c r="F60" s="258">
        <v>7.78</v>
      </c>
      <c r="G60" s="3"/>
      <c r="I60" s="33"/>
    </row>
    <row r="61" spans="1:9" ht="19.5" x14ac:dyDescent="0.2">
      <c r="A61" s="150">
        <v>43980</v>
      </c>
      <c r="B61" s="113" t="s">
        <v>18788</v>
      </c>
      <c r="C61" s="148" t="s">
        <v>18789</v>
      </c>
      <c r="D61" s="68"/>
      <c r="E61" s="25"/>
      <c r="F61" s="258">
        <v>7.07</v>
      </c>
      <c r="G61" s="3"/>
      <c r="I61" s="33"/>
    </row>
    <row r="62" spans="1:9" ht="19.5" x14ac:dyDescent="0.2">
      <c r="A62" s="150">
        <v>43980</v>
      </c>
      <c r="B62" s="113" t="s">
        <v>18786</v>
      </c>
      <c r="C62" s="148" t="s">
        <v>18787</v>
      </c>
      <c r="D62" s="68"/>
      <c r="E62" s="25"/>
      <c r="F62" s="258">
        <v>31.89</v>
      </c>
      <c r="G62" s="3"/>
      <c r="I62" s="33"/>
    </row>
    <row r="63" spans="1:9" ht="15" x14ac:dyDescent="0.2">
      <c r="A63" s="150">
        <v>43980</v>
      </c>
      <c r="B63" s="113" t="s">
        <v>18784</v>
      </c>
      <c r="C63" s="148" t="s">
        <v>18785</v>
      </c>
      <c r="D63" s="68"/>
      <c r="E63" s="25"/>
      <c r="F63" s="258">
        <v>5.04</v>
      </c>
      <c r="G63" s="3"/>
      <c r="I63" s="33"/>
    </row>
    <row r="64" spans="1:9" ht="19.5" x14ac:dyDescent="0.2">
      <c r="A64" s="150">
        <v>43980</v>
      </c>
      <c r="B64" s="113" t="s">
        <v>18782</v>
      </c>
      <c r="C64" s="148" t="s">
        <v>18783</v>
      </c>
      <c r="D64" s="68"/>
      <c r="E64" s="25"/>
      <c r="F64" s="258">
        <v>25.11</v>
      </c>
      <c r="G64" s="3"/>
      <c r="I64" s="33"/>
    </row>
    <row r="65" spans="1:9" ht="15" x14ac:dyDescent="0.2">
      <c r="A65" s="150">
        <v>43980</v>
      </c>
      <c r="B65" s="113" t="s">
        <v>18780</v>
      </c>
      <c r="C65" s="148" t="s">
        <v>18781</v>
      </c>
      <c r="D65" s="68"/>
      <c r="E65" s="25"/>
      <c r="F65" s="258">
        <v>3.17</v>
      </c>
      <c r="G65" s="3"/>
      <c r="I65" s="33"/>
    </row>
    <row r="66" spans="1:9" ht="15" x14ac:dyDescent="0.2">
      <c r="A66" s="150">
        <v>43981</v>
      </c>
      <c r="B66" s="113" t="s">
        <v>18760</v>
      </c>
      <c r="C66" s="148" t="s">
        <v>18761</v>
      </c>
      <c r="D66" s="68"/>
      <c r="E66" s="25"/>
      <c r="F66" s="160">
        <v>5.86</v>
      </c>
      <c r="G66" s="3"/>
      <c r="I66" s="33"/>
    </row>
    <row r="67" spans="1:9" ht="15" x14ac:dyDescent="0.2">
      <c r="A67" s="150">
        <v>43981</v>
      </c>
      <c r="B67" s="113" t="s">
        <v>18758</v>
      </c>
      <c r="C67" s="148" t="s">
        <v>18759</v>
      </c>
      <c r="D67" s="68"/>
      <c r="E67" s="25"/>
      <c r="F67" s="160">
        <v>1</v>
      </c>
      <c r="G67" s="3"/>
      <c r="I67" s="33"/>
    </row>
    <row r="68" spans="1:9" ht="15" x14ac:dyDescent="0.2">
      <c r="A68" s="150">
        <v>43981</v>
      </c>
      <c r="B68" s="113" t="s">
        <v>18756</v>
      </c>
      <c r="C68" s="148" t="s">
        <v>18757</v>
      </c>
      <c r="D68" s="68"/>
      <c r="E68" s="25"/>
      <c r="F68" s="160">
        <v>3.17</v>
      </c>
      <c r="G68" s="3"/>
      <c r="I68" s="33"/>
    </row>
    <row r="69" spans="1:9" ht="15" x14ac:dyDescent="0.2">
      <c r="A69" s="150">
        <v>43981</v>
      </c>
      <c r="B69" s="113" t="s">
        <v>18754</v>
      </c>
      <c r="C69" s="148" t="s">
        <v>18755</v>
      </c>
      <c r="D69" s="68"/>
      <c r="E69" s="25"/>
      <c r="F69" s="258">
        <v>6.17</v>
      </c>
      <c r="G69" s="3"/>
      <c r="I69" s="33"/>
    </row>
    <row r="70" spans="1:9" ht="15" x14ac:dyDescent="0.2">
      <c r="A70" s="150">
        <v>43981</v>
      </c>
      <c r="B70" s="113" t="s">
        <v>18752</v>
      </c>
      <c r="C70" s="148" t="s">
        <v>18753</v>
      </c>
      <c r="D70" s="68"/>
      <c r="E70" s="25"/>
      <c r="F70" s="258">
        <v>1.68</v>
      </c>
      <c r="G70" s="3"/>
      <c r="I70" s="33"/>
    </row>
    <row r="71" spans="1:9" ht="15" x14ac:dyDescent="0.2">
      <c r="A71" s="150">
        <v>43981</v>
      </c>
      <c r="B71" s="113" t="s">
        <v>18750</v>
      </c>
      <c r="C71" s="148" t="s">
        <v>18751</v>
      </c>
      <c r="D71" s="68"/>
      <c r="E71" s="25"/>
      <c r="F71" s="258">
        <v>6.02</v>
      </c>
      <c r="G71" s="3"/>
      <c r="I71" s="33"/>
    </row>
    <row r="72" spans="1:9" ht="15" x14ac:dyDescent="0.2">
      <c r="A72" s="150">
        <v>43981</v>
      </c>
      <c r="B72" s="113" t="s">
        <v>18748</v>
      </c>
      <c r="C72" s="148" t="s">
        <v>18749</v>
      </c>
      <c r="D72" s="68"/>
      <c r="E72" s="25"/>
      <c r="F72" s="258">
        <v>1.7</v>
      </c>
      <c r="G72" s="3"/>
      <c r="I72" s="33"/>
    </row>
    <row r="73" spans="1:9" ht="15" x14ac:dyDescent="0.2">
      <c r="A73" s="150">
        <v>43981</v>
      </c>
      <c r="B73" s="113" t="s">
        <v>18746</v>
      </c>
      <c r="C73" s="148" t="s">
        <v>18747</v>
      </c>
      <c r="D73" s="68"/>
      <c r="E73" s="25"/>
      <c r="F73" s="258">
        <v>4.28</v>
      </c>
      <c r="G73" s="3"/>
      <c r="I73" s="33"/>
    </row>
    <row r="74" spans="1:9" ht="15" x14ac:dyDescent="0.2">
      <c r="A74" s="150">
        <v>43981</v>
      </c>
      <c r="B74" s="113" t="s">
        <v>18744</v>
      </c>
      <c r="C74" s="148" t="s">
        <v>18745</v>
      </c>
      <c r="D74" s="68"/>
      <c r="E74" s="25"/>
      <c r="F74" s="258">
        <v>1.87</v>
      </c>
      <c r="G74" s="3"/>
      <c r="I74" s="33"/>
    </row>
    <row r="75" spans="1:9" ht="19.5" x14ac:dyDescent="0.2">
      <c r="A75" s="150">
        <v>43981</v>
      </c>
      <c r="B75" s="113" t="s">
        <v>18742</v>
      </c>
      <c r="C75" s="148" t="s">
        <v>18743</v>
      </c>
      <c r="D75" s="68"/>
      <c r="E75" s="25"/>
      <c r="F75" s="258">
        <v>22.41</v>
      </c>
      <c r="G75" s="3"/>
      <c r="I75" s="33"/>
    </row>
    <row r="76" spans="1:9" ht="19.5" x14ac:dyDescent="0.2">
      <c r="A76" s="150">
        <v>43981</v>
      </c>
      <c r="B76" s="113" t="s">
        <v>18740</v>
      </c>
      <c r="C76" s="148" t="s">
        <v>18741</v>
      </c>
      <c r="D76" s="68"/>
      <c r="E76" s="25"/>
      <c r="F76" s="258">
        <v>5.15</v>
      </c>
      <c r="G76" s="3"/>
      <c r="I76" s="33"/>
    </row>
    <row r="77" spans="1:9" ht="19.5" x14ac:dyDescent="0.2">
      <c r="A77" s="150">
        <v>43981</v>
      </c>
      <c r="B77" s="113" t="s">
        <v>18738</v>
      </c>
      <c r="C77" s="148" t="s">
        <v>18739</v>
      </c>
      <c r="D77" s="68"/>
      <c r="E77" s="25"/>
      <c r="F77" s="258">
        <v>18.87</v>
      </c>
      <c r="G77" s="3"/>
      <c r="I77" s="33"/>
    </row>
    <row r="78" spans="1:9" ht="19.5" x14ac:dyDescent="0.2">
      <c r="A78" s="150">
        <v>43981</v>
      </c>
      <c r="B78" s="113" t="s">
        <v>18736</v>
      </c>
      <c r="C78" s="148" t="s">
        <v>18737</v>
      </c>
      <c r="D78" s="68"/>
      <c r="E78" s="25"/>
      <c r="F78" s="258">
        <v>26.28</v>
      </c>
      <c r="G78" s="3"/>
      <c r="I78" s="33"/>
    </row>
    <row r="79" spans="1:9" ht="15" x14ac:dyDescent="0.2">
      <c r="A79" s="150">
        <v>43981</v>
      </c>
      <c r="B79" s="113" t="s">
        <v>18734</v>
      </c>
      <c r="C79" s="148" t="s">
        <v>18735</v>
      </c>
      <c r="D79" s="68"/>
      <c r="E79" s="25"/>
      <c r="F79" s="258">
        <v>7.85</v>
      </c>
      <c r="G79" s="3"/>
      <c r="I79" s="33"/>
    </row>
    <row r="80" spans="1:9" ht="15" x14ac:dyDescent="0.2">
      <c r="A80" s="150">
        <v>43981</v>
      </c>
      <c r="B80" s="113" t="s">
        <v>18732</v>
      </c>
      <c r="C80" s="148" t="s">
        <v>18733</v>
      </c>
      <c r="D80" s="68"/>
      <c r="E80" s="25"/>
      <c r="F80" s="258">
        <v>1.95</v>
      </c>
      <c r="G80" s="3"/>
      <c r="I80" s="33"/>
    </row>
    <row r="81" spans="1:12" ht="19.5" x14ac:dyDescent="0.2">
      <c r="A81" s="150">
        <v>43981</v>
      </c>
      <c r="B81" s="113" t="s">
        <v>18730</v>
      </c>
      <c r="C81" s="148" t="s">
        <v>18731</v>
      </c>
      <c r="D81" s="68"/>
      <c r="E81" s="25"/>
      <c r="F81" s="258">
        <v>10.08</v>
      </c>
      <c r="G81" s="3"/>
      <c r="I81" s="33"/>
    </row>
    <row r="82" spans="1:12" ht="19.5" x14ac:dyDescent="0.2">
      <c r="A82" s="150">
        <v>43981</v>
      </c>
      <c r="B82" s="113" t="s">
        <v>18728</v>
      </c>
      <c r="C82" s="148" t="s">
        <v>18729</v>
      </c>
      <c r="D82" s="68"/>
      <c r="E82" s="25"/>
      <c r="F82" s="258">
        <v>5.0999999999999996</v>
      </c>
      <c r="G82" s="3"/>
      <c r="I82" s="33"/>
    </row>
    <row r="83" spans="1:12" ht="15" x14ac:dyDescent="0.2">
      <c r="A83" s="150">
        <v>43982</v>
      </c>
      <c r="B83" s="113" t="s">
        <v>18725</v>
      </c>
      <c r="C83" s="148" t="s">
        <v>18726</v>
      </c>
      <c r="D83" s="68"/>
      <c r="E83" s="25"/>
      <c r="F83" s="258">
        <v>4.2300000000000004</v>
      </c>
      <c r="G83" s="3"/>
      <c r="I83" s="33"/>
    </row>
    <row r="84" spans="1:12" ht="15" x14ac:dyDescent="0.2">
      <c r="A84" s="150">
        <v>43982</v>
      </c>
      <c r="B84" s="113" t="s">
        <v>18723</v>
      </c>
      <c r="C84" s="148" t="s">
        <v>18724</v>
      </c>
      <c r="D84" s="68"/>
      <c r="E84" s="25"/>
      <c r="F84" s="258">
        <v>4.3499999999999996</v>
      </c>
      <c r="G84" s="3"/>
      <c r="I84" s="33"/>
    </row>
    <row r="85" spans="1:12" ht="15" x14ac:dyDescent="0.2">
      <c r="A85" s="150">
        <v>43982</v>
      </c>
      <c r="B85" s="113" t="s">
        <v>18721</v>
      </c>
      <c r="C85" s="148" t="s">
        <v>18722</v>
      </c>
      <c r="D85" s="68"/>
      <c r="E85" s="25"/>
      <c r="F85" s="258">
        <v>2.1800000000000002</v>
      </c>
      <c r="G85" s="3"/>
      <c r="I85" s="33"/>
    </row>
    <row r="86" spans="1:12" ht="19.5" x14ac:dyDescent="0.2">
      <c r="A86" s="150">
        <v>43982</v>
      </c>
      <c r="B86" s="113" t="s">
        <v>18719</v>
      </c>
      <c r="C86" s="148" t="s">
        <v>18720</v>
      </c>
      <c r="D86" s="68"/>
      <c r="E86" s="25"/>
      <c r="F86" s="258">
        <v>8.77</v>
      </c>
      <c r="G86" s="3"/>
      <c r="I86" s="33"/>
    </row>
    <row r="87" spans="1:12" ht="15" x14ac:dyDescent="0.2">
      <c r="A87" s="150">
        <v>43982</v>
      </c>
      <c r="B87" s="113" t="s">
        <v>18717</v>
      </c>
      <c r="C87" s="148" t="s">
        <v>18718</v>
      </c>
      <c r="D87" s="68"/>
      <c r="E87" s="25"/>
      <c r="F87" s="258">
        <v>3.92</v>
      </c>
      <c r="G87" s="3"/>
      <c r="I87" s="33"/>
    </row>
    <row r="88" spans="1:12" ht="12.75" x14ac:dyDescent="0.2">
      <c r="A88" s="37"/>
      <c r="B88" s="91"/>
      <c r="C88" s="39"/>
      <c r="D88" s="16"/>
      <c r="E88" s="16"/>
      <c r="F88" s="92"/>
      <c r="G88" s="3"/>
      <c r="H88" s="301">
        <f>SUM(F31:F88)</f>
        <v>783.29999999999984</v>
      </c>
    </row>
    <row r="89" spans="1:12" x14ac:dyDescent="0.2">
      <c r="A89" s="3"/>
      <c r="B89" s="2"/>
      <c r="C89" s="3"/>
      <c r="D89" s="3"/>
      <c r="E89" s="3"/>
      <c r="F89" s="5"/>
      <c r="G89" s="3"/>
      <c r="H89" s="5"/>
    </row>
    <row r="90" spans="1:12" s="99" customFormat="1" ht="20.25" customHeight="1" thickBot="1" x14ac:dyDescent="0.3">
      <c r="A90" s="93"/>
      <c r="B90" s="94" t="s">
        <v>18715</v>
      </c>
      <c r="C90" s="95"/>
      <c r="D90" s="93"/>
      <c r="E90" s="93"/>
      <c r="F90" s="96"/>
      <c r="G90" s="97" t="s">
        <v>4</v>
      </c>
      <c r="H90" s="302">
        <f>+H9-H18-H23+H27+H88</f>
        <v>41986.41</v>
      </c>
      <c r="I90" s="303"/>
      <c r="J90" s="303"/>
    </row>
    <row r="91" spans="1:12" ht="13.5" thickTop="1" x14ac:dyDescent="0.2">
      <c r="A91" s="3"/>
      <c r="B91" s="2"/>
      <c r="C91" s="3"/>
      <c r="D91" s="3"/>
      <c r="E91" s="3"/>
      <c r="F91" s="5"/>
      <c r="G91" s="3"/>
      <c r="H91" s="304"/>
      <c r="I91" s="305"/>
      <c r="J91" s="306">
        <f>+'BP MAY-20'!I666</f>
        <v>43145.620000000032</v>
      </c>
    </row>
    <row r="92" spans="1:12" ht="12.75" x14ac:dyDescent="0.2">
      <c r="A92" s="3"/>
      <c r="B92" s="2"/>
      <c r="C92" s="3"/>
      <c r="D92" s="3"/>
      <c r="E92" s="3"/>
      <c r="F92" s="5"/>
      <c r="G92" s="3"/>
      <c r="H92" s="305"/>
      <c r="I92" s="305"/>
      <c r="J92" s="304"/>
    </row>
    <row r="93" spans="1:12" ht="12.75" x14ac:dyDescent="0.2">
      <c r="A93" s="3"/>
      <c r="B93" s="2"/>
      <c r="C93" s="3"/>
      <c r="D93" s="3"/>
      <c r="E93" s="3"/>
      <c r="G93" s="3"/>
      <c r="H93" s="305"/>
      <c r="I93" s="305"/>
      <c r="J93" s="304"/>
    </row>
    <row r="94" spans="1:12" ht="23.25" customHeight="1" thickBot="1" x14ac:dyDescent="0.25">
      <c r="A94" s="3"/>
      <c r="C94" s="100"/>
      <c r="D94" s="101"/>
      <c r="E94" s="3"/>
      <c r="F94" s="102"/>
      <c r="G94" s="3"/>
      <c r="H94" s="304"/>
      <c r="I94" s="305"/>
      <c r="J94" s="302">
        <f>+H90-J91</f>
        <v>-1159.2100000000282</v>
      </c>
      <c r="L94" s="57"/>
    </row>
    <row r="95" spans="1:12" ht="26.25" customHeight="1" thickTop="1" x14ac:dyDescent="0.2">
      <c r="A95" s="3"/>
      <c r="C95" s="378" t="s">
        <v>314</v>
      </c>
      <c r="D95" s="378"/>
      <c r="E95" s="3"/>
      <c r="F95" s="378" t="s">
        <v>315</v>
      </c>
      <c r="G95" s="378"/>
      <c r="H95" s="304"/>
      <c r="I95" s="305"/>
      <c r="J95" s="305"/>
    </row>
    <row r="96" spans="1:12" ht="23.25" customHeight="1" thickBot="1" x14ac:dyDescent="0.25">
      <c r="H96" s="305"/>
      <c r="I96" s="305"/>
      <c r="J96" s="302">
        <f>+H90-J94</f>
        <v>43145.620000000032</v>
      </c>
    </row>
    <row r="97" spans="1:12" ht="13.5" thickTop="1" x14ac:dyDescent="0.2">
      <c r="H97" s="305"/>
      <c r="I97" s="305"/>
      <c r="J97" s="305"/>
      <c r="L97" s="57"/>
    </row>
    <row r="99" spans="1:12" x14ac:dyDescent="0.2">
      <c r="L99" s="57"/>
    </row>
    <row r="100" spans="1:12" x14ac:dyDescent="0.2">
      <c r="A100" s="6"/>
      <c r="B100" s="6"/>
      <c r="C100" s="6"/>
      <c r="D100" s="6"/>
      <c r="E100" s="6"/>
      <c r="G100" s="6"/>
      <c r="J100" s="57"/>
    </row>
  </sheetData>
  <sortState xmlns:xlrd2="http://schemas.microsoft.com/office/spreadsheetml/2017/richdata2" ref="A16:L16">
    <sortCondition ref="A16"/>
  </sortState>
  <mergeCells count="2">
    <mergeCell ref="C95:D95"/>
    <mergeCell ref="F95:G95"/>
  </mergeCells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FA623-5C4F-4B8F-A7E5-C5E4202D3027}">
  <sheetPr filterMode="1"/>
  <dimension ref="A2:I690"/>
  <sheetViews>
    <sheetView topLeftCell="A16" workbookViewId="0">
      <pane xSplit="5" ySplit="2" topLeftCell="F660" activePane="bottomRight" state="frozen"/>
      <selection activeCell="A16" sqref="A16"/>
      <selection pane="topRight" activeCell="F16" sqref="F16"/>
      <selection pane="bottomLeft" activeCell="A18" sqref="A18"/>
      <selection pane="bottomRight" activeCell="I17" sqref="I17"/>
    </sheetView>
  </sheetViews>
  <sheetFormatPr baseColWidth="10" defaultColWidth="11.5703125" defaultRowHeight="15.75" x14ac:dyDescent="0.2"/>
  <cols>
    <col min="1" max="1" width="11.5703125" style="103"/>
    <col min="2" max="4" width="11.5703125" style="323"/>
    <col min="5" max="5" width="57" style="111" customWidth="1"/>
    <col min="6" max="6" width="7.7109375" style="257" customWidth="1"/>
    <col min="7" max="8" width="12.42578125" style="103" bestFit="1" customWidth="1"/>
    <col min="9" max="9" width="13.85546875" style="103" bestFit="1" customWidth="1"/>
    <col min="10" max="16384" width="11.5703125" style="103"/>
  </cols>
  <sheetData>
    <row r="2" spans="1:9" ht="19.5" x14ac:dyDescent="0.2">
      <c r="E2" s="320" t="s">
        <v>2771</v>
      </c>
      <c r="H2" s="104" t="s">
        <v>2770</v>
      </c>
      <c r="I2" s="312">
        <v>1</v>
      </c>
    </row>
    <row r="3" spans="1:9" x14ac:dyDescent="0.2">
      <c r="H3" s="104" t="s">
        <v>2769</v>
      </c>
      <c r="I3" s="311">
        <v>44170</v>
      </c>
    </row>
    <row r="5" spans="1:9" x14ac:dyDescent="0.2">
      <c r="A5" s="310" t="s">
        <v>2768</v>
      </c>
      <c r="B5" s="146" t="s">
        <v>21296</v>
      </c>
      <c r="C5" s="146" t="s">
        <v>2767</v>
      </c>
      <c r="D5" s="146" t="s">
        <v>21296</v>
      </c>
      <c r="H5" s="309">
        <v>0.5647106481481482</v>
      </c>
    </row>
    <row r="7" spans="1:9" x14ac:dyDescent="0.2">
      <c r="H7" s="104" t="s">
        <v>2765</v>
      </c>
      <c r="I7" s="106" t="s">
        <v>2764</v>
      </c>
    </row>
    <row r="8" spans="1:9" x14ac:dyDescent="0.2">
      <c r="B8" s="147"/>
      <c r="C8" s="147" t="s">
        <v>2763</v>
      </c>
      <c r="D8" s="146" t="s">
        <v>2762</v>
      </c>
      <c r="G8" s="308" t="s">
        <v>2760</v>
      </c>
      <c r="H8" s="307" t="s">
        <v>2759</v>
      </c>
    </row>
    <row r="9" spans="1:9" x14ac:dyDescent="0.2">
      <c r="G9" s="308" t="s">
        <v>2761</v>
      </c>
      <c r="H9" s="307" t="s">
        <v>2759</v>
      </c>
    </row>
    <row r="11" spans="1:9" x14ac:dyDescent="0.2">
      <c r="A11" s="108" t="s">
        <v>2758</v>
      </c>
      <c r="B11" s="109"/>
      <c r="C11" s="109" t="s">
        <v>2757</v>
      </c>
      <c r="D11" s="109" t="s">
        <v>2756</v>
      </c>
      <c r="E11" s="149" t="s">
        <v>2755</v>
      </c>
      <c r="G11" s="104" t="s">
        <v>322</v>
      </c>
      <c r="H11" s="104" t="s">
        <v>321</v>
      </c>
      <c r="I11" s="104" t="s">
        <v>2754</v>
      </c>
    </row>
    <row r="14" spans="1:9" x14ac:dyDescent="0.2">
      <c r="A14" s="108" t="s">
        <v>2753</v>
      </c>
      <c r="B14" s="108" t="s">
        <v>2752</v>
      </c>
    </row>
    <row r="15" spans="1:9" x14ac:dyDescent="0.2">
      <c r="B15" s="108"/>
    </row>
    <row r="16" spans="1:9" x14ac:dyDescent="0.25">
      <c r="A16" s="107" t="s">
        <v>2751</v>
      </c>
      <c r="B16" s="108" t="s">
        <v>2750</v>
      </c>
      <c r="G16" s="152"/>
      <c r="H16" s="153" t="s">
        <v>323</v>
      </c>
      <c r="I16" s="160">
        <v>43145.62</v>
      </c>
    </row>
    <row r="17" spans="2:9" x14ac:dyDescent="0.25">
      <c r="G17" s="152"/>
      <c r="H17" s="152"/>
      <c r="I17" s="152"/>
    </row>
    <row r="18" spans="2:9" hidden="1" x14ac:dyDescent="0.25">
      <c r="B18" s="148"/>
      <c r="C18" s="148" t="s">
        <v>21295</v>
      </c>
      <c r="D18" s="150">
        <v>43983</v>
      </c>
      <c r="E18" s="113" t="s">
        <v>21294</v>
      </c>
      <c r="F18" s="257" t="s">
        <v>14436</v>
      </c>
      <c r="G18" s="160">
        <v>5.9</v>
      </c>
      <c r="H18" s="152"/>
      <c r="I18" s="160">
        <f>+I16+G18-H18</f>
        <v>43151.520000000004</v>
      </c>
    </row>
    <row r="19" spans="2:9" hidden="1" x14ac:dyDescent="0.25">
      <c r="B19" s="148"/>
      <c r="C19" s="148" t="s">
        <v>21293</v>
      </c>
      <c r="D19" s="150">
        <v>43983</v>
      </c>
      <c r="E19" s="113" t="s">
        <v>21292</v>
      </c>
      <c r="F19" s="257" t="s">
        <v>14436</v>
      </c>
      <c r="G19" s="160">
        <v>13.31</v>
      </c>
      <c r="H19" s="152"/>
      <c r="I19" s="160">
        <f>+I18+G19-H19</f>
        <v>43164.83</v>
      </c>
    </row>
    <row r="20" spans="2:9" ht="19.5" hidden="1" x14ac:dyDescent="0.25">
      <c r="B20" s="148"/>
      <c r="C20" s="148" t="s">
        <v>21291</v>
      </c>
      <c r="D20" s="150">
        <v>43983</v>
      </c>
      <c r="E20" s="113" t="s">
        <v>21290</v>
      </c>
      <c r="F20" s="257" t="s">
        <v>14408</v>
      </c>
      <c r="G20" s="258">
        <v>9.2200000000000006</v>
      </c>
      <c r="H20" s="152"/>
      <c r="I20" s="160">
        <f t="shared" ref="I20:I83" si="0">+I19+G20-H20</f>
        <v>43174.05</v>
      </c>
    </row>
    <row r="21" spans="2:9" hidden="1" x14ac:dyDescent="0.25">
      <c r="B21" s="148"/>
      <c r="C21" s="148" t="s">
        <v>21289</v>
      </c>
      <c r="D21" s="150">
        <v>43983</v>
      </c>
      <c r="E21" s="113" t="s">
        <v>21288</v>
      </c>
      <c r="F21" s="257" t="s">
        <v>14408</v>
      </c>
      <c r="G21" s="258">
        <v>13.22</v>
      </c>
      <c r="H21" s="152"/>
      <c r="I21" s="160">
        <f t="shared" si="0"/>
        <v>43187.270000000004</v>
      </c>
    </row>
    <row r="22" spans="2:9" ht="19.5" hidden="1" x14ac:dyDescent="0.25">
      <c r="B22" s="148"/>
      <c r="C22" s="148" t="s">
        <v>21287</v>
      </c>
      <c r="D22" s="150">
        <v>43983</v>
      </c>
      <c r="E22" s="113" t="s">
        <v>21286</v>
      </c>
      <c r="F22" s="257" t="s">
        <v>14408</v>
      </c>
      <c r="G22" s="258">
        <v>7.25</v>
      </c>
      <c r="H22" s="152"/>
      <c r="I22" s="160">
        <f t="shared" si="0"/>
        <v>43194.520000000004</v>
      </c>
    </row>
    <row r="23" spans="2:9" ht="19.5" hidden="1" x14ac:dyDescent="0.25">
      <c r="B23" s="148"/>
      <c r="C23" s="148" t="s">
        <v>21285</v>
      </c>
      <c r="D23" s="150">
        <v>43983</v>
      </c>
      <c r="E23" s="113" t="s">
        <v>21284</v>
      </c>
      <c r="F23" s="257" t="s">
        <v>14408</v>
      </c>
      <c r="G23" s="258">
        <v>26.31</v>
      </c>
      <c r="H23" s="152"/>
      <c r="I23" s="160">
        <f t="shared" si="0"/>
        <v>43220.83</v>
      </c>
    </row>
    <row r="24" spans="2:9" hidden="1" x14ac:dyDescent="0.25">
      <c r="B24" s="148"/>
      <c r="C24" s="148" t="s">
        <v>21283</v>
      </c>
      <c r="D24" s="150">
        <v>43983</v>
      </c>
      <c r="E24" s="113" t="s">
        <v>21282</v>
      </c>
      <c r="F24" s="257" t="s">
        <v>14408</v>
      </c>
      <c r="G24" s="258">
        <v>19.57</v>
      </c>
      <c r="H24" s="152"/>
      <c r="I24" s="160">
        <f t="shared" si="0"/>
        <v>43240.4</v>
      </c>
    </row>
    <row r="25" spans="2:9" ht="19.5" hidden="1" x14ac:dyDescent="0.25">
      <c r="B25" s="148"/>
      <c r="C25" s="148" t="s">
        <v>21281</v>
      </c>
      <c r="D25" s="150">
        <v>43983</v>
      </c>
      <c r="E25" s="113" t="s">
        <v>21280</v>
      </c>
      <c r="F25" s="257" t="s">
        <v>14408</v>
      </c>
      <c r="G25" s="258">
        <v>19.16</v>
      </c>
      <c r="H25" s="152"/>
      <c r="I25" s="160">
        <f t="shared" si="0"/>
        <v>43259.560000000005</v>
      </c>
    </row>
    <row r="26" spans="2:9" ht="19.5" hidden="1" x14ac:dyDescent="0.25">
      <c r="B26" s="148"/>
      <c r="C26" s="148" t="s">
        <v>21279</v>
      </c>
      <c r="D26" s="150">
        <v>43983</v>
      </c>
      <c r="E26" s="113" t="s">
        <v>21278</v>
      </c>
      <c r="F26" s="257" t="s">
        <v>14408</v>
      </c>
      <c r="G26" s="258">
        <v>5.04</v>
      </c>
      <c r="H26" s="152"/>
      <c r="I26" s="160">
        <f t="shared" si="0"/>
        <v>43264.600000000006</v>
      </c>
    </row>
    <row r="27" spans="2:9" hidden="1" x14ac:dyDescent="0.25">
      <c r="B27" s="148"/>
      <c r="C27" s="148" t="s">
        <v>21277</v>
      </c>
      <c r="D27" s="150">
        <v>43983</v>
      </c>
      <c r="E27" s="113" t="s">
        <v>21276</v>
      </c>
      <c r="F27" s="257" t="s">
        <v>14408</v>
      </c>
      <c r="G27" s="258">
        <v>11.31</v>
      </c>
      <c r="H27" s="152"/>
      <c r="I27" s="160">
        <f t="shared" si="0"/>
        <v>43275.91</v>
      </c>
    </row>
    <row r="28" spans="2:9" hidden="1" x14ac:dyDescent="0.25">
      <c r="B28" s="148"/>
      <c r="C28" s="148" t="s">
        <v>21275</v>
      </c>
      <c r="D28" s="150">
        <v>43983</v>
      </c>
      <c r="E28" s="113" t="s">
        <v>21274</v>
      </c>
      <c r="F28" s="257" t="s">
        <v>14408</v>
      </c>
      <c r="G28" s="258">
        <v>0.11</v>
      </c>
      <c r="H28" s="152"/>
      <c r="I28" s="160">
        <f t="shared" si="0"/>
        <v>43276.020000000004</v>
      </c>
    </row>
    <row r="29" spans="2:9" hidden="1" x14ac:dyDescent="0.25">
      <c r="B29" s="148"/>
      <c r="C29" s="148" t="s">
        <v>21273</v>
      </c>
      <c r="D29" s="150">
        <v>43983</v>
      </c>
      <c r="E29" s="113" t="s">
        <v>21272</v>
      </c>
      <c r="F29" s="257" t="s">
        <v>14408</v>
      </c>
      <c r="G29" s="258">
        <v>6.94</v>
      </c>
      <c r="H29" s="152"/>
      <c r="I29" s="160">
        <f t="shared" si="0"/>
        <v>43282.960000000006</v>
      </c>
    </row>
    <row r="30" spans="2:9" hidden="1" x14ac:dyDescent="0.25">
      <c r="B30" s="148"/>
      <c r="C30" s="148" t="s">
        <v>21271</v>
      </c>
      <c r="D30" s="150">
        <v>43983</v>
      </c>
      <c r="E30" s="113" t="s">
        <v>21270</v>
      </c>
      <c r="F30" s="257" t="s">
        <v>14408</v>
      </c>
      <c r="G30" s="258">
        <v>13.3</v>
      </c>
      <c r="H30" s="152"/>
      <c r="I30" s="160">
        <f t="shared" si="0"/>
        <v>43296.260000000009</v>
      </c>
    </row>
    <row r="31" spans="2:9" ht="19.5" hidden="1" x14ac:dyDescent="0.25">
      <c r="B31" s="148"/>
      <c r="C31" s="148" t="s">
        <v>21269</v>
      </c>
      <c r="D31" s="150">
        <v>43983</v>
      </c>
      <c r="E31" s="113" t="s">
        <v>21268</v>
      </c>
      <c r="F31" s="257" t="s">
        <v>14408</v>
      </c>
      <c r="G31" s="258">
        <v>5.04</v>
      </c>
      <c r="H31" s="152"/>
      <c r="I31" s="160">
        <f t="shared" si="0"/>
        <v>43301.30000000001</v>
      </c>
    </row>
    <row r="32" spans="2:9" hidden="1" x14ac:dyDescent="0.25">
      <c r="B32" s="148"/>
      <c r="C32" s="148" t="s">
        <v>21267</v>
      </c>
      <c r="D32" s="150">
        <v>43983</v>
      </c>
      <c r="E32" s="113" t="s">
        <v>21266</v>
      </c>
      <c r="F32" s="257" t="s">
        <v>14408</v>
      </c>
      <c r="G32" s="258">
        <v>1.33</v>
      </c>
      <c r="H32" s="152"/>
      <c r="I32" s="160">
        <f t="shared" si="0"/>
        <v>43302.630000000012</v>
      </c>
    </row>
    <row r="33" spans="2:9" hidden="1" x14ac:dyDescent="0.25">
      <c r="B33" s="148"/>
      <c r="C33" s="148" t="s">
        <v>21265</v>
      </c>
      <c r="D33" s="150">
        <v>43983</v>
      </c>
      <c r="E33" s="113" t="s">
        <v>21264</v>
      </c>
      <c r="F33" s="257" t="s">
        <v>14408</v>
      </c>
      <c r="G33" s="258">
        <v>6.78</v>
      </c>
      <c r="H33" s="152"/>
      <c r="I33" s="160">
        <f t="shared" si="0"/>
        <v>43309.410000000011</v>
      </c>
    </row>
    <row r="34" spans="2:9" ht="19.5" hidden="1" x14ac:dyDescent="0.25">
      <c r="B34" s="148"/>
      <c r="C34" s="148" t="s">
        <v>21263</v>
      </c>
      <c r="D34" s="150">
        <v>43983</v>
      </c>
      <c r="E34" s="113" t="s">
        <v>21262</v>
      </c>
      <c r="F34" s="257" t="s">
        <v>14408</v>
      </c>
      <c r="G34" s="258">
        <v>14.91</v>
      </c>
      <c r="H34" s="152"/>
      <c r="I34" s="160">
        <f t="shared" si="0"/>
        <v>43324.320000000014</v>
      </c>
    </row>
    <row r="35" spans="2:9" hidden="1" x14ac:dyDescent="0.25">
      <c r="B35" s="148"/>
      <c r="C35" s="148" t="s">
        <v>21261</v>
      </c>
      <c r="D35" s="150">
        <v>43983</v>
      </c>
      <c r="E35" s="113" t="s">
        <v>21260</v>
      </c>
      <c r="F35" s="257">
        <v>1</v>
      </c>
      <c r="G35" s="255">
        <v>2.97</v>
      </c>
      <c r="H35" s="152"/>
      <c r="I35" s="160">
        <f t="shared" si="0"/>
        <v>43327.290000000015</v>
      </c>
    </row>
    <row r="36" spans="2:9" hidden="1" x14ac:dyDescent="0.25">
      <c r="B36" s="148"/>
      <c r="C36" s="148" t="s">
        <v>21259</v>
      </c>
      <c r="D36" s="150">
        <v>43983</v>
      </c>
      <c r="E36" s="113" t="s">
        <v>21258</v>
      </c>
      <c r="F36" s="257">
        <v>1</v>
      </c>
      <c r="G36" s="255">
        <v>1.68</v>
      </c>
      <c r="H36" s="152"/>
      <c r="I36" s="160">
        <f t="shared" si="0"/>
        <v>43328.970000000016</v>
      </c>
    </row>
    <row r="37" spans="2:9" hidden="1" x14ac:dyDescent="0.25">
      <c r="B37" s="148"/>
      <c r="C37" s="148" t="s">
        <v>21257</v>
      </c>
      <c r="D37" s="150">
        <v>43983</v>
      </c>
      <c r="E37" s="113" t="s">
        <v>21256</v>
      </c>
      <c r="F37" s="257">
        <v>1</v>
      </c>
      <c r="G37" s="255">
        <v>6.61</v>
      </c>
      <c r="H37" s="152"/>
      <c r="I37" s="160">
        <f t="shared" si="0"/>
        <v>43335.580000000016</v>
      </c>
    </row>
    <row r="38" spans="2:9" ht="19.5" hidden="1" x14ac:dyDescent="0.25">
      <c r="B38" s="148"/>
      <c r="C38" s="148" t="s">
        <v>21255</v>
      </c>
      <c r="D38" s="150">
        <v>43983</v>
      </c>
      <c r="E38" s="113" t="s">
        <v>21254</v>
      </c>
      <c r="F38" s="257">
        <v>1</v>
      </c>
      <c r="G38" s="255">
        <v>25.14</v>
      </c>
      <c r="H38" s="152"/>
      <c r="I38" s="160">
        <f t="shared" si="0"/>
        <v>43360.720000000016</v>
      </c>
    </row>
    <row r="39" spans="2:9" hidden="1" x14ac:dyDescent="0.25">
      <c r="B39" s="148"/>
      <c r="C39" s="148" t="s">
        <v>21253</v>
      </c>
      <c r="D39" s="150">
        <v>43983</v>
      </c>
      <c r="E39" s="113" t="s">
        <v>21252</v>
      </c>
      <c r="F39" s="257">
        <v>1</v>
      </c>
      <c r="G39" s="255">
        <v>56.13</v>
      </c>
      <c r="H39" s="152"/>
      <c r="I39" s="160">
        <f t="shared" si="0"/>
        <v>43416.850000000013</v>
      </c>
    </row>
    <row r="40" spans="2:9" hidden="1" x14ac:dyDescent="0.25">
      <c r="B40" s="148"/>
      <c r="C40" s="148" t="s">
        <v>21251</v>
      </c>
      <c r="D40" s="150">
        <v>43983</v>
      </c>
      <c r="E40" s="113" t="s">
        <v>21250</v>
      </c>
      <c r="F40" s="257">
        <v>1</v>
      </c>
      <c r="G40" s="255">
        <v>8.3800000000000008</v>
      </c>
      <c r="H40" s="152"/>
      <c r="I40" s="160">
        <f t="shared" si="0"/>
        <v>43425.23000000001</v>
      </c>
    </row>
    <row r="41" spans="2:9" hidden="1" x14ac:dyDescent="0.25">
      <c r="B41" s="148"/>
      <c r="C41" s="148" t="s">
        <v>21249</v>
      </c>
      <c r="D41" s="150">
        <v>43983</v>
      </c>
      <c r="E41" s="113" t="s">
        <v>21248</v>
      </c>
      <c r="F41" s="257" t="s">
        <v>14408</v>
      </c>
      <c r="G41" s="258">
        <v>8.7899999999999991</v>
      </c>
      <c r="H41" s="152"/>
      <c r="I41" s="160">
        <f t="shared" si="0"/>
        <v>43434.020000000011</v>
      </c>
    </row>
    <row r="42" spans="2:9" ht="19.5" hidden="1" x14ac:dyDescent="0.25">
      <c r="B42" s="148"/>
      <c r="C42" s="148" t="s">
        <v>21247</v>
      </c>
      <c r="D42" s="150">
        <v>43983</v>
      </c>
      <c r="E42" s="113" t="s">
        <v>21246</v>
      </c>
      <c r="F42" s="257" t="s">
        <v>14408</v>
      </c>
      <c r="G42" s="258">
        <v>6.05</v>
      </c>
      <c r="H42" s="152"/>
      <c r="I42" s="160">
        <f t="shared" si="0"/>
        <v>43440.070000000014</v>
      </c>
    </row>
    <row r="43" spans="2:9" ht="19.5" hidden="1" x14ac:dyDescent="0.25">
      <c r="B43" s="148"/>
      <c r="C43" s="148" t="s">
        <v>21245</v>
      </c>
      <c r="D43" s="150">
        <v>43983</v>
      </c>
      <c r="E43" s="113" t="s">
        <v>21244</v>
      </c>
      <c r="F43" s="257" t="s">
        <v>14408</v>
      </c>
      <c r="G43" s="258">
        <v>14.25</v>
      </c>
      <c r="H43" s="152"/>
      <c r="I43" s="160">
        <f t="shared" si="0"/>
        <v>43454.320000000014</v>
      </c>
    </row>
    <row r="44" spans="2:9" hidden="1" x14ac:dyDescent="0.25">
      <c r="B44" s="148"/>
      <c r="C44" s="148" t="s">
        <v>21243</v>
      </c>
      <c r="D44" s="150">
        <v>43983</v>
      </c>
      <c r="E44" s="113" t="s">
        <v>21242</v>
      </c>
      <c r="F44" s="257" t="s">
        <v>14408</v>
      </c>
      <c r="G44" s="258">
        <v>9.09</v>
      </c>
      <c r="H44" s="152"/>
      <c r="I44" s="160">
        <f t="shared" si="0"/>
        <v>43463.410000000011</v>
      </c>
    </row>
    <row r="45" spans="2:9" hidden="1" x14ac:dyDescent="0.25">
      <c r="B45" s="148"/>
      <c r="C45" s="148" t="s">
        <v>21241</v>
      </c>
      <c r="D45" s="150">
        <v>43983</v>
      </c>
      <c r="E45" s="113" t="s">
        <v>21240</v>
      </c>
      <c r="F45" s="257" t="s">
        <v>14408</v>
      </c>
      <c r="G45" s="258">
        <v>6.15</v>
      </c>
      <c r="H45" s="152"/>
      <c r="I45" s="160">
        <f t="shared" si="0"/>
        <v>43469.560000000012</v>
      </c>
    </row>
    <row r="46" spans="2:9" hidden="1" x14ac:dyDescent="0.25">
      <c r="B46" s="148"/>
      <c r="C46" s="148" t="s">
        <v>21239</v>
      </c>
      <c r="D46" s="150">
        <v>43983</v>
      </c>
      <c r="E46" s="113" t="s">
        <v>21238</v>
      </c>
      <c r="F46" s="257" t="s">
        <v>14408</v>
      </c>
      <c r="G46" s="258">
        <v>7.61</v>
      </c>
      <c r="H46" s="152"/>
      <c r="I46" s="160">
        <f t="shared" si="0"/>
        <v>43477.170000000013</v>
      </c>
    </row>
    <row r="47" spans="2:9" hidden="1" x14ac:dyDescent="0.25">
      <c r="B47" s="148"/>
      <c r="C47" s="148" t="s">
        <v>21237</v>
      </c>
      <c r="D47" s="150">
        <v>43983</v>
      </c>
      <c r="E47" s="113" t="s">
        <v>21236</v>
      </c>
      <c r="F47" s="257" t="s">
        <v>14408</v>
      </c>
      <c r="G47" s="258">
        <v>6.41</v>
      </c>
      <c r="H47" s="152"/>
      <c r="I47" s="160">
        <f t="shared" si="0"/>
        <v>43483.580000000016</v>
      </c>
    </row>
    <row r="48" spans="2:9" hidden="1" x14ac:dyDescent="0.25">
      <c r="B48" s="148"/>
      <c r="C48" s="148" t="s">
        <v>21235</v>
      </c>
      <c r="D48" s="150">
        <v>43983</v>
      </c>
      <c r="E48" s="113" t="s">
        <v>21234</v>
      </c>
      <c r="F48" s="257" t="s">
        <v>14408</v>
      </c>
      <c r="G48" s="258">
        <v>6.46</v>
      </c>
      <c r="H48" s="152"/>
      <c r="I48" s="160">
        <f t="shared" si="0"/>
        <v>43490.040000000015</v>
      </c>
    </row>
    <row r="49" spans="2:9" ht="19.5" hidden="1" x14ac:dyDescent="0.25">
      <c r="B49" s="148"/>
      <c r="C49" s="148" t="s">
        <v>21233</v>
      </c>
      <c r="D49" s="150">
        <v>43983</v>
      </c>
      <c r="E49" s="113" t="s">
        <v>21232</v>
      </c>
      <c r="F49" s="257" t="s">
        <v>14408</v>
      </c>
      <c r="G49" s="258">
        <v>12.29</v>
      </c>
      <c r="H49" s="152"/>
      <c r="I49" s="160">
        <f t="shared" si="0"/>
        <v>43502.330000000016</v>
      </c>
    </row>
    <row r="50" spans="2:9" hidden="1" x14ac:dyDescent="0.25">
      <c r="B50" s="148"/>
      <c r="C50" s="148" t="s">
        <v>21231</v>
      </c>
      <c r="D50" s="150">
        <v>43983</v>
      </c>
      <c r="E50" s="113" t="s">
        <v>21230</v>
      </c>
      <c r="F50" s="257" t="s">
        <v>14436</v>
      </c>
      <c r="G50" s="160">
        <v>12.88</v>
      </c>
      <c r="H50" s="152"/>
      <c r="I50" s="160">
        <f t="shared" si="0"/>
        <v>43515.210000000014</v>
      </c>
    </row>
    <row r="51" spans="2:9" ht="19.5" hidden="1" x14ac:dyDescent="0.25">
      <c r="B51" s="148"/>
      <c r="C51" s="148" t="s">
        <v>11174</v>
      </c>
      <c r="D51" s="150">
        <v>43984</v>
      </c>
      <c r="E51" s="113" t="s">
        <v>21229</v>
      </c>
      <c r="F51" s="257" t="s">
        <v>14408</v>
      </c>
      <c r="G51" s="258">
        <v>3.34</v>
      </c>
      <c r="H51" s="152"/>
      <c r="I51" s="160">
        <f t="shared" si="0"/>
        <v>43518.55000000001</v>
      </c>
    </row>
    <row r="52" spans="2:9" hidden="1" x14ac:dyDescent="0.25">
      <c r="B52" s="148"/>
      <c r="C52" s="148" t="s">
        <v>21228</v>
      </c>
      <c r="D52" s="150">
        <v>43984</v>
      </c>
      <c r="E52" s="113" t="s">
        <v>21227</v>
      </c>
      <c r="F52" s="257" t="s">
        <v>14436</v>
      </c>
      <c r="G52" s="160">
        <v>11.19</v>
      </c>
      <c r="H52" s="152"/>
      <c r="I52" s="160">
        <f t="shared" si="0"/>
        <v>43529.740000000013</v>
      </c>
    </row>
    <row r="53" spans="2:9" ht="19.5" hidden="1" x14ac:dyDescent="0.25">
      <c r="B53" s="148"/>
      <c r="C53" s="148" t="s">
        <v>21226</v>
      </c>
      <c r="D53" s="150">
        <v>43984</v>
      </c>
      <c r="E53" s="113" t="s">
        <v>21225</v>
      </c>
      <c r="F53" s="257" t="s">
        <v>14408</v>
      </c>
      <c r="G53" s="258">
        <v>5.04</v>
      </c>
      <c r="H53" s="152"/>
      <c r="I53" s="160">
        <f t="shared" si="0"/>
        <v>43534.780000000013</v>
      </c>
    </row>
    <row r="54" spans="2:9" ht="19.5" hidden="1" x14ac:dyDescent="0.25">
      <c r="B54" s="148"/>
      <c r="C54" s="148" t="s">
        <v>21224</v>
      </c>
      <c r="D54" s="150">
        <v>43984</v>
      </c>
      <c r="E54" s="113" t="s">
        <v>21223</v>
      </c>
      <c r="F54" s="257" t="s">
        <v>14408</v>
      </c>
      <c r="G54" s="258">
        <v>8.8000000000000007</v>
      </c>
      <c r="H54" s="152"/>
      <c r="I54" s="160">
        <f t="shared" si="0"/>
        <v>43543.580000000016</v>
      </c>
    </row>
    <row r="55" spans="2:9" hidden="1" x14ac:dyDescent="0.25">
      <c r="B55" s="148"/>
      <c r="C55" s="148" t="s">
        <v>21222</v>
      </c>
      <c r="D55" s="150">
        <v>43984</v>
      </c>
      <c r="E55" s="113" t="s">
        <v>21221</v>
      </c>
      <c r="F55" s="257" t="s">
        <v>14408</v>
      </c>
      <c r="G55" s="258">
        <v>6.36</v>
      </c>
      <c r="H55" s="152"/>
      <c r="I55" s="160">
        <f t="shared" si="0"/>
        <v>43549.940000000017</v>
      </c>
    </row>
    <row r="56" spans="2:9" ht="19.5" hidden="1" x14ac:dyDescent="0.25">
      <c r="B56" s="148"/>
      <c r="C56" s="148" t="s">
        <v>21220</v>
      </c>
      <c r="D56" s="150">
        <v>43984</v>
      </c>
      <c r="E56" s="113" t="s">
        <v>21219</v>
      </c>
      <c r="F56" s="257" t="s">
        <v>14408</v>
      </c>
      <c r="G56" s="258">
        <v>14.02</v>
      </c>
      <c r="H56" s="152"/>
      <c r="I56" s="160">
        <f t="shared" si="0"/>
        <v>43563.960000000014</v>
      </c>
    </row>
    <row r="57" spans="2:9" hidden="1" x14ac:dyDescent="0.25">
      <c r="B57" s="148"/>
      <c r="C57" s="148" t="s">
        <v>21218</v>
      </c>
      <c r="D57" s="150">
        <v>43984</v>
      </c>
      <c r="E57" s="113" t="s">
        <v>21217</v>
      </c>
      <c r="F57" s="257" t="s">
        <v>14408</v>
      </c>
      <c r="G57" s="258">
        <v>10.08</v>
      </c>
      <c r="H57" s="152"/>
      <c r="I57" s="160">
        <f t="shared" si="0"/>
        <v>43574.040000000015</v>
      </c>
    </row>
    <row r="58" spans="2:9" ht="19.5" hidden="1" x14ac:dyDescent="0.25">
      <c r="B58" s="148"/>
      <c r="C58" s="148" t="s">
        <v>21216</v>
      </c>
      <c r="D58" s="150">
        <v>43984</v>
      </c>
      <c r="E58" s="113" t="s">
        <v>21215</v>
      </c>
      <c r="F58" s="257" t="s">
        <v>14408</v>
      </c>
      <c r="G58" s="258">
        <v>29.66</v>
      </c>
      <c r="H58" s="152"/>
      <c r="I58" s="160">
        <f t="shared" si="0"/>
        <v>43603.700000000019</v>
      </c>
    </row>
    <row r="59" spans="2:9" hidden="1" x14ac:dyDescent="0.25">
      <c r="B59" s="148"/>
      <c r="C59" s="148" t="s">
        <v>21214</v>
      </c>
      <c r="D59" s="150">
        <v>43984</v>
      </c>
      <c r="E59" s="113" t="s">
        <v>21213</v>
      </c>
      <c r="F59" s="257" t="s">
        <v>14408</v>
      </c>
      <c r="G59" s="258">
        <v>4.95</v>
      </c>
      <c r="H59" s="152"/>
      <c r="I59" s="160">
        <f t="shared" si="0"/>
        <v>43608.650000000016</v>
      </c>
    </row>
    <row r="60" spans="2:9" hidden="1" x14ac:dyDescent="0.25">
      <c r="B60" s="148"/>
      <c r="C60" s="148" t="s">
        <v>21212</v>
      </c>
      <c r="D60" s="150">
        <v>43984</v>
      </c>
      <c r="E60" s="113" t="s">
        <v>21211</v>
      </c>
      <c r="F60" s="257" t="s">
        <v>14408</v>
      </c>
      <c r="G60" s="258">
        <v>0.17</v>
      </c>
      <c r="H60" s="152"/>
      <c r="I60" s="160">
        <f t="shared" si="0"/>
        <v>43608.820000000014</v>
      </c>
    </row>
    <row r="61" spans="2:9" hidden="1" x14ac:dyDescent="0.25">
      <c r="B61" s="148"/>
      <c r="C61" s="148" t="s">
        <v>21210</v>
      </c>
      <c r="D61" s="150">
        <v>43984</v>
      </c>
      <c r="E61" s="113" t="s">
        <v>21209</v>
      </c>
      <c r="F61" s="257" t="s">
        <v>14408</v>
      </c>
      <c r="G61" s="258">
        <v>1.68</v>
      </c>
      <c r="H61" s="152"/>
      <c r="I61" s="160">
        <f t="shared" si="0"/>
        <v>43610.500000000015</v>
      </c>
    </row>
    <row r="62" spans="2:9" ht="19.5" hidden="1" x14ac:dyDescent="0.25">
      <c r="B62" s="148"/>
      <c r="C62" s="148" t="s">
        <v>21208</v>
      </c>
      <c r="D62" s="150">
        <v>43984</v>
      </c>
      <c r="E62" s="113" t="s">
        <v>21207</v>
      </c>
      <c r="F62" s="257" t="s">
        <v>14408</v>
      </c>
      <c r="G62" s="258">
        <v>8.34</v>
      </c>
      <c r="H62" s="152"/>
      <c r="I62" s="160">
        <f t="shared" si="0"/>
        <v>43618.840000000011</v>
      </c>
    </row>
    <row r="63" spans="2:9" ht="19.5" hidden="1" x14ac:dyDescent="0.25">
      <c r="B63" s="148"/>
      <c r="C63" s="148" t="s">
        <v>21206</v>
      </c>
      <c r="D63" s="150">
        <v>43984</v>
      </c>
      <c r="E63" s="113" t="s">
        <v>21205</v>
      </c>
      <c r="F63" s="257" t="s">
        <v>14408</v>
      </c>
      <c r="G63" s="258">
        <v>23.06</v>
      </c>
      <c r="H63" s="152"/>
      <c r="I63" s="160">
        <f t="shared" si="0"/>
        <v>43641.900000000009</v>
      </c>
    </row>
    <row r="64" spans="2:9" ht="19.5" hidden="1" x14ac:dyDescent="0.25">
      <c r="B64" s="148"/>
      <c r="C64" s="148" t="s">
        <v>21204</v>
      </c>
      <c r="D64" s="150">
        <v>43984</v>
      </c>
      <c r="E64" s="113" t="s">
        <v>21203</v>
      </c>
      <c r="F64" s="257" t="s">
        <v>14408</v>
      </c>
      <c r="G64" s="258">
        <v>13.69</v>
      </c>
      <c r="H64" s="152"/>
      <c r="I64" s="160">
        <f t="shared" si="0"/>
        <v>43655.590000000011</v>
      </c>
    </row>
    <row r="65" spans="2:9" ht="19.5" hidden="1" x14ac:dyDescent="0.25">
      <c r="B65" s="148"/>
      <c r="C65" s="148" t="s">
        <v>21202</v>
      </c>
      <c r="D65" s="150">
        <v>43984</v>
      </c>
      <c r="E65" s="113" t="s">
        <v>21201</v>
      </c>
      <c r="F65" s="257" t="s">
        <v>14408</v>
      </c>
      <c r="G65" s="258">
        <v>11.55</v>
      </c>
      <c r="H65" s="152"/>
      <c r="I65" s="160">
        <f t="shared" si="0"/>
        <v>43667.140000000014</v>
      </c>
    </row>
    <row r="66" spans="2:9" hidden="1" x14ac:dyDescent="0.25">
      <c r="B66" s="148"/>
      <c r="C66" s="148" t="s">
        <v>21200</v>
      </c>
      <c r="D66" s="150">
        <v>43984</v>
      </c>
      <c r="E66" s="113" t="s">
        <v>21199</v>
      </c>
      <c r="F66" s="257" t="s">
        <v>14408</v>
      </c>
      <c r="G66" s="258">
        <v>9.4499999999999993</v>
      </c>
      <c r="H66" s="152"/>
      <c r="I66" s="160">
        <f t="shared" si="0"/>
        <v>43676.590000000011</v>
      </c>
    </row>
    <row r="67" spans="2:9" hidden="1" x14ac:dyDescent="0.25">
      <c r="B67" s="148"/>
      <c r="C67" s="148" t="s">
        <v>21198</v>
      </c>
      <c r="D67" s="150">
        <v>43984</v>
      </c>
      <c r="E67" s="113" t="s">
        <v>21197</v>
      </c>
      <c r="F67" s="257" t="s">
        <v>14408</v>
      </c>
      <c r="G67" s="258">
        <v>2.4</v>
      </c>
      <c r="H67" s="152"/>
      <c r="I67" s="160">
        <f t="shared" si="0"/>
        <v>43678.990000000013</v>
      </c>
    </row>
    <row r="68" spans="2:9" ht="19.5" hidden="1" x14ac:dyDescent="0.25">
      <c r="B68" s="148"/>
      <c r="C68" s="148" t="s">
        <v>21196</v>
      </c>
      <c r="D68" s="150">
        <v>43984</v>
      </c>
      <c r="E68" s="113" t="s">
        <v>21195</v>
      </c>
      <c r="F68" s="257" t="s">
        <v>14408</v>
      </c>
      <c r="G68" s="258">
        <v>9.08</v>
      </c>
      <c r="H68" s="152"/>
      <c r="I68" s="160">
        <f t="shared" si="0"/>
        <v>43688.070000000014</v>
      </c>
    </row>
    <row r="69" spans="2:9" hidden="1" x14ac:dyDescent="0.25">
      <c r="B69" s="148"/>
      <c r="C69" s="148" t="s">
        <v>21194</v>
      </c>
      <c r="D69" s="150">
        <v>43984</v>
      </c>
      <c r="E69" s="113" t="s">
        <v>21193</v>
      </c>
      <c r="F69" s="257" t="s">
        <v>14408</v>
      </c>
      <c r="G69" s="258">
        <v>11.58</v>
      </c>
      <c r="H69" s="152"/>
      <c r="I69" s="160">
        <f t="shared" si="0"/>
        <v>43699.650000000016</v>
      </c>
    </row>
    <row r="70" spans="2:9" hidden="1" x14ac:dyDescent="0.25">
      <c r="B70" s="148"/>
      <c r="C70" s="148" t="s">
        <v>21192</v>
      </c>
      <c r="D70" s="150">
        <v>43984</v>
      </c>
      <c r="E70" s="113" t="s">
        <v>21191</v>
      </c>
      <c r="F70" s="257" t="s">
        <v>14408</v>
      </c>
      <c r="G70" s="258">
        <v>7.59</v>
      </c>
      <c r="H70" s="152"/>
      <c r="I70" s="160">
        <f t="shared" si="0"/>
        <v>43707.240000000013</v>
      </c>
    </row>
    <row r="71" spans="2:9" hidden="1" x14ac:dyDescent="0.25">
      <c r="B71" s="148"/>
      <c r="C71" s="148" t="s">
        <v>21190</v>
      </c>
      <c r="D71" s="150">
        <v>43984</v>
      </c>
      <c r="E71" s="113" t="s">
        <v>21189</v>
      </c>
      <c r="F71" s="257" t="s">
        <v>14408</v>
      </c>
      <c r="G71" s="258">
        <v>7.32</v>
      </c>
      <c r="H71" s="152"/>
      <c r="I71" s="160">
        <f t="shared" si="0"/>
        <v>43714.560000000012</v>
      </c>
    </row>
    <row r="72" spans="2:9" hidden="1" x14ac:dyDescent="0.25">
      <c r="B72" s="148"/>
      <c r="C72" s="148" t="s">
        <v>21188</v>
      </c>
      <c r="D72" s="150">
        <v>43984</v>
      </c>
      <c r="E72" s="113" t="s">
        <v>21187</v>
      </c>
      <c r="F72" s="257" t="s">
        <v>14408</v>
      </c>
      <c r="G72" s="258">
        <v>3.38</v>
      </c>
      <c r="H72" s="152"/>
      <c r="I72" s="160">
        <f t="shared" si="0"/>
        <v>43717.94000000001</v>
      </c>
    </row>
    <row r="73" spans="2:9" hidden="1" x14ac:dyDescent="0.25">
      <c r="B73" s="148"/>
      <c r="C73" s="148" t="s">
        <v>21186</v>
      </c>
      <c r="D73" s="150">
        <v>43984</v>
      </c>
      <c r="E73" s="113" t="s">
        <v>21185</v>
      </c>
      <c r="F73" s="257">
        <v>2</v>
      </c>
      <c r="G73" s="255">
        <v>12.3</v>
      </c>
      <c r="H73" s="152"/>
      <c r="I73" s="160">
        <f t="shared" si="0"/>
        <v>43730.240000000013</v>
      </c>
    </row>
    <row r="74" spans="2:9" hidden="1" x14ac:dyDescent="0.25">
      <c r="B74" s="148"/>
      <c r="C74" s="148" t="s">
        <v>21184</v>
      </c>
      <c r="D74" s="150">
        <v>43984</v>
      </c>
      <c r="E74" s="113" t="s">
        <v>21183</v>
      </c>
      <c r="F74" s="257">
        <v>2</v>
      </c>
      <c r="G74" s="255">
        <v>1.68</v>
      </c>
      <c r="H74" s="152"/>
      <c r="I74" s="160">
        <f t="shared" si="0"/>
        <v>43731.920000000013</v>
      </c>
    </row>
    <row r="75" spans="2:9" hidden="1" x14ac:dyDescent="0.25">
      <c r="B75" s="148"/>
      <c r="C75" s="148" t="s">
        <v>21182</v>
      </c>
      <c r="D75" s="150">
        <v>43984</v>
      </c>
      <c r="E75" s="113" t="s">
        <v>21181</v>
      </c>
      <c r="F75" s="257">
        <v>2</v>
      </c>
      <c r="G75" s="255">
        <v>2</v>
      </c>
      <c r="H75" s="152"/>
      <c r="I75" s="160">
        <f t="shared" si="0"/>
        <v>43733.920000000013</v>
      </c>
    </row>
    <row r="76" spans="2:9" hidden="1" x14ac:dyDescent="0.25">
      <c r="B76" s="148"/>
      <c r="C76" s="148" t="s">
        <v>21180</v>
      </c>
      <c r="D76" s="150">
        <v>43984</v>
      </c>
      <c r="E76" s="113" t="s">
        <v>21179</v>
      </c>
      <c r="F76" s="257">
        <v>2</v>
      </c>
      <c r="G76" s="255">
        <v>1.93</v>
      </c>
      <c r="H76" s="152"/>
      <c r="I76" s="160">
        <f t="shared" si="0"/>
        <v>43735.850000000013</v>
      </c>
    </row>
    <row r="77" spans="2:9" hidden="1" x14ac:dyDescent="0.25">
      <c r="B77" s="148"/>
      <c r="C77" s="148" t="s">
        <v>21178</v>
      </c>
      <c r="D77" s="150">
        <v>43984</v>
      </c>
      <c r="E77" s="113" t="s">
        <v>21177</v>
      </c>
      <c r="F77" s="257">
        <v>2</v>
      </c>
      <c r="G77" s="255">
        <v>8.3800000000000008</v>
      </c>
      <c r="H77" s="152"/>
      <c r="I77" s="160">
        <f t="shared" si="0"/>
        <v>43744.23000000001</v>
      </c>
    </row>
    <row r="78" spans="2:9" hidden="1" x14ac:dyDescent="0.25">
      <c r="B78" s="148"/>
      <c r="C78" s="148" t="s">
        <v>21176</v>
      </c>
      <c r="D78" s="150">
        <v>43984</v>
      </c>
      <c r="E78" s="113" t="s">
        <v>21175</v>
      </c>
      <c r="F78" s="257">
        <v>2</v>
      </c>
      <c r="G78" s="255">
        <v>4.1900000000000004</v>
      </c>
      <c r="H78" s="152"/>
      <c r="I78" s="160">
        <f t="shared" si="0"/>
        <v>43748.420000000013</v>
      </c>
    </row>
    <row r="79" spans="2:9" hidden="1" x14ac:dyDescent="0.25">
      <c r="B79" s="148"/>
      <c r="C79" s="148" t="s">
        <v>21174</v>
      </c>
      <c r="D79" s="150">
        <v>43984</v>
      </c>
      <c r="E79" s="113" t="s">
        <v>21173</v>
      </c>
      <c r="F79" s="257">
        <v>2</v>
      </c>
      <c r="G79" s="255">
        <v>8.3800000000000008</v>
      </c>
      <c r="H79" s="152"/>
      <c r="I79" s="160">
        <f t="shared" si="0"/>
        <v>43756.80000000001</v>
      </c>
    </row>
    <row r="80" spans="2:9" hidden="1" x14ac:dyDescent="0.25">
      <c r="B80" s="148"/>
      <c r="C80" s="148" t="s">
        <v>21172</v>
      </c>
      <c r="D80" s="150">
        <v>43984</v>
      </c>
      <c r="E80" s="113" t="s">
        <v>21171</v>
      </c>
      <c r="F80" s="257">
        <v>2</v>
      </c>
      <c r="G80" s="255">
        <v>8.92</v>
      </c>
      <c r="H80" s="152"/>
      <c r="I80" s="160">
        <f t="shared" si="0"/>
        <v>43765.720000000008</v>
      </c>
    </row>
    <row r="81" spans="2:9" hidden="1" x14ac:dyDescent="0.25">
      <c r="B81" s="148"/>
      <c r="C81" s="148" t="s">
        <v>21170</v>
      </c>
      <c r="D81" s="150">
        <v>43984</v>
      </c>
      <c r="E81" s="113" t="s">
        <v>21169</v>
      </c>
      <c r="F81" s="257">
        <v>2</v>
      </c>
      <c r="G81" s="255">
        <v>17.899999999999999</v>
      </c>
      <c r="H81" s="152"/>
      <c r="I81" s="160">
        <f t="shared" si="0"/>
        <v>43783.62000000001</v>
      </c>
    </row>
    <row r="82" spans="2:9" hidden="1" x14ac:dyDescent="0.25">
      <c r="B82" s="148"/>
      <c r="C82" s="148" t="s">
        <v>21168</v>
      </c>
      <c r="D82" s="150">
        <v>43984</v>
      </c>
      <c r="E82" s="113" t="s">
        <v>21167</v>
      </c>
      <c r="F82" s="257">
        <v>2</v>
      </c>
      <c r="G82" s="255">
        <v>3.47</v>
      </c>
      <c r="H82" s="152"/>
      <c r="I82" s="160">
        <f t="shared" si="0"/>
        <v>43787.090000000011</v>
      </c>
    </row>
    <row r="83" spans="2:9" hidden="1" x14ac:dyDescent="0.25">
      <c r="B83" s="148"/>
      <c r="C83" s="148" t="s">
        <v>21166</v>
      </c>
      <c r="D83" s="150">
        <v>43984</v>
      </c>
      <c r="E83" s="113" t="s">
        <v>21165</v>
      </c>
      <c r="F83" s="257">
        <v>2</v>
      </c>
      <c r="G83" s="255">
        <v>4.1900000000000004</v>
      </c>
      <c r="H83" s="152"/>
      <c r="I83" s="160">
        <f t="shared" si="0"/>
        <v>43791.280000000013</v>
      </c>
    </row>
    <row r="84" spans="2:9" hidden="1" x14ac:dyDescent="0.25">
      <c r="B84" s="148"/>
      <c r="C84" s="148" t="s">
        <v>21164</v>
      </c>
      <c r="D84" s="150">
        <v>43984</v>
      </c>
      <c r="E84" s="113" t="s">
        <v>21163</v>
      </c>
      <c r="F84" s="257">
        <v>2</v>
      </c>
      <c r="G84" s="255">
        <v>7.82</v>
      </c>
      <c r="H84" s="152"/>
      <c r="I84" s="160">
        <f t="shared" ref="I84:I147" si="1">+I83+G84-H84</f>
        <v>43799.100000000013</v>
      </c>
    </row>
    <row r="85" spans="2:9" hidden="1" x14ac:dyDescent="0.25">
      <c r="B85" s="148"/>
      <c r="C85" s="148" t="s">
        <v>21162</v>
      </c>
      <c r="D85" s="150">
        <v>43984</v>
      </c>
      <c r="E85" s="113" t="s">
        <v>21161</v>
      </c>
      <c r="F85" s="257">
        <v>2</v>
      </c>
      <c r="G85" s="255">
        <v>1.68</v>
      </c>
      <c r="H85" s="152"/>
      <c r="I85" s="160">
        <f t="shared" si="1"/>
        <v>43800.780000000013</v>
      </c>
    </row>
    <row r="86" spans="2:9" hidden="1" x14ac:dyDescent="0.25">
      <c r="B86" s="148"/>
      <c r="C86" s="148" t="s">
        <v>21160</v>
      </c>
      <c r="D86" s="150">
        <v>43984</v>
      </c>
      <c r="E86" s="113" t="s">
        <v>21159</v>
      </c>
      <c r="F86" s="257">
        <v>2</v>
      </c>
      <c r="G86" s="255">
        <v>4.1900000000000004</v>
      </c>
      <c r="H86" s="152"/>
      <c r="I86" s="160">
        <f t="shared" si="1"/>
        <v>43804.970000000016</v>
      </c>
    </row>
    <row r="87" spans="2:9" hidden="1" x14ac:dyDescent="0.25">
      <c r="B87" s="148"/>
      <c r="C87" s="148" t="s">
        <v>21158</v>
      </c>
      <c r="D87" s="150">
        <v>43984</v>
      </c>
      <c r="E87" s="113" t="s">
        <v>21157</v>
      </c>
      <c r="F87" s="257">
        <v>2</v>
      </c>
      <c r="G87" s="255">
        <v>2.04</v>
      </c>
      <c r="H87" s="152"/>
      <c r="I87" s="160">
        <f t="shared" si="1"/>
        <v>43807.010000000017</v>
      </c>
    </row>
    <row r="88" spans="2:9" hidden="1" x14ac:dyDescent="0.25">
      <c r="B88" s="148"/>
      <c r="C88" s="148" t="s">
        <v>21156</v>
      </c>
      <c r="D88" s="150">
        <v>43984</v>
      </c>
      <c r="E88" s="113" t="s">
        <v>21155</v>
      </c>
      <c r="F88" s="257">
        <v>2</v>
      </c>
      <c r="G88" s="255">
        <v>2.34</v>
      </c>
      <c r="H88" s="152"/>
      <c r="I88" s="160">
        <f t="shared" si="1"/>
        <v>43809.350000000013</v>
      </c>
    </row>
    <row r="89" spans="2:9" hidden="1" x14ac:dyDescent="0.25">
      <c r="B89" s="148"/>
      <c r="C89" s="148" t="s">
        <v>21154</v>
      </c>
      <c r="D89" s="150">
        <v>43984</v>
      </c>
      <c r="E89" s="113" t="s">
        <v>21153</v>
      </c>
      <c r="F89" s="257">
        <v>2</v>
      </c>
      <c r="G89" s="255">
        <v>3.36</v>
      </c>
      <c r="H89" s="152"/>
      <c r="I89" s="160">
        <f t="shared" si="1"/>
        <v>43812.710000000014</v>
      </c>
    </row>
    <row r="90" spans="2:9" hidden="1" x14ac:dyDescent="0.25">
      <c r="B90" s="148"/>
      <c r="C90" s="148" t="s">
        <v>21152</v>
      </c>
      <c r="D90" s="150">
        <v>43984</v>
      </c>
      <c r="E90" s="113" t="s">
        <v>21151</v>
      </c>
      <c r="F90" s="257">
        <v>2</v>
      </c>
      <c r="G90" s="255">
        <v>1.9</v>
      </c>
      <c r="H90" s="152"/>
      <c r="I90" s="160">
        <f t="shared" si="1"/>
        <v>43814.610000000015</v>
      </c>
    </row>
    <row r="91" spans="2:9" hidden="1" x14ac:dyDescent="0.25">
      <c r="B91" s="148"/>
      <c r="C91" s="148" t="s">
        <v>21150</v>
      </c>
      <c r="D91" s="150">
        <v>43984</v>
      </c>
      <c r="E91" s="113" t="s">
        <v>21149</v>
      </c>
      <c r="F91" s="257">
        <v>2</v>
      </c>
      <c r="G91" s="255">
        <v>9.84</v>
      </c>
      <c r="H91" s="152"/>
      <c r="I91" s="160">
        <f t="shared" si="1"/>
        <v>43824.450000000012</v>
      </c>
    </row>
    <row r="92" spans="2:9" hidden="1" x14ac:dyDescent="0.25">
      <c r="B92" s="148"/>
      <c r="C92" s="148" t="s">
        <v>21148</v>
      </c>
      <c r="D92" s="150">
        <v>43984</v>
      </c>
      <c r="E92" s="113" t="s">
        <v>21147</v>
      </c>
      <c r="F92" s="257">
        <v>2</v>
      </c>
      <c r="G92" s="255">
        <v>13.75</v>
      </c>
      <c r="H92" s="152"/>
      <c r="I92" s="160">
        <f t="shared" si="1"/>
        <v>43838.200000000012</v>
      </c>
    </row>
    <row r="93" spans="2:9" hidden="1" x14ac:dyDescent="0.25">
      <c r="B93" s="148"/>
      <c r="C93" s="148" t="s">
        <v>21146</v>
      </c>
      <c r="D93" s="150">
        <v>43984</v>
      </c>
      <c r="E93" s="113" t="s">
        <v>21145</v>
      </c>
      <c r="F93" s="257">
        <v>2</v>
      </c>
      <c r="G93" s="255">
        <v>16.329999999999998</v>
      </c>
      <c r="H93" s="152"/>
      <c r="I93" s="160">
        <f t="shared" si="1"/>
        <v>43854.530000000013</v>
      </c>
    </row>
    <row r="94" spans="2:9" hidden="1" x14ac:dyDescent="0.25">
      <c r="B94" s="148"/>
      <c r="C94" s="148" t="s">
        <v>21144</v>
      </c>
      <c r="D94" s="150">
        <v>43984</v>
      </c>
      <c r="E94" s="113" t="s">
        <v>21143</v>
      </c>
      <c r="F94" s="257">
        <v>2</v>
      </c>
      <c r="G94" s="255">
        <v>4.7</v>
      </c>
      <c r="H94" s="152"/>
      <c r="I94" s="160">
        <f t="shared" si="1"/>
        <v>43859.23000000001</v>
      </c>
    </row>
    <row r="95" spans="2:9" hidden="1" x14ac:dyDescent="0.25">
      <c r="B95" s="148"/>
      <c r="C95" s="148" t="s">
        <v>21142</v>
      </c>
      <c r="D95" s="150">
        <v>43984</v>
      </c>
      <c r="E95" s="113" t="s">
        <v>21141</v>
      </c>
      <c r="F95" s="257">
        <v>2</v>
      </c>
      <c r="G95" s="255">
        <v>6.85</v>
      </c>
      <c r="H95" s="152"/>
      <c r="I95" s="160">
        <f t="shared" si="1"/>
        <v>43866.080000000009</v>
      </c>
    </row>
    <row r="96" spans="2:9" hidden="1" x14ac:dyDescent="0.25">
      <c r="B96" s="148"/>
      <c r="C96" s="148" t="s">
        <v>21140</v>
      </c>
      <c r="D96" s="150">
        <v>43984</v>
      </c>
      <c r="E96" s="113" t="s">
        <v>21139</v>
      </c>
      <c r="F96" s="257">
        <v>2</v>
      </c>
      <c r="G96" s="255">
        <v>8.3800000000000008</v>
      </c>
      <c r="H96" s="152"/>
      <c r="I96" s="160">
        <f t="shared" si="1"/>
        <v>43874.460000000006</v>
      </c>
    </row>
    <row r="97" spans="2:9" hidden="1" x14ac:dyDescent="0.25">
      <c r="B97" s="148"/>
      <c r="C97" s="148" t="s">
        <v>21138</v>
      </c>
      <c r="D97" s="150">
        <v>43984</v>
      </c>
      <c r="E97" s="113" t="s">
        <v>21137</v>
      </c>
      <c r="F97" s="257">
        <v>2</v>
      </c>
      <c r="G97" s="255">
        <v>8.3800000000000008</v>
      </c>
      <c r="H97" s="152"/>
      <c r="I97" s="160">
        <f t="shared" si="1"/>
        <v>43882.840000000004</v>
      </c>
    </row>
    <row r="98" spans="2:9" hidden="1" x14ac:dyDescent="0.25">
      <c r="B98" s="148"/>
      <c r="C98" s="148" t="s">
        <v>21136</v>
      </c>
      <c r="D98" s="150">
        <v>43984</v>
      </c>
      <c r="E98" s="113" t="s">
        <v>21135</v>
      </c>
      <c r="F98" s="257">
        <v>2</v>
      </c>
      <c r="G98" s="255">
        <v>13.17</v>
      </c>
      <c r="H98" s="152"/>
      <c r="I98" s="160">
        <f t="shared" si="1"/>
        <v>43896.01</v>
      </c>
    </row>
    <row r="99" spans="2:9" hidden="1" x14ac:dyDescent="0.25">
      <c r="B99" s="148"/>
      <c r="C99" s="148" t="s">
        <v>21134</v>
      </c>
      <c r="D99" s="150">
        <v>43984</v>
      </c>
      <c r="E99" s="113" t="s">
        <v>21133</v>
      </c>
      <c r="F99" s="257">
        <v>2</v>
      </c>
      <c r="G99" s="255">
        <v>3.82</v>
      </c>
      <c r="H99" s="152"/>
      <c r="I99" s="160">
        <f t="shared" si="1"/>
        <v>43899.83</v>
      </c>
    </row>
    <row r="100" spans="2:9" hidden="1" x14ac:dyDescent="0.25">
      <c r="B100" s="148"/>
      <c r="C100" s="148" t="s">
        <v>21132</v>
      </c>
      <c r="D100" s="150">
        <v>43984</v>
      </c>
      <c r="E100" s="113" t="s">
        <v>21131</v>
      </c>
      <c r="F100" s="257">
        <v>2</v>
      </c>
      <c r="G100" s="255">
        <v>7.82</v>
      </c>
      <c r="H100" s="152"/>
      <c r="I100" s="160">
        <f t="shared" si="1"/>
        <v>43907.65</v>
      </c>
    </row>
    <row r="101" spans="2:9" hidden="1" x14ac:dyDescent="0.25">
      <c r="B101" s="148"/>
      <c r="C101" s="148" t="s">
        <v>21130</v>
      </c>
      <c r="D101" s="150">
        <v>43984</v>
      </c>
      <c r="E101" s="113" t="s">
        <v>21129</v>
      </c>
      <c r="F101" s="257">
        <v>2</v>
      </c>
      <c r="G101" s="255">
        <v>1.75</v>
      </c>
      <c r="H101" s="152"/>
      <c r="I101" s="160">
        <f t="shared" si="1"/>
        <v>43909.4</v>
      </c>
    </row>
    <row r="102" spans="2:9" hidden="1" x14ac:dyDescent="0.25">
      <c r="B102" s="148"/>
      <c r="C102" s="148" t="s">
        <v>21128</v>
      </c>
      <c r="D102" s="150">
        <v>43984</v>
      </c>
      <c r="E102" s="113" t="s">
        <v>21127</v>
      </c>
      <c r="F102" s="257">
        <v>2</v>
      </c>
      <c r="G102" s="255">
        <v>8.3800000000000008</v>
      </c>
      <c r="H102" s="152"/>
      <c r="I102" s="160">
        <f t="shared" si="1"/>
        <v>43917.78</v>
      </c>
    </row>
    <row r="103" spans="2:9" hidden="1" x14ac:dyDescent="0.25">
      <c r="B103" s="148"/>
      <c r="C103" s="148" t="s">
        <v>21126</v>
      </c>
      <c r="D103" s="150">
        <v>43984</v>
      </c>
      <c r="E103" s="113" t="s">
        <v>21125</v>
      </c>
      <c r="F103" s="257">
        <v>2</v>
      </c>
      <c r="G103" s="255">
        <v>1.68</v>
      </c>
      <c r="H103" s="152"/>
      <c r="I103" s="160">
        <f t="shared" si="1"/>
        <v>43919.46</v>
      </c>
    </row>
    <row r="104" spans="2:9" hidden="1" x14ac:dyDescent="0.25">
      <c r="B104" s="148"/>
      <c r="C104" s="148" t="s">
        <v>21124</v>
      </c>
      <c r="D104" s="150">
        <v>43984</v>
      </c>
      <c r="E104" s="113" t="s">
        <v>21123</v>
      </c>
      <c r="F104" s="257">
        <v>2</v>
      </c>
      <c r="G104" s="255">
        <v>8.3800000000000008</v>
      </c>
      <c r="H104" s="152"/>
      <c r="I104" s="160">
        <f t="shared" si="1"/>
        <v>43927.839999999997</v>
      </c>
    </row>
    <row r="105" spans="2:9" hidden="1" x14ac:dyDescent="0.25">
      <c r="B105" s="148"/>
      <c r="C105" s="148" t="s">
        <v>21122</v>
      </c>
      <c r="D105" s="150">
        <v>43984</v>
      </c>
      <c r="E105" s="113" t="s">
        <v>21121</v>
      </c>
      <c r="F105" s="257">
        <v>2</v>
      </c>
      <c r="G105" s="255">
        <v>4.45</v>
      </c>
      <c r="H105" s="152"/>
      <c r="I105" s="160">
        <f t="shared" si="1"/>
        <v>43932.289999999994</v>
      </c>
    </row>
    <row r="106" spans="2:9" hidden="1" x14ac:dyDescent="0.25">
      <c r="B106" s="148"/>
      <c r="C106" s="148" t="s">
        <v>21120</v>
      </c>
      <c r="D106" s="150">
        <v>43984</v>
      </c>
      <c r="E106" s="113" t="s">
        <v>21119</v>
      </c>
      <c r="F106" s="257">
        <v>2</v>
      </c>
      <c r="G106" s="255">
        <v>2.4500000000000002</v>
      </c>
      <c r="H106" s="152"/>
      <c r="I106" s="160">
        <f t="shared" si="1"/>
        <v>43934.739999999991</v>
      </c>
    </row>
    <row r="107" spans="2:9" hidden="1" x14ac:dyDescent="0.25">
      <c r="B107" s="148"/>
      <c r="C107" s="148" t="s">
        <v>21118</v>
      </c>
      <c r="D107" s="150">
        <v>43984</v>
      </c>
      <c r="E107" s="113" t="s">
        <v>21117</v>
      </c>
      <c r="F107" s="257">
        <v>2</v>
      </c>
      <c r="G107" s="255">
        <v>8.42</v>
      </c>
      <c r="H107" s="152"/>
      <c r="I107" s="160">
        <f t="shared" si="1"/>
        <v>43943.159999999989</v>
      </c>
    </row>
    <row r="108" spans="2:9" hidden="1" x14ac:dyDescent="0.25">
      <c r="B108" s="148"/>
      <c r="C108" s="148" t="s">
        <v>21116</v>
      </c>
      <c r="D108" s="150">
        <v>43984</v>
      </c>
      <c r="E108" s="113" t="s">
        <v>21115</v>
      </c>
      <c r="F108" s="257">
        <v>2</v>
      </c>
      <c r="G108" s="255">
        <v>8.3800000000000008</v>
      </c>
      <c r="H108" s="152"/>
      <c r="I108" s="160">
        <f t="shared" si="1"/>
        <v>43951.539999999986</v>
      </c>
    </row>
    <row r="109" spans="2:9" hidden="1" x14ac:dyDescent="0.25">
      <c r="B109" s="148"/>
      <c r="C109" s="148" t="s">
        <v>21114</v>
      </c>
      <c r="D109" s="150">
        <v>43984</v>
      </c>
      <c r="E109" s="113" t="s">
        <v>21113</v>
      </c>
      <c r="F109" s="257">
        <v>2</v>
      </c>
      <c r="G109" s="255">
        <v>3.36</v>
      </c>
      <c r="H109" s="152"/>
      <c r="I109" s="160">
        <f t="shared" si="1"/>
        <v>43954.899999999987</v>
      </c>
    </row>
    <row r="110" spans="2:9" hidden="1" x14ac:dyDescent="0.25">
      <c r="B110" s="148"/>
      <c r="C110" s="148" t="s">
        <v>21112</v>
      </c>
      <c r="D110" s="150">
        <v>43984</v>
      </c>
      <c r="E110" s="113" t="s">
        <v>21111</v>
      </c>
      <c r="F110" s="257">
        <v>2</v>
      </c>
      <c r="G110" s="255">
        <v>6.94</v>
      </c>
      <c r="H110" s="152"/>
      <c r="I110" s="160">
        <f t="shared" si="1"/>
        <v>43961.839999999989</v>
      </c>
    </row>
    <row r="111" spans="2:9" hidden="1" x14ac:dyDescent="0.25">
      <c r="B111" s="148"/>
      <c r="C111" s="148" t="s">
        <v>21110</v>
      </c>
      <c r="D111" s="150">
        <v>43984</v>
      </c>
      <c r="E111" s="113" t="s">
        <v>21109</v>
      </c>
      <c r="F111" s="257">
        <v>2</v>
      </c>
      <c r="G111" s="255">
        <v>2.02</v>
      </c>
      <c r="H111" s="152"/>
      <c r="I111" s="160">
        <f t="shared" si="1"/>
        <v>43963.859999999986</v>
      </c>
    </row>
    <row r="112" spans="2:9" hidden="1" x14ac:dyDescent="0.25">
      <c r="B112" s="148"/>
      <c r="C112" s="148" t="s">
        <v>21108</v>
      </c>
      <c r="D112" s="150">
        <v>43984</v>
      </c>
      <c r="E112" s="113" t="s">
        <v>21107</v>
      </c>
      <c r="F112" s="257">
        <v>2</v>
      </c>
      <c r="G112" s="255">
        <v>6.94</v>
      </c>
      <c r="H112" s="152"/>
      <c r="I112" s="160">
        <f t="shared" si="1"/>
        <v>43970.799999999988</v>
      </c>
    </row>
    <row r="113" spans="2:9" hidden="1" x14ac:dyDescent="0.25">
      <c r="B113" s="148"/>
      <c r="C113" s="148" t="s">
        <v>21106</v>
      </c>
      <c r="D113" s="150">
        <v>43984</v>
      </c>
      <c r="E113" s="113" t="s">
        <v>21105</v>
      </c>
      <c r="F113" s="257">
        <v>2</v>
      </c>
      <c r="G113" s="255">
        <v>4.16</v>
      </c>
      <c r="H113" s="152"/>
      <c r="I113" s="160">
        <f t="shared" si="1"/>
        <v>43974.959999999992</v>
      </c>
    </row>
    <row r="114" spans="2:9" hidden="1" x14ac:dyDescent="0.25">
      <c r="B114" s="148"/>
      <c r="C114" s="148" t="s">
        <v>21104</v>
      </c>
      <c r="D114" s="150">
        <v>43984</v>
      </c>
      <c r="E114" s="113" t="s">
        <v>21103</v>
      </c>
      <c r="F114" s="257">
        <v>2</v>
      </c>
      <c r="G114" s="255">
        <v>1.68</v>
      </c>
      <c r="H114" s="152"/>
      <c r="I114" s="160">
        <f t="shared" si="1"/>
        <v>43976.639999999992</v>
      </c>
    </row>
    <row r="115" spans="2:9" hidden="1" x14ac:dyDescent="0.25">
      <c r="B115" s="148"/>
      <c r="C115" s="148" t="s">
        <v>21102</v>
      </c>
      <c r="D115" s="150">
        <v>43984</v>
      </c>
      <c r="E115" s="113" t="s">
        <v>21101</v>
      </c>
      <c r="F115" s="257">
        <v>2</v>
      </c>
      <c r="G115" s="255">
        <v>1.68</v>
      </c>
      <c r="H115" s="152"/>
      <c r="I115" s="160">
        <f t="shared" si="1"/>
        <v>43978.319999999992</v>
      </c>
    </row>
    <row r="116" spans="2:9" hidden="1" x14ac:dyDescent="0.25">
      <c r="B116" s="148"/>
      <c r="C116" s="148" t="s">
        <v>21100</v>
      </c>
      <c r="D116" s="150">
        <v>43984</v>
      </c>
      <c r="E116" s="113" t="s">
        <v>21099</v>
      </c>
      <c r="F116" s="257">
        <v>2</v>
      </c>
      <c r="G116" s="255">
        <v>15.3</v>
      </c>
      <c r="H116" s="152"/>
      <c r="I116" s="160">
        <f t="shared" si="1"/>
        <v>43993.619999999995</v>
      </c>
    </row>
    <row r="117" spans="2:9" hidden="1" x14ac:dyDescent="0.25">
      <c r="B117" s="148"/>
      <c r="C117" s="148" t="s">
        <v>21098</v>
      </c>
      <c r="D117" s="150">
        <v>43984</v>
      </c>
      <c r="E117" s="113" t="s">
        <v>21097</v>
      </c>
      <c r="F117" s="257">
        <v>2</v>
      </c>
      <c r="G117" s="255">
        <v>30.6</v>
      </c>
      <c r="H117" s="152"/>
      <c r="I117" s="160">
        <f t="shared" si="1"/>
        <v>44024.219999999994</v>
      </c>
    </row>
    <row r="118" spans="2:9" hidden="1" x14ac:dyDescent="0.25">
      <c r="B118" s="148"/>
      <c r="C118" s="148" t="s">
        <v>21096</v>
      </c>
      <c r="D118" s="150">
        <v>43984</v>
      </c>
      <c r="E118" s="113" t="s">
        <v>21095</v>
      </c>
      <c r="F118" s="257">
        <v>2</v>
      </c>
      <c r="G118" s="255">
        <v>2.02</v>
      </c>
      <c r="H118" s="152"/>
      <c r="I118" s="160">
        <f t="shared" si="1"/>
        <v>44026.239999999991</v>
      </c>
    </row>
    <row r="119" spans="2:9" hidden="1" x14ac:dyDescent="0.25">
      <c r="B119" s="148"/>
      <c r="C119" s="148" t="s">
        <v>21094</v>
      </c>
      <c r="D119" s="150">
        <v>43984</v>
      </c>
      <c r="E119" s="113" t="s">
        <v>21093</v>
      </c>
      <c r="F119" s="257">
        <v>2</v>
      </c>
      <c r="G119" s="255">
        <v>15.3</v>
      </c>
      <c r="H119" s="152"/>
      <c r="I119" s="160">
        <f t="shared" si="1"/>
        <v>44041.539999999994</v>
      </c>
    </row>
    <row r="120" spans="2:9" hidden="1" x14ac:dyDescent="0.25">
      <c r="B120" s="148"/>
      <c r="C120" s="148" t="s">
        <v>21092</v>
      </c>
      <c r="D120" s="150">
        <v>43984</v>
      </c>
      <c r="E120" s="113" t="s">
        <v>21091</v>
      </c>
      <c r="F120" s="257">
        <v>2</v>
      </c>
      <c r="G120" s="255">
        <v>15.3</v>
      </c>
      <c r="H120" s="152"/>
      <c r="I120" s="160">
        <f t="shared" si="1"/>
        <v>44056.84</v>
      </c>
    </row>
    <row r="121" spans="2:9" hidden="1" x14ac:dyDescent="0.25">
      <c r="B121" s="148"/>
      <c r="C121" s="148" t="s">
        <v>21090</v>
      </c>
      <c r="D121" s="150">
        <v>43984</v>
      </c>
      <c r="E121" s="113" t="s">
        <v>21089</v>
      </c>
      <c r="F121" s="257">
        <v>2</v>
      </c>
      <c r="G121" s="255">
        <v>15.3</v>
      </c>
      <c r="H121" s="152"/>
      <c r="I121" s="160">
        <f t="shared" si="1"/>
        <v>44072.14</v>
      </c>
    </row>
    <row r="122" spans="2:9" hidden="1" x14ac:dyDescent="0.25">
      <c r="B122" s="148"/>
      <c r="C122" s="148" t="s">
        <v>21088</v>
      </c>
      <c r="D122" s="150">
        <v>43984</v>
      </c>
      <c r="E122" s="113" t="s">
        <v>21087</v>
      </c>
      <c r="F122" s="257">
        <v>2</v>
      </c>
      <c r="G122" s="255">
        <v>4.3</v>
      </c>
      <c r="H122" s="152"/>
      <c r="I122" s="160">
        <f t="shared" si="1"/>
        <v>44076.44</v>
      </c>
    </row>
    <row r="123" spans="2:9" hidden="1" x14ac:dyDescent="0.25">
      <c r="B123" s="148"/>
      <c r="C123" s="148" t="s">
        <v>21086</v>
      </c>
      <c r="D123" s="150">
        <v>43984</v>
      </c>
      <c r="E123" s="113" t="s">
        <v>21085</v>
      </c>
      <c r="F123" s="257">
        <v>2</v>
      </c>
      <c r="G123" s="255">
        <v>1.94</v>
      </c>
      <c r="H123" s="152"/>
      <c r="I123" s="160">
        <f t="shared" si="1"/>
        <v>44078.380000000005</v>
      </c>
    </row>
    <row r="124" spans="2:9" hidden="1" x14ac:dyDescent="0.25">
      <c r="B124" s="148"/>
      <c r="C124" s="148" t="s">
        <v>21084</v>
      </c>
      <c r="D124" s="150">
        <v>43984</v>
      </c>
      <c r="E124" s="113" t="s">
        <v>21083</v>
      </c>
      <c r="F124" s="257">
        <v>2</v>
      </c>
      <c r="G124" s="255">
        <v>1.68</v>
      </c>
      <c r="H124" s="152"/>
      <c r="I124" s="160">
        <f t="shared" si="1"/>
        <v>44080.060000000005</v>
      </c>
    </row>
    <row r="125" spans="2:9" hidden="1" x14ac:dyDescent="0.25">
      <c r="B125" s="148"/>
      <c r="C125" s="148" t="s">
        <v>21082</v>
      </c>
      <c r="D125" s="150">
        <v>43984</v>
      </c>
      <c r="E125" s="113" t="s">
        <v>21081</v>
      </c>
      <c r="F125" s="257">
        <v>2</v>
      </c>
      <c r="G125" s="255">
        <v>2.16</v>
      </c>
      <c r="H125" s="152"/>
      <c r="I125" s="160">
        <f t="shared" si="1"/>
        <v>44082.220000000008</v>
      </c>
    </row>
    <row r="126" spans="2:9" hidden="1" x14ac:dyDescent="0.25">
      <c r="B126" s="148"/>
      <c r="C126" s="148" t="s">
        <v>21080</v>
      </c>
      <c r="D126" s="150">
        <v>43984</v>
      </c>
      <c r="E126" s="113" t="s">
        <v>21079</v>
      </c>
      <c r="F126" s="257">
        <v>2</v>
      </c>
      <c r="G126" s="255">
        <v>3.2</v>
      </c>
      <c r="H126" s="152"/>
      <c r="I126" s="160">
        <f t="shared" si="1"/>
        <v>44085.420000000006</v>
      </c>
    </row>
    <row r="127" spans="2:9" hidden="1" x14ac:dyDescent="0.25">
      <c r="B127" s="148"/>
      <c r="C127" s="148" t="s">
        <v>21078</v>
      </c>
      <c r="D127" s="150">
        <v>43984</v>
      </c>
      <c r="E127" s="113" t="s">
        <v>21077</v>
      </c>
      <c r="F127" s="257">
        <v>2</v>
      </c>
      <c r="G127" s="255">
        <v>3.6</v>
      </c>
      <c r="H127" s="152"/>
      <c r="I127" s="160">
        <f t="shared" si="1"/>
        <v>44089.020000000004</v>
      </c>
    </row>
    <row r="128" spans="2:9" ht="19.5" hidden="1" x14ac:dyDescent="0.25">
      <c r="B128" s="148"/>
      <c r="C128" s="148" t="s">
        <v>21076</v>
      </c>
      <c r="D128" s="150">
        <v>43984</v>
      </c>
      <c r="E128" s="113" t="s">
        <v>21075</v>
      </c>
      <c r="F128" s="257">
        <v>2</v>
      </c>
      <c r="G128" s="255">
        <v>6.82</v>
      </c>
      <c r="H128" s="152"/>
      <c r="I128" s="160">
        <f t="shared" si="1"/>
        <v>44095.840000000004</v>
      </c>
    </row>
    <row r="129" spans="2:9" hidden="1" x14ac:dyDescent="0.25">
      <c r="B129" s="148"/>
      <c r="C129" s="148" t="s">
        <v>21074</v>
      </c>
      <c r="D129" s="150">
        <v>43984</v>
      </c>
      <c r="E129" s="113" t="s">
        <v>21073</v>
      </c>
      <c r="F129" s="257">
        <v>2</v>
      </c>
      <c r="G129" s="255">
        <v>5.0199999999999996</v>
      </c>
      <c r="H129" s="152"/>
      <c r="I129" s="160">
        <f t="shared" si="1"/>
        <v>44100.86</v>
      </c>
    </row>
    <row r="130" spans="2:9" hidden="1" x14ac:dyDescent="0.25">
      <c r="B130" s="148"/>
      <c r="C130" s="148" t="s">
        <v>21072</v>
      </c>
      <c r="D130" s="150">
        <v>43984</v>
      </c>
      <c r="E130" s="113" t="s">
        <v>21071</v>
      </c>
      <c r="F130" s="257">
        <v>2</v>
      </c>
      <c r="G130" s="255">
        <v>5.04</v>
      </c>
      <c r="H130" s="152"/>
      <c r="I130" s="160">
        <f t="shared" si="1"/>
        <v>44105.9</v>
      </c>
    </row>
    <row r="131" spans="2:9" ht="19.5" hidden="1" x14ac:dyDescent="0.25">
      <c r="B131" s="148"/>
      <c r="C131" s="148" t="s">
        <v>21070</v>
      </c>
      <c r="D131" s="150">
        <v>43984</v>
      </c>
      <c r="E131" s="113" t="s">
        <v>21069</v>
      </c>
      <c r="F131" s="257" t="s">
        <v>14436</v>
      </c>
      <c r="G131" s="160">
        <v>17.420000000000002</v>
      </c>
      <c r="H131" s="152"/>
      <c r="I131" s="160">
        <f t="shared" si="1"/>
        <v>44123.32</v>
      </c>
    </row>
    <row r="132" spans="2:9" hidden="1" x14ac:dyDescent="0.25">
      <c r="B132" s="148"/>
      <c r="C132" s="148" t="s">
        <v>21068</v>
      </c>
      <c r="D132" s="150">
        <v>43984</v>
      </c>
      <c r="E132" s="113" t="s">
        <v>21067</v>
      </c>
      <c r="F132" s="257" t="s">
        <v>18712</v>
      </c>
      <c r="G132" s="160">
        <v>2.64</v>
      </c>
      <c r="H132" s="152"/>
      <c r="I132" s="160">
        <f t="shared" si="1"/>
        <v>44125.96</v>
      </c>
    </row>
    <row r="133" spans="2:9" hidden="1" x14ac:dyDescent="0.25">
      <c r="B133" s="148"/>
      <c r="C133" s="148" t="s">
        <v>21066</v>
      </c>
      <c r="D133" s="150">
        <v>43984</v>
      </c>
      <c r="E133" s="113" t="s">
        <v>21065</v>
      </c>
      <c r="F133" s="257" t="s">
        <v>18712</v>
      </c>
      <c r="G133" s="255">
        <v>1.93</v>
      </c>
      <c r="H133" s="152"/>
      <c r="I133" s="160">
        <f t="shared" si="1"/>
        <v>44127.89</v>
      </c>
    </row>
    <row r="134" spans="2:9" hidden="1" x14ac:dyDescent="0.25">
      <c r="B134" s="148"/>
      <c r="C134" s="148" t="s">
        <v>21064</v>
      </c>
      <c r="D134" s="150">
        <v>43985</v>
      </c>
      <c r="E134" s="113" t="s">
        <v>21063</v>
      </c>
      <c r="F134" s="257" t="s">
        <v>14436</v>
      </c>
      <c r="G134" s="160">
        <v>12.3</v>
      </c>
      <c r="H134" s="152"/>
      <c r="I134" s="160">
        <f t="shared" si="1"/>
        <v>44140.19</v>
      </c>
    </row>
    <row r="135" spans="2:9" hidden="1" x14ac:dyDescent="0.25">
      <c r="B135" s="148"/>
      <c r="C135" s="148" t="s">
        <v>21062</v>
      </c>
      <c r="D135" s="150">
        <v>43985</v>
      </c>
      <c r="E135" s="113" t="s">
        <v>21061</v>
      </c>
      <c r="F135" s="257" t="s">
        <v>14436</v>
      </c>
      <c r="G135" s="160">
        <v>63.05</v>
      </c>
      <c r="H135" s="152"/>
      <c r="I135" s="160">
        <f t="shared" si="1"/>
        <v>44203.240000000005</v>
      </c>
    </row>
    <row r="136" spans="2:9" hidden="1" x14ac:dyDescent="0.25">
      <c r="B136" s="148"/>
      <c r="C136" s="148" t="s">
        <v>21060</v>
      </c>
      <c r="D136" s="150">
        <v>43985</v>
      </c>
      <c r="E136" s="113" t="s">
        <v>21059</v>
      </c>
      <c r="F136" s="257" t="s">
        <v>14436</v>
      </c>
      <c r="G136" s="160">
        <v>2.19</v>
      </c>
      <c r="H136" s="152"/>
      <c r="I136" s="160">
        <f t="shared" si="1"/>
        <v>44205.430000000008</v>
      </c>
    </row>
    <row r="137" spans="2:9" hidden="1" x14ac:dyDescent="0.25">
      <c r="B137" s="148"/>
      <c r="C137" s="148" t="s">
        <v>21058</v>
      </c>
      <c r="D137" s="150">
        <v>43985</v>
      </c>
      <c r="E137" s="113" t="s">
        <v>21057</v>
      </c>
      <c r="F137" s="257" t="s">
        <v>14436</v>
      </c>
      <c r="G137" s="160">
        <v>4.41</v>
      </c>
      <c r="H137" s="152"/>
      <c r="I137" s="160">
        <f t="shared" si="1"/>
        <v>44209.840000000011</v>
      </c>
    </row>
    <row r="138" spans="2:9" ht="19.5" hidden="1" x14ac:dyDescent="0.25">
      <c r="B138" s="148"/>
      <c r="C138" s="148" t="s">
        <v>21056</v>
      </c>
      <c r="D138" s="150">
        <v>43985</v>
      </c>
      <c r="E138" s="113" t="s">
        <v>21055</v>
      </c>
      <c r="F138" s="257" t="s">
        <v>14436</v>
      </c>
      <c r="G138" s="160">
        <v>18.75</v>
      </c>
      <c r="H138" s="152"/>
      <c r="I138" s="160">
        <f t="shared" si="1"/>
        <v>44228.590000000011</v>
      </c>
    </row>
    <row r="139" spans="2:9" ht="19.5" hidden="1" x14ac:dyDescent="0.25">
      <c r="B139" s="148"/>
      <c r="C139" s="148" t="s">
        <v>21054</v>
      </c>
      <c r="D139" s="150">
        <v>43985</v>
      </c>
      <c r="E139" s="113" t="s">
        <v>21053</v>
      </c>
      <c r="F139" s="257" t="s">
        <v>14408</v>
      </c>
      <c r="G139" s="258">
        <v>12.53</v>
      </c>
      <c r="H139" s="152"/>
      <c r="I139" s="160">
        <f t="shared" si="1"/>
        <v>44241.12000000001</v>
      </c>
    </row>
    <row r="140" spans="2:9" ht="19.5" hidden="1" x14ac:dyDescent="0.25">
      <c r="B140" s="148"/>
      <c r="C140" s="148" t="s">
        <v>21052</v>
      </c>
      <c r="D140" s="150">
        <v>43985</v>
      </c>
      <c r="E140" s="113" t="s">
        <v>21051</v>
      </c>
      <c r="F140" s="257" t="s">
        <v>14408</v>
      </c>
      <c r="G140" s="258">
        <v>26.04</v>
      </c>
      <c r="H140" s="152"/>
      <c r="I140" s="160">
        <f t="shared" si="1"/>
        <v>44267.160000000011</v>
      </c>
    </row>
    <row r="141" spans="2:9" hidden="1" x14ac:dyDescent="0.25">
      <c r="B141" s="148"/>
      <c r="C141" s="148" t="s">
        <v>21050</v>
      </c>
      <c r="D141" s="150">
        <v>43985</v>
      </c>
      <c r="E141" s="113" t="s">
        <v>21049</v>
      </c>
      <c r="F141" s="257" t="s">
        <v>14408</v>
      </c>
      <c r="G141" s="258">
        <v>2.4300000000000002</v>
      </c>
      <c r="H141" s="152"/>
      <c r="I141" s="160">
        <f t="shared" si="1"/>
        <v>44269.590000000011</v>
      </c>
    </row>
    <row r="142" spans="2:9" hidden="1" x14ac:dyDescent="0.25">
      <c r="B142" s="148"/>
      <c r="C142" s="148" t="s">
        <v>21048</v>
      </c>
      <c r="D142" s="150">
        <v>43985</v>
      </c>
      <c r="E142" s="113" t="s">
        <v>21047</v>
      </c>
      <c r="F142" s="257" t="s">
        <v>14408</v>
      </c>
      <c r="G142" s="258">
        <v>21.09</v>
      </c>
      <c r="H142" s="152"/>
      <c r="I142" s="160">
        <f t="shared" si="1"/>
        <v>44290.680000000008</v>
      </c>
    </row>
    <row r="143" spans="2:9" ht="19.5" hidden="1" x14ac:dyDescent="0.25">
      <c r="B143" s="148"/>
      <c r="C143" s="148" t="s">
        <v>21046</v>
      </c>
      <c r="D143" s="150">
        <v>43985</v>
      </c>
      <c r="E143" s="113" t="s">
        <v>21045</v>
      </c>
      <c r="F143" s="257" t="s">
        <v>14408</v>
      </c>
      <c r="G143" s="258">
        <v>4.9400000000000004</v>
      </c>
      <c r="H143" s="152"/>
      <c r="I143" s="160">
        <f t="shared" si="1"/>
        <v>44295.62000000001</v>
      </c>
    </row>
    <row r="144" spans="2:9" hidden="1" x14ac:dyDescent="0.25">
      <c r="B144" s="148"/>
      <c r="C144" s="148" t="s">
        <v>21044</v>
      </c>
      <c r="D144" s="150">
        <v>43985</v>
      </c>
      <c r="E144" s="113" t="s">
        <v>21043</v>
      </c>
      <c r="F144" s="257" t="s">
        <v>14408</v>
      </c>
      <c r="G144" s="258">
        <v>1.74</v>
      </c>
      <c r="H144" s="152"/>
      <c r="I144" s="160">
        <f t="shared" si="1"/>
        <v>44297.360000000008</v>
      </c>
    </row>
    <row r="145" spans="2:9" hidden="1" x14ac:dyDescent="0.25">
      <c r="B145" s="148"/>
      <c r="C145" s="148" t="s">
        <v>21042</v>
      </c>
      <c r="D145" s="150">
        <v>43985</v>
      </c>
      <c r="E145" s="113" t="s">
        <v>21041</v>
      </c>
      <c r="F145" s="257" t="s">
        <v>14408</v>
      </c>
      <c r="G145" s="258">
        <v>8.4700000000000006</v>
      </c>
      <c r="H145" s="152"/>
      <c r="I145" s="160">
        <f t="shared" si="1"/>
        <v>44305.830000000009</v>
      </c>
    </row>
    <row r="146" spans="2:9" hidden="1" x14ac:dyDescent="0.25">
      <c r="B146" s="148"/>
      <c r="C146" s="148" t="s">
        <v>21040</v>
      </c>
      <c r="D146" s="150">
        <v>43985</v>
      </c>
      <c r="E146" s="113" t="s">
        <v>21039</v>
      </c>
      <c r="F146" s="257" t="s">
        <v>14408</v>
      </c>
      <c r="G146" s="258">
        <v>8.3800000000000008</v>
      </c>
      <c r="H146" s="152"/>
      <c r="I146" s="160">
        <f t="shared" si="1"/>
        <v>44314.210000000006</v>
      </c>
    </row>
    <row r="147" spans="2:9" hidden="1" x14ac:dyDescent="0.25">
      <c r="B147" s="148"/>
      <c r="C147" s="148" t="s">
        <v>21038</v>
      </c>
      <c r="D147" s="150">
        <v>43985</v>
      </c>
      <c r="E147" s="113" t="s">
        <v>21037</v>
      </c>
      <c r="F147" s="257" t="s">
        <v>14408</v>
      </c>
      <c r="G147" s="258">
        <v>25.14</v>
      </c>
      <c r="H147" s="152"/>
      <c r="I147" s="160">
        <f t="shared" si="1"/>
        <v>44339.350000000006</v>
      </c>
    </row>
    <row r="148" spans="2:9" hidden="1" x14ac:dyDescent="0.25">
      <c r="B148" s="148"/>
      <c r="C148" s="148" t="s">
        <v>21036</v>
      </c>
      <c r="D148" s="150">
        <v>43985</v>
      </c>
      <c r="E148" s="113" t="s">
        <v>21035</v>
      </c>
      <c r="F148" s="257" t="s">
        <v>14408</v>
      </c>
      <c r="G148" s="258">
        <v>46.42</v>
      </c>
      <c r="H148" s="152"/>
      <c r="I148" s="160">
        <f t="shared" ref="I148:I211" si="2">+I147+G148-H148</f>
        <v>44385.770000000004</v>
      </c>
    </row>
    <row r="149" spans="2:9" hidden="1" x14ac:dyDescent="0.25">
      <c r="B149" s="148"/>
      <c r="C149" s="148" t="s">
        <v>21034</v>
      </c>
      <c r="D149" s="150">
        <v>43985</v>
      </c>
      <c r="E149" s="113" t="s">
        <v>21033</v>
      </c>
      <c r="F149" s="257" t="s">
        <v>14408</v>
      </c>
      <c r="G149" s="258">
        <v>30.1</v>
      </c>
      <c r="H149" s="152"/>
      <c r="I149" s="160">
        <f t="shared" si="2"/>
        <v>44415.87</v>
      </c>
    </row>
    <row r="150" spans="2:9" hidden="1" x14ac:dyDescent="0.25">
      <c r="B150" s="148"/>
      <c r="C150" s="148" t="s">
        <v>21032</v>
      </c>
      <c r="D150" s="150">
        <v>43985</v>
      </c>
      <c r="E150" s="113" t="s">
        <v>21031</v>
      </c>
      <c r="F150" s="257" t="s">
        <v>14408</v>
      </c>
      <c r="G150" s="258">
        <v>34.42</v>
      </c>
      <c r="H150" s="152"/>
      <c r="I150" s="160">
        <f t="shared" si="2"/>
        <v>44450.29</v>
      </c>
    </row>
    <row r="151" spans="2:9" ht="19.5" hidden="1" x14ac:dyDescent="0.25">
      <c r="B151" s="148"/>
      <c r="C151" s="148" t="s">
        <v>21030</v>
      </c>
      <c r="D151" s="150">
        <v>43985</v>
      </c>
      <c r="E151" s="113" t="s">
        <v>21029</v>
      </c>
      <c r="F151" s="257" t="s">
        <v>14408</v>
      </c>
      <c r="G151" s="258">
        <v>18.239999999999998</v>
      </c>
      <c r="H151" s="152"/>
      <c r="I151" s="160">
        <f t="shared" si="2"/>
        <v>44468.53</v>
      </c>
    </row>
    <row r="152" spans="2:9" hidden="1" x14ac:dyDescent="0.25">
      <c r="B152" s="148"/>
      <c r="C152" s="148" t="s">
        <v>21028</v>
      </c>
      <c r="D152" s="150">
        <v>43985</v>
      </c>
      <c r="E152" s="113" t="s">
        <v>21027</v>
      </c>
      <c r="F152" s="257" t="s">
        <v>14408</v>
      </c>
      <c r="G152" s="258">
        <v>2.4</v>
      </c>
      <c r="H152" s="152"/>
      <c r="I152" s="160">
        <f t="shared" si="2"/>
        <v>44470.93</v>
      </c>
    </row>
    <row r="153" spans="2:9" ht="19.5" hidden="1" x14ac:dyDescent="0.25">
      <c r="B153" s="148"/>
      <c r="C153" s="148" t="s">
        <v>21026</v>
      </c>
      <c r="D153" s="150">
        <v>43985</v>
      </c>
      <c r="E153" s="113" t="s">
        <v>21025</v>
      </c>
      <c r="F153" s="257" t="s">
        <v>14408</v>
      </c>
      <c r="G153" s="258">
        <v>16.29</v>
      </c>
      <c r="H153" s="152"/>
      <c r="I153" s="160">
        <f t="shared" si="2"/>
        <v>44487.22</v>
      </c>
    </row>
    <row r="154" spans="2:9" ht="19.5" hidden="1" x14ac:dyDescent="0.25">
      <c r="B154" s="148"/>
      <c r="C154" s="148" t="s">
        <v>21024</v>
      </c>
      <c r="D154" s="150">
        <v>43985</v>
      </c>
      <c r="E154" s="113" t="s">
        <v>21023</v>
      </c>
      <c r="F154" s="257" t="s">
        <v>14408</v>
      </c>
      <c r="G154" s="258">
        <v>9.66</v>
      </c>
      <c r="H154" s="152"/>
      <c r="I154" s="160">
        <f t="shared" si="2"/>
        <v>44496.880000000005</v>
      </c>
    </row>
    <row r="155" spans="2:9" hidden="1" x14ac:dyDescent="0.25">
      <c r="B155" s="148"/>
      <c r="C155" s="148" t="s">
        <v>21022</v>
      </c>
      <c r="D155" s="150">
        <v>43985</v>
      </c>
      <c r="E155" s="113" t="s">
        <v>21021</v>
      </c>
      <c r="F155" s="257" t="s">
        <v>14408</v>
      </c>
      <c r="G155" s="258">
        <v>8.3800000000000008</v>
      </c>
      <c r="H155" s="152"/>
      <c r="I155" s="160">
        <f t="shared" si="2"/>
        <v>44505.26</v>
      </c>
    </row>
    <row r="156" spans="2:9" hidden="1" x14ac:dyDescent="0.25">
      <c r="B156" s="148"/>
      <c r="C156" s="148" t="s">
        <v>21020</v>
      </c>
      <c r="D156" s="150">
        <v>43985</v>
      </c>
      <c r="E156" s="113" t="s">
        <v>21019</v>
      </c>
      <c r="F156" s="257" t="s">
        <v>14408</v>
      </c>
      <c r="G156" s="258">
        <v>1.84</v>
      </c>
      <c r="H156" s="152"/>
      <c r="I156" s="160">
        <f t="shared" si="2"/>
        <v>44507.1</v>
      </c>
    </row>
    <row r="157" spans="2:9" ht="19.5" hidden="1" x14ac:dyDescent="0.25">
      <c r="B157" s="148"/>
      <c r="C157" s="148" t="s">
        <v>21018</v>
      </c>
      <c r="D157" s="150">
        <v>43985</v>
      </c>
      <c r="E157" s="113" t="s">
        <v>21017</v>
      </c>
      <c r="F157" s="257" t="s">
        <v>14408</v>
      </c>
      <c r="G157" s="258">
        <v>25.14</v>
      </c>
      <c r="H157" s="152"/>
      <c r="I157" s="160">
        <f t="shared" si="2"/>
        <v>44532.24</v>
      </c>
    </row>
    <row r="158" spans="2:9" ht="19.5" hidden="1" x14ac:dyDescent="0.25">
      <c r="B158" s="148"/>
      <c r="C158" s="148" t="s">
        <v>21016</v>
      </c>
      <c r="D158" s="150">
        <v>43985</v>
      </c>
      <c r="E158" s="113" t="s">
        <v>21015</v>
      </c>
      <c r="F158" s="257" t="s">
        <v>14408</v>
      </c>
      <c r="G158" s="258">
        <v>25.14</v>
      </c>
      <c r="H158" s="152"/>
      <c r="I158" s="160">
        <f t="shared" si="2"/>
        <v>44557.38</v>
      </c>
    </row>
    <row r="159" spans="2:9" hidden="1" x14ac:dyDescent="0.25">
      <c r="B159" s="148"/>
      <c r="C159" s="148" t="s">
        <v>21014</v>
      </c>
      <c r="D159" s="150">
        <v>43985</v>
      </c>
      <c r="E159" s="113" t="s">
        <v>21013</v>
      </c>
      <c r="F159" s="257" t="s">
        <v>14408</v>
      </c>
      <c r="G159" s="258">
        <v>24.6</v>
      </c>
      <c r="H159" s="152"/>
      <c r="I159" s="160">
        <f t="shared" si="2"/>
        <v>44581.979999999996</v>
      </c>
    </row>
    <row r="160" spans="2:9" hidden="1" x14ac:dyDescent="0.25">
      <c r="B160" s="148"/>
      <c r="C160" s="148" t="s">
        <v>21012</v>
      </c>
      <c r="D160" s="150">
        <v>43985</v>
      </c>
      <c r="E160" s="113" t="s">
        <v>21011</v>
      </c>
      <c r="F160" s="257" t="s">
        <v>14408</v>
      </c>
      <c r="G160" s="258">
        <v>11.66</v>
      </c>
      <c r="H160" s="152"/>
      <c r="I160" s="160">
        <f t="shared" si="2"/>
        <v>44593.64</v>
      </c>
    </row>
    <row r="161" spans="2:9" hidden="1" x14ac:dyDescent="0.25">
      <c r="B161" s="148"/>
      <c r="C161" s="148" t="s">
        <v>21010</v>
      </c>
      <c r="D161" s="150">
        <v>43985</v>
      </c>
      <c r="E161" s="113" t="s">
        <v>21009</v>
      </c>
      <c r="F161" s="257" t="s">
        <v>14408</v>
      </c>
      <c r="G161" s="258">
        <v>2.6</v>
      </c>
      <c r="H161" s="152"/>
      <c r="I161" s="160">
        <f t="shared" si="2"/>
        <v>44596.24</v>
      </c>
    </row>
    <row r="162" spans="2:9" ht="19.5" hidden="1" x14ac:dyDescent="0.25">
      <c r="B162" s="148"/>
      <c r="C162" s="148" t="s">
        <v>21008</v>
      </c>
      <c r="D162" s="150">
        <v>43985</v>
      </c>
      <c r="E162" s="113" t="s">
        <v>21007</v>
      </c>
      <c r="F162" s="257" t="s">
        <v>14408</v>
      </c>
      <c r="G162" s="258">
        <v>5.54</v>
      </c>
      <c r="H162" s="152"/>
      <c r="I162" s="160">
        <f t="shared" si="2"/>
        <v>44601.78</v>
      </c>
    </row>
    <row r="163" spans="2:9" ht="19.5" hidden="1" x14ac:dyDescent="0.25">
      <c r="B163" s="148"/>
      <c r="C163" s="148" t="s">
        <v>21006</v>
      </c>
      <c r="D163" s="150">
        <v>43985</v>
      </c>
      <c r="E163" s="113" t="s">
        <v>21005</v>
      </c>
      <c r="F163" s="257" t="s">
        <v>14408</v>
      </c>
      <c r="G163" s="258">
        <v>5.04</v>
      </c>
      <c r="H163" s="152"/>
      <c r="I163" s="160">
        <f t="shared" si="2"/>
        <v>44606.82</v>
      </c>
    </row>
    <row r="164" spans="2:9" ht="19.5" hidden="1" x14ac:dyDescent="0.25">
      <c r="B164" s="148"/>
      <c r="C164" s="148" t="s">
        <v>21004</v>
      </c>
      <c r="D164" s="150">
        <v>43985</v>
      </c>
      <c r="E164" s="113" t="s">
        <v>21003</v>
      </c>
      <c r="F164" s="257" t="s">
        <v>14408</v>
      </c>
      <c r="G164" s="258">
        <v>21.6</v>
      </c>
      <c r="H164" s="152"/>
      <c r="I164" s="160">
        <f t="shared" si="2"/>
        <v>44628.42</v>
      </c>
    </row>
    <row r="165" spans="2:9" hidden="1" x14ac:dyDescent="0.25">
      <c r="B165" s="148"/>
      <c r="C165" s="148" t="s">
        <v>21002</v>
      </c>
      <c r="D165" s="150">
        <v>43985</v>
      </c>
      <c r="E165" s="113" t="s">
        <v>21001</v>
      </c>
      <c r="F165" s="257" t="s">
        <v>14408</v>
      </c>
      <c r="G165" s="258">
        <v>3.38</v>
      </c>
      <c r="H165" s="152"/>
      <c r="I165" s="160">
        <f t="shared" si="2"/>
        <v>44631.799999999996</v>
      </c>
    </row>
    <row r="166" spans="2:9" ht="19.5" hidden="1" x14ac:dyDescent="0.25">
      <c r="B166" s="148"/>
      <c r="C166" s="148" t="s">
        <v>21000</v>
      </c>
      <c r="D166" s="150">
        <v>43985</v>
      </c>
      <c r="E166" s="113" t="s">
        <v>20999</v>
      </c>
      <c r="F166" s="257" t="s">
        <v>14408</v>
      </c>
      <c r="G166" s="258">
        <v>8.34</v>
      </c>
      <c r="H166" s="152"/>
      <c r="I166" s="160">
        <f t="shared" si="2"/>
        <v>44640.139999999992</v>
      </c>
    </row>
    <row r="167" spans="2:9" ht="19.5" hidden="1" x14ac:dyDescent="0.25">
      <c r="B167" s="148"/>
      <c r="C167" s="148" t="s">
        <v>20998</v>
      </c>
      <c r="D167" s="150">
        <v>43985</v>
      </c>
      <c r="E167" s="113" t="s">
        <v>20997</v>
      </c>
      <c r="F167" s="257" t="s">
        <v>14408</v>
      </c>
      <c r="G167" s="258">
        <v>9.73</v>
      </c>
      <c r="H167" s="152"/>
      <c r="I167" s="160">
        <f t="shared" si="2"/>
        <v>44649.869999999995</v>
      </c>
    </row>
    <row r="168" spans="2:9" ht="19.5" hidden="1" x14ac:dyDescent="0.25">
      <c r="B168" s="148"/>
      <c r="C168" s="148" t="s">
        <v>20996</v>
      </c>
      <c r="D168" s="150">
        <v>43985</v>
      </c>
      <c r="E168" s="113" t="s">
        <v>20995</v>
      </c>
      <c r="F168" s="257" t="s">
        <v>14408</v>
      </c>
      <c r="G168" s="258">
        <v>7.76</v>
      </c>
      <c r="H168" s="152"/>
      <c r="I168" s="160">
        <f t="shared" si="2"/>
        <v>44657.63</v>
      </c>
    </row>
    <row r="169" spans="2:9" ht="19.5" hidden="1" x14ac:dyDescent="0.25">
      <c r="B169" s="148"/>
      <c r="C169" s="148" t="s">
        <v>20994</v>
      </c>
      <c r="D169" s="150">
        <v>43985</v>
      </c>
      <c r="E169" s="113" t="s">
        <v>20993</v>
      </c>
      <c r="F169" s="257">
        <v>3</v>
      </c>
      <c r="G169" s="255">
        <v>6.41</v>
      </c>
      <c r="H169" s="152"/>
      <c r="I169" s="160">
        <f t="shared" si="2"/>
        <v>44664.04</v>
      </c>
    </row>
    <row r="170" spans="2:9" hidden="1" x14ac:dyDescent="0.25">
      <c r="B170" s="148"/>
      <c r="C170" s="148" t="s">
        <v>20992</v>
      </c>
      <c r="D170" s="150">
        <v>43985</v>
      </c>
      <c r="E170" s="113" t="s">
        <v>20991</v>
      </c>
      <c r="F170" s="257">
        <v>3</v>
      </c>
      <c r="G170" s="255">
        <v>10.99</v>
      </c>
      <c r="H170" s="152"/>
      <c r="I170" s="160">
        <f t="shared" si="2"/>
        <v>44675.03</v>
      </c>
    </row>
    <row r="171" spans="2:9" ht="19.5" hidden="1" x14ac:dyDescent="0.25">
      <c r="B171" s="148"/>
      <c r="C171" s="148" t="s">
        <v>20990</v>
      </c>
      <c r="D171" s="150">
        <v>43985</v>
      </c>
      <c r="E171" s="113" t="s">
        <v>20989</v>
      </c>
      <c r="F171" s="257">
        <v>3</v>
      </c>
      <c r="G171" s="255">
        <v>8.4</v>
      </c>
      <c r="H171" s="152"/>
      <c r="I171" s="160">
        <f t="shared" si="2"/>
        <v>44683.43</v>
      </c>
    </row>
    <row r="172" spans="2:9" hidden="1" x14ac:dyDescent="0.25">
      <c r="B172" s="148"/>
      <c r="C172" s="148" t="s">
        <v>20988</v>
      </c>
      <c r="D172" s="150">
        <v>43985</v>
      </c>
      <c r="E172" s="113" t="s">
        <v>20987</v>
      </c>
      <c r="F172" s="257" t="s">
        <v>14436</v>
      </c>
      <c r="G172" s="160">
        <v>4.7699999999999996</v>
      </c>
      <c r="H172" s="152"/>
      <c r="I172" s="160">
        <f t="shared" si="2"/>
        <v>44688.2</v>
      </c>
    </row>
    <row r="173" spans="2:9" ht="19.5" hidden="1" x14ac:dyDescent="0.25">
      <c r="B173" s="148"/>
      <c r="C173" s="148" t="s">
        <v>20986</v>
      </c>
      <c r="D173" s="150">
        <v>43985</v>
      </c>
      <c r="E173" s="113" t="s">
        <v>20985</v>
      </c>
      <c r="F173" s="257">
        <v>3</v>
      </c>
      <c r="G173" s="255">
        <v>65.11</v>
      </c>
      <c r="H173" s="152"/>
      <c r="I173" s="160">
        <f t="shared" si="2"/>
        <v>44753.31</v>
      </c>
    </row>
    <row r="174" spans="2:9" ht="19.5" hidden="1" x14ac:dyDescent="0.25">
      <c r="B174" s="148"/>
      <c r="C174" s="148" t="s">
        <v>20984</v>
      </c>
      <c r="D174" s="150">
        <v>43986</v>
      </c>
      <c r="E174" s="113" t="s">
        <v>20983</v>
      </c>
      <c r="F174" s="257" t="s">
        <v>14436</v>
      </c>
      <c r="G174" s="160">
        <v>15.02</v>
      </c>
      <c r="H174" s="152"/>
      <c r="I174" s="160">
        <f t="shared" si="2"/>
        <v>44768.329999999994</v>
      </c>
    </row>
    <row r="175" spans="2:9" hidden="1" x14ac:dyDescent="0.25">
      <c r="B175" s="148"/>
      <c r="C175" s="148" t="s">
        <v>20982</v>
      </c>
      <c r="D175" s="150">
        <v>43986</v>
      </c>
      <c r="E175" s="113" t="s">
        <v>20981</v>
      </c>
      <c r="F175" s="257" t="s">
        <v>14408</v>
      </c>
      <c r="G175" s="258">
        <v>1.84</v>
      </c>
      <c r="H175" s="152"/>
      <c r="I175" s="160">
        <f t="shared" si="2"/>
        <v>44770.169999999991</v>
      </c>
    </row>
    <row r="176" spans="2:9" ht="19.5" hidden="1" x14ac:dyDescent="0.25">
      <c r="B176" s="148"/>
      <c r="C176" s="148" t="s">
        <v>20980</v>
      </c>
      <c r="D176" s="150">
        <v>43986</v>
      </c>
      <c r="E176" s="113" t="s">
        <v>20979</v>
      </c>
      <c r="F176" s="257" t="s">
        <v>14408</v>
      </c>
      <c r="G176" s="258">
        <v>8.73</v>
      </c>
      <c r="H176" s="152"/>
      <c r="I176" s="160">
        <f t="shared" si="2"/>
        <v>44778.899999999994</v>
      </c>
    </row>
    <row r="177" spans="2:9" ht="19.5" hidden="1" x14ac:dyDescent="0.25">
      <c r="B177" s="148"/>
      <c r="C177" s="148" t="s">
        <v>20978</v>
      </c>
      <c r="D177" s="150">
        <v>43986</v>
      </c>
      <c r="E177" s="113" t="s">
        <v>20977</v>
      </c>
      <c r="F177" s="257" t="s">
        <v>14408</v>
      </c>
      <c r="G177" s="258">
        <v>13.56</v>
      </c>
      <c r="H177" s="152"/>
      <c r="I177" s="160">
        <f t="shared" si="2"/>
        <v>44792.459999999992</v>
      </c>
    </row>
    <row r="178" spans="2:9" ht="19.5" hidden="1" x14ac:dyDescent="0.25">
      <c r="B178" s="148"/>
      <c r="C178" s="148" t="s">
        <v>20976</v>
      </c>
      <c r="D178" s="150">
        <v>43986</v>
      </c>
      <c r="E178" s="113" t="s">
        <v>20975</v>
      </c>
      <c r="F178" s="257" t="s">
        <v>14408</v>
      </c>
      <c r="G178" s="258">
        <v>9.32</v>
      </c>
      <c r="H178" s="152"/>
      <c r="I178" s="160">
        <f t="shared" si="2"/>
        <v>44801.779999999992</v>
      </c>
    </row>
    <row r="179" spans="2:9" ht="19.5" hidden="1" x14ac:dyDescent="0.25">
      <c r="B179" s="148"/>
      <c r="C179" s="148" t="s">
        <v>20974</v>
      </c>
      <c r="D179" s="150">
        <v>43986</v>
      </c>
      <c r="E179" s="113" t="s">
        <v>20973</v>
      </c>
      <c r="F179" s="257" t="s">
        <v>14408</v>
      </c>
      <c r="G179" s="258">
        <v>18.18</v>
      </c>
      <c r="H179" s="152"/>
      <c r="I179" s="160">
        <f t="shared" si="2"/>
        <v>44819.959999999992</v>
      </c>
    </row>
    <row r="180" spans="2:9" hidden="1" x14ac:dyDescent="0.25">
      <c r="B180" s="148"/>
      <c r="C180" s="148" t="s">
        <v>20972</v>
      </c>
      <c r="D180" s="150">
        <v>43986</v>
      </c>
      <c r="E180" s="113" t="s">
        <v>20971</v>
      </c>
      <c r="F180" s="257" t="s">
        <v>14408</v>
      </c>
      <c r="G180" s="258">
        <v>1.68</v>
      </c>
      <c r="H180" s="152"/>
      <c r="I180" s="160">
        <f t="shared" si="2"/>
        <v>44821.639999999992</v>
      </c>
    </row>
    <row r="181" spans="2:9" hidden="1" x14ac:dyDescent="0.25">
      <c r="B181" s="148"/>
      <c r="C181" s="148" t="s">
        <v>20970</v>
      </c>
      <c r="D181" s="150">
        <v>43986</v>
      </c>
      <c r="E181" s="113" t="s">
        <v>20969</v>
      </c>
      <c r="F181" s="257" t="s">
        <v>14408</v>
      </c>
      <c r="G181" s="258">
        <v>5.85</v>
      </c>
      <c r="H181" s="152"/>
      <c r="I181" s="160">
        <f t="shared" si="2"/>
        <v>44827.489999999991</v>
      </c>
    </row>
    <row r="182" spans="2:9" hidden="1" x14ac:dyDescent="0.25">
      <c r="B182" s="148"/>
      <c r="C182" s="148" t="s">
        <v>20968</v>
      </c>
      <c r="D182" s="150">
        <v>43986</v>
      </c>
      <c r="E182" s="113" t="s">
        <v>20967</v>
      </c>
      <c r="F182" s="257" t="s">
        <v>14408</v>
      </c>
      <c r="G182" s="258">
        <v>4.1100000000000003</v>
      </c>
      <c r="H182" s="152"/>
      <c r="I182" s="160">
        <f t="shared" si="2"/>
        <v>44831.599999999991</v>
      </c>
    </row>
    <row r="183" spans="2:9" hidden="1" x14ac:dyDescent="0.25">
      <c r="B183" s="148"/>
      <c r="C183" s="148" t="s">
        <v>20966</v>
      </c>
      <c r="D183" s="150">
        <v>43986</v>
      </c>
      <c r="E183" s="113" t="s">
        <v>20965</v>
      </c>
      <c r="F183" s="257" t="s">
        <v>14408</v>
      </c>
      <c r="G183" s="258">
        <v>5.36</v>
      </c>
      <c r="H183" s="152"/>
      <c r="I183" s="160">
        <f t="shared" si="2"/>
        <v>44836.959999999992</v>
      </c>
    </row>
    <row r="184" spans="2:9" hidden="1" x14ac:dyDescent="0.25">
      <c r="B184" s="148"/>
      <c r="C184" s="148" t="s">
        <v>20964</v>
      </c>
      <c r="D184" s="150">
        <v>43986</v>
      </c>
      <c r="E184" s="113" t="s">
        <v>20963</v>
      </c>
      <c r="F184" s="257" t="s">
        <v>14408</v>
      </c>
      <c r="G184" s="258">
        <v>6.04</v>
      </c>
      <c r="H184" s="152"/>
      <c r="I184" s="160">
        <f t="shared" si="2"/>
        <v>44842.999999999993</v>
      </c>
    </row>
    <row r="185" spans="2:9" hidden="1" x14ac:dyDescent="0.25">
      <c r="B185" s="148"/>
      <c r="C185" s="148" t="s">
        <v>20962</v>
      </c>
      <c r="D185" s="150">
        <v>43986</v>
      </c>
      <c r="E185" s="113" t="s">
        <v>20961</v>
      </c>
      <c r="F185" s="257" t="s">
        <v>14408</v>
      </c>
      <c r="G185" s="258">
        <v>5</v>
      </c>
      <c r="H185" s="152"/>
      <c r="I185" s="160">
        <f t="shared" si="2"/>
        <v>44847.999999999993</v>
      </c>
    </row>
    <row r="186" spans="2:9" hidden="1" x14ac:dyDescent="0.25">
      <c r="B186" s="148"/>
      <c r="C186" s="148" t="s">
        <v>20960</v>
      </c>
      <c r="D186" s="150">
        <v>43986</v>
      </c>
      <c r="E186" s="113" t="s">
        <v>20959</v>
      </c>
      <c r="F186" s="257" t="s">
        <v>14408</v>
      </c>
      <c r="G186" s="258">
        <v>16.420000000000002</v>
      </c>
      <c r="H186" s="152"/>
      <c r="I186" s="160">
        <f t="shared" si="2"/>
        <v>44864.419999999991</v>
      </c>
    </row>
    <row r="187" spans="2:9" hidden="1" x14ac:dyDescent="0.25">
      <c r="B187" s="148"/>
      <c r="C187" s="148" t="s">
        <v>20958</v>
      </c>
      <c r="D187" s="150">
        <v>43986</v>
      </c>
      <c r="E187" s="113" t="s">
        <v>20957</v>
      </c>
      <c r="F187" s="257" t="s">
        <v>14408</v>
      </c>
      <c r="G187" s="258">
        <v>7.58</v>
      </c>
      <c r="H187" s="152"/>
      <c r="I187" s="160">
        <f t="shared" si="2"/>
        <v>44871.999999999993</v>
      </c>
    </row>
    <row r="188" spans="2:9" hidden="1" x14ac:dyDescent="0.25">
      <c r="B188" s="148"/>
      <c r="C188" s="148" t="s">
        <v>20956</v>
      </c>
      <c r="D188" s="150">
        <v>43986</v>
      </c>
      <c r="E188" s="113" t="s">
        <v>20955</v>
      </c>
      <c r="F188" s="257" t="s">
        <v>14408</v>
      </c>
      <c r="G188" s="258">
        <v>3.36</v>
      </c>
      <c r="H188" s="152"/>
      <c r="I188" s="160">
        <f t="shared" si="2"/>
        <v>44875.359999999993</v>
      </c>
    </row>
    <row r="189" spans="2:9" hidden="1" x14ac:dyDescent="0.25">
      <c r="B189" s="148"/>
      <c r="C189" s="148" t="s">
        <v>20954</v>
      </c>
      <c r="D189" s="150">
        <v>43986</v>
      </c>
      <c r="E189" s="113" t="s">
        <v>20953</v>
      </c>
      <c r="F189" s="257" t="s">
        <v>14408</v>
      </c>
      <c r="G189" s="258">
        <v>25.14</v>
      </c>
      <c r="H189" s="152"/>
      <c r="I189" s="160">
        <f t="shared" si="2"/>
        <v>44900.499999999993</v>
      </c>
    </row>
    <row r="190" spans="2:9" hidden="1" x14ac:dyDescent="0.25">
      <c r="B190" s="148"/>
      <c r="C190" s="148" t="s">
        <v>20952</v>
      </c>
      <c r="D190" s="150">
        <v>43986</v>
      </c>
      <c r="E190" s="113" t="s">
        <v>20951</v>
      </c>
      <c r="F190" s="257" t="s">
        <v>14408</v>
      </c>
      <c r="G190" s="258">
        <v>7.75</v>
      </c>
      <c r="H190" s="152"/>
      <c r="I190" s="160">
        <f t="shared" si="2"/>
        <v>44908.249999999993</v>
      </c>
    </row>
    <row r="191" spans="2:9" ht="19.5" hidden="1" x14ac:dyDescent="0.25">
      <c r="B191" s="148"/>
      <c r="C191" s="148" t="s">
        <v>20950</v>
      </c>
      <c r="D191" s="150">
        <v>43986</v>
      </c>
      <c r="E191" s="113" t="s">
        <v>20949</v>
      </c>
      <c r="F191" s="257" t="s">
        <v>14408</v>
      </c>
      <c r="G191" s="258">
        <v>13.02</v>
      </c>
      <c r="H191" s="152"/>
      <c r="I191" s="160">
        <f t="shared" si="2"/>
        <v>44921.26999999999</v>
      </c>
    </row>
    <row r="192" spans="2:9" ht="19.5" hidden="1" x14ac:dyDescent="0.25">
      <c r="B192" s="148"/>
      <c r="C192" s="148" t="s">
        <v>20948</v>
      </c>
      <c r="D192" s="150">
        <v>43986</v>
      </c>
      <c r="E192" s="113" t="s">
        <v>20947</v>
      </c>
      <c r="F192" s="257" t="s">
        <v>14408</v>
      </c>
      <c r="G192" s="258">
        <v>10.06</v>
      </c>
      <c r="H192" s="152"/>
      <c r="I192" s="160">
        <f t="shared" si="2"/>
        <v>44931.329999999987</v>
      </c>
    </row>
    <row r="193" spans="2:9" hidden="1" x14ac:dyDescent="0.25">
      <c r="B193" s="148"/>
      <c r="C193" s="148" t="s">
        <v>20946</v>
      </c>
      <c r="D193" s="150">
        <v>43986</v>
      </c>
      <c r="E193" s="113" t="s">
        <v>20945</v>
      </c>
      <c r="F193" s="257" t="s">
        <v>14408</v>
      </c>
      <c r="G193" s="258">
        <v>2.2599999999999998</v>
      </c>
      <c r="H193" s="152"/>
      <c r="I193" s="160">
        <f t="shared" si="2"/>
        <v>44933.589999999989</v>
      </c>
    </row>
    <row r="194" spans="2:9" hidden="1" x14ac:dyDescent="0.25">
      <c r="B194" s="148"/>
      <c r="C194" s="148" t="s">
        <v>20944</v>
      </c>
      <c r="D194" s="150">
        <v>43986</v>
      </c>
      <c r="E194" s="113" t="s">
        <v>20943</v>
      </c>
      <c r="F194" s="257" t="s">
        <v>14408</v>
      </c>
      <c r="G194" s="258">
        <v>6.29</v>
      </c>
      <c r="H194" s="152"/>
      <c r="I194" s="160">
        <f t="shared" si="2"/>
        <v>44939.87999999999</v>
      </c>
    </row>
    <row r="195" spans="2:9" ht="19.5" hidden="1" x14ac:dyDescent="0.25">
      <c r="B195" s="148"/>
      <c r="C195" s="148" t="s">
        <v>20942</v>
      </c>
      <c r="D195" s="150">
        <v>43986</v>
      </c>
      <c r="E195" s="113" t="s">
        <v>20941</v>
      </c>
      <c r="F195" s="257">
        <v>4</v>
      </c>
      <c r="G195" s="255">
        <v>3.31</v>
      </c>
      <c r="H195" s="152"/>
      <c r="I195" s="160">
        <f t="shared" si="2"/>
        <v>44943.189999999988</v>
      </c>
    </row>
    <row r="196" spans="2:9" ht="19.5" hidden="1" x14ac:dyDescent="0.25">
      <c r="B196" s="148"/>
      <c r="C196" s="148" t="s">
        <v>20940</v>
      </c>
      <c r="D196" s="150">
        <v>43986</v>
      </c>
      <c r="E196" s="113" t="s">
        <v>20939</v>
      </c>
      <c r="F196" s="257">
        <v>4</v>
      </c>
      <c r="G196" s="255">
        <v>25.14</v>
      </c>
      <c r="H196" s="152"/>
      <c r="I196" s="160">
        <f t="shared" si="2"/>
        <v>44968.329999999987</v>
      </c>
    </row>
    <row r="197" spans="2:9" ht="19.5" hidden="1" x14ac:dyDescent="0.25">
      <c r="B197" s="148"/>
      <c r="C197" s="148" t="s">
        <v>20938</v>
      </c>
      <c r="D197" s="150">
        <v>43986</v>
      </c>
      <c r="E197" s="113" t="s">
        <v>20937</v>
      </c>
      <c r="F197" s="257">
        <v>4</v>
      </c>
      <c r="G197" s="255">
        <v>26.3</v>
      </c>
      <c r="H197" s="152"/>
      <c r="I197" s="160">
        <f t="shared" si="2"/>
        <v>44994.62999999999</v>
      </c>
    </row>
    <row r="198" spans="2:9" hidden="1" x14ac:dyDescent="0.25">
      <c r="B198" s="148"/>
      <c r="C198" s="148" t="s">
        <v>20936</v>
      </c>
      <c r="D198" s="150">
        <v>43986</v>
      </c>
      <c r="E198" s="113" t="s">
        <v>20935</v>
      </c>
      <c r="F198" s="257">
        <v>4</v>
      </c>
      <c r="G198" s="255">
        <v>1.68</v>
      </c>
      <c r="H198" s="152"/>
      <c r="I198" s="160">
        <f t="shared" si="2"/>
        <v>44996.30999999999</v>
      </c>
    </row>
    <row r="199" spans="2:9" hidden="1" x14ac:dyDescent="0.25">
      <c r="B199" s="148"/>
      <c r="C199" s="148" t="s">
        <v>20934</v>
      </c>
      <c r="D199" s="150">
        <v>43986</v>
      </c>
      <c r="E199" s="113" t="s">
        <v>20933</v>
      </c>
      <c r="F199" s="257">
        <v>4</v>
      </c>
      <c r="G199" s="255">
        <v>12.01</v>
      </c>
      <c r="H199" s="152"/>
      <c r="I199" s="160">
        <f t="shared" si="2"/>
        <v>45008.319999999992</v>
      </c>
    </row>
    <row r="200" spans="2:9" hidden="1" x14ac:dyDescent="0.25">
      <c r="B200" s="148"/>
      <c r="C200" s="148" t="s">
        <v>20932</v>
      </c>
      <c r="D200" s="150">
        <v>43986</v>
      </c>
      <c r="E200" s="113" t="s">
        <v>20931</v>
      </c>
      <c r="F200" s="257">
        <v>4</v>
      </c>
      <c r="G200" s="255">
        <v>91.8</v>
      </c>
      <c r="H200" s="152"/>
      <c r="I200" s="160">
        <f t="shared" si="2"/>
        <v>45100.119999999995</v>
      </c>
    </row>
    <row r="201" spans="2:9" ht="19.5" hidden="1" x14ac:dyDescent="0.25">
      <c r="B201" s="148"/>
      <c r="C201" s="148" t="s">
        <v>20930</v>
      </c>
      <c r="D201" s="150">
        <v>43986</v>
      </c>
      <c r="E201" s="113" t="s">
        <v>20929</v>
      </c>
      <c r="F201" s="257">
        <v>4</v>
      </c>
      <c r="G201" s="255">
        <v>8.94</v>
      </c>
      <c r="H201" s="152"/>
      <c r="I201" s="160">
        <f t="shared" si="2"/>
        <v>45109.06</v>
      </c>
    </row>
    <row r="202" spans="2:9" hidden="1" x14ac:dyDescent="0.25">
      <c r="B202" s="148"/>
      <c r="C202" s="148" t="s">
        <v>20928</v>
      </c>
      <c r="D202" s="150">
        <v>43986</v>
      </c>
      <c r="E202" s="113" t="s">
        <v>20927</v>
      </c>
      <c r="F202" s="257" t="s">
        <v>14436</v>
      </c>
      <c r="G202" s="160">
        <v>634.73</v>
      </c>
      <c r="H202" s="152"/>
      <c r="I202" s="160">
        <f t="shared" si="2"/>
        <v>45743.79</v>
      </c>
    </row>
    <row r="203" spans="2:9" hidden="1" x14ac:dyDescent="0.25">
      <c r="B203" s="148"/>
      <c r="C203" s="148" t="s">
        <v>20926</v>
      </c>
      <c r="D203" s="150">
        <v>43986</v>
      </c>
      <c r="E203" s="113" t="s">
        <v>20925</v>
      </c>
      <c r="F203" s="257" t="s">
        <v>18712</v>
      </c>
      <c r="G203" s="160">
        <v>9</v>
      </c>
      <c r="H203" s="152"/>
      <c r="I203" s="160">
        <f t="shared" si="2"/>
        <v>45752.79</v>
      </c>
    </row>
    <row r="204" spans="2:9" ht="39" hidden="1" x14ac:dyDescent="0.25">
      <c r="B204" s="148"/>
      <c r="C204" s="148" t="s">
        <v>15972</v>
      </c>
      <c r="D204" s="150">
        <v>43986</v>
      </c>
      <c r="E204" s="113" t="s">
        <v>20924</v>
      </c>
      <c r="F204" s="257" t="s">
        <v>14439</v>
      </c>
      <c r="G204" s="258">
        <v>86.87</v>
      </c>
      <c r="H204" s="152"/>
      <c r="I204" s="160">
        <f t="shared" si="2"/>
        <v>45839.66</v>
      </c>
    </row>
    <row r="205" spans="2:9" ht="19.5" hidden="1" x14ac:dyDescent="0.25">
      <c r="B205" s="148"/>
      <c r="C205" s="148" t="s">
        <v>1926</v>
      </c>
      <c r="D205" s="150">
        <v>43986</v>
      </c>
      <c r="E205" s="113" t="s">
        <v>20923</v>
      </c>
      <c r="F205" s="257" t="s">
        <v>14439</v>
      </c>
      <c r="G205" s="258">
        <v>2.79</v>
      </c>
      <c r="H205" s="152"/>
      <c r="I205" s="160">
        <f t="shared" si="2"/>
        <v>45842.450000000004</v>
      </c>
    </row>
    <row r="206" spans="2:9" ht="29.25" hidden="1" x14ac:dyDescent="0.25">
      <c r="B206" s="148"/>
      <c r="C206" s="148" t="s">
        <v>1924</v>
      </c>
      <c r="D206" s="150">
        <v>43986</v>
      </c>
      <c r="E206" s="113" t="s">
        <v>20922</v>
      </c>
      <c r="F206" s="257" t="s">
        <v>14439</v>
      </c>
      <c r="G206" s="258">
        <v>448.7</v>
      </c>
      <c r="H206" s="152"/>
      <c r="I206" s="160">
        <f t="shared" si="2"/>
        <v>46291.15</v>
      </c>
    </row>
    <row r="207" spans="2:9" hidden="1" x14ac:dyDescent="0.25">
      <c r="B207" s="148"/>
      <c r="C207" s="148" t="s">
        <v>20921</v>
      </c>
      <c r="D207" s="150">
        <v>43987</v>
      </c>
      <c r="E207" s="113" t="s">
        <v>20920</v>
      </c>
      <c r="F207" s="257" t="s">
        <v>18712</v>
      </c>
      <c r="G207" s="160">
        <v>20</v>
      </c>
      <c r="H207" s="152"/>
      <c r="I207" s="160">
        <f t="shared" si="2"/>
        <v>46311.15</v>
      </c>
    </row>
    <row r="208" spans="2:9" hidden="1" x14ac:dyDescent="0.25">
      <c r="B208" s="148"/>
      <c r="C208" s="148" t="s">
        <v>20919</v>
      </c>
      <c r="D208" s="150">
        <v>43987</v>
      </c>
      <c r="E208" s="113" t="s">
        <v>20918</v>
      </c>
      <c r="F208" s="257" t="s">
        <v>14436</v>
      </c>
      <c r="G208" s="160">
        <v>27.65</v>
      </c>
      <c r="H208" s="152"/>
      <c r="I208" s="160">
        <f t="shared" si="2"/>
        <v>46338.8</v>
      </c>
    </row>
    <row r="209" spans="2:9" ht="19.5" hidden="1" x14ac:dyDescent="0.25">
      <c r="B209" s="148"/>
      <c r="C209" s="148" t="s">
        <v>20917</v>
      </c>
      <c r="D209" s="150">
        <v>43987</v>
      </c>
      <c r="E209" s="113" t="s">
        <v>20916</v>
      </c>
      <c r="F209" s="257" t="s">
        <v>14408</v>
      </c>
      <c r="G209" s="258">
        <v>6.87</v>
      </c>
      <c r="H209" s="152"/>
      <c r="I209" s="160">
        <f t="shared" si="2"/>
        <v>46345.670000000006</v>
      </c>
    </row>
    <row r="210" spans="2:9" hidden="1" x14ac:dyDescent="0.25">
      <c r="B210" s="148"/>
      <c r="C210" s="148" t="s">
        <v>20915</v>
      </c>
      <c r="D210" s="150">
        <v>43987</v>
      </c>
      <c r="E210" s="113" t="s">
        <v>20914</v>
      </c>
      <c r="F210" s="257" t="s">
        <v>14408</v>
      </c>
      <c r="G210" s="258">
        <v>8.2899999999999991</v>
      </c>
      <c r="H210" s="152"/>
      <c r="I210" s="160">
        <f t="shared" si="2"/>
        <v>46353.960000000006</v>
      </c>
    </row>
    <row r="211" spans="2:9" ht="19.5" hidden="1" x14ac:dyDescent="0.25">
      <c r="B211" s="148"/>
      <c r="C211" s="148" t="s">
        <v>20913</v>
      </c>
      <c r="D211" s="150">
        <v>43987</v>
      </c>
      <c r="E211" s="113" t="s">
        <v>20912</v>
      </c>
      <c r="F211" s="257" t="s">
        <v>14408</v>
      </c>
      <c r="G211" s="258">
        <v>5.04</v>
      </c>
      <c r="H211" s="152"/>
      <c r="I211" s="160">
        <f t="shared" si="2"/>
        <v>46359.000000000007</v>
      </c>
    </row>
    <row r="212" spans="2:9" hidden="1" x14ac:dyDescent="0.25">
      <c r="B212" s="148"/>
      <c r="C212" s="148" t="s">
        <v>20911</v>
      </c>
      <c r="D212" s="150">
        <v>43987</v>
      </c>
      <c r="E212" s="113" t="s">
        <v>20910</v>
      </c>
      <c r="F212" s="257" t="s">
        <v>14408</v>
      </c>
      <c r="G212" s="258">
        <v>8.27</v>
      </c>
      <c r="H212" s="152"/>
      <c r="I212" s="160">
        <f t="shared" ref="I212:I275" si="3">+I211+G212-H212</f>
        <v>46367.270000000004</v>
      </c>
    </row>
    <row r="213" spans="2:9" hidden="1" x14ac:dyDescent="0.25">
      <c r="B213" s="148"/>
      <c r="C213" s="148" t="s">
        <v>20909</v>
      </c>
      <c r="D213" s="150">
        <v>43987</v>
      </c>
      <c r="E213" s="113" t="s">
        <v>20908</v>
      </c>
      <c r="F213" s="257" t="s">
        <v>14408</v>
      </c>
      <c r="G213" s="258">
        <v>10.119999999999999</v>
      </c>
      <c r="H213" s="152"/>
      <c r="I213" s="160">
        <f t="shared" si="3"/>
        <v>46377.390000000007</v>
      </c>
    </row>
    <row r="214" spans="2:9" ht="19.5" hidden="1" x14ac:dyDescent="0.25">
      <c r="B214" s="148"/>
      <c r="C214" s="148" t="s">
        <v>20907</v>
      </c>
      <c r="D214" s="150">
        <v>43987</v>
      </c>
      <c r="E214" s="113" t="s">
        <v>20906</v>
      </c>
      <c r="F214" s="257" t="s">
        <v>14408</v>
      </c>
      <c r="G214" s="258">
        <v>15.44</v>
      </c>
      <c r="H214" s="152"/>
      <c r="I214" s="160">
        <f t="shared" si="3"/>
        <v>46392.830000000009</v>
      </c>
    </row>
    <row r="215" spans="2:9" hidden="1" x14ac:dyDescent="0.25">
      <c r="B215" s="148"/>
      <c r="C215" s="148" t="s">
        <v>20905</v>
      </c>
      <c r="D215" s="150">
        <v>43987</v>
      </c>
      <c r="E215" s="113" t="s">
        <v>20904</v>
      </c>
      <c r="F215" s="257" t="s">
        <v>14408</v>
      </c>
      <c r="G215" s="258">
        <v>6.79</v>
      </c>
      <c r="H215" s="152"/>
      <c r="I215" s="160">
        <f t="shared" si="3"/>
        <v>46399.62000000001</v>
      </c>
    </row>
    <row r="216" spans="2:9" hidden="1" x14ac:dyDescent="0.25">
      <c r="B216" s="148"/>
      <c r="C216" s="148" t="s">
        <v>20903</v>
      </c>
      <c r="D216" s="150">
        <v>43987</v>
      </c>
      <c r="E216" s="113" t="s">
        <v>20902</v>
      </c>
      <c r="F216" s="257" t="s">
        <v>14408</v>
      </c>
      <c r="G216" s="258">
        <v>6.92</v>
      </c>
      <c r="H216" s="152"/>
      <c r="I216" s="160">
        <f t="shared" si="3"/>
        <v>46406.540000000008</v>
      </c>
    </row>
    <row r="217" spans="2:9" hidden="1" x14ac:dyDescent="0.25">
      <c r="B217" s="148"/>
      <c r="C217" s="148" t="s">
        <v>20901</v>
      </c>
      <c r="D217" s="150">
        <v>43987</v>
      </c>
      <c r="E217" s="113" t="s">
        <v>20900</v>
      </c>
      <c r="F217" s="257" t="s">
        <v>14408</v>
      </c>
      <c r="G217" s="258">
        <v>4.12</v>
      </c>
      <c r="H217" s="152"/>
      <c r="I217" s="160">
        <f t="shared" si="3"/>
        <v>46410.660000000011</v>
      </c>
    </row>
    <row r="218" spans="2:9" hidden="1" x14ac:dyDescent="0.25">
      <c r="B218" s="148"/>
      <c r="C218" s="148" t="s">
        <v>20899</v>
      </c>
      <c r="D218" s="150">
        <v>43987</v>
      </c>
      <c r="E218" s="113" t="s">
        <v>20898</v>
      </c>
      <c r="F218" s="257" t="s">
        <v>14408</v>
      </c>
      <c r="G218" s="258">
        <v>3.36</v>
      </c>
      <c r="H218" s="152"/>
      <c r="I218" s="160">
        <f t="shared" si="3"/>
        <v>46414.020000000011</v>
      </c>
    </row>
    <row r="219" spans="2:9" hidden="1" x14ac:dyDescent="0.25">
      <c r="B219" s="148"/>
      <c r="C219" s="148" t="s">
        <v>20897</v>
      </c>
      <c r="D219" s="150">
        <v>43987</v>
      </c>
      <c r="E219" s="113" t="s">
        <v>20896</v>
      </c>
      <c r="F219" s="257" t="s">
        <v>14408</v>
      </c>
      <c r="G219" s="258">
        <v>19.75</v>
      </c>
      <c r="H219" s="152"/>
      <c r="I219" s="160">
        <f t="shared" si="3"/>
        <v>46433.770000000011</v>
      </c>
    </row>
    <row r="220" spans="2:9" ht="19.5" hidden="1" x14ac:dyDescent="0.25">
      <c r="B220" s="148"/>
      <c r="C220" s="148" t="s">
        <v>20895</v>
      </c>
      <c r="D220" s="150">
        <v>43987</v>
      </c>
      <c r="E220" s="113" t="s">
        <v>20894</v>
      </c>
      <c r="F220" s="257" t="s">
        <v>14408</v>
      </c>
      <c r="G220" s="258">
        <v>5.04</v>
      </c>
      <c r="H220" s="152"/>
      <c r="I220" s="160">
        <f t="shared" si="3"/>
        <v>46438.810000000012</v>
      </c>
    </row>
    <row r="221" spans="2:9" hidden="1" x14ac:dyDescent="0.25">
      <c r="B221" s="148"/>
      <c r="C221" s="148" t="s">
        <v>20893</v>
      </c>
      <c r="D221" s="150">
        <v>43987</v>
      </c>
      <c r="E221" s="113" t="s">
        <v>20892</v>
      </c>
      <c r="F221" s="257" t="s">
        <v>14408</v>
      </c>
      <c r="G221" s="258">
        <v>7.61</v>
      </c>
      <c r="H221" s="152"/>
      <c r="I221" s="160">
        <f t="shared" si="3"/>
        <v>46446.420000000013</v>
      </c>
    </row>
    <row r="222" spans="2:9" ht="19.5" hidden="1" x14ac:dyDescent="0.25">
      <c r="B222" s="148"/>
      <c r="C222" s="148" t="s">
        <v>20891</v>
      </c>
      <c r="D222" s="150">
        <v>43987</v>
      </c>
      <c r="E222" s="113" t="s">
        <v>20890</v>
      </c>
      <c r="F222" s="257" t="s">
        <v>14408</v>
      </c>
      <c r="G222" s="258">
        <v>11.27</v>
      </c>
      <c r="H222" s="152"/>
      <c r="I222" s="160">
        <f t="shared" si="3"/>
        <v>46457.69000000001</v>
      </c>
    </row>
    <row r="223" spans="2:9" hidden="1" x14ac:dyDescent="0.25">
      <c r="B223" s="148"/>
      <c r="C223" s="148" t="s">
        <v>20889</v>
      </c>
      <c r="D223" s="150">
        <v>43987</v>
      </c>
      <c r="E223" s="113" t="s">
        <v>20888</v>
      </c>
      <c r="F223" s="257" t="s">
        <v>14408</v>
      </c>
      <c r="G223" s="258">
        <v>3.33</v>
      </c>
      <c r="H223" s="152"/>
      <c r="I223" s="160">
        <f t="shared" si="3"/>
        <v>46461.020000000011</v>
      </c>
    </row>
    <row r="224" spans="2:9" hidden="1" x14ac:dyDescent="0.25">
      <c r="B224" s="148"/>
      <c r="C224" s="148" t="s">
        <v>20887</v>
      </c>
      <c r="D224" s="150">
        <v>43987</v>
      </c>
      <c r="E224" s="113" t="s">
        <v>20886</v>
      </c>
      <c r="F224" s="257">
        <v>5</v>
      </c>
      <c r="G224" s="255">
        <v>15.3</v>
      </c>
      <c r="H224" s="152"/>
      <c r="I224" s="160">
        <f t="shared" si="3"/>
        <v>46476.320000000014</v>
      </c>
    </row>
    <row r="225" spans="2:9" hidden="1" x14ac:dyDescent="0.25">
      <c r="B225" s="148"/>
      <c r="C225" s="148" t="s">
        <v>20885</v>
      </c>
      <c r="D225" s="150">
        <v>43987</v>
      </c>
      <c r="E225" s="113" t="s">
        <v>20884</v>
      </c>
      <c r="F225" s="257">
        <v>5</v>
      </c>
      <c r="G225" s="255">
        <v>2.37</v>
      </c>
      <c r="H225" s="152"/>
      <c r="I225" s="160">
        <f t="shared" si="3"/>
        <v>46478.690000000017</v>
      </c>
    </row>
    <row r="226" spans="2:9" hidden="1" x14ac:dyDescent="0.25">
      <c r="B226" s="148"/>
      <c r="C226" s="148" t="s">
        <v>20883</v>
      </c>
      <c r="D226" s="150">
        <v>43987</v>
      </c>
      <c r="E226" s="113" t="s">
        <v>20882</v>
      </c>
      <c r="F226" s="257">
        <v>5</v>
      </c>
      <c r="G226" s="255">
        <v>25.14</v>
      </c>
      <c r="H226" s="152"/>
      <c r="I226" s="160">
        <f t="shared" si="3"/>
        <v>46503.830000000016</v>
      </c>
    </row>
    <row r="227" spans="2:9" ht="19.5" hidden="1" x14ac:dyDescent="0.25">
      <c r="B227" s="148"/>
      <c r="C227" s="148" t="s">
        <v>20881</v>
      </c>
      <c r="D227" s="150">
        <v>43987</v>
      </c>
      <c r="E227" s="113" t="s">
        <v>20880</v>
      </c>
      <c r="F227" s="257">
        <v>5</v>
      </c>
      <c r="G227" s="255">
        <v>4.03</v>
      </c>
      <c r="H227" s="152"/>
      <c r="I227" s="160">
        <f t="shared" si="3"/>
        <v>46507.860000000015</v>
      </c>
    </row>
    <row r="228" spans="2:9" hidden="1" x14ac:dyDescent="0.25">
      <c r="B228" s="148"/>
      <c r="C228" s="148" t="s">
        <v>20879</v>
      </c>
      <c r="D228" s="150">
        <v>43987</v>
      </c>
      <c r="E228" s="113" t="s">
        <v>20878</v>
      </c>
      <c r="F228" s="257">
        <v>5</v>
      </c>
      <c r="G228" s="255">
        <v>10.85</v>
      </c>
      <c r="H228" s="152"/>
      <c r="I228" s="160">
        <f t="shared" si="3"/>
        <v>46518.710000000014</v>
      </c>
    </row>
    <row r="229" spans="2:9" hidden="1" x14ac:dyDescent="0.25">
      <c r="B229" s="148"/>
      <c r="C229" s="148" t="s">
        <v>20877</v>
      </c>
      <c r="D229" s="150">
        <v>43987</v>
      </c>
      <c r="E229" s="113" t="s">
        <v>20876</v>
      </c>
      <c r="F229" s="257">
        <v>5</v>
      </c>
      <c r="G229" s="255">
        <v>1.8</v>
      </c>
      <c r="H229" s="152"/>
      <c r="I229" s="160">
        <f t="shared" si="3"/>
        <v>46520.510000000017</v>
      </c>
    </row>
    <row r="230" spans="2:9" hidden="1" x14ac:dyDescent="0.25">
      <c r="B230" s="148"/>
      <c r="C230" s="148" t="s">
        <v>20875</v>
      </c>
      <c r="D230" s="150">
        <v>43987</v>
      </c>
      <c r="E230" s="113" t="s">
        <v>20874</v>
      </c>
      <c r="F230" s="257">
        <v>5</v>
      </c>
      <c r="G230" s="255">
        <v>1.68</v>
      </c>
      <c r="H230" s="152"/>
      <c r="I230" s="160">
        <f t="shared" si="3"/>
        <v>46522.190000000017</v>
      </c>
    </row>
    <row r="231" spans="2:9" ht="19.5" hidden="1" x14ac:dyDescent="0.25">
      <c r="B231" s="148"/>
      <c r="C231" s="148" t="s">
        <v>20873</v>
      </c>
      <c r="D231" s="150">
        <v>43987</v>
      </c>
      <c r="E231" s="113" t="s">
        <v>20872</v>
      </c>
      <c r="F231" s="257" t="s">
        <v>14436</v>
      </c>
      <c r="G231" s="160">
        <v>5040.0200000000004</v>
      </c>
      <c r="H231" s="152"/>
      <c r="I231" s="160">
        <f t="shared" si="3"/>
        <v>51562.210000000021</v>
      </c>
    </row>
    <row r="232" spans="2:9" ht="19.5" hidden="1" x14ac:dyDescent="0.25">
      <c r="B232" s="148"/>
      <c r="C232" s="148" t="s">
        <v>20871</v>
      </c>
      <c r="D232" s="150">
        <v>43988</v>
      </c>
      <c r="E232" s="113" t="s">
        <v>20870</v>
      </c>
      <c r="F232" s="257" t="s">
        <v>14408</v>
      </c>
      <c r="G232" s="258">
        <v>3.36</v>
      </c>
      <c r="H232" s="152"/>
      <c r="I232" s="160">
        <f t="shared" si="3"/>
        <v>51565.570000000022</v>
      </c>
    </row>
    <row r="233" spans="2:9" hidden="1" x14ac:dyDescent="0.25">
      <c r="B233" s="148"/>
      <c r="C233" s="148" t="s">
        <v>20869</v>
      </c>
      <c r="D233" s="150">
        <v>43988</v>
      </c>
      <c r="E233" s="113" t="s">
        <v>20868</v>
      </c>
      <c r="F233" s="257" t="s">
        <v>14408</v>
      </c>
      <c r="G233" s="258">
        <v>29.43</v>
      </c>
      <c r="H233" s="152"/>
      <c r="I233" s="160">
        <f t="shared" si="3"/>
        <v>51595.000000000022</v>
      </c>
    </row>
    <row r="234" spans="2:9" ht="19.5" hidden="1" x14ac:dyDescent="0.25">
      <c r="B234" s="148"/>
      <c r="C234" s="148" t="s">
        <v>20867</v>
      </c>
      <c r="D234" s="150">
        <v>43988</v>
      </c>
      <c r="E234" s="113" t="s">
        <v>20866</v>
      </c>
      <c r="F234" s="257" t="s">
        <v>14408</v>
      </c>
      <c r="G234" s="258">
        <v>30.69</v>
      </c>
      <c r="H234" s="152"/>
      <c r="I234" s="160">
        <f t="shared" si="3"/>
        <v>51625.690000000024</v>
      </c>
    </row>
    <row r="235" spans="2:9" ht="19.5" hidden="1" x14ac:dyDescent="0.25">
      <c r="B235" s="148"/>
      <c r="C235" s="148" t="s">
        <v>20865</v>
      </c>
      <c r="D235" s="150">
        <v>43988</v>
      </c>
      <c r="E235" s="113" t="s">
        <v>20864</v>
      </c>
      <c r="F235" s="257" t="s">
        <v>14408</v>
      </c>
      <c r="G235" s="258">
        <v>9.43</v>
      </c>
      <c r="H235" s="152"/>
      <c r="I235" s="160">
        <f t="shared" si="3"/>
        <v>51635.120000000024</v>
      </c>
    </row>
    <row r="236" spans="2:9" hidden="1" x14ac:dyDescent="0.25">
      <c r="B236" s="148"/>
      <c r="C236" s="148" t="s">
        <v>20863</v>
      </c>
      <c r="D236" s="150">
        <v>43988</v>
      </c>
      <c r="E236" s="113" t="s">
        <v>20862</v>
      </c>
      <c r="F236" s="257" t="s">
        <v>14408</v>
      </c>
      <c r="G236" s="258">
        <v>5.47</v>
      </c>
      <c r="H236" s="152"/>
      <c r="I236" s="160">
        <f t="shared" si="3"/>
        <v>51640.590000000026</v>
      </c>
    </row>
    <row r="237" spans="2:9" hidden="1" x14ac:dyDescent="0.25">
      <c r="B237" s="148"/>
      <c r="C237" s="148" t="s">
        <v>20861</v>
      </c>
      <c r="D237" s="150">
        <v>43988</v>
      </c>
      <c r="E237" s="113" t="s">
        <v>20860</v>
      </c>
      <c r="F237" s="257" t="s">
        <v>14408</v>
      </c>
      <c r="G237" s="258">
        <v>3.08</v>
      </c>
      <c r="H237" s="152"/>
      <c r="I237" s="160">
        <f t="shared" si="3"/>
        <v>51643.670000000027</v>
      </c>
    </row>
    <row r="238" spans="2:9" hidden="1" x14ac:dyDescent="0.25">
      <c r="B238" s="148"/>
      <c r="C238" s="148" t="s">
        <v>20859</v>
      </c>
      <c r="D238" s="150">
        <v>43988</v>
      </c>
      <c r="E238" s="113" t="s">
        <v>20858</v>
      </c>
      <c r="F238" s="257" t="s">
        <v>14408</v>
      </c>
      <c r="G238" s="258">
        <v>8.4600000000000009</v>
      </c>
      <c r="H238" s="152"/>
      <c r="I238" s="160">
        <f t="shared" si="3"/>
        <v>51652.130000000026</v>
      </c>
    </row>
    <row r="239" spans="2:9" hidden="1" x14ac:dyDescent="0.25">
      <c r="B239" s="148"/>
      <c r="C239" s="148" t="s">
        <v>20857</v>
      </c>
      <c r="D239" s="150">
        <v>43988</v>
      </c>
      <c r="E239" s="113" t="s">
        <v>20856</v>
      </c>
      <c r="F239" s="257" t="s">
        <v>14408</v>
      </c>
      <c r="G239" s="258">
        <v>3.88</v>
      </c>
      <c r="H239" s="152"/>
      <c r="I239" s="160">
        <f t="shared" si="3"/>
        <v>51656.010000000024</v>
      </c>
    </row>
    <row r="240" spans="2:9" hidden="1" x14ac:dyDescent="0.25">
      <c r="B240" s="148"/>
      <c r="C240" s="148" t="s">
        <v>20855</v>
      </c>
      <c r="D240" s="150">
        <v>43988</v>
      </c>
      <c r="E240" s="113" t="s">
        <v>20854</v>
      </c>
      <c r="F240" s="257" t="s">
        <v>14408</v>
      </c>
      <c r="G240" s="258">
        <v>33.21</v>
      </c>
      <c r="H240" s="152"/>
      <c r="I240" s="160">
        <f t="shared" si="3"/>
        <v>51689.220000000023</v>
      </c>
    </row>
    <row r="241" spans="2:9" hidden="1" x14ac:dyDescent="0.25">
      <c r="B241" s="148"/>
      <c r="C241" s="148" t="s">
        <v>20853</v>
      </c>
      <c r="D241" s="150">
        <v>43988</v>
      </c>
      <c r="E241" s="113" t="s">
        <v>20852</v>
      </c>
      <c r="F241" s="257" t="s">
        <v>14408</v>
      </c>
      <c r="G241" s="258">
        <v>4.07</v>
      </c>
      <c r="H241" s="152"/>
      <c r="I241" s="160">
        <f t="shared" si="3"/>
        <v>51693.290000000023</v>
      </c>
    </row>
    <row r="242" spans="2:9" hidden="1" x14ac:dyDescent="0.25">
      <c r="B242" s="148"/>
      <c r="C242" s="148" t="s">
        <v>20851</v>
      </c>
      <c r="D242" s="150">
        <v>43988</v>
      </c>
      <c r="E242" s="113" t="s">
        <v>20850</v>
      </c>
      <c r="F242" s="257" t="s">
        <v>14408</v>
      </c>
      <c r="G242" s="258">
        <v>1.89</v>
      </c>
      <c r="H242" s="152"/>
      <c r="I242" s="160">
        <f t="shared" si="3"/>
        <v>51695.180000000022</v>
      </c>
    </row>
    <row r="243" spans="2:9" ht="19.5" hidden="1" x14ac:dyDescent="0.25">
      <c r="B243" s="148"/>
      <c r="C243" s="148" t="s">
        <v>20849</v>
      </c>
      <c r="D243" s="150">
        <v>43988</v>
      </c>
      <c r="E243" s="113" t="s">
        <v>20848</v>
      </c>
      <c r="F243" s="257" t="s">
        <v>14408</v>
      </c>
      <c r="G243" s="258">
        <v>11.89</v>
      </c>
      <c r="H243" s="152"/>
      <c r="I243" s="160">
        <f t="shared" si="3"/>
        <v>51707.070000000022</v>
      </c>
    </row>
    <row r="244" spans="2:9" hidden="1" x14ac:dyDescent="0.25">
      <c r="B244" s="148"/>
      <c r="C244" s="148" t="s">
        <v>20847</v>
      </c>
      <c r="D244" s="150">
        <v>43988</v>
      </c>
      <c r="E244" s="113" t="s">
        <v>20846</v>
      </c>
      <c r="F244" s="257" t="s">
        <v>14408</v>
      </c>
      <c r="G244" s="258">
        <v>55.74</v>
      </c>
      <c r="H244" s="152"/>
      <c r="I244" s="160">
        <f t="shared" si="3"/>
        <v>51762.810000000019</v>
      </c>
    </row>
    <row r="245" spans="2:9" hidden="1" x14ac:dyDescent="0.25">
      <c r="B245" s="148"/>
      <c r="C245" s="148" t="s">
        <v>20845</v>
      </c>
      <c r="D245" s="150">
        <v>43988</v>
      </c>
      <c r="E245" s="113" t="s">
        <v>20844</v>
      </c>
      <c r="F245" s="257" t="s">
        <v>14408</v>
      </c>
      <c r="G245" s="258">
        <v>28.76</v>
      </c>
      <c r="H245" s="152"/>
      <c r="I245" s="160">
        <f t="shared" si="3"/>
        <v>51791.570000000022</v>
      </c>
    </row>
    <row r="246" spans="2:9" hidden="1" x14ac:dyDescent="0.25">
      <c r="B246" s="148"/>
      <c r="C246" s="148" t="s">
        <v>20843</v>
      </c>
      <c r="D246" s="150">
        <v>43988</v>
      </c>
      <c r="E246" s="113" t="s">
        <v>20842</v>
      </c>
      <c r="F246" s="257" t="s">
        <v>14408</v>
      </c>
      <c r="G246" s="258">
        <v>6.98</v>
      </c>
      <c r="H246" s="152"/>
      <c r="I246" s="160">
        <f t="shared" si="3"/>
        <v>51798.550000000025</v>
      </c>
    </row>
    <row r="247" spans="2:9" hidden="1" x14ac:dyDescent="0.25">
      <c r="B247" s="148"/>
      <c r="C247" s="148" t="s">
        <v>20841</v>
      </c>
      <c r="D247" s="150">
        <v>43989</v>
      </c>
      <c r="E247" s="113" t="s">
        <v>20840</v>
      </c>
      <c r="F247" s="257" t="s">
        <v>14436</v>
      </c>
      <c r="G247" s="160">
        <v>10</v>
      </c>
      <c r="H247" s="152"/>
      <c r="I247" s="160">
        <f t="shared" si="3"/>
        <v>51808.550000000025</v>
      </c>
    </row>
    <row r="248" spans="2:9" hidden="1" x14ac:dyDescent="0.25">
      <c r="B248" s="148"/>
      <c r="C248" s="148" t="s">
        <v>20839</v>
      </c>
      <c r="D248" s="150">
        <v>43989</v>
      </c>
      <c r="E248" s="113" t="s">
        <v>20838</v>
      </c>
      <c r="F248" s="257" t="s">
        <v>14408</v>
      </c>
      <c r="G248" s="258">
        <v>1.68</v>
      </c>
      <c r="H248" s="152"/>
      <c r="I248" s="160">
        <f t="shared" si="3"/>
        <v>51810.230000000025</v>
      </c>
    </row>
    <row r="249" spans="2:9" ht="19.5" hidden="1" x14ac:dyDescent="0.25">
      <c r="B249" s="148"/>
      <c r="C249" s="148" t="s">
        <v>20837</v>
      </c>
      <c r="D249" s="150">
        <v>43990</v>
      </c>
      <c r="E249" s="113" t="s">
        <v>20836</v>
      </c>
      <c r="F249" s="257" t="s">
        <v>14436</v>
      </c>
      <c r="G249" s="160">
        <v>12.42</v>
      </c>
      <c r="H249" s="152"/>
      <c r="I249" s="160">
        <f t="shared" si="3"/>
        <v>51822.650000000023</v>
      </c>
    </row>
    <row r="250" spans="2:9" ht="19.5" hidden="1" x14ac:dyDescent="0.25">
      <c r="B250" s="148"/>
      <c r="C250" s="148" t="s">
        <v>20835</v>
      </c>
      <c r="D250" s="150">
        <v>43990</v>
      </c>
      <c r="E250" s="113" t="s">
        <v>20834</v>
      </c>
      <c r="F250" s="257" t="s">
        <v>14436</v>
      </c>
      <c r="G250" s="160">
        <v>86.69</v>
      </c>
      <c r="H250" s="152"/>
      <c r="I250" s="160">
        <f t="shared" si="3"/>
        <v>51909.340000000026</v>
      </c>
    </row>
    <row r="251" spans="2:9" hidden="1" x14ac:dyDescent="0.25">
      <c r="B251" s="148"/>
      <c r="C251" s="148" t="s">
        <v>20833</v>
      </c>
      <c r="D251" s="150">
        <v>43990</v>
      </c>
      <c r="E251" s="113" t="s">
        <v>20832</v>
      </c>
      <c r="F251" s="257" t="s">
        <v>14436</v>
      </c>
      <c r="G251" s="160">
        <v>2441.98</v>
      </c>
      <c r="H251" s="152"/>
      <c r="I251" s="160">
        <f t="shared" si="3"/>
        <v>54351.320000000029</v>
      </c>
    </row>
    <row r="252" spans="2:9" ht="19.5" hidden="1" x14ac:dyDescent="0.25">
      <c r="B252" s="148"/>
      <c r="C252" s="148" t="s">
        <v>20831</v>
      </c>
      <c r="D252" s="150">
        <v>43990</v>
      </c>
      <c r="E252" s="113" t="s">
        <v>20830</v>
      </c>
      <c r="F252" s="257" t="s">
        <v>14408</v>
      </c>
      <c r="G252" s="258">
        <v>8.8699999999999992</v>
      </c>
      <c r="H252" s="152"/>
      <c r="I252" s="160">
        <f t="shared" si="3"/>
        <v>54360.190000000031</v>
      </c>
    </row>
    <row r="253" spans="2:9" hidden="1" x14ac:dyDescent="0.25">
      <c r="B253" s="148"/>
      <c r="C253" s="148" t="s">
        <v>20829</v>
      </c>
      <c r="D253" s="150">
        <v>43990</v>
      </c>
      <c r="E253" s="113" t="s">
        <v>20828</v>
      </c>
      <c r="F253" s="257" t="s">
        <v>14408</v>
      </c>
      <c r="G253" s="258">
        <v>23.81</v>
      </c>
      <c r="H253" s="152"/>
      <c r="I253" s="160">
        <f t="shared" si="3"/>
        <v>54384.000000000029</v>
      </c>
    </row>
    <row r="254" spans="2:9" ht="19.5" hidden="1" x14ac:dyDescent="0.25">
      <c r="B254" s="148"/>
      <c r="C254" s="148" t="s">
        <v>20827</v>
      </c>
      <c r="D254" s="150">
        <v>43990</v>
      </c>
      <c r="E254" s="113" t="s">
        <v>20826</v>
      </c>
      <c r="F254" s="257" t="s">
        <v>14408</v>
      </c>
      <c r="G254" s="258">
        <v>6.72</v>
      </c>
      <c r="H254" s="152"/>
      <c r="I254" s="160">
        <f t="shared" si="3"/>
        <v>54390.72000000003</v>
      </c>
    </row>
    <row r="255" spans="2:9" ht="19.5" hidden="1" x14ac:dyDescent="0.25">
      <c r="B255" s="148"/>
      <c r="C255" s="148" t="s">
        <v>20825</v>
      </c>
      <c r="D255" s="150">
        <v>43990</v>
      </c>
      <c r="E255" s="113" t="s">
        <v>20824</v>
      </c>
      <c r="F255" s="257" t="s">
        <v>14408</v>
      </c>
      <c r="G255" s="258">
        <v>33.61</v>
      </c>
      <c r="H255" s="152"/>
      <c r="I255" s="160">
        <f t="shared" si="3"/>
        <v>54424.330000000031</v>
      </c>
    </row>
    <row r="256" spans="2:9" ht="19.5" hidden="1" x14ac:dyDescent="0.25">
      <c r="B256" s="148"/>
      <c r="C256" s="148" t="s">
        <v>20823</v>
      </c>
      <c r="D256" s="150">
        <v>43990</v>
      </c>
      <c r="E256" s="113" t="s">
        <v>20822</v>
      </c>
      <c r="F256" s="257" t="s">
        <v>14408</v>
      </c>
      <c r="G256" s="258">
        <v>92.58</v>
      </c>
      <c r="H256" s="152"/>
      <c r="I256" s="160">
        <f t="shared" si="3"/>
        <v>54516.910000000033</v>
      </c>
    </row>
    <row r="257" spans="2:9" ht="19.5" hidden="1" x14ac:dyDescent="0.25">
      <c r="B257" s="148"/>
      <c r="C257" s="148" t="s">
        <v>20821</v>
      </c>
      <c r="D257" s="150">
        <v>43990</v>
      </c>
      <c r="E257" s="113" t="s">
        <v>20820</v>
      </c>
      <c r="F257" s="257" t="s">
        <v>14408</v>
      </c>
      <c r="G257" s="258">
        <v>51.94</v>
      </c>
      <c r="H257" s="152"/>
      <c r="I257" s="160">
        <f t="shared" si="3"/>
        <v>54568.850000000035</v>
      </c>
    </row>
    <row r="258" spans="2:9" ht="19.5" hidden="1" x14ac:dyDescent="0.25">
      <c r="B258" s="148"/>
      <c r="C258" s="148" t="s">
        <v>20819</v>
      </c>
      <c r="D258" s="150">
        <v>43990</v>
      </c>
      <c r="E258" s="113" t="s">
        <v>20818</v>
      </c>
      <c r="F258" s="257" t="s">
        <v>14408</v>
      </c>
      <c r="G258" s="258">
        <v>15.1</v>
      </c>
      <c r="H258" s="152"/>
      <c r="I258" s="160">
        <f t="shared" si="3"/>
        <v>54583.950000000033</v>
      </c>
    </row>
    <row r="259" spans="2:9" ht="19.5" hidden="1" x14ac:dyDescent="0.25">
      <c r="B259" s="148"/>
      <c r="C259" s="148" t="s">
        <v>20817</v>
      </c>
      <c r="D259" s="150">
        <v>43990</v>
      </c>
      <c r="E259" s="113" t="s">
        <v>20816</v>
      </c>
      <c r="F259" s="257" t="s">
        <v>14408</v>
      </c>
      <c r="G259" s="258">
        <v>8.69</v>
      </c>
      <c r="H259" s="152"/>
      <c r="I259" s="160">
        <f t="shared" si="3"/>
        <v>54592.640000000036</v>
      </c>
    </row>
    <row r="260" spans="2:9" hidden="1" x14ac:dyDescent="0.25">
      <c r="B260" s="148"/>
      <c r="C260" s="148" t="s">
        <v>20815</v>
      </c>
      <c r="D260" s="150">
        <v>43990</v>
      </c>
      <c r="E260" s="113" t="s">
        <v>20814</v>
      </c>
      <c r="F260" s="257" t="s">
        <v>14408</v>
      </c>
      <c r="G260" s="258">
        <v>8.41</v>
      </c>
      <c r="H260" s="152"/>
      <c r="I260" s="160">
        <f t="shared" si="3"/>
        <v>54601.050000000039</v>
      </c>
    </row>
    <row r="261" spans="2:9" hidden="1" x14ac:dyDescent="0.25">
      <c r="B261" s="148"/>
      <c r="C261" s="148" t="s">
        <v>20813</v>
      </c>
      <c r="D261" s="150">
        <v>43990</v>
      </c>
      <c r="E261" s="113" t="s">
        <v>20812</v>
      </c>
      <c r="F261" s="257" t="s">
        <v>14408</v>
      </c>
      <c r="G261" s="258">
        <v>15.47</v>
      </c>
      <c r="H261" s="152"/>
      <c r="I261" s="160">
        <f t="shared" si="3"/>
        <v>54616.52000000004</v>
      </c>
    </row>
    <row r="262" spans="2:9" ht="19.5" hidden="1" x14ac:dyDescent="0.25">
      <c r="B262" s="148"/>
      <c r="C262" s="148" t="s">
        <v>20811</v>
      </c>
      <c r="D262" s="150">
        <v>43990</v>
      </c>
      <c r="E262" s="113" t="s">
        <v>20810</v>
      </c>
      <c r="F262" s="257" t="s">
        <v>14408</v>
      </c>
      <c r="G262" s="258">
        <v>6</v>
      </c>
      <c r="H262" s="152"/>
      <c r="I262" s="160">
        <f t="shared" si="3"/>
        <v>54622.52000000004</v>
      </c>
    </row>
    <row r="263" spans="2:9" hidden="1" x14ac:dyDescent="0.25">
      <c r="B263" s="148"/>
      <c r="C263" s="148" t="s">
        <v>20809</v>
      </c>
      <c r="D263" s="150">
        <v>43990</v>
      </c>
      <c r="E263" s="113" t="s">
        <v>20808</v>
      </c>
      <c r="F263" s="257" t="s">
        <v>14408</v>
      </c>
      <c r="G263" s="258">
        <v>3.73</v>
      </c>
      <c r="H263" s="152"/>
      <c r="I263" s="160">
        <f t="shared" si="3"/>
        <v>54626.250000000044</v>
      </c>
    </row>
    <row r="264" spans="2:9" hidden="1" x14ac:dyDescent="0.25">
      <c r="B264" s="148"/>
      <c r="C264" s="148" t="s">
        <v>20807</v>
      </c>
      <c r="D264" s="150">
        <v>43990</v>
      </c>
      <c r="E264" s="113" t="s">
        <v>20806</v>
      </c>
      <c r="F264" s="257" t="s">
        <v>14408</v>
      </c>
      <c r="G264" s="258">
        <v>2.91</v>
      </c>
      <c r="H264" s="152"/>
      <c r="I264" s="160">
        <f t="shared" si="3"/>
        <v>54629.160000000047</v>
      </c>
    </row>
    <row r="265" spans="2:9" ht="19.5" hidden="1" x14ac:dyDescent="0.25">
      <c r="B265" s="148"/>
      <c r="C265" s="148" t="s">
        <v>20805</v>
      </c>
      <c r="D265" s="150">
        <v>43990</v>
      </c>
      <c r="E265" s="113" t="s">
        <v>20804</v>
      </c>
      <c r="F265" s="257" t="s">
        <v>14408</v>
      </c>
      <c r="G265" s="258">
        <v>13.6</v>
      </c>
      <c r="H265" s="152"/>
      <c r="I265" s="160">
        <f t="shared" si="3"/>
        <v>54642.760000000046</v>
      </c>
    </row>
    <row r="266" spans="2:9" hidden="1" x14ac:dyDescent="0.25">
      <c r="B266" s="148"/>
      <c r="C266" s="148" t="s">
        <v>20803</v>
      </c>
      <c r="D266" s="150">
        <v>43990</v>
      </c>
      <c r="E266" s="113" t="s">
        <v>20802</v>
      </c>
      <c r="F266" s="257" t="s">
        <v>14408</v>
      </c>
      <c r="G266" s="258">
        <v>3.91</v>
      </c>
      <c r="H266" s="152"/>
      <c r="I266" s="160">
        <f t="shared" si="3"/>
        <v>54646.670000000049</v>
      </c>
    </row>
    <row r="267" spans="2:9" hidden="1" x14ac:dyDescent="0.25">
      <c r="B267" s="148"/>
      <c r="C267" s="148" t="s">
        <v>20801</v>
      </c>
      <c r="D267" s="150">
        <v>43990</v>
      </c>
      <c r="E267" s="113" t="s">
        <v>20800</v>
      </c>
      <c r="F267" s="257" t="s">
        <v>14408</v>
      </c>
      <c r="G267" s="258">
        <v>3.42</v>
      </c>
      <c r="H267" s="152"/>
      <c r="I267" s="160">
        <f t="shared" si="3"/>
        <v>54650.090000000047</v>
      </c>
    </row>
    <row r="268" spans="2:9" ht="19.5" hidden="1" x14ac:dyDescent="0.25">
      <c r="B268" s="148"/>
      <c r="C268" s="148" t="s">
        <v>20799</v>
      </c>
      <c r="D268" s="150">
        <v>43990</v>
      </c>
      <c r="E268" s="113" t="s">
        <v>20798</v>
      </c>
      <c r="F268" s="257" t="s">
        <v>14408</v>
      </c>
      <c r="G268" s="258">
        <v>26.74</v>
      </c>
      <c r="H268" s="152"/>
      <c r="I268" s="160">
        <f t="shared" si="3"/>
        <v>54676.830000000045</v>
      </c>
    </row>
    <row r="269" spans="2:9" ht="19.5" hidden="1" x14ac:dyDescent="0.25">
      <c r="B269" s="148"/>
      <c r="C269" s="148" t="s">
        <v>20797</v>
      </c>
      <c r="D269" s="150">
        <v>43990</v>
      </c>
      <c r="E269" s="113" t="s">
        <v>20796</v>
      </c>
      <c r="F269" s="257" t="s">
        <v>14408</v>
      </c>
      <c r="G269" s="258">
        <v>16.54</v>
      </c>
      <c r="H269" s="152"/>
      <c r="I269" s="160">
        <f t="shared" si="3"/>
        <v>54693.370000000046</v>
      </c>
    </row>
    <row r="270" spans="2:9" ht="19.5" hidden="1" x14ac:dyDescent="0.25">
      <c r="B270" s="148"/>
      <c r="C270" s="148" t="s">
        <v>20795</v>
      </c>
      <c r="D270" s="150">
        <v>43990</v>
      </c>
      <c r="E270" s="113" t="s">
        <v>20794</v>
      </c>
      <c r="F270" s="257" t="s">
        <v>14408</v>
      </c>
      <c r="G270" s="258">
        <v>13.26</v>
      </c>
      <c r="H270" s="152"/>
      <c r="I270" s="160">
        <f t="shared" si="3"/>
        <v>54706.630000000048</v>
      </c>
    </row>
    <row r="271" spans="2:9" hidden="1" x14ac:dyDescent="0.25">
      <c r="B271" s="148"/>
      <c r="C271" s="148" t="s">
        <v>20793</v>
      </c>
      <c r="D271" s="150">
        <v>43990</v>
      </c>
      <c r="E271" s="113" t="s">
        <v>20792</v>
      </c>
      <c r="F271" s="257" t="s">
        <v>14408</v>
      </c>
      <c r="G271" s="258">
        <v>9.06</v>
      </c>
      <c r="H271" s="152"/>
      <c r="I271" s="160">
        <f t="shared" si="3"/>
        <v>54715.690000000046</v>
      </c>
    </row>
    <row r="272" spans="2:9" hidden="1" x14ac:dyDescent="0.25">
      <c r="B272" s="148"/>
      <c r="C272" s="148" t="s">
        <v>20791</v>
      </c>
      <c r="D272" s="150">
        <v>43990</v>
      </c>
      <c r="E272" s="113" t="s">
        <v>20790</v>
      </c>
      <c r="F272" s="257">
        <v>6</v>
      </c>
      <c r="G272" s="255">
        <v>5.45</v>
      </c>
      <c r="H272" s="152"/>
      <c r="I272" s="160">
        <f t="shared" si="3"/>
        <v>54721.140000000043</v>
      </c>
    </row>
    <row r="273" spans="2:9" hidden="1" x14ac:dyDescent="0.25">
      <c r="B273" s="148"/>
      <c r="C273" s="148" t="s">
        <v>20789</v>
      </c>
      <c r="D273" s="150">
        <v>43990</v>
      </c>
      <c r="E273" s="113" t="s">
        <v>20788</v>
      </c>
      <c r="F273" s="257">
        <v>6</v>
      </c>
      <c r="G273" s="255">
        <v>53.7</v>
      </c>
      <c r="H273" s="152"/>
      <c r="I273" s="160">
        <f t="shared" si="3"/>
        <v>54774.84000000004</v>
      </c>
    </row>
    <row r="274" spans="2:9" ht="19.5" hidden="1" x14ac:dyDescent="0.25">
      <c r="B274" s="148"/>
      <c r="C274" s="148" t="s">
        <v>20787</v>
      </c>
      <c r="D274" s="150">
        <v>43990</v>
      </c>
      <c r="E274" s="113" t="s">
        <v>20786</v>
      </c>
      <c r="F274" s="257">
        <v>6</v>
      </c>
      <c r="G274" s="255">
        <v>41.9</v>
      </c>
      <c r="H274" s="152"/>
      <c r="I274" s="160">
        <f t="shared" si="3"/>
        <v>54816.740000000042</v>
      </c>
    </row>
    <row r="275" spans="2:9" hidden="1" x14ac:dyDescent="0.25">
      <c r="B275" s="148"/>
      <c r="C275" s="148" t="s">
        <v>20785</v>
      </c>
      <c r="D275" s="150">
        <v>43990</v>
      </c>
      <c r="E275" s="113" t="s">
        <v>20784</v>
      </c>
      <c r="F275" s="257">
        <v>6</v>
      </c>
      <c r="G275" s="255">
        <v>0.75</v>
      </c>
      <c r="H275" s="152"/>
      <c r="I275" s="160">
        <f t="shared" si="3"/>
        <v>54817.490000000042</v>
      </c>
    </row>
    <row r="276" spans="2:9" hidden="1" x14ac:dyDescent="0.25">
      <c r="B276" s="148"/>
      <c r="C276" s="148" t="s">
        <v>20783</v>
      </c>
      <c r="D276" s="150">
        <v>43990</v>
      </c>
      <c r="E276" s="113" t="s">
        <v>20782</v>
      </c>
      <c r="F276" s="257">
        <v>6</v>
      </c>
      <c r="G276" s="255">
        <v>6.94</v>
      </c>
      <c r="H276" s="152"/>
      <c r="I276" s="160">
        <f t="shared" ref="I276:I339" si="4">+I275+G276-H276</f>
        <v>54824.430000000044</v>
      </c>
    </row>
    <row r="277" spans="2:9" hidden="1" x14ac:dyDescent="0.25">
      <c r="B277" s="148"/>
      <c r="C277" s="148" t="s">
        <v>20781</v>
      </c>
      <c r="D277" s="150">
        <v>43990</v>
      </c>
      <c r="E277" s="113" t="s">
        <v>20780</v>
      </c>
      <c r="F277" s="257">
        <v>6</v>
      </c>
      <c r="G277" s="255">
        <v>6.15</v>
      </c>
      <c r="H277" s="152"/>
      <c r="I277" s="160">
        <f t="shared" si="4"/>
        <v>54830.580000000045</v>
      </c>
    </row>
    <row r="278" spans="2:9" ht="19.5" hidden="1" x14ac:dyDescent="0.25">
      <c r="B278" s="148"/>
      <c r="C278" s="148" t="s">
        <v>20779</v>
      </c>
      <c r="D278" s="150">
        <v>43991</v>
      </c>
      <c r="E278" s="113" t="s">
        <v>20778</v>
      </c>
      <c r="F278" s="257" t="s">
        <v>18712</v>
      </c>
      <c r="G278" s="160">
        <v>112</v>
      </c>
      <c r="H278" s="152"/>
      <c r="I278" s="160">
        <f t="shared" si="4"/>
        <v>54942.580000000045</v>
      </c>
    </row>
    <row r="279" spans="2:9" ht="19.5" hidden="1" x14ac:dyDescent="0.25">
      <c r="B279" s="148"/>
      <c r="C279" s="148" t="s">
        <v>20777</v>
      </c>
      <c r="D279" s="150">
        <v>43991</v>
      </c>
      <c r="E279" s="113" t="s">
        <v>20776</v>
      </c>
      <c r="F279" s="257" t="s">
        <v>18712</v>
      </c>
      <c r="G279" s="160">
        <v>112</v>
      </c>
      <c r="H279" s="152"/>
      <c r="I279" s="160">
        <f t="shared" si="4"/>
        <v>55054.580000000045</v>
      </c>
    </row>
    <row r="280" spans="2:9" ht="19.5" hidden="1" x14ac:dyDescent="0.25">
      <c r="B280" s="148"/>
      <c r="C280" s="148" t="s">
        <v>20775</v>
      </c>
      <c r="D280" s="150">
        <v>43991</v>
      </c>
      <c r="E280" s="113" t="s">
        <v>20774</v>
      </c>
      <c r="F280" s="257" t="s">
        <v>18712</v>
      </c>
      <c r="G280" s="160">
        <v>571.65</v>
      </c>
      <c r="H280" s="152"/>
      <c r="I280" s="160">
        <f t="shared" si="4"/>
        <v>55626.230000000047</v>
      </c>
    </row>
    <row r="281" spans="2:9" hidden="1" x14ac:dyDescent="0.25">
      <c r="B281" s="148"/>
      <c r="C281" s="148" t="s">
        <v>20773</v>
      </c>
      <c r="D281" s="150">
        <v>43991</v>
      </c>
      <c r="E281" s="113" t="s">
        <v>20772</v>
      </c>
      <c r="F281" s="257" t="s">
        <v>14408</v>
      </c>
      <c r="G281" s="258">
        <v>5.43</v>
      </c>
      <c r="H281" s="152"/>
      <c r="I281" s="160">
        <f t="shared" si="4"/>
        <v>55631.660000000047</v>
      </c>
    </row>
    <row r="282" spans="2:9" hidden="1" x14ac:dyDescent="0.25">
      <c r="B282" s="148"/>
      <c r="C282" s="148" t="s">
        <v>20771</v>
      </c>
      <c r="D282" s="150">
        <v>43991</v>
      </c>
      <c r="E282" s="113" t="s">
        <v>20770</v>
      </c>
      <c r="F282" s="257" t="s">
        <v>14408</v>
      </c>
      <c r="G282" s="258">
        <v>2.59</v>
      </c>
      <c r="H282" s="152"/>
      <c r="I282" s="160">
        <f t="shared" si="4"/>
        <v>55634.250000000044</v>
      </c>
    </row>
    <row r="283" spans="2:9" hidden="1" x14ac:dyDescent="0.25">
      <c r="B283" s="148"/>
      <c r="C283" s="148" t="s">
        <v>20769</v>
      </c>
      <c r="D283" s="150">
        <v>43991</v>
      </c>
      <c r="E283" s="113" t="s">
        <v>20768</v>
      </c>
      <c r="F283" s="257" t="s">
        <v>14408</v>
      </c>
      <c r="G283" s="258">
        <v>11.21</v>
      </c>
      <c r="H283" s="152"/>
      <c r="I283" s="160">
        <f t="shared" si="4"/>
        <v>55645.460000000043</v>
      </c>
    </row>
    <row r="284" spans="2:9" hidden="1" x14ac:dyDescent="0.25">
      <c r="B284" s="148"/>
      <c r="C284" s="148" t="s">
        <v>20767</v>
      </c>
      <c r="D284" s="150">
        <v>43991</v>
      </c>
      <c r="E284" s="113" t="s">
        <v>20766</v>
      </c>
      <c r="F284" s="257" t="s">
        <v>14408</v>
      </c>
      <c r="G284" s="258">
        <v>11.19</v>
      </c>
      <c r="H284" s="152"/>
      <c r="I284" s="160">
        <f t="shared" si="4"/>
        <v>55656.650000000045</v>
      </c>
    </row>
    <row r="285" spans="2:9" ht="19.5" hidden="1" x14ac:dyDescent="0.25">
      <c r="B285" s="148"/>
      <c r="C285" s="148" t="s">
        <v>20765</v>
      </c>
      <c r="D285" s="150">
        <v>43991</v>
      </c>
      <c r="E285" s="113" t="s">
        <v>20764</v>
      </c>
      <c r="F285" s="257" t="s">
        <v>14408</v>
      </c>
      <c r="G285" s="258">
        <v>7.04</v>
      </c>
      <c r="H285" s="152"/>
      <c r="I285" s="160">
        <f t="shared" si="4"/>
        <v>55663.690000000046</v>
      </c>
    </row>
    <row r="286" spans="2:9" hidden="1" x14ac:dyDescent="0.25">
      <c r="B286" s="148"/>
      <c r="C286" s="148" t="s">
        <v>20763</v>
      </c>
      <c r="D286" s="150">
        <v>43991</v>
      </c>
      <c r="E286" s="113" t="s">
        <v>20762</v>
      </c>
      <c r="F286" s="257" t="s">
        <v>14408</v>
      </c>
      <c r="G286" s="258">
        <v>6.27</v>
      </c>
      <c r="H286" s="152"/>
      <c r="I286" s="160">
        <f t="shared" si="4"/>
        <v>55669.960000000043</v>
      </c>
    </row>
    <row r="287" spans="2:9" ht="19.5" hidden="1" x14ac:dyDescent="0.25">
      <c r="B287" s="148"/>
      <c r="C287" s="148" t="s">
        <v>20761</v>
      </c>
      <c r="D287" s="150">
        <v>43991</v>
      </c>
      <c r="E287" s="113" t="s">
        <v>20760</v>
      </c>
      <c r="F287" s="257" t="s">
        <v>14408</v>
      </c>
      <c r="G287" s="258">
        <v>15.95</v>
      </c>
      <c r="H287" s="152"/>
      <c r="I287" s="160">
        <f t="shared" si="4"/>
        <v>55685.91000000004</v>
      </c>
    </row>
    <row r="288" spans="2:9" ht="19.5" hidden="1" x14ac:dyDescent="0.25">
      <c r="B288" s="148"/>
      <c r="C288" s="148" t="s">
        <v>20759</v>
      </c>
      <c r="D288" s="150">
        <v>43991</v>
      </c>
      <c r="E288" s="113" t="s">
        <v>20758</v>
      </c>
      <c r="F288" s="257" t="s">
        <v>14408</v>
      </c>
      <c r="G288" s="258">
        <v>12.21</v>
      </c>
      <c r="H288" s="152"/>
      <c r="I288" s="160">
        <f t="shared" si="4"/>
        <v>55698.120000000039</v>
      </c>
    </row>
    <row r="289" spans="2:9" hidden="1" x14ac:dyDescent="0.25">
      <c r="B289" s="148"/>
      <c r="C289" s="148" t="s">
        <v>20757</v>
      </c>
      <c r="D289" s="150">
        <v>43991</v>
      </c>
      <c r="E289" s="113" t="s">
        <v>20756</v>
      </c>
      <c r="F289" s="257" t="s">
        <v>14408</v>
      </c>
      <c r="G289" s="258">
        <v>3.07</v>
      </c>
      <c r="H289" s="152"/>
      <c r="I289" s="160">
        <f t="shared" si="4"/>
        <v>55701.190000000039</v>
      </c>
    </row>
    <row r="290" spans="2:9" ht="19.5" hidden="1" x14ac:dyDescent="0.25">
      <c r="B290" s="148"/>
      <c r="C290" s="148" t="s">
        <v>20755</v>
      </c>
      <c r="D290" s="150">
        <v>43991</v>
      </c>
      <c r="E290" s="113" t="s">
        <v>20754</v>
      </c>
      <c r="F290" s="257" t="s">
        <v>14408</v>
      </c>
      <c r="G290" s="258">
        <v>17.91</v>
      </c>
      <c r="H290" s="152"/>
      <c r="I290" s="160">
        <f t="shared" si="4"/>
        <v>55719.100000000042</v>
      </c>
    </row>
    <row r="291" spans="2:9" ht="19.5" hidden="1" x14ac:dyDescent="0.25">
      <c r="B291" s="148"/>
      <c r="C291" s="148" t="s">
        <v>20753</v>
      </c>
      <c r="D291" s="150">
        <v>43991</v>
      </c>
      <c r="E291" s="113" t="s">
        <v>20752</v>
      </c>
      <c r="F291" s="257" t="s">
        <v>14408</v>
      </c>
      <c r="G291" s="258">
        <v>6.23</v>
      </c>
      <c r="H291" s="152"/>
      <c r="I291" s="160">
        <f t="shared" si="4"/>
        <v>55725.330000000045</v>
      </c>
    </row>
    <row r="292" spans="2:9" ht="19.5" hidden="1" x14ac:dyDescent="0.25">
      <c r="B292" s="148"/>
      <c r="C292" s="148" t="s">
        <v>20751</v>
      </c>
      <c r="D292" s="150">
        <v>43991</v>
      </c>
      <c r="E292" s="113" t="s">
        <v>20750</v>
      </c>
      <c r="F292" s="257" t="s">
        <v>14408</v>
      </c>
      <c r="G292" s="258">
        <v>10.48</v>
      </c>
      <c r="H292" s="152"/>
      <c r="I292" s="160">
        <f t="shared" si="4"/>
        <v>55735.810000000049</v>
      </c>
    </row>
    <row r="293" spans="2:9" hidden="1" x14ac:dyDescent="0.25">
      <c r="B293" s="148"/>
      <c r="C293" s="148" t="s">
        <v>20749</v>
      </c>
      <c r="D293" s="150">
        <v>43991</v>
      </c>
      <c r="E293" s="113" t="s">
        <v>20748</v>
      </c>
      <c r="F293" s="257" t="s">
        <v>14408</v>
      </c>
      <c r="G293" s="258">
        <v>10.1</v>
      </c>
      <c r="H293" s="152"/>
      <c r="I293" s="160">
        <f t="shared" si="4"/>
        <v>55745.910000000047</v>
      </c>
    </row>
    <row r="294" spans="2:9" hidden="1" x14ac:dyDescent="0.25">
      <c r="B294" s="148"/>
      <c r="C294" s="148" t="s">
        <v>20747</v>
      </c>
      <c r="D294" s="150">
        <v>43991</v>
      </c>
      <c r="E294" s="113" t="s">
        <v>20746</v>
      </c>
      <c r="F294" s="257" t="s">
        <v>14408</v>
      </c>
      <c r="G294" s="258">
        <v>2</v>
      </c>
      <c r="H294" s="152"/>
      <c r="I294" s="160">
        <f t="shared" si="4"/>
        <v>55747.910000000047</v>
      </c>
    </row>
    <row r="295" spans="2:9" ht="19.5" hidden="1" x14ac:dyDescent="0.25">
      <c r="B295" s="148"/>
      <c r="C295" s="148" t="s">
        <v>20745</v>
      </c>
      <c r="D295" s="150">
        <v>43991</v>
      </c>
      <c r="E295" s="113" t="s">
        <v>20744</v>
      </c>
      <c r="F295" s="257" t="s">
        <v>14408</v>
      </c>
      <c r="G295" s="258">
        <v>8.5399999999999991</v>
      </c>
      <c r="H295" s="152"/>
      <c r="I295" s="160">
        <f t="shared" si="4"/>
        <v>55756.450000000048</v>
      </c>
    </row>
    <row r="296" spans="2:9" ht="19.5" hidden="1" x14ac:dyDescent="0.25">
      <c r="B296" s="148"/>
      <c r="C296" s="148" t="s">
        <v>20743</v>
      </c>
      <c r="D296" s="150">
        <v>43991</v>
      </c>
      <c r="E296" s="113" t="s">
        <v>20742</v>
      </c>
      <c r="F296" s="257" t="s">
        <v>14408</v>
      </c>
      <c r="G296" s="258">
        <v>24.65</v>
      </c>
      <c r="H296" s="152"/>
      <c r="I296" s="160">
        <f t="shared" si="4"/>
        <v>55781.100000000049</v>
      </c>
    </row>
    <row r="297" spans="2:9" hidden="1" x14ac:dyDescent="0.25">
      <c r="B297" s="148"/>
      <c r="C297" s="148" t="s">
        <v>20741</v>
      </c>
      <c r="D297" s="150">
        <v>43991</v>
      </c>
      <c r="E297" s="113" t="s">
        <v>20740</v>
      </c>
      <c r="F297" s="257" t="s">
        <v>14408</v>
      </c>
      <c r="G297" s="258">
        <v>12.36</v>
      </c>
      <c r="H297" s="152"/>
      <c r="I297" s="160">
        <f t="shared" si="4"/>
        <v>55793.46000000005</v>
      </c>
    </row>
    <row r="298" spans="2:9" hidden="1" x14ac:dyDescent="0.25">
      <c r="B298" s="148"/>
      <c r="C298" s="148" t="s">
        <v>20739</v>
      </c>
      <c r="D298" s="150">
        <v>43991</v>
      </c>
      <c r="E298" s="113" t="s">
        <v>20738</v>
      </c>
      <c r="F298" s="257" t="s">
        <v>14408</v>
      </c>
      <c r="G298" s="258">
        <v>1.88</v>
      </c>
      <c r="H298" s="152"/>
      <c r="I298" s="160">
        <f t="shared" si="4"/>
        <v>55795.340000000047</v>
      </c>
    </row>
    <row r="299" spans="2:9" hidden="1" x14ac:dyDescent="0.25">
      <c r="B299" s="148"/>
      <c r="C299" s="148" t="s">
        <v>20737</v>
      </c>
      <c r="D299" s="150">
        <v>43991</v>
      </c>
      <c r="E299" s="113" t="s">
        <v>20736</v>
      </c>
      <c r="F299" s="257">
        <v>7</v>
      </c>
      <c r="G299" s="255">
        <v>11.22</v>
      </c>
      <c r="H299" s="152"/>
      <c r="I299" s="160">
        <f t="shared" si="4"/>
        <v>55806.560000000049</v>
      </c>
    </row>
    <row r="300" spans="2:9" hidden="1" x14ac:dyDescent="0.25">
      <c r="B300" s="148"/>
      <c r="C300" s="148" t="s">
        <v>20735</v>
      </c>
      <c r="D300" s="150">
        <v>43991</v>
      </c>
      <c r="E300" s="113" t="s">
        <v>20734</v>
      </c>
      <c r="F300" s="257">
        <v>7</v>
      </c>
      <c r="G300" s="255">
        <v>12.11</v>
      </c>
      <c r="H300" s="152"/>
      <c r="I300" s="160">
        <f t="shared" si="4"/>
        <v>55818.670000000049</v>
      </c>
    </row>
    <row r="301" spans="2:9" hidden="1" x14ac:dyDescent="0.25">
      <c r="B301" s="148"/>
      <c r="C301" s="148" t="s">
        <v>20733</v>
      </c>
      <c r="D301" s="150">
        <v>43991</v>
      </c>
      <c r="E301" s="113" t="s">
        <v>20732</v>
      </c>
      <c r="F301" s="257">
        <v>7</v>
      </c>
      <c r="G301" s="255">
        <v>33.520000000000003</v>
      </c>
      <c r="H301" s="152"/>
      <c r="I301" s="160">
        <f t="shared" si="4"/>
        <v>55852.190000000046</v>
      </c>
    </row>
    <row r="302" spans="2:9" ht="19.5" hidden="1" x14ac:dyDescent="0.25">
      <c r="B302" s="148"/>
      <c r="C302" s="148" t="s">
        <v>20731</v>
      </c>
      <c r="D302" s="150">
        <v>43991</v>
      </c>
      <c r="E302" s="113" t="s">
        <v>20730</v>
      </c>
      <c r="F302" s="257">
        <v>7</v>
      </c>
      <c r="G302" s="255">
        <v>33.520000000000003</v>
      </c>
      <c r="H302" s="152"/>
      <c r="I302" s="160">
        <f t="shared" si="4"/>
        <v>55885.710000000043</v>
      </c>
    </row>
    <row r="303" spans="2:9" hidden="1" x14ac:dyDescent="0.25">
      <c r="B303" s="148"/>
      <c r="C303" s="148" t="s">
        <v>20729</v>
      </c>
      <c r="D303" s="150">
        <v>43991</v>
      </c>
      <c r="E303" s="113" t="s">
        <v>20728</v>
      </c>
      <c r="F303" s="257">
        <v>7</v>
      </c>
      <c r="G303" s="255">
        <v>15.3</v>
      </c>
      <c r="H303" s="152"/>
      <c r="I303" s="160">
        <f t="shared" si="4"/>
        <v>55901.010000000046</v>
      </c>
    </row>
    <row r="304" spans="2:9" hidden="1" x14ac:dyDescent="0.25">
      <c r="B304" s="148"/>
      <c r="C304" s="148" t="s">
        <v>20727</v>
      </c>
      <c r="D304" s="150">
        <v>43991</v>
      </c>
      <c r="E304" s="113" t="s">
        <v>20726</v>
      </c>
      <c r="F304" s="257">
        <v>7</v>
      </c>
      <c r="G304" s="255">
        <v>19.03</v>
      </c>
      <c r="H304" s="152"/>
      <c r="I304" s="160">
        <f t="shared" si="4"/>
        <v>55920.040000000045</v>
      </c>
    </row>
    <row r="305" spans="2:9" hidden="1" x14ac:dyDescent="0.25">
      <c r="B305" s="148"/>
      <c r="C305" s="148" t="s">
        <v>20725</v>
      </c>
      <c r="D305" s="150">
        <v>43991</v>
      </c>
      <c r="E305" s="113" t="s">
        <v>20724</v>
      </c>
      <c r="F305" s="257" t="s">
        <v>14436</v>
      </c>
      <c r="G305" s="160">
        <v>70.33</v>
      </c>
      <c r="H305" s="152"/>
      <c r="I305" s="160">
        <f t="shared" si="4"/>
        <v>55990.370000000046</v>
      </c>
    </row>
    <row r="306" spans="2:9" ht="19.5" hidden="1" x14ac:dyDescent="0.25">
      <c r="B306" s="148"/>
      <c r="C306" s="148" t="s">
        <v>18</v>
      </c>
      <c r="D306" s="150">
        <v>43991</v>
      </c>
      <c r="E306" s="113" t="s">
        <v>20723</v>
      </c>
      <c r="F306" s="257" t="s">
        <v>14433</v>
      </c>
      <c r="G306" s="152"/>
      <c r="H306" s="161">
        <v>553.86</v>
      </c>
      <c r="I306" s="160">
        <f t="shared" si="4"/>
        <v>55436.510000000046</v>
      </c>
    </row>
    <row r="307" spans="2:9" ht="19.5" hidden="1" x14ac:dyDescent="0.25">
      <c r="B307" s="148"/>
      <c r="C307" s="148" t="s">
        <v>20722</v>
      </c>
      <c r="D307" s="150">
        <v>43992</v>
      </c>
      <c r="E307" s="113" t="s">
        <v>20721</v>
      </c>
      <c r="F307" s="257" t="s">
        <v>14408</v>
      </c>
      <c r="G307" s="258">
        <v>9.4600000000000009</v>
      </c>
      <c r="H307" s="152"/>
      <c r="I307" s="160">
        <f t="shared" si="4"/>
        <v>55445.970000000045</v>
      </c>
    </row>
    <row r="308" spans="2:9" hidden="1" x14ac:dyDescent="0.25">
      <c r="B308" s="148"/>
      <c r="C308" s="148" t="s">
        <v>20720</v>
      </c>
      <c r="D308" s="150">
        <v>43992</v>
      </c>
      <c r="E308" s="113" t="s">
        <v>20719</v>
      </c>
      <c r="F308" s="257" t="s">
        <v>14408</v>
      </c>
      <c r="G308" s="258">
        <v>8.15</v>
      </c>
      <c r="H308" s="152"/>
      <c r="I308" s="160">
        <f t="shared" si="4"/>
        <v>55454.120000000046</v>
      </c>
    </row>
    <row r="309" spans="2:9" hidden="1" x14ac:dyDescent="0.25">
      <c r="B309" s="148"/>
      <c r="C309" s="148" t="s">
        <v>20718</v>
      </c>
      <c r="D309" s="150">
        <v>43992</v>
      </c>
      <c r="E309" s="113" t="s">
        <v>20717</v>
      </c>
      <c r="F309" s="257" t="s">
        <v>14408</v>
      </c>
      <c r="G309" s="258">
        <v>16.73</v>
      </c>
      <c r="H309" s="152"/>
      <c r="I309" s="160">
        <f t="shared" si="4"/>
        <v>55470.850000000049</v>
      </c>
    </row>
    <row r="310" spans="2:9" ht="19.5" hidden="1" x14ac:dyDescent="0.25">
      <c r="B310" s="148"/>
      <c r="C310" s="148" t="s">
        <v>20716</v>
      </c>
      <c r="D310" s="150">
        <v>43992</v>
      </c>
      <c r="E310" s="113" t="s">
        <v>20715</v>
      </c>
      <c r="F310" s="257" t="s">
        <v>14408</v>
      </c>
      <c r="G310" s="258">
        <v>11.06</v>
      </c>
      <c r="H310" s="152"/>
      <c r="I310" s="160">
        <f t="shared" si="4"/>
        <v>55481.910000000047</v>
      </c>
    </row>
    <row r="311" spans="2:9" ht="19.5" hidden="1" x14ac:dyDescent="0.25">
      <c r="B311" s="148"/>
      <c r="C311" s="148" t="s">
        <v>20714</v>
      </c>
      <c r="D311" s="150">
        <v>43992</v>
      </c>
      <c r="E311" s="113" t="s">
        <v>20713</v>
      </c>
      <c r="F311" s="257" t="s">
        <v>14408</v>
      </c>
      <c r="G311" s="258">
        <v>8.5</v>
      </c>
      <c r="H311" s="152"/>
      <c r="I311" s="160">
        <f t="shared" si="4"/>
        <v>55490.410000000047</v>
      </c>
    </row>
    <row r="312" spans="2:9" hidden="1" x14ac:dyDescent="0.25">
      <c r="B312" s="148"/>
      <c r="C312" s="148" t="s">
        <v>20712</v>
      </c>
      <c r="D312" s="150">
        <v>43992</v>
      </c>
      <c r="E312" s="113" t="s">
        <v>20711</v>
      </c>
      <c r="F312" s="257" t="s">
        <v>14408</v>
      </c>
      <c r="G312" s="258">
        <v>5.25</v>
      </c>
      <c r="H312" s="152"/>
      <c r="I312" s="160">
        <f t="shared" si="4"/>
        <v>55495.660000000047</v>
      </c>
    </row>
    <row r="313" spans="2:9" hidden="1" x14ac:dyDescent="0.25">
      <c r="B313" s="148"/>
      <c r="C313" s="148" t="s">
        <v>20710</v>
      </c>
      <c r="D313" s="150">
        <v>43992</v>
      </c>
      <c r="E313" s="113" t="s">
        <v>20709</v>
      </c>
      <c r="F313" s="257" t="s">
        <v>14408</v>
      </c>
      <c r="G313" s="258">
        <v>8.67</v>
      </c>
      <c r="H313" s="152"/>
      <c r="I313" s="160">
        <f t="shared" si="4"/>
        <v>55504.330000000045</v>
      </c>
    </row>
    <row r="314" spans="2:9" ht="19.5" hidden="1" x14ac:dyDescent="0.25">
      <c r="B314" s="148"/>
      <c r="C314" s="148" t="s">
        <v>20708</v>
      </c>
      <c r="D314" s="150">
        <v>43992</v>
      </c>
      <c r="E314" s="113" t="s">
        <v>20707</v>
      </c>
      <c r="F314" s="257" t="s">
        <v>14408</v>
      </c>
      <c r="G314" s="258">
        <v>9.33</v>
      </c>
      <c r="H314" s="152"/>
      <c r="I314" s="160">
        <f t="shared" si="4"/>
        <v>55513.660000000047</v>
      </c>
    </row>
    <row r="315" spans="2:9" ht="19.5" hidden="1" x14ac:dyDescent="0.25">
      <c r="B315" s="148"/>
      <c r="C315" s="148" t="s">
        <v>20706</v>
      </c>
      <c r="D315" s="150">
        <v>43992</v>
      </c>
      <c r="E315" s="113" t="s">
        <v>20705</v>
      </c>
      <c r="F315" s="257" t="s">
        <v>14408</v>
      </c>
      <c r="G315" s="258">
        <v>65.34</v>
      </c>
      <c r="H315" s="152"/>
      <c r="I315" s="160">
        <f t="shared" si="4"/>
        <v>55579.000000000044</v>
      </c>
    </row>
    <row r="316" spans="2:9" hidden="1" x14ac:dyDescent="0.25">
      <c r="B316" s="148"/>
      <c r="C316" s="148" t="s">
        <v>20704</v>
      </c>
      <c r="D316" s="150">
        <v>43992</v>
      </c>
      <c r="E316" s="113" t="s">
        <v>20703</v>
      </c>
      <c r="F316" s="257" t="s">
        <v>14408</v>
      </c>
      <c r="G316" s="258">
        <v>5.25</v>
      </c>
      <c r="H316" s="152"/>
      <c r="I316" s="160">
        <f t="shared" si="4"/>
        <v>55584.250000000044</v>
      </c>
    </row>
    <row r="317" spans="2:9" ht="19.5" hidden="1" x14ac:dyDescent="0.25">
      <c r="B317" s="148"/>
      <c r="C317" s="148" t="s">
        <v>20702</v>
      </c>
      <c r="D317" s="150">
        <v>43992</v>
      </c>
      <c r="E317" s="113" t="s">
        <v>20701</v>
      </c>
      <c r="F317" s="257" t="s">
        <v>14408</v>
      </c>
      <c r="G317" s="258">
        <v>62.95</v>
      </c>
      <c r="H317" s="152"/>
      <c r="I317" s="160">
        <f t="shared" si="4"/>
        <v>55647.200000000041</v>
      </c>
    </row>
    <row r="318" spans="2:9" hidden="1" x14ac:dyDescent="0.25">
      <c r="B318" s="148"/>
      <c r="C318" s="148" t="s">
        <v>20700</v>
      </c>
      <c r="D318" s="150">
        <v>43992</v>
      </c>
      <c r="E318" s="113" t="s">
        <v>20699</v>
      </c>
      <c r="F318" s="257" t="s">
        <v>14408</v>
      </c>
      <c r="G318" s="258">
        <v>9.31</v>
      </c>
      <c r="H318" s="152"/>
      <c r="I318" s="160">
        <f t="shared" si="4"/>
        <v>55656.510000000038</v>
      </c>
    </row>
    <row r="319" spans="2:9" ht="19.5" hidden="1" x14ac:dyDescent="0.25">
      <c r="B319" s="148"/>
      <c r="C319" s="148" t="s">
        <v>20698</v>
      </c>
      <c r="D319" s="150">
        <v>43992</v>
      </c>
      <c r="E319" s="113" t="s">
        <v>20697</v>
      </c>
      <c r="F319" s="257" t="s">
        <v>14408</v>
      </c>
      <c r="G319" s="258">
        <v>36.14</v>
      </c>
      <c r="H319" s="152"/>
      <c r="I319" s="160">
        <f t="shared" si="4"/>
        <v>55692.650000000038</v>
      </c>
    </row>
    <row r="320" spans="2:9" hidden="1" x14ac:dyDescent="0.25">
      <c r="B320" s="148"/>
      <c r="C320" s="148" t="s">
        <v>20696</v>
      </c>
      <c r="D320" s="150">
        <v>43992</v>
      </c>
      <c r="E320" s="113" t="s">
        <v>20695</v>
      </c>
      <c r="F320" s="257" t="s">
        <v>14408</v>
      </c>
      <c r="G320" s="258">
        <v>7.38</v>
      </c>
      <c r="H320" s="152"/>
      <c r="I320" s="160">
        <f t="shared" si="4"/>
        <v>55700.030000000035</v>
      </c>
    </row>
    <row r="321" spans="2:9" hidden="1" x14ac:dyDescent="0.25">
      <c r="B321" s="148"/>
      <c r="C321" s="148" t="s">
        <v>20694</v>
      </c>
      <c r="D321" s="150">
        <v>43992</v>
      </c>
      <c r="E321" s="113" t="s">
        <v>20693</v>
      </c>
      <c r="F321" s="257" t="s">
        <v>14408</v>
      </c>
      <c r="G321" s="258">
        <v>1.39</v>
      </c>
      <c r="H321" s="152"/>
      <c r="I321" s="160">
        <f t="shared" si="4"/>
        <v>55701.420000000035</v>
      </c>
    </row>
    <row r="322" spans="2:9" ht="19.5" hidden="1" x14ac:dyDescent="0.25">
      <c r="B322" s="148"/>
      <c r="C322" s="148" t="s">
        <v>20692</v>
      </c>
      <c r="D322" s="150">
        <v>43992</v>
      </c>
      <c r="E322" s="113" t="s">
        <v>20691</v>
      </c>
      <c r="F322" s="257" t="s">
        <v>14408</v>
      </c>
      <c r="G322" s="258">
        <v>6.41</v>
      </c>
      <c r="H322" s="152"/>
      <c r="I322" s="160">
        <f t="shared" si="4"/>
        <v>55707.830000000038</v>
      </c>
    </row>
    <row r="323" spans="2:9" ht="19.5" hidden="1" x14ac:dyDescent="0.25">
      <c r="B323" s="148"/>
      <c r="C323" s="148" t="s">
        <v>20690</v>
      </c>
      <c r="D323" s="150">
        <v>43992</v>
      </c>
      <c r="E323" s="113" t="s">
        <v>20689</v>
      </c>
      <c r="F323" s="257" t="s">
        <v>14408</v>
      </c>
      <c r="G323" s="258">
        <v>6.52</v>
      </c>
      <c r="H323" s="152"/>
      <c r="I323" s="160">
        <f t="shared" si="4"/>
        <v>55714.350000000035</v>
      </c>
    </row>
    <row r="324" spans="2:9" ht="19.5" hidden="1" x14ac:dyDescent="0.25">
      <c r="B324" s="148"/>
      <c r="C324" s="148" t="s">
        <v>20688</v>
      </c>
      <c r="D324" s="150">
        <v>43992</v>
      </c>
      <c r="E324" s="113" t="s">
        <v>20687</v>
      </c>
      <c r="F324" s="257" t="s">
        <v>14408</v>
      </c>
      <c r="G324" s="258">
        <v>5.04</v>
      </c>
      <c r="H324" s="152"/>
      <c r="I324" s="160">
        <f t="shared" si="4"/>
        <v>55719.390000000036</v>
      </c>
    </row>
    <row r="325" spans="2:9" hidden="1" x14ac:dyDescent="0.25">
      <c r="B325" s="148"/>
      <c r="C325" s="148" t="s">
        <v>20686</v>
      </c>
      <c r="D325" s="150">
        <v>43992</v>
      </c>
      <c r="E325" s="113" t="s">
        <v>20685</v>
      </c>
      <c r="F325" s="257" t="s">
        <v>14408</v>
      </c>
      <c r="G325" s="258">
        <v>9.99</v>
      </c>
      <c r="H325" s="152"/>
      <c r="I325" s="160">
        <f t="shared" si="4"/>
        <v>55729.380000000034</v>
      </c>
    </row>
    <row r="326" spans="2:9" hidden="1" x14ac:dyDescent="0.25">
      <c r="B326" s="148"/>
      <c r="C326" s="148" t="s">
        <v>20684</v>
      </c>
      <c r="D326" s="150">
        <v>43992</v>
      </c>
      <c r="E326" s="113" t="s">
        <v>20683</v>
      </c>
      <c r="F326" s="257" t="s">
        <v>14408</v>
      </c>
      <c r="G326" s="258">
        <v>17.8</v>
      </c>
      <c r="H326" s="152"/>
      <c r="I326" s="160">
        <f t="shared" si="4"/>
        <v>55747.180000000037</v>
      </c>
    </row>
    <row r="327" spans="2:9" ht="19.5" hidden="1" x14ac:dyDescent="0.25">
      <c r="B327" s="148"/>
      <c r="C327" s="148" t="s">
        <v>20682</v>
      </c>
      <c r="D327" s="150">
        <v>43992</v>
      </c>
      <c r="E327" s="113" t="s">
        <v>20681</v>
      </c>
      <c r="F327" s="257">
        <v>8</v>
      </c>
      <c r="G327" s="255">
        <v>5.44</v>
      </c>
      <c r="H327" s="152"/>
      <c r="I327" s="160">
        <f t="shared" si="4"/>
        <v>55752.620000000039</v>
      </c>
    </row>
    <row r="328" spans="2:9" hidden="1" x14ac:dyDescent="0.25">
      <c r="B328" s="148"/>
      <c r="C328" s="148" t="s">
        <v>20680</v>
      </c>
      <c r="D328" s="150">
        <v>43992</v>
      </c>
      <c r="E328" s="113" t="s">
        <v>20679</v>
      </c>
      <c r="F328" s="257">
        <v>8</v>
      </c>
      <c r="G328" s="255">
        <v>1.85</v>
      </c>
      <c r="H328" s="152"/>
      <c r="I328" s="160">
        <f t="shared" si="4"/>
        <v>55754.470000000038</v>
      </c>
    </row>
    <row r="329" spans="2:9" hidden="1" x14ac:dyDescent="0.25">
      <c r="B329" s="148"/>
      <c r="C329" s="148" t="s">
        <v>20678</v>
      </c>
      <c r="D329" s="150">
        <v>43992</v>
      </c>
      <c r="E329" s="113" t="s">
        <v>20677</v>
      </c>
      <c r="F329" s="257">
        <v>8</v>
      </c>
      <c r="G329" s="255">
        <v>2.36</v>
      </c>
      <c r="H329" s="152"/>
      <c r="I329" s="160">
        <f t="shared" si="4"/>
        <v>55756.830000000038</v>
      </c>
    </row>
    <row r="330" spans="2:9" hidden="1" x14ac:dyDescent="0.25">
      <c r="B330" s="148"/>
      <c r="C330" s="148" t="s">
        <v>20676</v>
      </c>
      <c r="D330" s="150">
        <v>43992</v>
      </c>
      <c r="E330" s="113" t="s">
        <v>20675</v>
      </c>
      <c r="F330" s="257">
        <v>8</v>
      </c>
      <c r="G330" s="255">
        <v>8.3800000000000008</v>
      </c>
      <c r="H330" s="152"/>
      <c r="I330" s="160">
        <f t="shared" si="4"/>
        <v>55765.210000000036</v>
      </c>
    </row>
    <row r="331" spans="2:9" hidden="1" x14ac:dyDescent="0.25">
      <c r="B331" s="148"/>
      <c r="C331" s="148" t="s">
        <v>20674</v>
      </c>
      <c r="D331" s="150">
        <v>43992</v>
      </c>
      <c r="E331" s="113" t="s">
        <v>20673</v>
      </c>
      <c r="F331" s="257">
        <v>8</v>
      </c>
      <c r="G331" s="255">
        <v>34.01</v>
      </c>
      <c r="H331" s="152"/>
      <c r="I331" s="160">
        <f t="shared" si="4"/>
        <v>55799.220000000038</v>
      </c>
    </row>
    <row r="332" spans="2:9" ht="19.5" hidden="1" x14ac:dyDescent="0.25">
      <c r="B332" s="148"/>
      <c r="C332" s="148" t="s">
        <v>20672</v>
      </c>
      <c r="D332" s="150">
        <v>43992</v>
      </c>
      <c r="E332" s="113" t="s">
        <v>20671</v>
      </c>
      <c r="F332" s="257" t="s">
        <v>18712</v>
      </c>
      <c r="G332" s="160">
        <v>33.4</v>
      </c>
      <c r="H332" s="152"/>
      <c r="I332" s="160">
        <f t="shared" si="4"/>
        <v>55832.620000000039</v>
      </c>
    </row>
    <row r="333" spans="2:9" ht="19.5" hidden="1" x14ac:dyDescent="0.25">
      <c r="B333" s="148"/>
      <c r="C333" s="148" t="s">
        <v>20670</v>
      </c>
      <c r="D333" s="150">
        <v>43993</v>
      </c>
      <c r="E333" s="113" t="s">
        <v>20669</v>
      </c>
      <c r="F333" s="257" t="s">
        <v>14409</v>
      </c>
      <c r="G333" s="258">
        <v>6.36</v>
      </c>
      <c r="H333" s="152"/>
      <c r="I333" s="160">
        <f t="shared" si="4"/>
        <v>55838.98000000004</v>
      </c>
    </row>
    <row r="334" spans="2:9" ht="19.5" x14ac:dyDescent="0.25">
      <c r="B334" s="148"/>
      <c r="C334" s="148" t="s">
        <v>20668</v>
      </c>
      <c r="D334" s="150">
        <v>43993</v>
      </c>
      <c r="E334" s="113" t="s">
        <v>20667</v>
      </c>
      <c r="G334" s="160">
        <v>8.3800000000000008</v>
      </c>
      <c r="H334" s="152"/>
      <c r="I334" s="160">
        <f t="shared" si="4"/>
        <v>55847.360000000037</v>
      </c>
    </row>
    <row r="335" spans="2:9" hidden="1" x14ac:dyDescent="0.25">
      <c r="B335" s="148"/>
      <c r="C335" s="148" t="s">
        <v>20666</v>
      </c>
      <c r="D335" s="150">
        <v>43993</v>
      </c>
      <c r="E335" s="113" t="s">
        <v>20665</v>
      </c>
      <c r="F335" s="257" t="s">
        <v>14436</v>
      </c>
      <c r="G335" s="160">
        <v>12.86</v>
      </c>
      <c r="H335" s="152"/>
      <c r="I335" s="160">
        <f t="shared" si="4"/>
        <v>55860.220000000038</v>
      </c>
    </row>
    <row r="336" spans="2:9" hidden="1" x14ac:dyDescent="0.25">
      <c r="B336" s="148"/>
      <c r="C336" s="148" t="s">
        <v>20664</v>
      </c>
      <c r="D336" s="150">
        <v>43993</v>
      </c>
      <c r="E336" s="113" t="s">
        <v>20663</v>
      </c>
      <c r="F336" s="257" t="s">
        <v>14436</v>
      </c>
      <c r="G336" s="160">
        <v>92.31</v>
      </c>
      <c r="H336" s="152"/>
      <c r="I336" s="160">
        <f t="shared" si="4"/>
        <v>55952.530000000035</v>
      </c>
    </row>
    <row r="337" spans="2:9" hidden="1" x14ac:dyDescent="0.25">
      <c r="B337" s="148"/>
      <c r="C337" s="148" t="s">
        <v>20662</v>
      </c>
      <c r="D337" s="150">
        <v>43993</v>
      </c>
      <c r="E337" s="113" t="s">
        <v>20661</v>
      </c>
      <c r="F337" s="257" t="s">
        <v>14436</v>
      </c>
      <c r="G337" s="160">
        <v>5.37</v>
      </c>
      <c r="H337" s="152"/>
      <c r="I337" s="160">
        <f t="shared" si="4"/>
        <v>55957.900000000038</v>
      </c>
    </row>
    <row r="338" spans="2:9" hidden="1" x14ac:dyDescent="0.25">
      <c r="B338" s="148"/>
      <c r="C338" s="148" t="s">
        <v>20660</v>
      </c>
      <c r="D338" s="150">
        <v>43993</v>
      </c>
      <c r="E338" s="113" t="s">
        <v>20659</v>
      </c>
      <c r="F338" s="257" t="s">
        <v>18712</v>
      </c>
      <c r="G338" s="160">
        <v>13.94</v>
      </c>
      <c r="H338" s="152"/>
      <c r="I338" s="160">
        <f t="shared" si="4"/>
        <v>55971.84000000004</v>
      </c>
    </row>
    <row r="339" spans="2:9" hidden="1" x14ac:dyDescent="0.25">
      <c r="B339" s="148"/>
      <c r="C339" s="148" t="s">
        <v>20658</v>
      </c>
      <c r="D339" s="150">
        <v>43993</v>
      </c>
      <c r="E339" s="113" t="s">
        <v>20657</v>
      </c>
      <c r="F339" s="257" t="s">
        <v>14409</v>
      </c>
      <c r="G339" s="258">
        <v>4.1500000000000004</v>
      </c>
      <c r="H339" s="152"/>
      <c r="I339" s="160">
        <f t="shared" si="4"/>
        <v>55975.990000000042</v>
      </c>
    </row>
    <row r="340" spans="2:9" ht="19.5" hidden="1" x14ac:dyDescent="0.25">
      <c r="B340" s="148"/>
      <c r="C340" s="148" t="s">
        <v>20656</v>
      </c>
      <c r="D340" s="150">
        <v>43993</v>
      </c>
      <c r="E340" s="113" t="s">
        <v>20655</v>
      </c>
      <c r="F340" s="257" t="s">
        <v>14409</v>
      </c>
      <c r="G340" s="258">
        <v>3.53</v>
      </c>
      <c r="H340" s="152"/>
      <c r="I340" s="160">
        <f t="shared" ref="I340:I403" si="5">+I339+G340-H340</f>
        <v>55979.52000000004</v>
      </c>
    </row>
    <row r="341" spans="2:9" hidden="1" x14ac:dyDescent="0.25">
      <c r="B341" s="148"/>
      <c r="C341" s="148" t="s">
        <v>20654</v>
      </c>
      <c r="D341" s="150">
        <v>43993</v>
      </c>
      <c r="E341" s="113" t="s">
        <v>20653</v>
      </c>
      <c r="F341" s="257" t="s">
        <v>14409</v>
      </c>
      <c r="G341" s="258">
        <v>17.27</v>
      </c>
      <c r="H341" s="152"/>
      <c r="I341" s="160">
        <f t="shared" si="5"/>
        <v>55996.790000000037</v>
      </c>
    </row>
    <row r="342" spans="2:9" hidden="1" x14ac:dyDescent="0.25">
      <c r="B342" s="148"/>
      <c r="C342" s="148" t="s">
        <v>20652</v>
      </c>
      <c r="D342" s="150">
        <v>43993</v>
      </c>
      <c r="E342" s="113" t="s">
        <v>20651</v>
      </c>
      <c r="F342" s="257" t="s">
        <v>14409</v>
      </c>
      <c r="G342" s="258">
        <v>9.18</v>
      </c>
      <c r="H342" s="152"/>
      <c r="I342" s="160">
        <f t="shared" si="5"/>
        <v>56005.970000000038</v>
      </c>
    </row>
    <row r="343" spans="2:9" ht="19.5" hidden="1" x14ac:dyDescent="0.25">
      <c r="B343" s="148"/>
      <c r="C343" s="148" t="s">
        <v>20650</v>
      </c>
      <c r="D343" s="150">
        <v>43993</v>
      </c>
      <c r="E343" s="113" t="s">
        <v>20649</v>
      </c>
      <c r="F343" s="257" t="s">
        <v>14409</v>
      </c>
      <c r="G343" s="258">
        <v>5.73</v>
      </c>
      <c r="H343" s="152"/>
      <c r="I343" s="160">
        <f t="shared" si="5"/>
        <v>56011.700000000041</v>
      </c>
    </row>
    <row r="344" spans="2:9" hidden="1" x14ac:dyDescent="0.25">
      <c r="B344" s="148"/>
      <c r="C344" s="148" t="s">
        <v>20648</v>
      </c>
      <c r="D344" s="150">
        <v>43993</v>
      </c>
      <c r="E344" s="113" t="s">
        <v>20647</v>
      </c>
      <c r="F344" s="257" t="s">
        <v>14409</v>
      </c>
      <c r="G344" s="258">
        <v>1.9</v>
      </c>
      <c r="H344" s="152"/>
      <c r="I344" s="160">
        <f t="shared" si="5"/>
        <v>56013.600000000042</v>
      </c>
    </row>
    <row r="345" spans="2:9" hidden="1" x14ac:dyDescent="0.25">
      <c r="B345" s="148"/>
      <c r="C345" s="148" t="s">
        <v>20646</v>
      </c>
      <c r="D345" s="150">
        <v>43993</v>
      </c>
      <c r="E345" s="113" t="s">
        <v>20645</v>
      </c>
      <c r="F345" s="257" t="s">
        <v>14409</v>
      </c>
      <c r="G345" s="258">
        <v>1.68</v>
      </c>
      <c r="H345" s="152"/>
      <c r="I345" s="160">
        <f t="shared" si="5"/>
        <v>56015.280000000042</v>
      </c>
    </row>
    <row r="346" spans="2:9" ht="19.5" hidden="1" x14ac:dyDescent="0.25">
      <c r="B346" s="148"/>
      <c r="C346" s="148" t="s">
        <v>20644</v>
      </c>
      <c r="D346" s="150">
        <v>43993</v>
      </c>
      <c r="E346" s="113" t="s">
        <v>20643</v>
      </c>
      <c r="F346" s="257" t="s">
        <v>14409</v>
      </c>
      <c r="G346" s="258">
        <v>24.6</v>
      </c>
      <c r="H346" s="152"/>
      <c r="I346" s="160">
        <f t="shared" si="5"/>
        <v>56039.880000000041</v>
      </c>
    </row>
    <row r="347" spans="2:9" ht="19.5" hidden="1" x14ac:dyDescent="0.25">
      <c r="B347" s="148"/>
      <c r="C347" s="148" t="s">
        <v>20642</v>
      </c>
      <c r="D347" s="150">
        <v>43993</v>
      </c>
      <c r="E347" s="113" t="s">
        <v>20641</v>
      </c>
      <c r="F347" s="257" t="s">
        <v>14409</v>
      </c>
      <c r="G347" s="258">
        <v>5.74</v>
      </c>
      <c r="H347" s="152"/>
      <c r="I347" s="160">
        <f t="shared" si="5"/>
        <v>56045.620000000039</v>
      </c>
    </row>
    <row r="348" spans="2:9" hidden="1" x14ac:dyDescent="0.25">
      <c r="B348" s="148"/>
      <c r="C348" s="148" t="s">
        <v>20640</v>
      </c>
      <c r="D348" s="150">
        <v>43993</v>
      </c>
      <c r="E348" s="113" t="s">
        <v>20639</v>
      </c>
      <c r="F348" s="257" t="s">
        <v>14409</v>
      </c>
      <c r="G348" s="258">
        <v>12.48</v>
      </c>
      <c r="H348" s="152"/>
      <c r="I348" s="160">
        <f t="shared" si="5"/>
        <v>56058.100000000042</v>
      </c>
    </row>
    <row r="349" spans="2:9" hidden="1" x14ac:dyDescent="0.25">
      <c r="B349" s="148"/>
      <c r="C349" s="148" t="s">
        <v>20638</v>
      </c>
      <c r="D349" s="150">
        <v>43993</v>
      </c>
      <c r="E349" s="113" t="s">
        <v>20637</v>
      </c>
      <c r="F349" s="257" t="s">
        <v>14409</v>
      </c>
      <c r="G349" s="258">
        <v>0.5</v>
      </c>
      <c r="H349" s="152"/>
      <c r="I349" s="160">
        <f t="shared" si="5"/>
        <v>56058.600000000042</v>
      </c>
    </row>
    <row r="350" spans="2:9" ht="19.5" hidden="1" x14ac:dyDescent="0.25">
      <c r="B350" s="148"/>
      <c r="C350" s="148" t="s">
        <v>20636</v>
      </c>
      <c r="D350" s="150">
        <v>43993</v>
      </c>
      <c r="E350" s="113" t="s">
        <v>20635</v>
      </c>
      <c r="F350" s="257" t="s">
        <v>14409</v>
      </c>
      <c r="G350" s="258">
        <v>10.45</v>
      </c>
      <c r="H350" s="152"/>
      <c r="I350" s="160">
        <f t="shared" si="5"/>
        <v>56069.050000000039</v>
      </c>
    </row>
    <row r="351" spans="2:9" hidden="1" x14ac:dyDescent="0.25">
      <c r="B351" s="148"/>
      <c r="C351" s="148" t="s">
        <v>20634</v>
      </c>
      <c r="D351" s="150">
        <v>43993</v>
      </c>
      <c r="E351" s="113" t="s">
        <v>20633</v>
      </c>
      <c r="F351" s="257">
        <v>9</v>
      </c>
      <c r="G351" s="255">
        <v>10.07</v>
      </c>
      <c r="H351" s="152"/>
      <c r="I351" s="160">
        <f t="shared" si="5"/>
        <v>56079.120000000039</v>
      </c>
    </row>
    <row r="352" spans="2:9" hidden="1" x14ac:dyDescent="0.25">
      <c r="B352" s="148"/>
      <c r="C352" s="148" t="s">
        <v>20632</v>
      </c>
      <c r="D352" s="150">
        <v>43993</v>
      </c>
      <c r="E352" s="113" t="s">
        <v>20631</v>
      </c>
      <c r="F352" s="257">
        <v>9</v>
      </c>
      <c r="G352" s="255">
        <v>5.2</v>
      </c>
      <c r="H352" s="152"/>
      <c r="I352" s="160">
        <f t="shared" si="5"/>
        <v>56084.320000000036</v>
      </c>
    </row>
    <row r="353" spans="2:9" hidden="1" x14ac:dyDescent="0.25">
      <c r="B353" s="148"/>
      <c r="C353" s="148" t="s">
        <v>20630</v>
      </c>
      <c r="D353" s="150">
        <v>43993</v>
      </c>
      <c r="E353" s="113" t="s">
        <v>20629</v>
      </c>
      <c r="F353" s="257">
        <v>9</v>
      </c>
      <c r="G353" s="255">
        <v>4.1900000000000004</v>
      </c>
      <c r="H353" s="152"/>
      <c r="I353" s="160">
        <f t="shared" si="5"/>
        <v>56088.510000000038</v>
      </c>
    </row>
    <row r="354" spans="2:9" hidden="1" x14ac:dyDescent="0.25">
      <c r="B354" s="148"/>
      <c r="C354" s="148" t="s">
        <v>20628</v>
      </c>
      <c r="D354" s="150">
        <v>43993</v>
      </c>
      <c r="E354" s="113" t="s">
        <v>20627</v>
      </c>
      <c r="F354" s="257">
        <v>9</v>
      </c>
      <c r="G354" s="255">
        <v>29.78</v>
      </c>
      <c r="H354" s="152"/>
      <c r="I354" s="160">
        <f t="shared" si="5"/>
        <v>56118.290000000037</v>
      </c>
    </row>
    <row r="355" spans="2:9" hidden="1" x14ac:dyDescent="0.25">
      <c r="B355" s="148"/>
      <c r="C355" s="148" t="s">
        <v>20626</v>
      </c>
      <c r="D355" s="150">
        <v>43993</v>
      </c>
      <c r="E355" s="113" t="s">
        <v>20625</v>
      </c>
      <c r="F355" s="257">
        <v>9</v>
      </c>
      <c r="G355" s="255">
        <v>9.34</v>
      </c>
      <c r="H355" s="152"/>
      <c r="I355" s="160">
        <f t="shared" si="5"/>
        <v>56127.630000000034</v>
      </c>
    </row>
    <row r="356" spans="2:9" hidden="1" x14ac:dyDescent="0.25">
      <c r="B356" s="148"/>
      <c r="C356" s="148" t="s">
        <v>20624</v>
      </c>
      <c r="D356" s="150">
        <v>43993</v>
      </c>
      <c r="E356" s="113" t="s">
        <v>20623</v>
      </c>
      <c r="F356" s="257">
        <v>9</v>
      </c>
      <c r="G356" s="255">
        <v>16.920000000000002</v>
      </c>
      <c r="H356" s="152"/>
      <c r="I356" s="160">
        <f t="shared" si="5"/>
        <v>56144.550000000032</v>
      </c>
    </row>
    <row r="357" spans="2:9" ht="19.5" hidden="1" x14ac:dyDescent="0.25">
      <c r="B357" s="148"/>
      <c r="C357" s="148" t="s">
        <v>20622</v>
      </c>
      <c r="D357" s="150">
        <v>43993</v>
      </c>
      <c r="E357" s="113" t="s">
        <v>20621</v>
      </c>
      <c r="F357" s="257" t="s">
        <v>18712</v>
      </c>
      <c r="G357" s="160">
        <v>5</v>
      </c>
      <c r="H357" s="152"/>
      <c r="I357" s="160">
        <f t="shared" si="5"/>
        <v>56149.550000000032</v>
      </c>
    </row>
    <row r="358" spans="2:9" ht="19.5" hidden="1" x14ac:dyDescent="0.25">
      <c r="B358" s="148"/>
      <c r="C358" s="148" t="s">
        <v>20620</v>
      </c>
      <c r="D358" s="150">
        <v>43993</v>
      </c>
      <c r="E358" s="113" t="s">
        <v>20619</v>
      </c>
      <c r="F358" s="257" t="s">
        <v>14436</v>
      </c>
      <c r="G358" s="160">
        <v>35</v>
      </c>
      <c r="H358" s="152"/>
      <c r="I358" s="160">
        <f t="shared" si="5"/>
        <v>56184.550000000032</v>
      </c>
    </row>
    <row r="359" spans="2:9" hidden="1" x14ac:dyDescent="0.25">
      <c r="B359" s="148"/>
      <c r="C359" s="148" t="s">
        <v>20618</v>
      </c>
      <c r="D359" s="150">
        <v>43993</v>
      </c>
      <c r="E359" s="113" t="s">
        <v>20617</v>
      </c>
      <c r="F359" s="257">
        <v>9</v>
      </c>
      <c r="G359" s="255">
        <v>7.6</v>
      </c>
      <c r="H359" s="152"/>
      <c r="I359" s="160">
        <f t="shared" si="5"/>
        <v>56192.150000000031</v>
      </c>
    </row>
    <row r="360" spans="2:9" ht="19.5" hidden="1" x14ac:dyDescent="0.25">
      <c r="B360" s="148"/>
      <c r="C360" s="148" t="s">
        <v>1744</v>
      </c>
      <c r="D360" s="150">
        <v>43993</v>
      </c>
      <c r="E360" s="113" t="s">
        <v>20616</v>
      </c>
      <c r="F360" s="257" t="s">
        <v>14433</v>
      </c>
      <c r="G360" s="152"/>
      <c r="H360" s="161">
        <v>112</v>
      </c>
      <c r="I360" s="160">
        <f t="shared" si="5"/>
        <v>56080.150000000031</v>
      </c>
    </row>
    <row r="361" spans="2:9" ht="19.5" hidden="1" x14ac:dyDescent="0.25">
      <c r="B361" s="148"/>
      <c r="C361" s="148" t="s">
        <v>18222</v>
      </c>
      <c r="D361" s="150">
        <v>43993</v>
      </c>
      <c r="E361" s="113" t="s">
        <v>20615</v>
      </c>
      <c r="F361" s="257" t="s">
        <v>14433</v>
      </c>
      <c r="G361" s="152"/>
      <c r="H361" s="161">
        <v>112</v>
      </c>
      <c r="I361" s="160">
        <f t="shared" si="5"/>
        <v>55968.150000000031</v>
      </c>
    </row>
    <row r="362" spans="2:9" ht="19.5" hidden="1" x14ac:dyDescent="0.25">
      <c r="B362" s="148"/>
      <c r="C362" s="148" t="s">
        <v>20614</v>
      </c>
      <c r="D362" s="150">
        <v>43993</v>
      </c>
      <c r="E362" s="113" t="s">
        <v>20613</v>
      </c>
      <c r="F362" s="257" t="s">
        <v>14408</v>
      </c>
      <c r="G362" s="152"/>
      <c r="H362" s="161">
        <v>69.39</v>
      </c>
      <c r="I362" s="160">
        <f t="shared" si="5"/>
        <v>55898.760000000031</v>
      </c>
    </row>
    <row r="363" spans="2:9" ht="19.5" hidden="1" x14ac:dyDescent="0.25">
      <c r="B363" s="148"/>
      <c r="C363" s="148" t="s">
        <v>15202</v>
      </c>
      <c r="D363" s="150">
        <v>43993</v>
      </c>
      <c r="E363" s="113" t="s">
        <v>20612</v>
      </c>
      <c r="F363" s="257" t="s">
        <v>14433</v>
      </c>
      <c r="G363" s="152"/>
      <c r="H363" s="161">
        <v>88</v>
      </c>
      <c r="I363" s="160">
        <f t="shared" si="5"/>
        <v>55810.760000000031</v>
      </c>
    </row>
    <row r="364" spans="2:9" ht="19.5" hidden="1" x14ac:dyDescent="0.25">
      <c r="B364" s="148"/>
      <c r="C364" s="148" t="s">
        <v>15200</v>
      </c>
      <c r="D364" s="150">
        <v>43993</v>
      </c>
      <c r="E364" s="113" t="s">
        <v>20611</v>
      </c>
      <c r="F364" s="257" t="s">
        <v>14433</v>
      </c>
      <c r="G364" s="152"/>
      <c r="H364" s="161">
        <v>116.99</v>
      </c>
      <c r="I364" s="160">
        <f t="shared" si="5"/>
        <v>55693.770000000033</v>
      </c>
    </row>
    <row r="365" spans="2:9" ht="19.5" hidden="1" x14ac:dyDescent="0.25">
      <c r="B365" s="148"/>
      <c r="C365" s="148" t="s">
        <v>14518</v>
      </c>
      <c r="D365" s="150">
        <v>43993</v>
      </c>
      <c r="E365" s="113" t="s">
        <v>20610</v>
      </c>
      <c r="F365" s="257" t="s">
        <v>14433</v>
      </c>
      <c r="G365" s="152"/>
      <c r="H365" s="161">
        <v>166.93</v>
      </c>
      <c r="I365" s="160">
        <f t="shared" si="5"/>
        <v>55526.840000000033</v>
      </c>
    </row>
    <row r="366" spans="2:9" ht="19.5" hidden="1" x14ac:dyDescent="0.25">
      <c r="B366" s="148"/>
      <c r="C366" s="148" t="s">
        <v>407</v>
      </c>
      <c r="D366" s="150">
        <v>43993</v>
      </c>
      <c r="E366" s="113" t="s">
        <v>20609</v>
      </c>
      <c r="F366" s="257" t="s">
        <v>14433</v>
      </c>
      <c r="G366" s="152"/>
      <c r="H366" s="161">
        <v>594.79</v>
      </c>
      <c r="I366" s="160">
        <f t="shared" si="5"/>
        <v>54932.050000000032</v>
      </c>
    </row>
    <row r="367" spans="2:9" hidden="1" x14ac:dyDescent="0.25">
      <c r="B367" s="148"/>
      <c r="C367" s="148" t="s">
        <v>405</v>
      </c>
      <c r="D367" s="150">
        <v>43993</v>
      </c>
      <c r="E367" s="113" t="s">
        <v>20608</v>
      </c>
      <c r="F367" s="257" t="s">
        <v>14433</v>
      </c>
      <c r="G367" s="152"/>
      <c r="H367" s="161">
        <v>1634.38</v>
      </c>
      <c r="I367" s="160">
        <f t="shared" si="5"/>
        <v>53297.670000000035</v>
      </c>
    </row>
    <row r="368" spans="2:9" hidden="1" x14ac:dyDescent="0.25">
      <c r="B368" s="148"/>
      <c r="C368" s="148" t="s">
        <v>19346</v>
      </c>
      <c r="D368" s="150">
        <v>43993</v>
      </c>
      <c r="E368" s="113" t="s">
        <v>20607</v>
      </c>
      <c r="F368" s="257" t="s">
        <v>14433</v>
      </c>
      <c r="G368" s="152"/>
      <c r="H368" s="161">
        <v>21.9</v>
      </c>
      <c r="I368" s="160">
        <f t="shared" si="5"/>
        <v>53275.770000000033</v>
      </c>
    </row>
    <row r="369" spans="2:9" hidden="1" x14ac:dyDescent="0.25">
      <c r="B369" s="148"/>
      <c r="C369" s="148" t="s">
        <v>1104</v>
      </c>
      <c r="D369" s="150">
        <v>43993</v>
      </c>
      <c r="E369" s="113" t="s">
        <v>20606</v>
      </c>
      <c r="F369" s="257" t="s">
        <v>14433</v>
      </c>
      <c r="G369" s="152"/>
      <c r="H369" s="161">
        <v>15.46</v>
      </c>
      <c r="I369" s="160">
        <f t="shared" si="5"/>
        <v>53260.310000000034</v>
      </c>
    </row>
    <row r="370" spans="2:9" hidden="1" x14ac:dyDescent="0.25">
      <c r="B370" s="148"/>
      <c r="C370" s="148" t="s">
        <v>16364</v>
      </c>
      <c r="D370" s="150">
        <v>43993</v>
      </c>
      <c r="E370" s="113" t="s">
        <v>20605</v>
      </c>
      <c r="F370" s="257" t="s">
        <v>14433</v>
      </c>
      <c r="G370" s="152"/>
      <c r="H370" s="161">
        <v>8.8000000000000007</v>
      </c>
      <c r="I370" s="160">
        <f t="shared" si="5"/>
        <v>53251.510000000031</v>
      </c>
    </row>
    <row r="371" spans="2:9" ht="19.5" hidden="1" x14ac:dyDescent="0.25">
      <c r="B371" s="148"/>
      <c r="C371" s="148" t="s">
        <v>20604</v>
      </c>
      <c r="D371" s="150">
        <v>43994</v>
      </c>
      <c r="E371" s="113" t="s">
        <v>20603</v>
      </c>
      <c r="F371" s="257" t="s">
        <v>18712</v>
      </c>
      <c r="G371" s="160">
        <v>571.65</v>
      </c>
      <c r="H371" s="152"/>
      <c r="I371" s="160">
        <f t="shared" si="5"/>
        <v>53823.160000000033</v>
      </c>
    </row>
    <row r="372" spans="2:9" hidden="1" x14ac:dyDescent="0.25">
      <c r="B372" s="148"/>
      <c r="C372" s="148" t="s">
        <v>20602</v>
      </c>
      <c r="D372" s="150">
        <v>43994</v>
      </c>
      <c r="E372" s="113" t="s">
        <v>20601</v>
      </c>
      <c r="F372" s="257" t="s">
        <v>14412</v>
      </c>
      <c r="G372" s="258">
        <v>5.95</v>
      </c>
      <c r="H372" s="152"/>
      <c r="I372" s="160">
        <f t="shared" si="5"/>
        <v>53829.11000000003</v>
      </c>
    </row>
    <row r="373" spans="2:9" hidden="1" x14ac:dyDescent="0.25">
      <c r="B373" s="148"/>
      <c r="C373" s="148" t="s">
        <v>20600</v>
      </c>
      <c r="D373" s="150">
        <v>43994</v>
      </c>
      <c r="E373" s="113" t="s">
        <v>20599</v>
      </c>
      <c r="F373" s="257" t="s">
        <v>14412</v>
      </c>
      <c r="G373" s="258">
        <v>4.3499999999999996</v>
      </c>
      <c r="H373" s="152"/>
      <c r="I373" s="160">
        <f t="shared" si="5"/>
        <v>53833.460000000028</v>
      </c>
    </row>
    <row r="374" spans="2:9" hidden="1" x14ac:dyDescent="0.25">
      <c r="B374" s="148"/>
      <c r="C374" s="148" t="s">
        <v>20598</v>
      </c>
      <c r="D374" s="150">
        <v>43994</v>
      </c>
      <c r="E374" s="113" t="s">
        <v>20597</v>
      </c>
      <c r="F374" s="257" t="s">
        <v>14412</v>
      </c>
      <c r="G374" s="258">
        <v>6.66</v>
      </c>
      <c r="H374" s="152"/>
      <c r="I374" s="160">
        <f t="shared" si="5"/>
        <v>53840.120000000032</v>
      </c>
    </row>
    <row r="375" spans="2:9" ht="19.5" hidden="1" x14ac:dyDescent="0.25">
      <c r="B375" s="148"/>
      <c r="C375" s="148" t="s">
        <v>20596</v>
      </c>
      <c r="D375" s="150">
        <v>43994</v>
      </c>
      <c r="E375" s="113" t="s">
        <v>20595</v>
      </c>
      <c r="F375" s="257" t="s">
        <v>14412</v>
      </c>
      <c r="G375" s="258">
        <v>2.88</v>
      </c>
      <c r="H375" s="152"/>
      <c r="I375" s="160">
        <f t="shared" si="5"/>
        <v>53843.000000000029</v>
      </c>
    </row>
    <row r="376" spans="2:9" ht="19.5" hidden="1" x14ac:dyDescent="0.25">
      <c r="B376" s="148"/>
      <c r="C376" s="148" t="s">
        <v>20594</v>
      </c>
      <c r="D376" s="150">
        <v>43994</v>
      </c>
      <c r="E376" s="113" t="s">
        <v>20593</v>
      </c>
      <c r="F376" s="257" t="s">
        <v>14412</v>
      </c>
      <c r="G376" s="258">
        <v>20.82</v>
      </c>
      <c r="H376" s="152"/>
      <c r="I376" s="160">
        <f t="shared" si="5"/>
        <v>53863.820000000029</v>
      </c>
    </row>
    <row r="377" spans="2:9" ht="19.5" hidden="1" x14ac:dyDescent="0.25">
      <c r="B377" s="148"/>
      <c r="C377" s="148" t="s">
        <v>20592</v>
      </c>
      <c r="D377" s="150">
        <v>43994</v>
      </c>
      <c r="E377" s="113" t="s">
        <v>20591</v>
      </c>
      <c r="F377" s="257" t="s">
        <v>14412</v>
      </c>
      <c r="G377" s="258">
        <v>7.82</v>
      </c>
      <c r="H377" s="152"/>
      <c r="I377" s="160">
        <f t="shared" si="5"/>
        <v>53871.640000000029</v>
      </c>
    </row>
    <row r="378" spans="2:9" ht="19.5" hidden="1" x14ac:dyDescent="0.25">
      <c r="B378" s="148"/>
      <c r="C378" s="148" t="s">
        <v>20590</v>
      </c>
      <c r="D378" s="150">
        <v>43994</v>
      </c>
      <c r="E378" s="113" t="s">
        <v>20589</v>
      </c>
      <c r="F378" s="257" t="s">
        <v>14412</v>
      </c>
      <c r="G378" s="258">
        <v>12.8</v>
      </c>
      <c r="H378" s="152"/>
      <c r="I378" s="160">
        <f t="shared" si="5"/>
        <v>53884.440000000031</v>
      </c>
    </row>
    <row r="379" spans="2:9" hidden="1" x14ac:dyDescent="0.25">
      <c r="B379" s="148"/>
      <c r="C379" s="148" t="s">
        <v>20588</v>
      </c>
      <c r="D379" s="150">
        <v>43994</v>
      </c>
      <c r="E379" s="113" t="s">
        <v>20587</v>
      </c>
      <c r="F379" s="257" t="s">
        <v>14412</v>
      </c>
      <c r="G379" s="258">
        <v>13.42</v>
      </c>
      <c r="H379" s="152"/>
      <c r="I379" s="160">
        <f t="shared" si="5"/>
        <v>53897.86000000003</v>
      </c>
    </row>
    <row r="380" spans="2:9" ht="19.5" hidden="1" x14ac:dyDescent="0.25">
      <c r="B380" s="148"/>
      <c r="C380" s="148" t="s">
        <v>20586</v>
      </c>
      <c r="D380" s="150">
        <v>43994</v>
      </c>
      <c r="E380" s="113" t="s">
        <v>20585</v>
      </c>
      <c r="F380" s="257" t="s">
        <v>14412</v>
      </c>
      <c r="G380" s="258">
        <v>8.56</v>
      </c>
      <c r="H380" s="152"/>
      <c r="I380" s="160">
        <f t="shared" si="5"/>
        <v>53906.420000000027</v>
      </c>
    </row>
    <row r="381" spans="2:9" hidden="1" x14ac:dyDescent="0.25">
      <c r="B381" s="148"/>
      <c r="C381" s="148" t="s">
        <v>20584</v>
      </c>
      <c r="D381" s="150">
        <v>43994</v>
      </c>
      <c r="E381" s="113" t="s">
        <v>20583</v>
      </c>
      <c r="F381" s="257" t="s">
        <v>14412</v>
      </c>
      <c r="G381" s="258">
        <v>5.04</v>
      </c>
      <c r="H381" s="152"/>
      <c r="I381" s="160">
        <f t="shared" si="5"/>
        <v>53911.460000000028</v>
      </c>
    </row>
    <row r="382" spans="2:9" hidden="1" x14ac:dyDescent="0.25">
      <c r="B382" s="148"/>
      <c r="C382" s="148" t="s">
        <v>20582</v>
      </c>
      <c r="D382" s="150">
        <v>43994</v>
      </c>
      <c r="E382" s="113" t="s">
        <v>20581</v>
      </c>
      <c r="F382" s="257">
        <v>10</v>
      </c>
      <c r="G382" s="255">
        <v>25.14</v>
      </c>
      <c r="H382" s="152"/>
      <c r="I382" s="160">
        <f t="shared" si="5"/>
        <v>53936.600000000028</v>
      </c>
    </row>
    <row r="383" spans="2:9" hidden="1" x14ac:dyDescent="0.25">
      <c r="B383" s="148"/>
      <c r="C383" s="148" t="s">
        <v>20580</v>
      </c>
      <c r="D383" s="150">
        <v>43994</v>
      </c>
      <c r="E383" s="113" t="s">
        <v>20579</v>
      </c>
      <c r="F383" s="257">
        <v>10</v>
      </c>
      <c r="G383" s="255">
        <v>6.07</v>
      </c>
      <c r="H383" s="152"/>
      <c r="I383" s="160">
        <f t="shared" si="5"/>
        <v>53942.670000000027</v>
      </c>
    </row>
    <row r="384" spans="2:9" hidden="1" x14ac:dyDescent="0.25">
      <c r="B384" s="148"/>
      <c r="C384" s="148" t="s">
        <v>20578</v>
      </c>
      <c r="D384" s="150">
        <v>43994</v>
      </c>
      <c r="E384" s="113" t="s">
        <v>20577</v>
      </c>
      <c r="F384" s="257">
        <v>10</v>
      </c>
      <c r="G384" s="255">
        <v>1.53</v>
      </c>
      <c r="H384" s="152"/>
      <c r="I384" s="160">
        <f t="shared" si="5"/>
        <v>53944.200000000026</v>
      </c>
    </row>
    <row r="385" spans="2:9" hidden="1" x14ac:dyDescent="0.25">
      <c r="B385" s="148"/>
      <c r="C385" s="148" t="s">
        <v>20576</v>
      </c>
      <c r="D385" s="150">
        <v>43994</v>
      </c>
      <c r="E385" s="113" t="s">
        <v>20575</v>
      </c>
      <c r="F385" s="257">
        <v>10</v>
      </c>
      <c r="G385" s="255">
        <v>12.04</v>
      </c>
      <c r="H385" s="152"/>
      <c r="I385" s="160">
        <f t="shared" si="5"/>
        <v>53956.240000000027</v>
      </c>
    </row>
    <row r="386" spans="2:9" hidden="1" x14ac:dyDescent="0.25">
      <c r="B386" s="148"/>
      <c r="C386" s="148" t="s">
        <v>20574</v>
      </c>
      <c r="D386" s="150">
        <v>43994</v>
      </c>
      <c r="E386" s="113" t="s">
        <v>20573</v>
      </c>
      <c r="F386" s="257" t="s">
        <v>14436</v>
      </c>
      <c r="G386" s="160">
        <v>43.89</v>
      </c>
      <c r="H386" s="152"/>
      <c r="I386" s="160">
        <f t="shared" si="5"/>
        <v>54000.130000000026</v>
      </c>
    </row>
    <row r="387" spans="2:9" hidden="1" x14ac:dyDescent="0.25">
      <c r="B387" s="148"/>
      <c r="C387" s="148" t="s">
        <v>20572</v>
      </c>
      <c r="D387" s="150">
        <v>43994</v>
      </c>
      <c r="E387" s="113" t="s">
        <v>20571</v>
      </c>
      <c r="F387" s="257" t="s">
        <v>14433</v>
      </c>
      <c r="G387" s="152"/>
      <c r="H387" s="161">
        <v>29.11</v>
      </c>
      <c r="I387" s="160">
        <f t="shared" si="5"/>
        <v>53971.020000000026</v>
      </c>
    </row>
    <row r="388" spans="2:9" hidden="1" x14ac:dyDescent="0.25">
      <c r="B388" s="148"/>
      <c r="C388" s="148" t="s">
        <v>16699</v>
      </c>
      <c r="D388" s="150">
        <v>43994</v>
      </c>
      <c r="E388" s="113" t="s">
        <v>20570</v>
      </c>
      <c r="F388" s="257" t="s">
        <v>14433</v>
      </c>
      <c r="G388" s="152"/>
      <c r="H388" s="161">
        <v>20.18</v>
      </c>
      <c r="I388" s="160">
        <f t="shared" si="5"/>
        <v>53950.840000000026</v>
      </c>
    </row>
    <row r="389" spans="2:9" hidden="1" x14ac:dyDescent="0.25">
      <c r="B389" s="148"/>
      <c r="C389" s="148" t="s">
        <v>20569</v>
      </c>
      <c r="D389" s="150">
        <v>43995</v>
      </c>
      <c r="E389" s="113" t="s">
        <v>20568</v>
      </c>
      <c r="F389" s="257" t="s">
        <v>14412</v>
      </c>
      <c r="G389" s="258">
        <v>5.2</v>
      </c>
      <c r="H389" s="152"/>
      <c r="I389" s="160">
        <f t="shared" si="5"/>
        <v>53956.040000000023</v>
      </c>
    </row>
    <row r="390" spans="2:9" ht="19.5" hidden="1" x14ac:dyDescent="0.25">
      <c r="B390" s="148"/>
      <c r="C390" s="148" t="s">
        <v>20567</v>
      </c>
      <c r="D390" s="150">
        <v>43995</v>
      </c>
      <c r="E390" s="113" t="s">
        <v>20566</v>
      </c>
      <c r="F390" s="257" t="s">
        <v>14412</v>
      </c>
      <c r="G390" s="258">
        <v>7.55</v>
      </c>
      <c r="H390" s="152"/>
      <c r="I390" s="160">
        <f t="shared" si="5"/>
        <v>53963.590000000026</v>
      </c>
    </row>
    <row r="391" spans="2:9" hidden="1" x14ac:dyDescent="0.25">
      <c r="B391" s="148"/>
      <c r="C391" s="148" t="s">
        <v>20565</v>
      </c>
      <c r="D391" s="150">
        <v>43995</v>
      </c>
      <c r="E391" s="113" t="s">
        <v>20564</v>
      </c>
      <c r="F391" s="257" t="s">
        <v>14412</v>
      </c>
      <c r="G391" s="258">
        <v>4.79</v>
      </c>
      <c r="H391" s="152"/>
      <c r="I391" s="160">
        <f t="shared" si="5"/>
        <v>53968.380000000026</v>
      </c>
    </row>
    <row r="392" spans="2:9" hidden="1" x14ac:dyDescent="0.25">
      <c r="B392" s="148"/>
      <c r="C392" s="148" t="s">
        <v>20563</v>
      </c>
      <c r="D392" s="150">
        <v>43995</v>
      </c>
      <c r="E392" s="113" t="s">
        <v>20562</v>
      </c>
      <c r="F392" s="257" t="s">
        <v>14412</v>
      </c>
      <c r="G392" s="258">
        <v>12.38</v>
      </c>
      <c r="H392" s="152"/>
      <c r="I392" s="160">
        <f t="shared" si="5"/>
        <v>53980.760000000024</v>
      </c>
    </row>
    <row r="393" spans="2:9" ht="19.5" hidden="1" x14ac:dyDescent="0.25">
      <c r="B393" s="148"/>
      <c r="C393" s="148" t="s">
        <v>20561</v>
      </c>
      <c r="D393" s="150">
        <v>43995</v>
      </c>
      <c r="E393" s="113" t="s">
        <v>20560</v>
      </c>
      <c r="F393" s="257" t="s">
        <v>14412</v>
      </c>
      <c r="G393" s="258">
        <v>8.23</v>
      </c>
      <c r="H393" s="152"/>
      <c r="I393" s="160">
        <f t="shared" si="5"/>
        <v>53988.990000000027</v>
      </c>
    </row>
    <row r="394" spans="2:9" ht="19.5" hidden="1" x14ac:dyDescent="0.25">
      <c r="B394" s="148"/>
      <c r="C394" s="148" t="s">
        <v>20559</v>
      </c>
      <c r="D394" s="150">
        <v>43995</v>
      </c>
      <c r="E394" s="113" t="s">
        <v>20558</v>
      </c>
      <c r="F394" s="257" t="s">
        <v>14412</v>
      </c>
      <c r="G394" s="258">
        <v>6.86</v>
      </c>
      <c r="H394" s="152"/>
      <c r="I394" s="160">
        <f t="shared" si="5"/>
        <v>53995.850000000028</v>
      </c>
    </row>
    <row r="395" spans="2:9" hidden="1" x14ac:dyDescent="0.25">
      <c r="B395" s="148"/>
      <c r="C395" s="148" t="s">
        <v>20557</v>
      </c>
      <c r="D395" s="150">
        <v>43995</v>
      </c>
      <c r="E395" s="113" t="s">
        <v>20556</v>
      </c>
      <c r="F395" s="257" t="s">
        <v>14412</v>
      </c>
      <c r="G395" s="258">
        <v>2.15</v>
      </c>
      <c r="H395" s="152"/>
      <c r="I395" s="160">
        <f t="shared" si="5"/>
        <v>53998.000000000029</v>
      </c>
    </row>
    <row r="396" spans="2:9" hidden="1" x14ac:dyDescent="0.25">
      <c r="B396" s="148"/>
      <c r="C396" s="148" t="s">
        <v>20555</v>
      </c>
      <c r="D396" s="150">
        <v>43996</v>
      </c>
      <c r="E396" s="113" t="s">
        <v>20554</v>
      </c>
      <c r="F396" s="257" t="s">
        <v>14412</v>
      </c>
      <c r="G396" s="258">
        <v>37</v>
      </c>
      <c r="H396" s="152"/>
      <c r="I396" s="160">
        <f t="shared" si="5"/>
        <v>54035.000000000029</v>
      </c>
    </row>
    <row r="397" spans="2:9" ht="19.5" hidden="1" x14ac:dyDescent="0.25">
      <c r="B397" s="148"/>
      <c r="C397" s="148" t="s">
        <v>20553</v>
      </c>
      <c r="D397" s="150">
        <v>43996</v>
      </c>
      <c r="E397" s="113" t="s">
        <v>20552</v>
      </c>
      <c r="F397" s="257" t="s">
        <v>14412</v>
      </c>
      <c r="G397" s="258">
        <v>7.64</v>
      </c>
      <c r="H397" s="152"/>
      <c r="I397" s="160">
        <f t="shared" si="5"/>
        <v>54042.640000000029</v>
      </c>
    </row>
    <row r="398" spans="2:9" hidden="1" x14ac:dyDescent="0.25">
      <c r="B398" s="148"/>
      <c r="C398" s="148" t="s">
        <v>20551</v>
      </c>
      <c r="D398" s="150">
        <v>43996</v>
      </c>
      <c r="E398" s="113" t="s">
        <v>20550</v>
      </c>
      <c r="F398" s="257" t="s">
        <v>14412</v>
      </c>
      <c r="G398" s="258">
        <v>3.56</v>
      </c>
      <c r="H398" s="152"/>
      <c r="I398" s="160">
        <f t="shared" si="5"/>
        <v>54046.200000000026</v>
      </c>
    </row>
    <row r="399" spans="2:9" hidden="1" x14ac:dyDescent="0.25">
      <c r="B399" s="148"/>
      <c r="C399" s="148" t="s">
        <v>20549</v>
      </c>
      <c r="D399" s="150">
        <v>43997</v>
      </c>
      <c r="E399" s="113" t="s">
        <v>20548</v>
      </c>
      <c r="F399" s="257" t="s">
        <v>14436</v>
      </c>
      <c r="G399" s="160">
        <v>189.08</v>
      </c>
      <c r="H399" s="152"/>
      <c r="I399" s="160">
        <f t="shared" si="5"/>
        <v>54235.280000000028</v>
      </c>
    </row>
    <row r="400" spans="2:9" hidden="1" x14ac:dyDescent="0.25">
      <c r="B400" s="148"/>
      <c r="C400" s="148" t="s">
        <v>20547</v>
      </c>
      <c r="D400" s="150">
        <v>43997</v>
      </c>
      <c r="E400" s="113" t="s">
        <v>20546</v>
      </c>
      <c r="F400" s="257" t="s">
        <v>14412</v>
      </c>
      <c r="G400" s="258">
        <v>8.6999999999999993</v>
      </c>
      <c r="H400" s="152"/>
      <c r="I400" s="160">
        <f t="shared" si="5"/>
        <v>54243.980000000025</v>
      </c>
    </row>
    <row r="401" spans="2:9" hidden="1" x14ac:dyDescent="0.25">
      <c r="B401" s="148"/>
      <c r="C401" s="148" t="s">
        <v>20545</v>
      </c>
      <c r="D401" s="150">
        <v>43997</v>
      </c>
      <c r="E401" s="113" t="s">
        <v>20544</v>
      </c>
      <c r="F401" s="257" t="s">
        <v>14412</v>
      </c>
      <c r="G401" s="258">
        <v>10</v>
      </c>
      <c r="H401" s="152"/>
      <c r="I401" s="160">
        <f t="shared" si="5"/>
        <v>54253.980000000025</v>
      </c>
    </row>
    <row r="402" spans="2:9" ht="19.5" hidden="1" x14ac:dyDescent="0.25">
      <c r="B402" s="148"/>
      <c r="C402" s="148" t="s">
        <v>20543</v>
      </c>
      <c r="D402" s="150">
        <v>43997</v>
      </c>
      <c r="E402" s="113" t="s">
        <v>20542</v>
      </c>
      <c r="F402" s="257" t="s">
        <v>14412</v>
      </c>
      <c r="G402" s="258">
        <v>2.15</v>
      </c>
      <c r="H402" s="152"/>
      <c r="I402" s="160">
        <f t="shared" si="5"/>
        <v>54256.130000000026</v>
      </c>
    </row>
    <row r="403" spans="2:9" hidden="1" x14ac:dyDescent="0.25">
      <c r="B403" s="148"/>
      <c r="C403" s="148" t="s">
        <v>20541</v>
      </c>
      <c r="D403" s="150">
        <v>43997</v>
      </c>
      <c r="E403" s="113" t="s">
        <v>20540</v>
      </c>
      <c r="F403" s="257" t="s">
        <v>14412</v>
      </c>
      <c r="G403" s="258">
        <v>6.03</v>
      </c>
      <c r="H403" s="152"/>
      <c r="I403" s="160">
        <f t="shared" si="5"/>
        <v>54262.160000000025</v>
      </c>
    </row>
    <row r="404" spans="2:9" hidden="1" x14ac:dyDescent="0.25">
      <c r="B404" s="148"/>
      <c r="C404" s="148" t="s">
        <v>20539</v>
      </c>
      <c r="D404" s="150">
        <v>43997</v>
      </c>
      <c r="E404" s="113" t="s">
        <v>20538</v>
      </c>
      <c r="F404" s="257" t="s">
        <v>14412</v>
      </c>
      <c r="G404" s="258">
        <v>3.94</v>
      </c>
      <c r="H404" s="152"/>
      <c r="I404" s="160">
        <f t="shared" ref="I404:I467" si="6">+I403+G404-H404</f>
        <v>54266.100000000028</v>
      </c>
    </row>
    <row r="405" spans="2:9" hidden="1" x14ac:dyDescent="0.25">
      <c r="B405" s="148"/>
      <c r="C405" s="148" t="s">
        <v>20537</v>
      </c>
      <c r="D405" s="150">
        <v>43997</v>
      </c>
      <c r="E405" s="113" t="s">
        <v>20536</v>
      </c>
      <c r="F405" s="257" t="s">
        <v>14412</v>
      </c>
      <c r="G405" s="258">
        <v>8.3800000000000008</v>
      </c>
      <c r="H405" s="152"/>
      <c r="I405" s="160">
        <f t="shared" si="6"/>
        <v>54274.480000000025</v>
      </c>
    </row>
    <row r="406" spans="2:9" ht="19.5" hidden="1" x14ac:dyDescent="0.25">
      <c r="B406" s="148"/>
      <c r="C406" s="148" t="s">
        <v>20535</v>
      </c>
      <c r="D406" s="150">
        <v>43997</v>
      </c>
      <c r="E406" s="113" t="s">
        <v>20534</v>
      </c>
      <c r="F406" s="257" t="s">
        <v>14412</v>
      </c>
      <c r="G406" s="258">
        <v>15.89</v>
      </c>
      <c r="H406" s="152"/>
      <c r="I406" s="160">
        <f t="shared" si="6"/>
        <v>54290.370000000024</v>
      </c>
    </row>
    <row r="407" spans="2:9" ht="19.5" hidden="1" x14ac:dyDescent="0.25">
      <c r="B407" s="148"/>
      <c r="C407" s="148" t="s">
        <v>20533</v>
      </c>
      <c r="D407" s="150">
        <v>43997</v>
      </c>
      <c r="E407" s="113" t="s">
        <v>20532</v>
      </c>
      <c r="F407" s="257" t="s">
        <v>14412</v>
      </c>
      <c r="G407" s="258">
        <v>30.57</v>
      </c>
      <c r="H407" s="152"/>
      <c r="I407" s="160">
        <f t="shared" si="6"/>
        <v>54320.940000000024</v>
      </c>
    </row>
    <row r="408" spans="2:9" hidden="1" x14ac:dyDescent="0.25">
      <c r="B408" s="148"/>
      <c r="C408" s="148" t="s">
        <v>20531</v>
      </c>
      <c r="D408" s="150">
        <v>43997</v>
      </c>
      <c r="E408" s="113" t="s">
        <v>20530</v>
      </c>
      <c r="F408" s="257" t="s">
        <v>14412</v>
      </c>
      <c r="G408" s="258">
        <v>1.86</v>
      </c>
      <c r="H408" s="152"/>
      <c r="I408" s="160">
        <f t="shared" si="6"/>
        <v>54322.800000000025</v>
      </c>
    </row>
    <row r="409" spans="2:9" hidden="1" x14ac:dyDescent="0.25">
      <c r="B409" s="148"/>
      <c r="C409" s="148" t="s">
        <v>20529</v>
      </c>
      <c r="D409" s="150">
        <v>43997</v>
      </c>
      <c r="E409" s="113" t="s">
        <v>20528</v>
      </c>
      <c r="F409" s="257" t="s">
        <v>14412</v>
      </c>
      <c r="G409" s="258">
        <v>1.71</v>
      </c>
      <c r="H409" s="152"/>
      <c r="I409" s="160">
        <f t="shared" si="6"/>
        <v>54324.510000000024</v>
      </c>
    </row>
    <row r="410" spans="2:9" hidden="1" x14ac:dyDescent="0.25">
      <c r="B410" s="148"/>
      <c r="C410" s="148" t="s">
        <v>20527</v>
      </c>
      <c r="D410" s="150">
        <v>43997</v>
      </c>
      <c r="E410" s="113" t="s">
        <v>20526</v>
      </c>
      <c r="F410" s="257" t="s">
        <v>14412</v>
      </c>
      <c r="G410" s="258">
        <v>8.27</v>
      </c>
      <c r="H410" s="152"/>
      <c r="I410" s="160">
        <f t="shared" si="6"/>
        <v>54332.780000000021</v>
      </c>
    </row>
    <row r="411" spans="2:9" hidden="1" x14ac:dyDescent="0.25">
      <c r="B411" s="148"/>
      <c r="C411" s="148" t="s">
        <v>20525</v>
      </c>
      <c r="D411" s="150">
        <v>43997</v>
      </c>
      <c r="E411" s="113" t="s">
        <v>20524</v>
      </c>
      <c r="F411" s="257" t="s">
        <v>14412</v>
      </c>
      <c r="G411" s="258">
        <v>28.57</v>
      </c>
      <c r="H411" s="152"/>
      <c r="I411" s="160">
        <f t="shared" si="6"/>
        <v>54361.35000000002</v>
      </c>
    </row>
    <row r="412" spans="2:9" ht="19.5" hidden="1" x14ac:dyDescent="0.25">
      <c r="B412" s="148"/>
      <c r="C412" s="148" t="s">
        <v>20523</v>
      </c>
      <c r="D412" s="150">
        <v>43997</v>
      </c>
      <c r="E412" s="113" t="s">
        <v>20522</v>
      </c>
      <c r="F412" s="257" t="s">
        <v>14412</v>
      </c>
      <c r="G412" s="258">
        <v>13.8</v>
      </c>
      <c r="H412" s="152"/>
      <c r="I412" s="160">
        <f t="shared" si="6"/>
        <v>54375.150000000023</v>
      </c>
    </row>
    <row r="413" spans="2:9" hidden="1" x14ac:dyDescent="0.25">
      <c r="B413" s="148"/>
      <c r="C413" s="148" t="s">
        <v>20521</v>
      </c>
      <c r="D413" s="150">
        <v>43997</v>
      </c>
      <c r="E413" s="113" t="s">
        <v>20520</v>
      </c>
      <c r="F413" s="257" t="s">
        <v>14412</v>
      </c>
      <c r="G413" s="258">
        <v>11.72</v>
      </c>
      <c r="H413" s="152"/>
      <c r="I413" s="160">
        <f t="shared" si="6"/>
        <v>54386.870000000024</v>
      </c>
    </row>
    <row r="414" spans="2:9" hidden="1" x14ac:dyDescent="0.25">
      <c r="B414" s="148"/>
      <c r="C414" s="148" t="s">
        <v>20519</v>
      </c>
      <c r="D414" s="150">
        <v>43997</v>
      </c>
      <c r="E414" s="113" t="s">
        <v>20518</v>
      </c>
      <c r="F414" s="257" t="s">
        <v>14412</v>
      </c>
      <c r="G414" s="258">
        <v>2.2799999999999998</v>
      </c>
      <c r="H414" s="152"/>
      <c r="I414" s="160">
        <f t="shared" si="6"/>
        <v>54389.150000000023</v>
      </c>
    </row>
    <row r="415" spans="2:9" hidden="1" x14ac:dyDescent="0.25">
      <c r="B415" s="148"/>
      <c r="C415" s="148" t="s">
        <v>20517</v>
      </c>
      <c r="D415" s="150">
        <v>43997</v>
      </c>
      <c r="E415" s="113" t="s">
        <v>20516</v>
      </c>
      <c r="F415" s="257" t="s">
        <v>14412</v>
      </c>
      <c r="G415" s="258">
        <v>0.56999999999999995</v>
      </c>
      <c r="H415" s="152"/>
      <c r="I415" s="160">
        <f t="shared" si="6"/>
        <v>54389.720000000023</v>
      </c>
    </row>
    <row r="416" spans="2:9" hidden="1" x14ac:dyDescent="0.25">
      <c r="B416" s="148"/>
      <c r="C416" s="148" t="s">
        <v>20515</v>
      </c>
      <c r="D416" s="150">
        <v>43997</v>
      </c>
      <c r="E416" s="113" t="s">
        <v>20514</v>
      </c>
      <c r="F416" s="257" t="s">
        <v>14412</v>
      </c>
      <c r="G416" s="258">
        <v>2.0699999999999998</v>
      </c>
      <c r="H416" s="152"/>
      <c r="I416" s="160">
        <f t="shared" si="6"/>
        <v>54391.790000000023</v>
      </c>
    </row>
    <row r="417" spans="2:9" hidden="1" x14ac:dyDescent="0.25">
      <c r="B417" s="148"/>
      <c r="C417" s="148" t="s">
        <v>20513</v>
      </c>
      <c r="D417" s="150">
        <v>43997</v>
      </c>
      <c r="E417" s="113" t="s">
        <v>20512</v>
      </c>
      <c r="F417" s="257" t="s">
        <v>14412</v>
      </c>
      <c r="G417" s="258">
        <v>2.48</v>
      </c>
      <c r="H417" s="152"/>
      <c r="I417" s="160">
        <f t="shared" si="6"/>
        <v>54394.270000000026</v>
      </c>
    </row>
    <row r="418" spans="2:9" ht="19.5" hidden="1" x14ac:dyDescent="0.25">
      <c r="B418" s="148"/>
      <c r="C418" s="148" t="s">
        <v>20511</v>
      </c>
      <c r="D418" s="150">
        <v>43997</v>
      </c>
      <c r="E418" s="113" t="s">
        <v>20510</v>
      </c>
      <c r="F418" s="257" t="s">
        <v>14412</v>
      </c>
      <c r="G418" s="258">
        <v>20.78</v>
      </c>
      <c r="H418" s="152"/>
      <c r="I418" s="160">
        <f t="shared" si="6"/>
        <v>54415.050000000025</v>
      </c>
    </row>
    <row r="419" spans="2:9" hidden="1" x14ac:dyDescent="0.25">
      <c r="B419" s="148"/>
      <c r="C419" s="148" t="s">
        <v>20509</v>
      </c>
      <c r="D419" s="150">
        <v>43997</v>
      </c>
      <c r="E419" s="113" t="s">
        <v>20508</v>
      </c>
      <c r="F419" s="257">
        <v>11</v>
      </c>
      <c r="G419" s="255">
        <v>8.3800000000000008</v>
      </c>
      <c r="H419" s="152"/>
      <c r="I419" s="160">
        <f t="shared" si="6"/>
        <v>54423.430000000022</v>
      </c>
    </row>
    <row r="420" spans="2:9" hidden="1" x14ac:dyDescent="0.25">
      <c r="B420" s="148"/>
      <c r="C420" s="148" t="s">
        <v>20507</v>
      </c>
      <c r="D420" s="150">
        <v>43997</v>
      </c>
      <c r="E420" s="113" t="s">
        <v>20506</v>
      </c>
      <c r="F420" s="257">
        <v>11</v>
      </c>
      <c r="G420" s="255">
        <v>4.55</v>
      </c>
      <c r="H420" s="152"/>
      <c r="I420" s="160">
        <f t="shared" si="6"/>
        <v>54427.980000000025</v>
      </c>
    </row>
    <row r="421" spans="2:9" hidden="1" x14ac:dyDescent="0.25">
      <c r="B421" s="148"/>
      <c r="C421" s="148" t="s">
        <v>20505</v>
      </c>
      <c r="D421" s="150">
        <v>43997</v>
      </c>
      <c r="E421" s="113" t="s">
        <v>20504</v>
      </c>
      <c r="F421" s="257">
        <v>11</v>
      </c>
      <c r="G421" s="255">
        <v>12.3</v>
      </c>
      <c r="H421" s="152"/>
      <c r="I421" s="160">
        <f t="shared" si="6"/>
        <v>54440.280000000028</v>
      </c>
    </row>
    <row r="422" spans="2:9" hidden="1" x14ac:dyDescent="0.25">
      <c r="B422" s="148"/>
      <c r="C422" s="148" t="s">
        <v>20503</v>
      </c>
      <c r="D422" s="150">
        <v>43997</v>
      </c>
      <c r="E422" s="113" t="s">
        <v>20502</v>
      </c>
      <c r="F422" s="257">
        <v>11</v>
      </c>
      <c r="G422" s="255">
        <v>4.88</v>
      </c>
      <c r="H422" s="152"/>
      <c r="I422" s="160">
        <f t="shared" si="6"/>
        <v>54445.160000000025</v>
      </c>
    </row>
    <row r="423" spans="2:9" hidden="1" x14ac:dyDescent="0.25">
      <c r="B423" s="148"/>
      <c r="C423" s="148" t="s">
        <v>20501</v>
      </c>
      <c r="D423" s="150">
        <v>43997</v>
      </c>
      <c r="E423" s="113" t="s">
        <v>20500</v>
      </c>
      <c r="F423" s="257">
        <v>11</v>
      </c>
      <c r="G423" s="255">
        <v>3.36</v>
      </c>
      <c r="H423" s="152"/>
      <c r="I423" s="160">
        <f t="shared" si="6"/>
        <v>54448.520000000026</v>
      </c>
    </row>
    <row r="424" spans="2:9" hidden="1" x14ac:dyDescent="0.25">
      <c r="B424" s="148"/>
      <c r="C424" s="148" t="s">
        <v>20499</v>
      </c>
      <c r="D424" s="150">
        <v>43997</v>
      </c>
      <c r="E424" s="113" t="s">
        <v>20498</v>
      </c>
      <c r="F424" s="257">
        <v>11</v>
      </c>
      <c r="G424" s="255">
        <v>11.26</v>
      </c>
      <c r="H424" s="152"/>
      <c r="I424" s="160">
        <f t="shared" si="6"/>
        <v>54459.780000000028</v>
      </c>
    </row>
    <row r="425" spans="2:9" hidden="1" x14ac:dyDescent="0.25">
      <c r="B425" s="148"/>
      <c r="C425" s="148" t="s">
        <v>20497</v>
      </c>
      <c r="D425" s="150">
        <v>43997</v>
      </c>
      <c r="E425" s="113" t="s">
        <v>20496</v>
      </c>
      <c r="F425" s="257">
        <v>11</v>
      </c>
      <c r="G425" s="255">
        <v>12.57</v>
      </c>
      <c r="H425" s="152"/>
      <c r="I425" s="160">
        <f t="shared" si="6"/>
        <v>54472.350000000028</v>
      </c>
    </row>
    <row r="426" spans="2:9" ht="19.5" hidden="1" x14ac:dyDescent="0.25">
      <c r="B426" s="148"/>
      <c r="C426" s="148" t="s">
        <v>20495</v>
      </c>
      <c r="D426" s="150">
        <v>43998</v>
      </c>
      <c r="E426" s="113" t="s">
        <v>20494</v>
      </c>
      <c r="F426" s="257" t="s">
        <v>14412</v>
      </c>
      <c r="G426" s="258">
        <v>11.83</v>
      </c>
      <c r="H426" s="152"/>
      <c r="I426" s="160">
        <f t="shared" si="6"/>
        <v>54484.180000000029</v>
      </c>
    </row>
    <row r="427" spans="2:9" hidden="1" x14ac:dyDescent="0.25">
      <c r="B427" s="148"/>
      <c r="C427" s="148" t="s">
        <v>20493</v>
      </c>
      <c r="D427" s="150">
        <v>43998</v>
      </c>
      <c r="E427" s="113" t="s">
        <v>20492</v>
      </c>
      <c r="F427" s="257" t="s">
        <v>14412</v>
      </c>
      <c r="G427" s="258">
        <v>11.04</v>
      </c>
      <c r="H427" s="152"/>
      <c r="I427" s="160">
        <f t="shared" si="6"/>
        <v>54495.22000000003</v>
      </c>
    </row>
    <row r="428" spans="2:9" hidden="1" x14ac:dyDescent="0.25">
      <c r="B428" s="148"/>
      <c r="C428" s="148" t="s">
        <v>20491</v>
      </c>
      <c r="D428" s="150">
        <v>43998</v>
      </c>
      <c r="E428" s="113" t="s">
        <v>20490</v>
      </c>
      <c r="F428" s="257" t="s">
        <v>14412</v>
      </c>
      <c r="G428" s="258">
        <v>5.01</v>
      </c>
      <c r="H428" s="152"/>
      <c r="I428" s="160">
        <f t="shared" si="6"/>
        <v>54500.230000000032</v>
      </c>
    </row>
    <row r="429" spans="2:9" hidden="1" x14ac:dyDescent="0.25">
      <c r="B429" s="148"/>
      <c r="C429" s="148" t="s">
        <v>20489</v>
      </c>
      <c r="D429" s="150">
        <v>43998</v>
      </c>
      <c r="E429" s="113" t="s">
        <v>20488</v>
      </c>
      <c r="F429" s="257" t="s">
        <v>14412</v>
      </c>
      <c r="G429" s="258">
        <v>17.32</v>
      </c>
      <c r="H429" s="152"/>
      <c r="I429" s="160">
        <f t="shared" si="6"/>
        <v>54517.550000000032</v>
      </c>
    </row>
    <row r="430" spans="2:9" hidden="1" x14ac:dyDescent="0.25">
      <c r="B430" s="148"/>
      <c r="C430" s="148" t="s">
        <v>20487</v>
      </c>
      <c r="D430" s="150">
        <v>43998</v>
      </c>
      <c r="E430" s="113" t="s">
        <v>20486</v>
      </c>
      <c r="F430" s="257" t="s">
        <v>14412</v>
      </c>
      <c r="G430" s="258">
        <v>3.53</v>
      </c>
      <c r="H430" s="152"/>
      <c r="I430" s="160">
        <f t="shared" si="6"/>
        <v>54521.080000000031</v>
      </c>
    </row>
    <row r="431" spans="2:9" ht="19.5" hidden="1" x14ac:dyDescent="0.25">
      <c r="B431" s="148"/>
      <c r="C431" s="148" t="s">
        <v>20485</v>
      </c>
      <c r="D431" s="150">
        <v>43998</v>
      </c>
      <c r="E431" s="113" t="s">
        <v>20484</v>
      </c>
      <c r="F431" s="257" t="s">
        <v>14412</v>
      </c>
      <c r="G431" s="258">
        <v>7.86</v>
      </c>
      <c r="H431" s="152"/>
      <c r="I431" s="160">
        <f t="shared" si="6"/>
        <v>54528.940000000031</v>
      </c>
    </row>
    <row r="432" spans="2:9" ht="19.5" hidden="1" x14ac:dyDescent="0.25">
      <c r="B432" s="148"/>
      <c r="C432" s="148" t="s">
        <v>20483</v>
      </c>
      <c r="D432" s="150">
        <v>43998</v>
      </c>
      <c r="E432" s="113" t="s">
        <v>20482</v>
      </c>
      <c r="F432" s="257" t="s">
        <v>14412</v>
      </c>
      <c r="G432" s="258">
        <v>5.92</v>
      </c>
      <c r="H432" s="152"/>
      <c r="I432" s="160">
        <f t="shared" si="6"/>
        <v>54534.86000000003</v>
      </c>
    </row>
    <row r="433" spans="2:9" ht="19.5" hidden="1" x14ac:dyDescent="0.25">
      <c r="B433" s="148"/>
      <c r="C433" s="148" t="s">
        <v>20481</v>
      </c>
      <c r="D433" s="150">
        <v>43998</v>
      </c>
      <c r="E433" s="113" t="s">
        <v>20480</v>
      </c>
      <c r="F433" s="257" t="s">
        <v>14412</v>
      </c>
      <c r="G433" s="258">
        <v>8.34</v>
      </c>
      <c r="H433" s="152"/>
      <c r="I433" s="160">
        <f t="shared" si="6"/>
        <v>54543.200000000026</v>
      </c>
    </row>
    <row r="434" spans="2:9" hidden="1" x14ac:dyDescent="0.25">
      <c r="B434" s="148"/>
      <c r="C434" s="148" t="s">
        <v>20479</v>
      </c>
      <c r="D434" s="150">
        <v>43998</v>
      </c>
      <c r="E434" s="113" t="s">
        <v>20478</v>
      </c>
      <c r="F434" s="257" t="s">
        <v>14412</v>
      </c>
      <c r="G434" s="258">
        <v>25.14</v>
      </c>
      <c r="H434" s="152"/>
      <c r="I434" s="160">
        <f t="shared" si="6"/>
        <v>54568.340000000026</v>
      </c>
    </row>
    <row r="435" spans="2:9" hidden="1" x14ac:dyDescent="0.25">
      <c r="B435" s="148"/>
      <c r="C435" s="148" t="s">
        <v>20477</v>
      </c>
      <c r="D435" s="150">
        <v>43998</v>
      </c>
      <c r="E435" s="113" t="s">
        <v>20476</v>
      </c>
      <c r="F435" s="257" t="s">
        <v>14412</v>
      </c>
      <c r="G435" s="258">
        <v>5.24</v>
      </c>
      <c r="H435" s="152"/>
      <c r="I435" s="160">
        <f t="shared" si="6"/>
        <v>54573.580000000024</v>
      </c>
    </row>
    <row r="436" spans="2:9" hidden="1" x14ac:dyDescent="0.25">
      <c r="B436" s="148"/>
      <c r="C436" s="148" t="s">
        <v>20475</v>
      </c>
      <c r="D436" s="150">
        <v>43998</v>
      </c>
      <c r="E436" s="113" t="s">
        <v>20474</v>
      </c>
      <c r="F436" s="257" t="s">
        <v>14412</v>
      </c>
      <c r="G436" s="258">
        <v>10.18</v>
      </c>
      <c r="H436" s="152"/>
      <c r="I436" s="160">
        <f t="shared" si="6"/>
        <v>54583.760000000024</v>
      </c>
    </row>
    <row r="437" spans="2:9" ht="19.5" hidden="1" x14ac:dyDescent="0.25">
      <c r="B437" s="148"/>
      <c r="C437" s="148" t="s">
        <v>20473</v>
      </c>
      <c r="D437" s="150">
        <v>43998</v>
      </c>
      <c r="E437" s="113" t="s">
        <v>20472</v>
      </c>
      <c r="F437" s="257" t="s">
        <v>14412</v>
      </c>
      <c r="G437" s="258">
        <v>9.0500000000000007</v>
      </c>
      <c r="H437" s="152"/>
      <c r="I437" s="160">
        <f t="shared" si="6"/>
        <v>54592.810000000027</v>
      </c>
    </row>
    <row r="438" spans="2:9" ht="19.5" hidden="1" x14ac:dyDescent="0.25">
      <c r="B438" s="148"/>
      <c r="C438" s="148" t="s">
        <v>20471</v>
      </c>
      <c r="D438" s="150">
        <v>43998</v>
      </c>
      <c r="E438" s="113" t="s">
        <v>20470</v>
      </c>
      <c r="F438" s="257" t="s">
        <v>14412</v>
      </c>
      <c r="G438" s="258">
        <v>7.41</v>
      </c>
      <c r="H438" s="152"/>
      <c r="I438" s="160">
        <f t="shared" si="6"/>
        <v>54600.22000000003</v>
      </c>
    </row>
    <row r="439" spans="2:9" ht="19.5" hidden="1" x14ac:dyDescent="0.25">
      <c r="B439" s="148"/>
      <c r="C439" s="148" t="s">
        <v>20469</v>
      </c>
      <c r="D439" s="150">
        <v>43998</v>
      </c>
      <c r="E439" s="113" t="s">
        <v>20468</v>
      </c>
      <c r="F439" s="257">
        <v>12</v>
      </c>
      <c r="G439" s="255">
        <v>5.15</v>
      </c>
      <c r="H439" s="152"/>
      <c r="I439" s="160">
        <f t="shared" si="6"/>
        <v>54605.370000000032</v>
      </c>
    </row>
    <row r="440" spans="2:9" ht="19.5" hidden="1" x14ac:dyDescent="0.25">
      <c r="B440" s="148"/>
      <c r="C440" s="148" t="s">
        <v>20467</v>
      </c>
      <c r="D440" s="150">
        <v>43998</v>
      </c>
      <c r="E440" s="113" t="s">
        <v>20466</v>
      </c>
      <c r="F440" s="257">
        <v>12</v>
      </c>
      <c r="G440" s="255">
        <v>9.17</v>
      </c>
      <c r="H440" s="152"/>
      <c r="I440" s="160">
        <f t="shared" si="6"/>
        <v>54614.54000000003</v>
      </c>
    </row>
    <row r="441" spans="2:9" hidden="1" x14ac:dyDescent="0.25">
      <c r="B441" s="148"/>
      <c r="C441" s="148" t="s">
        <v>20465</v>
      </c>
      <c r="D441" s="150">
        <v>43998</v>
      </c>
      <c r="E441" s="113" t="s">
        <v>20464</v>
      </c>
      <c r="F441" s="257">
        <v>12</v>
      </c>
      <c r="G441" s="255">
        <v>6.09</v>
      </c>
      <c r="H441" s="152"/>
      <c r="I441" s="160">
        <f t="shared" si="6"/>
        <v>54620.630000000026</v>
      </c>
    </row>
    <row r="442" spans="2:9" hidden="1" x14ac:dyDescent="0.25">
      <c r="B442" s="148"/>
      <c r="C442" s="148" t="s">
        <v>20463</v>
      </c>
      <c r="D442" s="150">
        <v>43998</v>
      </c>
      <c r="E442" s="113" t="s">
        <v>20462</v>
      </c>
      <c r="F442" s="257">
        <v>12</v>
      </c>
      <c r="G442" s="255">
        <v>15.64</v>
      </c>
      <c r="H442" s="152"/>
      <c r="I442" s="160">
        <f t="shared" si="6"/>
        <v>54636.270000000026</v>
      </c>
    </row>
    <row r="443" spans="2:9" hidden="1" x14ac:dyDescent="0.25">
      <c r="B443" s="148"/>
      <c r="C443" s="148" t="s">
        <v>20461</v>
      </c>
      <c r="D443" s="150">
        <v>43998</v>
      </c>
      <c r="E443" s="113" t="s">
        <v>20460</v>
      </c>
      <c r="F443" s="257" t="s">
        <v>14436</v>
      </c>
      <c r="G443" s="160">
        <v>32.51</v>
      </c>
      <c r="H443" s="152"/>
      <c r="I443" s="160">
        <f t="shared" si="6"/>
        <v>54668.780000000028</v>
      </c>
    </row>
    <row r="444" spans="2:9" hidden="1" x14ac:dyDescent="0.25">
      <c r="B444" s="148"/>
      <c r="C444" s="148" t="s">
        <v>1742</v>
      </c>
      <c r="D444" s="150">
        <v>43998</v>
      </c>
      <c r="E444" s="113" t="s">
        <v>20459</v>
      </c>
      <c r="F444" s="257" t="s">
        <v>14433</v>
      </c>
      <c r="G444" s="152"/>
      <c r="H444" s="161">
        <v>2800</v>
      </c>
      <c r="I444" s="160">
        <f t="shared" si="6"/>
        <v>51868.780000000028</v>
      </c>
    </row>
    <row r="445" spans="2:9" ht="19.5" hidden="1" x14ac:dyDescent="0.25">
      <c r="B445" s="148"/>
      <c r="C445" s="148" t="s">
        <v>1430</v>
      </c>
      <c r="D445" s="150">
        <v>43998</v>
      </c>
      <c r="E445" s="113" t="s">
        <v>20458</v>
      </c>
      <c r="F445" s="257" t="s">
        <v>14433</v>
      </c>
      <c r="G445" s="152"/>
      <c r="H445" s="161">
        <v>1800</v>
      </c>
      <c r="I445" s="160">
        <f t="shared" si="6"/>
        <v>50068.780000000028</v>
      </c>
    </row>
    <row r="446" spans="2:9" hidden="1" x14ac:dyDescent="0.25">
      <c r="B446" s="148"/>
      <c r="C446" s="148" t="s">
        <v>1428</v>
      </c>
      <c r="D446" s="150">
        <v>43998</v>
      </c>
      <c r="E446" s="113" t="s">
        <v>20457</v>
      </c>
      <c r="F446" s="257" t="s">
        <v>14433</v>
      </c>
      <c r="G446" s="152"/>
      <c r="H446" s="161">
        <v>521.77</v>
      </c>
      <c r="I446" s="160">
        <f t="shared" si="6"/>
        <v>49547.010000000031</v>
      </c>
    </row>
    <row r="447" spans="2:9" hidden="1" x14ac:dyDescent="0.25">
      <c r="B447" s="148"/>
      <c r="C447" s="148" t="s">
        <v>20456</v>
      </c>
      <c r="D447" s="150">
        <v>43999</v>
      </c>
      <c r="E447" s="113" t="s">
        <v>20455</v>
      </c>
      <c r="F447" s="257" t="s">
        <v>14436</v>
      </c>
      <c r="G447" s="160">
        <v>11.67</v>
      </c>
      <c r="H447" s="152"/>
      <c r="I447" s="160">
        <f t="shared" si="6"/>
        <v>49558.680000000029</v>
      </c>
    </row>
    <row r="448" spans="2:9" hidden="1" x14ac:dyDescent="0.25">
      <c r="B448" s="148"/>
      <c r="C448" s="148" t="s">
        <v>20454</v>
      </c>
      <c r="D448" s="150">
        <v>43999</v>
      </c>
      <c r="E448" s="113" t="s">
        <v>20453</v>
      </c>
      <c r="F448" s="257" t="s">
        <v>14412</v>
      </c>
      <c r="G448" s="258">
        <v>2.93</v>
      </c>
      <c r="H448" s="152"/>
      <c r="I448" s="160">
        <f t="shared" si="6"/>
        <v>49561.61000000003</v>
      </c>
    </row>
    <row r="449" spans="2:9" ht="19.5" hidden="1" x14ac:dyDescent="0.25">
      <c r="B449" s="148"/>
      <c r="C449" s="148" t="s">
        <v>20452</v>
      </c>
      <c r="D449" s="150">
        <v>43999</v>
      </c>
      <c r="E449" s="113" t="s">
        <v>20451</v>
      </c>
      <c r="F449" s="257" t="s">
        <v>14412</v>
      </c>
      <c r="G449" s="258">
        <v>5.04</v>
      </c>
      <c r="H449" s="152"/>
      <c r="I449" s="160">
        <f t="shared" si="6"/>
        <v>49566.650000000031</v>
      </c>
    </row>
    <row r="450" spans="2:9" hidden="1" x14ac:dyDescent="0.25">
      <c r="B450" s="148"/>
      <c r="C450" s="148" t="s">
        <v>20450</v>
      </c>
      <c r="D450" s="150">
        <v>43999</v>
      </c>
      <c r="E450" s="113" t="s">
        <v>20449</v>
      </c>
      <c r="F450" s="257" t="s">
        <v>14412</v>
      </c>
      <c r="G450" s="258">
        <v>12.54</v>
      </c>
      <c r="H450" s="152"/>
      <c r="I450" s="160">
        <f t="shared" si="6"/>
        <v>49579.190000000031</v>
      </c>
    </row>
    <row r="451" spans="2:9" hidden="1" x14ac:dyDescent="0.25">
      <c r="B451" s="148"/>
      <c r="C451" s="148" t="s">
        <v>20448</v>
      </c>
      <c r="D451" s="150">
        <v>43999</v>
      </c>
      <c r="E451" s="113" t="s">
        <v>20447</v>
      </c>
      <c r="F451" s="257" t="s">
        <v>14412</v>
      </c>
      <c r="G451" s="258">
        <v>5.8</v>
      </c>
      <c r="H451" s="152"/>
      <c r="I451" s="160">
        <f t="shared" si="6"/>
        <v>49584.990000000034</v>
      </c>
    </row>
    <row r="452" spans="2:9" hidden="1" x14ac:dyDescent="0.25">
      <c r="B452" s="148"/>
      <c r="C452" s="148" t="s">
        <v>20446</v>
      </c>
      <c r="D452" s="150">
        <v>43999</v>
      </c>
      <c r="E452" s="113" t="s">
        <v>20445</v>
      </c>
      <c r="F452" s="257" t="s">
        <v>14412</v>
      </c>
      <c r="G452" s="258">
        <v>5.44</v>
      </c>
      <c r="H452" s="152"/>
      <c r="I452" s="160">
        <f t="shared" si="6"/>
        <v>49590.430000000037</v>
      </c>
    </row>
    <row r="453" spans="2:9" hidden="1" x14ac:dyDescent="0.25">
      <c r="B453" s="148"/>
      <c r="C453" s="148" t="s">
        <v>20444</v>
      </c>
      <c r="D453" s="150">
        <v>43999</v>
      </c>
      <c r="E453" s="113" t="s">
        <v>20443</v>
      </c>
      <c r="F453" s="257" t="s">
        <v>14412</v>
      </c>
      <c r="G453" s="258">
        <v>18.309999999999999</v>
      </c>
      <c r="H453" s="152"/>
      <c r="I453" s="160">
        <f t="shared" si="6"/>
        <v>49608.740000000034</v>
      </c>
    </row>
    <row r="454" spans="2:9" ht="19.5" hidden="1" x14ac:dyDescent="0.25">
      <c r="B454" s="148"/>
      <c r="C454" s="148" t="s">
        <v>20442</v>
      </c>
      <c r="D454" s="150">
        <v>43999</v>
      </c>
      <c r="E454" s="113" t="s">
        <v>20441</v>
      </c>
      <c r="F454" s="257" t="s">
        <v>14412</v>
      </c>
      <c r="G454" s="258">
        <v>14.36</v>
      </c>
      <c r="H454" s="152"/>
      <c r="I454" s="160">
        <f t="shared" si="6"/>
        <v>49623.100000000035</v>
      </c>
    </row>
    <row r="455" spans="2:9" hidden="1" x14ac:dyDescent="0.25">
      <c r="B455" s="148"/>
      <c r="C455" s="148" t="s">
        <v>20440</v>
      </c>
      <c r="D455" s="150">
        <v>43999</v>
      </c>
      <c r="E455" s="113" t="s">
        <v>20439</v>
      </c>
      <c r="F455" s="257" t="s">
        <v>14412</v>
      </c>
      <c r="G455" s="258">
        <v>3.12</v>
      </c>
      <c r="H455" s="152"/>
      <c r="I455" s="160">
        <f t="shared" si="6"/>
        <v>49626.220000000038</v>
      </c>
    </row>
    <row r="456" spans="2:9" ht="19.5" hidden="1" x14ac:dyDescent="0.25">
      <c r="B456" s="148"/>
      <c r="C456" s="148" t="s">
        <v>20438</v>
      </c>
      <c r="D456" s="150">
        <v>43999</v>
      </c>
      <c r="E456" s="113" t="s">
        <v>20437</v>
      </c>
      <c r="F456" s="257" t="s">
        <v>14412</v>
      </c>
      <c r="G456" s="258">
        <v>11.18</v>
      </c>
      <c r="H456" s="152"/>
      <c r="I456" s="160">
        <f t="shared" si="6"/>
        <v>49637.400000000038</v>
      </c>
    </row>
    <row r="457" spans="2:9" hidden="1" x14ac:dyDescent="0.25">
      <c r="B457" s="148"/>
      <c r="C457" s="148" t="s">
        <v>20436</v>
      </c>
      <c r="D457" s="150">
        <v>43999</v>
      </c>
      <c r="E457" s="113" t="s">
        <v>20435</v>
      </c>
      <c r="F457" s="257" t="s">
        <v>14412</v>
      </c>
      <c r="G457" s="258">
        <v>4.1100000000000003</v>
      </c>
      <c r="H457" s="152"/>
      <c r="I457" s="160">
        <f t="shared" si="6"/>
        <v>49641.510000000038</v>
      </c>
    </row>
    <row r="458" spans="2:9" hidden="1" x14ac:dyDescent="0.25">
      <c r="B458" s="148"/>
      <c r="C458" s="148" t="s">
        <v>20434</v>
      </c>
      <c r="D458" s="150">
        <v>43999</v>
      </c>
      <c r="E458" s="113" t="s">
        <v>20433</v>
      </c>
      <c r="F458" s="257" t="s">
        <v>14412</v>
      </c>
      <c r="G458" s="258">
        <v>37.39</v>
      </c>
      <c r="H458" s="152"/>
      <c r="I458" s="160">
        <f t="shared" si="6"/>
        <v>49678.900000000038</v>
      </c>
    </row>
    <row r="459" spans="2:9" hidden="1" x14ac:dyDescent="0.25">
      <c r="B459" s="148"/>
      <c r="C459" s="148" t="s">
        <v>20432</v>
      </c>
      <c r="D459" s="150">
        <v>43999</v>
      </c>
      <c r="E459" s="113" t="s">
        <v>20431</v>
      </c>
      <c r="F459" s="257">
        <v>13</v>
      </c>
      <c r="G459" s="255">
        <v>3.55</v>
      </c>
      <c r="H459" s="152"/>
      <c r="I459" s="160">
        <f t="shared" si="6"/>
        <v>49682.450000000041</v>
      </c>
    </row>
    <row r="460" spans="2:9" ht="19.5" hidden="1" x14ac:dyDescent="0.25">
      <c r="B460" s="148"/>
      <c r="C460" s="148" t="s">
        <v>20430</v>
      </c>
      <c r="D460" s="150">
        <v>43999</v>
      </c>
      <c r="E460" s="113" t="s">
        <v>20429</v>
      </c>
      <c r="F460" s="257">
        <v>13</v>
      </c>
      <c r="G460" s="255">
        <v>9.48</v>
      </c>
      <c r="H460" s="152"/>
      <c r="I460" s="160">
        <f t="shared" si="6"/>
        <v>49691.930000000044</v>
      </c>
    </row>
    <row r="461" spans="2:9" hidden="1" x14ac:dyDescent="0.25">
      <c r="B461" s="148"/>
      <c r="C461" s="148" t="s">
        <v>20428</v>
      </c>
      <c r="D461" s="150">
        <v>43999</v>
      </c>
      <c r="E461" s="113" t="s">
        <v>20427</v>
      </c>
      <c r="F461" s="257">
        <v>13</v>
      </c>
      <c r="G461" s="255">
        <v>53.95</v>
      </c>
      <c r="H461" s="152"/>
      <c r="I461" s="160">
        <f t="shared" si="6"/>
        <v>49745.880000000041</v>
      </c>
    </row>
    <row r="462" spans="2:9" ht="19.5" hidden="1" x14ac:dyDescent="0.25">
      <c r="B462" s="148"/>
      <c r="C462" s="148" t="s">
        <v>20426</v>
      </c>
      <c r="D462" s="150">
        <v>43999</v>
      </c>
      <c r="E462" s="113" t="s">
        <v>20425</v>
      </c>
      <c r="F462" s="257" t="s">
        <v>14436</v>
      </c>
      <c r="G462" s="160">
        <v>10.08</v>
      </c>
      <c r="H462" s="152"/>
      <c r="I462" s="160">
        <f t="shared" si="6"/>
        <v>49755.960000000043</v>
      </c>
    </row>
    <row r="463" spans="2:9" hidden="1" x14ac:dyDescent="0.25">
      <c r="B463" s="148"/>
      <c r="C463" s="148" t="s">
        <v>20424</v>
      </c>
      <c r="D463" s="150">
        <v>44000</v>
      </c>
      <c r="E463" s="113" t="s">
        <v>20423</v>
      </c>
      <c r="F463" s="257" t="s">
        <v>14436</v>
      </c>
      <c r="G463" s="160">
        <v>1.68</v>
      </c>
      <c r="H463" s="152"/>
      <c r="I463" s="160">
        <f t="shared" si="6"/>
        <v>49757.640000000043</v>
      </c>
    </row>
    <row r="464" spans="2:9" hidden="1" x14ac:dyDescent="0.25">
      <c r="B464" s="148"/>
      <c r="C464" s="148" t="s">
        <v>20422</v>
      </c>
      <c r="D464" s="150">
        <v>44000</v>
      </c>
      <c r="E464" s="113" t="s">
        <v>20421</v>
      </c>
      <c r="F464" s="257" t="s">
        <v>14412</v>
      </c>
      <c r="G464" s="258">
        <v>1.99</v>
      </c>
      <c r="H464" s="152"/>
      <c r="I464" s="160">
        <f t="shared" si="6"/>
        <v>49759.630000000041</v>
      </c>
    </row>
    <row r="465" spans="2:9" hidden="1" x14ac:dyDescent="0.25">
      <c r="B465" s="148"/>
      <c r="C465" s="148" t="s">
        <v>20420</v>
      </c>
      <c r="D465" s="150">
        <v>44000</v>
      </c>
      <c r="E465" s="113" t="s">
        <v>20419</v>
      </c>
      <c r="F465" s="257" t="s">
        <v>14412</v>
      </c>
      <c r="G465" s="258">
        <v>8.3800000000000008</v>
      </c>
      <c r="H465" s="152"/>
      <c r="I465" s="160">
        <f t="shared" si="6"/>
        <v>49768.010000000038</v>
      </c>
    </row>
    <row r="466" spans="2:9" ht="19.5" hidden="1" x14ac:dyDescent="0.25">
      <c r="B466" s="148"/>
      <c r="C466" s="148" t="s">
        <v>20418</v>
      </c>
      <c r="D466" s="150">
        <v>44000</v>
      </c>
      <c r="E466" s="113" t="s">
        <v>20417</v>
      </c>
      <c r="F466" s="257" t="s">
        <v>14412</v>
      </c>
      <c r="G466" s="258">
        <v>38.049999999999997</v>
      </c>
      <c r="H466" s="152"/>
      <c r="I466" s="160">
        <f t="shared" si="6"/>
        <v>49806.060000000041</v>
      </c>
    </row>
    <row r="467" spans="2:9" hidden="1" x14ac:dyDescent="0.25">
      <c r="B467" s="148"/>
      <c r="C467" s="148" t="s">
        <v>20416</v>
      </c>
      <c r="D467" s="150">
        <v>44000</v>
      </c>
      <c r="E467" s="113" t="s">
        <v>20415</v>
      </c>
      <c r="F467" s="257" t="s">
        <v>14412</v>
      </c>
      <c r="G467" s="258">
        <v>15.3</v>
      </c>
      <c r="H467" s="152"/>
      <c r="I467" s="160">
        <f t="shared" si="6"/>
        <v>49821.360000000044</v>
      </c>
    </row>
    <row r="468" spans="2:9" hidden="1" x14ac:dyDescent="0.25">
      <c r="B468" s="148"/>
      <c r="C468" s="148" t="s">
        <v>20414</v>
      </c>
      <c r="D468" s="150">
        <v>44000</v>
      </c>
      <c r="E468" s="113" t="s">
        <v>20413</v>
      </c>
      <c r="F468" s="257" t="s">
        <v>14412</v>
      </c>
      <c r="G468" s="258">
        <v>10.44</v>
      </c>
      <c r="H468" s="152"/>
      <c r="I468" s="160">
        <f t="shared" ref="I468:I531" si="7">+I467+G468-H468</f>
        <v>49831.800000000047</v>
      </c>
    </row>
    <row r="469" spans="2:9" ht="19.5" hidden="1" x14ac:dyDescent="0.25">
      <c r="B469" s="148"/>
      <c r="C469" s="148" t="s">
        <v>20412</v>
      </c>
      <c r="D469" s="150">
        <v>44000</v>
      </c>
      <c r="E469" s="113" t="s">
        <v>20411</v>
      </c>
      <c r="F469" s="257" t="s">
        <v>14412</v>
      </c>
      <c r="G469" s="258">
        <v>12.57</v>
      </c>
      <c r="H469" s="152"/>
      <c r="I469" s="160">
        <f t="shared" si="7"/>
        <v>49844.370000000046</v>
      </c>
    </row>
    <row r="470" spans="2:9" hidden="1" x14ac:dyDescent="0.25">
      <c r="B470" s="148"/>
      <c r="C470" s="148" t="s">
        <v>20410</v>
      </c>
      <c r="D470" s="150">
        <v>44000</v>
      </c>
      <c r="E470" s="113" t="s">
        <v>20409</v>
      </c>
      <c r="F470" s="257" t="s">
        <v>14412</v>
      </c>
      <c r="G470" s="258">
        <v>1.08</v>
      </c>
      <c r="H470" s="152"/>
      <c r="I470" s="160">
        <f t="shared" si="7"/>
        <v>49845.450000000048</v>
      </c>
    </row>
    <row r="471" spans="2:9" hidden="1" x14ac:dyDescent="0.25">
      <c r="B471" s="148"/>
      <c r="C471" s="148" t="s">
        <v>20408</v>
      </c>
      <c r="D471" s="150">
        <v>44000</v>
      </c>
      <c r="E471" s="113" t="s">
        <v>20407</v>
      </c>
      <c r="F471" s="257" t="s">
        <v>14412</v>
      </c>
      <c r="G471" s="258">
        <v>16.079999999999998</v>
      </c>
      <c r="H471" s="152"/>
      <c r="I471" s="160">
        <f t="shared" si="7"/>
        <v>49861.53000000005</v>
      </c>
    </row>
    <row r="472" spans="2:9" hidden="1" x14ac:dyDescent="0.25">
      <c r="B472" s="148"/>
      <c r="C472" s="148" t="s">
        <v>20406</v>
      </c>
      <c r="D472" s="150">
        <v>44000</v>
      </c>
      <c r="E472" s="113" t="s">
        <v>20405</v>
      </c>
      <c r="F472" s="257" t="s">
        <v>14412</v>
      </c>
      <c r="G472" s="258">
        <v>2.5299999999999998</v>
      </c>
      <c r="H472" s="152"/>
      <c r="I472" s="160">
        <f t="shared" si="7"/>
        <v>49864.060000000049</v>
      </c>
    </row>
    <row r="473" spans="2:9" hidden="1" x14ac:dyDescent="0.25">
      <c r="B473" s="148"/>
      <c r="C473" s="148" t="s">
        <v>20404</v>
      </c>
      <c r="D473" s="150">
        <v>44000</v>
      </c>
      <c r="E473" s="113" t="s">
        <v>20403</v>
      </c>
      <c r="F473" s="257" t="s">
        <v>14412</v>
      </c>
      <c r="G473" s="258">
        <v>6.43</v>
      </c>
      <c r="H473" s="152"/>
      <c r="I473" s="160">
        <f t="shared" si="7"/>
        <v>49870.490000000049</v>
      </c>
    </row>
    <row r="474" spans="2:9" ht="19.5" hidden="1" x14ac:dyDescent="0.25">
      <c r="B474" s="148"/>
      <c r="C474" s="148" t="s">
        <v>20402</v>
      </c>
      <c r="D474" s="150">
        <v>44000</v>
      </c>
      <c r="E474" s="113" t="s">
        <v>20401</v>
      </c>
      <c r="F474" s="257" t="s">
        <v>14412</v>
      </c>
      <c r="G474" s="258">
        <v>41.95</v>
      </c>
      <c r="H474" s="152"/>
      <c r="I474" s="160">
        <f t="shared" si="7"/>
        <v>49912.440000000046</v>
      </c>
    </row>
    <row r="475" spans="2:9" hidden="1" x14ac:dyDescent="0.25">
      <c r="B475" s="148"/>
      <c r="C475" s="148" t="s">
        <v>20400</v>
      </c>
      <c r="D475" s="150">
        <v>44000</v>
      </c>
      <c r="E475" s="113" t="s">
        <v>20399</v>
      </c>
      <c r="F475" s="257" t="s">
        <v>14412</v>
      </c>
      <c r="G475" s="258">
        <v>5.39</v>
      </c>
      <c r="H475" s="152"/>
      <c r="I475" s="160">
        <f t="shared" si="7"/>
        <v>49917.830000000045</v>
      </c>
    </row>
    <row r="476" spans="2:9" hidden="1" x14ac:dyDescent="0.25">
      <c r="B476" s="148"/>
      <c r="C476" s="148" t="s">
        <v>20398</v>
      </c>
      <c r="D476" s="150">
        <v>44000</v>
      </c>
      <c r="E476" s="113" t="s">
        <v>20397</v>
      </c>
      <c r="F476" s="257" t="s">
        <v>14412</v>
      </c>
      <c r="G476" s="258">
        <v>3.27</v>
      </c>
      <c r="H476" s="152"/>
      <c r="I476" s="160">
        <f t="shared" si="7"/>
        <v>49921.100000000042</v>
      </c>
    </row>
    <row r="477" spans="2:9" hidden="1" x14ac:dyDescent="0.25">
      <c r="B477" s="148"/>
      <c r="C477" s="148" t="s">
        <v>20396</v>
      </c>
      <c r="D477" s="150">
        <v>44000</v>
      </c>
      <c r="E477" s="113" t="s">
        <v>20395</v>
      </c>
      <c r="F477" s="257">
        <v>14</v>
      </c>
      <c r="G477" s="255">
        <v>13.48</v>
      </c>
      <c r="H477" s="152"/>
      <c r="I477" s="160">
        <f t="shared" si="7"/>
        <v>49934.580000000045</v>
      </c>
    </row>
    <row r="478" spans="2:9" hidden="1" x14ac:dyDescent="0.25">
      <c r="B478" s="148"/>
      <c r="C478" s="148" t="s">
        <v>20394</v>
      </c>
      <c r="D478" s="150">
        <v>44000</v>
      </c>
      <c r="E478" s="113" t="s">
        <v>20393</v>
      </c>
      <c r="F478" s="257">
        <v>14</v>
      </c>
      <c r="G478" s="255">
        <v>25.14</v>
      </c>
      <c r="H478" s="152"/>
      <c r="I478" s="160">
        <f t="shared" si="7"/>
        <v>49959.720000000045</v>
      </c>
    </row>
    <row r="479" spans="2:9" hidden="1" x14ac:dyDescent="0.25">
      <c r="B479" s="148"/>
      <c r="C479" s="148" t="s">
        <v>19213</v>
      </c>
      <c r="D479" s="150">
        <v>44000</v>
      </c>
      <c r="E479" s="113" t="s">
        <v>20392</v>
      </c>
      <c r="F479" s="257" t="s">
        <v>14433</v>
      </c>
      <c r="G479" s="152"/>
      <c r="H479" s="161">
        <v>126.07</v>
      </c>
      <c r="I479" s="160">
        <f t="shared" si="7"/>
        <v>49833.650000000045</v>
      </c>
    </row>
    <row r="480" spans="2:9" ht="19.5" hidden="1" x14ac:dyDescent="0.25">
      <c r="B480" s="148"/>
      <c r="C480" s="148" t="s">
        <v>20391</v>
      </c>
      <c r="D480" s="150">
        <v>44001</v>
      </c>
      <c r="E480" s="113" t="s">
        <v>20390</v>
      </c>
      <c r="F480" s="257" t="s">
        <v>18712</v>
      </c>
      <c r="G480" s="160">
        <v>6.2</v>
      </c>
      <c r="H480" s="152"/>
      <c r="I480" s="160">
        <f t="shared" si="7"/>
        <v>49839.850000000042</v>
      </c>
    </row>
    <row r="481" spans="2:9" hidden="1" x14ac:dyDescent="0.25">
      <c r="B481" s="148"/>
      <c r="C481" s="148" t="s">
        <v>20389</v>
      </c>
      <c r="D481" s="150">
        <v>44001</v>
      </c>
      <c r="E481" s="113" t="s">
        <v>20388</v>
      </c>
      <c r="F481" s="257" t="s">
        <v>14413</v>
      </c>
      <c r="G481" s="258">
        <v>27.08</v>
      </c>
      <c r="H481" s="152"/>
      <c r="I481" s="160">
        <f t="shared" si="7"/>
        <v>49866.930000000044</v>
      </c>
    </row>
    <row r="482" spans="2:9" hidden="1" x14ac:dyDescent="0.25">
      <c r="B482" s="148"/>
      <c r="C482" s="148" t="s">
        <v>20387</v>
      </c>
      <c r="D482" s="150">
        <v>44001</v>
      </c>
      <c r="E482" s="113" t="s">
        <v>20386</v>
      </c>
      <c r="F482" s="257" t="s">
        <v>14413</v>
      </c>
      <c r="G482" s="258">
        <v>7.0000000000000007E-2</v>
      </c>
      <c r="H482" s="152"/>
      <c r="I482" s="160">
        <f t="shared" si="7"/>
        <v>49867.000000000044</v>
      </c>
    </row>
    <row r="483" spans="2:9" ht="19.5" hidden="1" x14ac:dyDescent="0.25">
      <c r="B483" s="148"/>
      <c r="C483" s="148" t="s">
        <v>20385</v>
      </c>
      <c r="D483" s="150">
        <v>44001</v>
      </c>
      <c r="E483" s="113" t="s">
        <v>20384</v>
      </c>
      <c r="F483" s="257" t="s">
        <v>14413</v>
      </c>
      <c r="G483" s="258">
        <v>3.36</v>
      </c>
      <c r="H483" s="152"/>
      <c r="I483" s="160">
        <f t="shared" si="7"/>
        <v>49870.360000000044</v>
      </c>
    </row>
    <row r="484" spans="2:9" hidden="1" x14ac:dyDescent="0.25">
      <c r="B484" s="148"/>
      <c r="C484" s="148" t="s">
        <v>20383</v>
      </c>
      <c r="D484" s="150">
        <v>44001</v>
      </c>
      <c r="E484" s="113" t="s">
        <v>20382</v>
      </c>
      <c r="F484" s="257" t="s">
        <v>14413</v>
      </c>
      <c r="G484" s="258">
        <v>17.96</v>
      </c>
      <c r="H484" s="152"/>
      <c r="I484" s="160">
        <f t="shared" si="7"/>
        <v>49888.320000000043</v>
      </c>
    </row>
    <row r="485" spans="2:9" ht="19.5" hidden="1" x14ac:dyDescent="0.25">
      <c r="B485" s="148"/>
      <c r="C485" s="148" t="s">
        <v>20381</v>
      </c>
      <c r="D485" s="150">
        <v>44001</v>
      </c>
      <c r="E485" s="113" t="s">
        <v>20380</v>
      </c>
      <c r="F485" s="257" t="s">
        <v>14413</v>
      </c>
      <c r="G485" s="258">
        <v>17.64</v>
      </c>
      <c r="H485" s="152"/>
      <c r="I485" s="160">
        <f t="shared" si="7"/>
        <v>49905.960000000043</v>
      </c>
    </row>
    <row r="486" spans="2:9" hidden="1" x14ac:dyDescent="0.25">
      <c r="B486" s="148"/>
      <c r="C486" s="148" t="s">
        <v>20379</v>
      </c>
      <c r="D486" s="150">
        <v>44001</v>
      </c>
      <c r="E486" s="113" t="s">
        <v>20378</v>
      </c>
      <c r="F486" s="257" t="s">
        <v>14413</v>
      </c>
      <c r="G486" s="258">
        <v>5.51</v>
      </c>
      <c r="H486" s="152"/>
      <c r="I486" s="160">
        <f t="shared" si="7"/>
        <v>49911.470000000045</v>
      </c>
    </row>
    <row r="487" spans="2:9" ht="19.5" hidden="1" x14ac:dyDescent="0.25">
      <c r="B487" s="148"/>
      <c r="C487" s="148" t="s">
        <v>20377</v>
      </c>
      <c r="D487" s="150">
        <v>44001</v>
      </c>
      <c r="E487" s="113" t="s">
        <v>20376</v>
      </c>
      <c r="F487" s="257" t="s">
        <v>14413</v>
      </c>
      <c r="G487" s="258">
        <v>5.04</v>
      </c>
      <c r="H487" s="152"/>
      <c r="I487" s="160">
        <f t="shared" si="7"/>
        <v>49916.510000000046</v>
      </c>
    </row>
    <row r="488" spans="2:9" ht="19.5" hidden="1" x14ac:dyDescent="0.25">
      <c r="B488" s="148"/>
      <c r="C488" s="148" t="s">
        <v>20375</v>
      </c>
      <c r="D488" s="150">
        <v>44001</v>
      </c>
      <c r="E488" s="113" t="s">
        <v>20374</v>
      </c>
      <c r="F488" s="257" t="s">
        <v>14413</v>
      </c>
      <c r="G488" s="258">
        <v>13.52</v>
      </c>
      <c r="H488" s="152"/>
      <c r="I488" s="160">
        <f t="shared" si="7"/>
        <v>49930.030000000042</v>
      </c>
    </row>
    <row r="489" spans="2:9" hidden="1" x14ac:dyDescent="0.25">
      <c r="B489" s="148"/>
      <c r="C489" s="148" t="s">
        <v>20373</v>
      </c>
      <c r="D489" s="150">
        <v>44001</v>
      </c>
      <c r="E489" s="113" t="s">
        <v>20372</v>
      </c>
      <c r="F489" s="257" t="s">
        <v>14413</v>
      </c>
      <c r="G489" s="258">
        <v>5.14</v>
      </c>
      <c r="H489" s="152"/>
      <c r="I489" s="160">
        <f t="shared" si="7"/>
        <v>49935.170000000042</v>
      </c>
    </row>
    <row r="490" spans="2:9" ht="19.5" hidden="1" x14ac:dyDescent="0.25">
      <c r="B490" s="148"/>
      <c r="C490" s="148" t="s">
        <v>20371</v>
      </c>
      <c r="D490" s="150">
        <v>44001</v>
      </c>
      <c r="E490" s="113" t="s">
        <v>20370</v>
      </c>
      <c r="F490" s="257" t="s">
        <v>14413</v>
      </c>
      <c r="G490" s="258">
        <v>6.92</v>
      </c>
      <c r="H490" s="152"/>
      <c r="I490" s="160">
        <f t="shared" si="7"/>
        <v>49942.09000000004</v>
      </c>
    </row>
    <row r="491" spans="2:9" hidden="1" x14ac:dyDescent="0.25">
      <c r="B491" s="148"/>
      <c r="C491" s="148" t="s">
        <v>20369</v>
      </c>
      <c r="D491" s="150">
        <v>44001</v>
      </c>
      <c r="E491" s="113" t="s">
        <v>20368</v>
      </c>
      <c r="F491" s="257" t="s">
        <v>14413</v>
      </c>
      <c r="G491" s="258">
        <v>1.68</v>
      </c>
      <c r="H491" s="152"/>
      <c r="I491" s="160">
        <f t="shared" si="7"/>
        <v>49943.77000000004</v>
      </c>
    </row>
    <row r="492" spans="2:9" ht="19.5" hidden="1" x14ac:dyDescent="0.25">
      <c r="B492" s="148"/>
      <c r="C492" s="148" t="s">
        <v>20367</v>
      </c>
      <c r="D492" s="150">
        <v>44001</v>
      </c>
      <c r="E492" s="113" t="s">
        <v>20366</v>
      </c>
      <c r="F492" s="257" t="s">
        <v>14413</v>
      </c>
      <c r="G492" s="258">
        <v>17.32</v>
      </c>
      <c r="H492" s="152"/>
      <c r="I492" s="160">
        <f t="shared" si="7"/>
        <v>49961.09000000004</v>
      </c>
    </row>
    <row r="493" spans="2:9" hidden="1" x14ac:dyDescent="0.25">
      <c r="B493" s="148"/>
      <c r="C493" s="148" t="s">
        <v>20365</v>
      </c>
      <c r="D493" s="150">
        <v>44001</v>
      </c>
      <c r="E493" s="113" t="s">
        <v>20364</v>
      </c>
      <c r="F493" s="257">
        <v>15</v>
      </c>
      <c r="G493" s="255">
        <v>6.13</v>
      </c>
      <c r="H493" s="152"/>
      <c r="I493" s="160">
        <f t="shared" si="7"/>
        <v>49967.220000000038</v>
      </c>
    </row>
    <row r="494" spans="2:9" hidden="1" x14ac:dyDescent="0.25">
      <c r="B494" s="148"/>
      <c r="C494" s="148" t="s">
        <v>20363</v>
      </c>
      <c r="D494" s="150">
        <v>44001</v>
      </c>
      <c r="E494" s="113" t="s">
        <v>20362</v>
      </c>
      <c r="F494" s="257">
        <v>15</v>
      </c>
      <c r="G494" s="255">
        <v>7.87</v>
      </c>
      <c r="H494" s="152"/>
      <c r="I494" s="160">
        <f t="shared" si="7"/>
        <v>49975.09000000004</v>
      </c>
    </row>
    <row r="495" spans="2:9" hidden="1" x14ac:dyDescent="0.25">
      <c r="B495" s="148"/>
      <c r="C495" s="148" t="s">
        <v>20361</v>
      </c>
      <c r="D495" s="150">
        <v>44001</v>
      </c>
      <c r="E495" s="113" t="s">
        <v>20360</v>
      </c>
      <c r="F495" s="257">
        <v>15</v>
      </c>
      <c r="G495" s="255">
        <v>3.88</v>
      </c>
      <c r="H495" s="152"/>
      <c r="I495" s="160">
        <f t="shared" si="7"/>
        <v>49978.970000000038</v>
      </c>
    </row>
    <row r="496" spans="2:9" hidden="1" x14ac:dyDescent="0.25">
      <c r="B496" s="148"/>
      <c r="C496" s="148" t="s">
        <v>16370</v>
      </c>
      <c r="D496" s="150">
        <v>44001</v>
      </c>
      <c r="E496" s="113" t="s">
        <v>20359</v>
      </c>
      <c r="F496" s="257" t="s">
        <v>14433</v>
      </c>
      <c r="G496" s="152"/>
      <c r="H496" s="161">
        <v>9.6199999999999992</v>
      </c>
      <c r="I496" s="160">
        <f t="shared" si="7"/>
        <v>49969.350000000035</v>
      </c>
    </row>
    <row r="497" spans="2:9" hidden="1" x14ac:dyDescent="0.25">
      <c r="B497" s="148"/>
      <c r="C497" s="148" t="s">
        <v>16360</v>
      </c>
      <c r="D497" s="150">
        <v>44001</v>
      </c>
      <c r="E497" s="113" t="s">
        <v>20358</v>
      </c>
      <c r="F497" s="257" t="s">
        <v>14433</v>
      </c>
      <c r="G497" s="152"/>
      <c r="H497" s="161">
        <v>0.99</v>
      </c>
      <c r="I497" s="160">
        <f t="shared" si="7"/>
        <v>49968.360000000037</v>
      </c>
    </row>
    <row r="498" spans="2:9" hidden="1" x14ac:dyDescent="0.25">
      <c r="B498" s="148"/>
      <c r="C498" s="148" t="s">
        <v>16358</v>
      </c>
      <c r="D498" s="150">
        <v>44001</v>
      </c>
      <c r="E498" s="113" t="s">
        <v>20357</v>
      </c>
      <c r="F498" s="257" t="s">
        <v>14433</v>
      </c>
      <c r="G498" s="152"/>
      <c r="H498" s="161">
        <v>15.48</v>
      </c>
      <c r="I498" s="160">
        <f t="shared" si="7"/>
        <v>49952.880000000034</v>
      </c>
    </row>
    <row r="499" spans="2:9" hidden="1" x14ac:dyDescent="0.25">
      <c r="B499" s="148"/>
      <c r="C499" s="148" t="s">
        <v>20356</v>
      </c>
      <c r="D499" s="150">
        <v>44001</v>
      </c>
      <c r="E499" s="113" t="s">
        <v>20355</v>
      </c>
      <c r="F499" s="257" t="s">
        <v>14433</v>
      </c>
      <c r="G499" s="152"/>
      <c r="H499" s="161">
        <v>1500</v>
      </c>
      <c r="I499" s="160">
        <f t="shared" si="7"/>
        <v>48452.880000000034</v>
      </c>
    </row>
    <row r="500" spans="2:9" ht="19.5" hidden="1" x14ac:dyDescent="0.25">
      <c r="B500" s="148"/>
      <c r="C500" s="148" t="s">
        <v>20354</v>
      </c>
      <c r="D500" s="150">
        <v>44002</v>
      </c>
      <c r="E500" s="113" t="s">
        <v>654</v>
      </c>
      <c r="F500" s="257" t="s">
        <v>14413</v>
      </c>
      <c r="G500" s="258">
        <v>3.56</v>
      </c>
      <c r="H500" s="152"/>
      <c r="I500" s="160">
        <f t="shared" si="7"/>
        <v>48456.440000000031</v>
      </c>
    </row>
    <row r="501" spans="2:9" ht="19.5" hidden="1" x14ac:dyDescent="0.25">
      <c r="B501" s="148"/>
      <c r="C501" s="148" t="s">
        <v>20353</v>
      </c>
      <c r="D501" s="150">
        <v>44002</v>
      </c>
      <c r="E501" s="113" t="s">
        <v>20352</v>
      </c>
      <c r="F501" s="257" t="s">
        <v>14413</v>
      </c>
      <c r="G501" s="258">
        <v>22.63</v>
      </c>
      <c r="H501" s="152"/>
      <c r="I501" s="160">
        <f t="shared" si="7"/>
        <v>48479.070000000029</v>
      </c>
    </row>
    <row r="502" spans="2:9" ht="19.5" hidden="1" x14ac:dyDescent="0.25">
      <c r="B502" s="148"/>
      <c r="C502" s="148" t="s">
        <v>20351</v>
      </c>
      <c r="D502" s="150">
        <v>44002</v>
      </c>
      <c r="E502" s="113" t="s">
        <v>20350</v>
      </c>
      <c r="F502" s="257" t="s">
        <v>14413</v>
      </c>
      <c r="G502" s="258">
        <v>26.96</v>
      </c>
      <c r="H502" s="152"/>
      <c r="I502" s="160">
        <f t="shared" si="7"/>
        <v>48506.030000000028</v>
      </c>
    </row>
    <row r="503" spans="2:9" hidden="1" x14ac:dyDescent="0.25">
      <c r="B503" s="148"/>
      <c r="C503" s="148" t="s">
        <v>20349</v>
      </c>
      <c r="D503" s="150">
        <v>44002</v>
      </c>
      <c r="E503" s="113" t="s">
        <v>20348</v>
      </c>
      <c r="F503" s="257" t="s">
        <v>14413</v>
      </c>
      <c r="G503" s="258">
        <v>20.83</v>
      </c>
      <c r="H503" s="152"/>
      <c r="I503" s="160">
        <f t="shared" si="7"/>
        <v>48526.86000000003</v>
      </c>
    </row>
    <row r="504" spans="2:9" hidden="1" x14ac:dyDescent="0.25">
      <c r="B504" s="148"/>
      <c r="C504" s="148" t="s">
        <v>20347</v>
      </c>
      <c r="D504" s="150">
        <v>44002</v>
      </c>
      <c r="E504" s="113" t="s">
        <v>20346</v>
      </c>
      <c r="F504" s="257" t="s">
        <v>14413</v>
      </c>
      <c r="G504" s="258">
        <v>8.3800000000000008</v>
      </c>
      <c r="H504" s="152"/>
      <c r="I504" s="160">
        <f t="shared" si="7"/>
        <v>48535.240000000027</v>
      </c>
    </row>
    <row r="505" spans="2:9" ht="19.5" hidden="1" x14ac:dyDescent="0.25">
      <c r="B505" s="148"/>
      <c r="C505" s="148" t="s">
        <v>20345</v>
      </c>
      <c r="D505" s="150">
        <v>44002</v>
      </c>
      <c r="E505" s="113" t="s">
        <v>20344</v>
      </c>
      <c r="F505" s="257" t="s">
        <v>14413</v>
      </c>
      <c r="G505" s="258">
        <v>16.11</v>
      </c>
      <c r="H505" s="152"/>
      <c r="I505" s="160">
        <f t="shared" si="7"/>
        <v>48551.350000000028</v>
      </c>
    </row>
    <row r="506" spans="2:9" ht="19.5" hidden="1" x14ac:dyDescent="0.25">
      <c r="B506" s="148"/>
      <c r="C506" s="148" t="s">
        <v>18386</v>
      </c>
      <c r="D506" s="150">
        <v>44002</v>
      </c>
      <c r="E506" s="113" t="s">
        <v>20343</v>
      </c>
      <c r="F506" s="257" t="s">
        <v>14433</v>
      </c>
      <c r="G506" s="152"/>
      <c r="H506" s="161">
        <v>1174.8800000000001</v>
      </c>
      <c r="I506" s="160">
        <f t="shared" si="7"/>
        <v>47376.47000000003</v>
      </c>
    </row>
    <row r="507" spans="2:9" hidden="1" x14ac:dyDescent="0.25">
      <c r="B507" s="148"/>
      <c r="C507" s="148" t="s">
        <v>20342</v>
      </c>
      <c r="D507" s="150">
        <v>44004</v>
      </c>
      <c r="E507" s="113" t="s">
        <v>20341</v>
      </c>
      <c r="F507" s="257" t="s">
        <v>14413</v>
      </c>
      <c r="G507" s="258">
        <v>3.49</v>
      </c>
      <c r="H507" s="152"/>
      <c r="I507" s="160">
        <f t="shared" si="7"/>
        <v>47379.960000000028</v>
      </c>
    </row>
    <row r="508" spans="2:9" hidden="1" x14ac:dyDescent="0.25">
      <c r="B508" s="148"/>
      <c r="C508" s="148" t="s">
        <v>20340</v>
      </c>
      <c r="D508" s="150">
        <v>44004</v>
      </c>
      <c r="E508" s="113" t="s">
        <v>20339</v>
      </c>
      <c r="F508" s="257">
        <v>16</v>
      </c>
      <c r="G508" s="255">
        <v>25.53</v>
      </c>
      <c r="H508" s="152"/>
      <c r="I508" s="160">
        <f t="shared" si="7"/>
        <v>47405.490000000027</v>
      </c>
    </row>
    <row r="509" spans="2:9" hidden="1" x14ac:dyDescent="0.25">
      <c r="B509" s="148"/>
      <c r="C509" s="148" t="s">
        <v>20338</v>
      </c>
      <c r="D509" s="150">
        <v>44004</v>
      </c>
      <c r="E509" s="113" t="s">
        <v>20337</v>
      </c>
      <c r="F509" s="257">
        <v>16</v>
      </c>
      <c r="G509" s="255">
        <v>4.17</v>
      </c>
      <c r="H509" s="152"/>
      <c r="I509" s="160">
        <f t="shared" si="7"/>
        <v>47409.660000000025</v>
      </c>
    </row>
    <row r="510" spans="2:9" ht="19.5" hidden="1" x14ac:dyDescent="0.25">
      <c r="B510" s="148"/>
      <c r="C510" s="148" t="s">
        <v>20336</v>
      </c>
      <c r="D510" s="150">
        <v>44004</v>
      </c>
      <c r="E510" s="113" t="s">
        <v>20335</v>
      </c>
      <c r="F510" s="257">
        <v>16</v>
      </c>
      <c r="G510" s="255">
        <v>10.48</v>
      </c>
      <c r="H510" s="152"/>
      <c r="I510" s="160">
        <f t="shared" si="7"/>
        <v>47420.140000000029</v>
      </c>
    </row>
    <row r="511" spans="2:9" hidden="1" x14ac:dyDescent="0.25">
      <c r="B511" s="148"/>
      <c r="C511" s="148" t="s">
        <v>20334</v>
      </c>
      <c r="D511" s="150">
        <v>44004</v>
      </c>
      <c r="E511" s="113" t="s">
        <v>20333</v>
      </c>
      <c r="F511" s="257">
        <v>16</v>
      </c>
      <c r="G511" s="255">
        <v>3.36</v>
      </c>
      <c r="H511" s="152"/>
      <c r="I511" s="160">
        <f t="shared" si="7"/>
        <v>47423.500000000029</v>
      </c>
    </row>
    <row r="512" spans="2:9" hidden="1" x14ac:dyDescent="0.25">
      <c r="B512" s="148"/>
      <c r="C512" s="148" t="s">
        <v>20332</v>
      </c>
      <c r="D512" s="150">
        <v>44004</v>
      </c>
      <c r="E512" s="113" t="s">
        <v>20331</v>
      </c>
      <c r="F512" s="257">
        <v>16</v>
      </c>
      <c r="G512" s="255">
        <v>8.3800000000000008</v>
      </c>
      <c r="H512" s="152"/>
      <c r="I512" s="160">
        <f t="shared" si="7"/>
        <v>47431.880000000026</v>
      </c>
    </row>
    <row r="513" spans="2:9" hidden="1" x14ac:dyDescent="0.25">
      <c r="B513" s="148"/>
      <c r="C513" s="148" t="s">
        <v>20330</v>
      </c>
      <c r="D513" s="150">
        <v>44004</v>
      </c>
      <c r="E513" s="113" t="s">
        <v>20329</v>
      </c>
      <c r="F513" s="257">
        <v>16</v>
      </c>
      <c r="G513" s="255">
        <v>14.1</v>
      </c>
      <c r="H513" s="152"/>
      <c r="I513" s="160">
        <f t="shared" si="7"/>
        <v>47445.980000000025</v>
      </c>
    </row>
    <row r="514" spans="2:9" hidden="1" x14ac:dyDescent="0.25">
      <c r="B514" s="148"/>
      <c r="C514" s="148" t="s">
        <v>20328</v>
      </c>
      <c r="D514" s="150">
        <v>44004</v>
      </c>
      <c r="E514" s="113" t="s">
        <v>20327</v>
      </c>
      <c r="F514" s="257" t="s">
        <v>14436</v>
      </c>
      <c r="G514" s="160">
        <v>63.02</v>
      </c>
      <c r="H514" s="152"/>
      <c r="I514" s="160">
        <f t="shared" si="7"/>
        <v>47509.000000000022</v>
      </c>
    </row>
    <row r="515" spans="2:9" hidden="1" x14ac:dyDescent="0.25">
      <c r="B515" s="148"/>
      <c r="C515" s="148" t="s">
        <v>20326</v>
      </c>
      <c r="D515" s="150">
        <v>44004</v>
      </c>
      <c r="E515" s="113" t="s">
        <v>20325</v>
      </c>
      <c r="F515" s="257" t="s">
        <v>14436</v>
      </c>
      <c r="G515" s="160">
        <v>72.489999999999995</v>
      </c>
      <c r="H515" s="152"/>
      <c r="I515" s="160">
        <f t="shared" si="7"/>
        <v>47581.49000000002</v>
      </c>
    </row>
    <row r="516" spans="2:9" hidden="1" x14ac:dyDescent="0.25">
      <c r="B516" s="148"/>
      <c r="C516" s="148" t="s">
        <v>20324</v>
      </c>
      <c r="D516" s="150">
        <v>44004</v>
      </c>
      <c r="E516" s="113" t="s">
        <v>20323</v>
      </c>
      <c r="F516" s="257" t="s">
        <v>18712</v>
      </c>
      <c r="G516" s="160">
        <v>2.48</v>
      </c>
      <c r="H516" s="152"/>
      <c r="I516" s="160">
        <f t="shared" si="7"/>
        <v>47583.970000000023</v>
      </c>
    </row>
    <row r="517" spans="2:9" hidden="1" x14ac:dyDescent="0.25">
      <c r="B517" s="148"/>
      <c r="C517" s="148" t="s">
        <v>20322</v>
      </c>
      <c r="D517" s="150">
        <v>44005</v>
      </c>
      <c r="E517" s="113" t="s">
        <v>20321</v>
      </c>
      <c r="F517" s="257" t="s">
        <v>14436</v>
      </c>
      <c r="G517" s="160">
        <v>95.5</v>
      </c>
      <c r="H517" s="152"/>
      <c r="I517" s="160">
        <f t="shared" si="7"/>
        <v>47679.470000000023</v>
      </c>
    </row>
    <row r="518" spans="2:9" hidden="1" x14ac:dyDescent="0.25">
      <c r="B518" s="148"/>
      <c r="C518" s="148" t="s">
        <v>20320</v>
      </c>
      <c r="D518" s="150">
        <v>44005</v>
      </c>
      <c r="E518" s="113" t="s">
        <v>20319</v>
      </c>
      <c r="F518" s="257" t="s">
        <v>14436</v>
      </c>
      <c r="G518" s="160">
        <v>6.94</v>
      </c>
      <c r="H518" s="152"/>
      <c r="I518" s="160">
        <f t="shared" si="7"/>
        <v>47686.410000000025</v>
      </c>
    </row>
    <row r="519" spans="2:9" ht="19.5" hidden="1" x14ac:dyDescent="0.25">
      <c r="B519" s="148"/>
      <c r="C519" s="148" t="s">
        <v>20318</v>
      </c>
      <c r="D519" s="150">
        <v>44005</v>
      </c>
      <c r="E519" s="113" t="s">
        <v>20317</v>
      </c>
      <c r="F519" s="257">
        <v>17</v>
      </c>
      <c r="G519" s="255">
        <v>35.81</v>
      </c>
      <c r="H519" s="152"/>
      <c r="I519" s="160">
        <f t="shared" si="7"/>
        <v>47722.220000000023</v>
      </c>
    </row>
    <row r="520" spans="2:9" ht="19.5" hidden="1" x14ac:dyDescent="0.25">
      <c r="B520" s="148"/>
      <c r="C520" s="148" t="s">
        <v>20316</v>
      </c>
      <c r="D520" s="150">
        <v>44005</v>
      </c>
      <c r="E520" s="113" t="s">
        <v>20315</v>
      </c>
      <c r="F520" s="257">
        <v>17</v>
      </c>
      <c r="G520" s="255">
        <v>10.59</v>
      </c>
      <c r="H520" s="152"/>
      <c r="I520" s="160">
        <f t="shared" si="7"/>
        <v>47732.810000000019</v>
      </c>
    </row>
    <row r="521" spans="2:9" hidden="1" x14ac:dyDescent="0.25">
      <c r="B521" s="148"/>
      <c r="C521" s="148" t="s">
        <v>20314</v>
      </c>
      <c r="D521" s="150">
        <v>44005</v>
      </c>
      <c r="E521" s="113" t="s">
        <v>20313</v>
      </c>
      <c r="F521" s="257">
        <v>17</v>
      </c>
      <c r="G521" s="255">
        <v>6.94</v>
      </c>
      <c r="H521" s="152"/>
      <c r="I521" s="160">
        <f t="shared" si="7"/>
        <v>47739.750000000022</v>
      </c>
    </row>
    <row r="522" spans="2:9" ht="19.5" hidden="1" x14ac:dyDescent="0.25">
      <c r="B522" s="148"/>
      <c r="C522" s="148" t="s">
        <v>20312</v>
      </c>
      <c r="D522" s="150">
        <v>44005</v>
      </c>
      <c r="E522" s="113" t="s">
        <v>20311</v>
      </c>
      <c r="F522" s="257">
        <v>17</v>
      </c>
      <c r="G522" s="255">
        <v>12.23</v>
      </c>
      <c r="H522" s="152"/>
      <c r="I522" s="160">
        <f t="shared" si="7"/>
        <v>47751.980000000025</v>
      </c>
    </row>
    <row r="523" spans="2:9" hidden="1" x14ac:dyDescent="0.25">
      <c r="B523" s="148"/>
      <c r="C523" s="148" t="s">
        <v>20310</v>
      </c>
      <c r="D523" s="150">
        <v>44005</v>
      </c>
      <c r="E523" s="113" t="s">
        <v>20309</v>
      </c>
      <c r="F523" s="257" t="s">
        <v>14413</v>
      </c>
      <c r="G523" s="258">
        <v>13.03</v>
      </c>
      <c r="H523" s="152"/>
      <c r="I523" s="160">
        <f t="shared" si="7"/>
        <v>47765.010000000024</v>
      </c>
    </row>
    <row r="524" spans="2:9" ht="19.5" hidden="1" x14ac:dyDescent="0.25">
      <c r="B524" s="148"/>
      <c r="C524" s="148" t="s">
        <v>20308</v>
      </c>
      <c r="D524" s="150">
        <v>44005</v>
      </c>
      <c r="E524" s="113" t="s">
        <v>20307</v>
      </c>
      <c r="F524" s="257" t="s">
        <v>18712</v>
      </c>
      <c r="G524" s="160">
        <v>15.61</v>
      </c>
      <c r="H524" s="152"/>
      <c r="I524" s="160">
        <f t="shared" si="7"/>
        <v>47780.620000000024</v>
      </c>
    </row>
    <row r="525" spans="2:9" hidden="1" x14ac:dyDescent="0.25">
      <c r="B525" s="148"/>
      <c r="C525" s="148" t="s">
        <v>16368</v>
      </c>
      <c r="D525" s="150">
        <v>44005</v>
      </c>
      <c r="E525" s="113" t="s">
        <v>20306</v>
      </c>
      <c r="F525" s="257" t="s">
        <v>14433</v>
      </c>
      <c r="G525" s="152"/>
      <c r="H525" s="161">
        <v>15.29</v>
      </c>
      <c r="I525" s="160">
        <f t="shared" si="7"/>
        <v>47765.330000000024</v>
      </c>
    </row>
    <row r="526" spans="2:9" hidden="1" x14ac:dyDescent="0.25">
      <c r="B526" s="148"/>
      <c r="C526" s="148" t="s">
        <v>18039</v>
      </c>
      <c r="D526" s="150">
        <v>44005</v>
      </c>
      <c r="E526" s="113" t="s">
        <v>20305</v>
      </c>
      <c r="F526" s="257" t="s">
        <v>14433</v>
      </c>
      <c r="G526" s="152"/>
      <c r="H526" s="161">
        <v>11.7</v>
      </c>
      <c r="I526" s="160">
        <f t="shared" si="7"/>
        <v>47753.630000000026</v>
      </c>
    </row>
    <row r="527" spans="2:9" hidden="1" x14ac:dyDescent="0.25">
      <c r="B527" s="148"/>
      <c r="C527" s="148" t="s">
        <v>16366</v>
      </c>
      <c r="D527" s="150">
        <v>44005</v>
      </c>
      <c r="E527" s="113" t="s">
        <v>20304</v>
      </c>
      <c r="F527" s="257" t="s">
        <v>14433</v>
      </c>
      <c r="G527" s="152"/>
      <c r="H527" s="161">
        <v>13.52</v>
      </c>
      <c r="I527" s="160">
        <f t="shared" si="7"/>
        <v>47740.11000000003</v>
      </c>
    </row>
    <row r="528" spans="2:9" hidden="1" x14ac:dyDescent="0.25">
      <c r="B528" s="148"/>
      <c r="C528" s="148" t="s">
        <v>16362</v>
      </c>
      <c r="D528" s="150">
        <v>44005</v>
      </c>
      <c r="E528" s="113" t="s">
        <v>20303</v>
      </c>
      <c r="F528" s="257" t="s">
        <v>14433</v>
      </c>
      <c r="G528" s="152"/>
      <c r="H528" s="161">
        <v>10.66</v>
      </c>
      <c r="I528" s="160">
        <f t="shared" si="7"/>
        <v>47729.450000000026</v>
      </c>
    </row>
    <row r="529" spans="2:9" hidden="1" x14ac:dyDescent="0.25">
      <c r="B529" s="148"/>
      <c r="C529" s="148" t="s">
        <v>20302</v>
      </c>
      <c r="D529" s="150">
        <v>44006</v>
      </c>
      <c r="E529" s="113" t="s">
        <v>20301</v>
      </c>
      <c r="F529" s="257" t="s">
        <v>14436</v>
      </c>
      <c r="G529" s="160">
        <v>5.21</v>
      </c>
      <c r="H529" s="152"/>
      <c r="I529" s="160">
        <f t="shared" si="7"/>
        <v>47734.660000000025</v>
      </c>
    </row>
    <row r="530" spans="2:9" ht="19.5" hidden="1" x14ac:dyDescent="0.25">
      <c r="B530" s="148"/>
      <c r="C530" s="148" t="s">
        <v>20300</v>
      </c>
      <c r="D530" s="150">
        <v>44006</v>
      </c>
      <c r="E530" s="113" t="s">
        <v>20299</v>
      </c>
      <c r="F530" s="257" t="s">
        <v>14413</v>
      </c>
      <c r="G530" s="258">
        <v>18.32</v>
      </c>
      <c r="H530" s="152"/>
      <c r="I530" s="160">
        <f t="shared" si="7"/>
        <v>47752.980000000025</v>
      </c>
    </row>
    <row r="531" spans="2:9" ht="19.5" hidden="1" x14ac:dyDescent="0.25">
      <c r="B531" s="148"/>
      <c r="C531" s="148" t="s">
        <v>20298</v>
      </c>
      <c r="D531" s="150">
        <v>44006</v>
      </c>
      <c r="E531" s="113" t="s">
        <v>20297</v>
      </c>
      <c r="F531" s="257" t="s">
        <v>14413</v>
      </c>
      <c r="G531" s="258">
        <v>8.77</v>
      </c>
      <c r="H531" s="152"/>
      <c r="I531" s="160">
        <f t="shared" si="7"/>
        <v>47761.750000000022</v>
      </c>
    </row>
    <row r="532" spans="2:9" hidden="1" x14ac:dyDescent="0.25">
      <c r="B532" s="148"/>
      <c r="C532" s="148" t="s">
        <v>20296</v>
      </c>
      <c r="D532" s="150">
        <v>44006</v>
      </c>
      <c r="E532" s="113" t="s">
        <v>20295</v>
      </c>
      <c r="F532" s="257" t="s">
        <v>14413</v>
      </c>
      <c r="G532" s="258">
        <v>3.88</v>
      </c>
      <c r="H532" s="152"/>
      <c r="I532" s="160">
        <f t="shared" ref="I532:I595" si="8">+I531+G532-H532</f>
        <v>47765.630000000019</v>
      </c>
    </row>
    <row r="533" spans="2:9" hidden="1" x14ac:dyDescent="0.25">
      <c r="B533" s="148"/>
      <c r="C533" s="148" t="s">
        <v>20294</v>
      </c>
      <c r="D533" s="150">
        <v>44006</v>
      </c>
      <c r="E533" s="113" t="s">
        <v>20293</v>
      </c>
      <c r="F533" s="257" t="s">
        <v>14413</v>
      </c>
      <c r="G533" s="258">
        <v>0.56000000000000005</v>
      </c>
      <c r="H533" s="152"/>
      <c r="I533" s="160">
        <f t="shared" si="8"/>
        <v>47766.190000000017</v>
      </c>
    </row>
    <row r="534" spans="2:9" hidden="1" x14ac:dyDescent="0.25">
      <c r="B534" s="148"/>
      <c r="C534" s="148" t="s">
        <v>20292</v>
      </c>
      <c r="D534" s="150">
        <v>44006</v>
      </c>
      <c r="E534" s="113" t="s">
        <v>20291</v>
      </c>
      <c r="F534" s="257" t="s">
        <v>14413</v>
      </c>
      <c r="G534" s="258">
        <v>5.04</v>
      </c>
      <c r="H534" s="152"/>
      <c r="I534" s="160">
        <f t="shared" si="8"/>
        <v>47771.230000000018</v>
      </c>
    </row>
    <row r="535" spans="2:9" hidden="1" x14ac:dyDescent="0.25">
      <c r="B535" s="148"/>
      <c r="C535" s="148" t="s">
        <v>20290</v>
      </c>
      <c r="D535" s="150">
        <v>44006</v>
      </c>
      <c r="E535" s="113" t="s">
        <v>20289</v>
      </c>
      <c r="F535" s="257" t="s">
        <v>14413</v>
      </c>
      <c r="G535" s="258">
        <v>2.11</v>
      </c>
      <c r="H535" s="152"/>
      <c r="I535" s="160">
        <f t="shared" si="8"/>
        <v>47773.340000000018</v>
      </c>
    </row>
    <row r="536" spans="2:9" hidden="1" x14ac:dyDescent="0.25">
      <c r="B536" s="148"/>
      <c r="C536" s="148" t="s">
        <v>20288</v>
      </c>
      <c r="D536" s="150">
        <v>44006</v>
      </c>
      <c r="E536" s="113" t="s">
        <v>20287</v>
      </c>
      <c r="F536" s="257" t="s">
        <v>14413</v>
      </c>
      <c r="G536" s="258">
        <v>8.3800000000000008</v>
      </c>
      <c r="H536" s="152"/>
      <c r="I536" s="160">
        <f t="shared" si="8"/>
        <v>47781.720000000016</v>
      </c>
    </row>
    <row r="537" spans="2:9" hidden="1" x14ac:dyDescent="0.25">
      <c r="B537" s="148"/>
      <c r="C537" s="148" t="s">
        <v>20286</v>
      </c>
      <c r="D537" s="150">
        <v>44006</v>
      </c>
      <c r="E537" s="113" t="s">
        <v>20285</v>
      </c>
      <c r="F537" s="257" t="s">
        <v>14413</v>
      </c>
      <c r="G537" s="258">
        <v>16.87</v>
      </c>
      <c r="H537" s="152"/>
      <c r="I537" s="160">
        <f t="shared" si="8"/>
        <v>47798.590000000018</v>
      </c>
    </row>
    <row r="538" spans="2:9" ht="19.5" hidden="1" x14ac:dyDescent="0.25">
      <c r="B538" s="148"/>
      <c r="C538" s="148" t="s">
        <v>20284</v>
      </c>
      <c r="D538" s="150">
        <v>44006</v>
      </c>
      <c r="E538" s="113" t="s">
        <v>20283</v>
      </c>
      <c r="F538" s="257" t="s">
        <v>14413</v>
      </c>
      <c r="G538" s="258">
        <v>85.13</v>
      </c>
      <c r="H538" s="152"/>
      <c r="I538" s="160">
        <f t="shared" si="8"/>
        <v>47883.720000000016</v>
      </c>
    </row>
    <row r="539" spans="2:9" ht="19.5" hidden="1" x14ac:dyDescent="0.25">
      <c r="B539" s="148"/>
      <c r="C539" s="148" t="s">
        <v>20282</v>
      </c>
      <c r="D539" s="150">
        <v>44006</v>
      </c>
      <c r="E539" s="113" t="s">
        <v>20281</v>
      </c>
      <c r="F539" s="257" t="s">
        <v>14413</v>
      </c>
      <c r="G539" s="258">
        <v>19.64</v>
      </c>
      <c r="H539" s="152"/>
      <c r="I539" s="160">
        <f t="shared" si="8"/>
        <v>47903.360000000015</v>
      </c>
    </row>
    <row r="540" spans="2:9" ht="19.5" hidden="1" x14ac:dyDescent="0.25">
      <c r="B540" s="148"/>
      <c r="C540" s="148" t="s">
        <v>20280</v>
      </c>
      <c r="D540" s="150">
        <v>44006</v>
      </c>
      <c r="E540" s="113" t="s">
        <v>20279</v>
      </c>
      <c r="F540" s="257" t="s">
        <v>14413</v>
      </c>
      <c r="G540" s="258">
        <v>10.08</v>
      </c>
      <c r="H540" s="152"/>
      <c r="I540" s="160">
        <f t="shared" si="8"/>
        <v>47913.440000000017</v>
      </c>
    </row>
    <row r="541" spans="2:9" hidden="1" x14ac:dyDescent="0.25">
      <c r="B541" s="148"/>
      <c r="C541" s="148" t="s">
        <v>20278</v>
      </c>
      <c r="D541" s="150">
        <v>44006</v>
      </c>
      <c r="E541" s="113" t="s">
        <v>20277</v>
      </c>
      <c r="F541" s="257" t="s">
        <v>14413</v>
      </c>
      <c r="G541" s="258">
        <v>5.76</v>
      </c>
      <c r="H541" s="152"/>
      <c r="I541" s="160">
        <f t="shared" si="8"/>
        <v>47919.200000000019</v>
      </c>
    </row>
    <row r="542" spans="2:9" hidden="1" x14ac:dyDescent="0.25">
      <c r="B542" s="148"/>
      <c r="C542" s="148" t="s">
        <v>20276</v>
      </c>
      <c r="D542" s="150">
        <v>44006</v>
      </c>
      <c r="E542" s="113" t="s">
        <v>20275</v>
      </c>
      <c r="F542" s="257" t="s">
        <v>14413</v>
      </c>
      <c r="G542" s="258">
        <v>3.1</v>
      </c>
      <c r="H542" s="152"/>
      <c r="I542" s="160">
        <f t="shared" si="8"/>
        <v>47922.300000000017</v>
      </c>
    </row>
    <row r="543" spans="2:9" hidden="1" x14ac:dyDescent="0.25">
      <c r="B543" s="148"/>
      <c r="C543" s="148" t="s">
        <v>20274</v>
      </c>
      <c r="D543" s="150">
        <v>44006</v>
      </c>
      <c r="E543" s="113" t="s">
        <v>20273</v>
      </c>
      <c r="F543" s="257" t="s">
        <v>14413</v>
      </c>
      <c r="G543" s="258">
        <v>1.83</v>
      </c>
      <c r="H543" s="152"/>
      <c r="I543" s="160">
        <f t="shared" si="8"/>
        <v>47924.130000000019</v>
      </c>
    </row>
    <row r="544" spans="2:9" hidden="1" x14ac:dyDescent="0.25">
      <c r="B544" s="148"/>
      <c r="C544" s="148" t="s">
        <v>20272</v>
      </c>
      <c r="D544" s="150">
        <v>44006</v>
      </c>
      <c r="E544" s="113" t="s">
        <v>20271</v>
      </c>
      <c r="F544" s="257" t="s">
        <v>14413</v>
      </c>
      <c r="G544" s="258">
        <v>1.98</v>
      </c>
      <c r="H544" s="152"/>
      <c r="I544" s="160">
        <f t="shared" si="8"/>
        <v>47926.110000000022</v>
      </c>
    </row>
    <row r="545" spans="2:9" ht="19.5" hidden="1" x14ac:dyDescent="0.25">
      <c r="B545" s="148"/>
      <c r="C545" s="148" t="s">
        <v>20270</v>
      </c>
      <c r="D545" s="150">
        <v>44006</v>
      </c>
      <c r="E545" s="113" t="s">
        <v>20269</v>
      </c>
      <c r="F545" s="257" t="s">
        <v>14413</v>
      </c>
      <c r="G545" s="258">
        <v>1.94</v>
      </c>
      <c r="H545" s="152"/>
      <c r="I545" s="160">
        <f t="shared" si="8"/>
        <v>47928.050000000025</v>
      </c>
    </row>
    <row r="546" spans="2:9" ht="19.5" hidden="1" x14ac:dyDescent="0.25">
      <c r="B546" s="148"/>
      <c r="C546" s="148" t="s">
        <v>20268</v>
      </c>
      <c r="D546" s="150">
        <v>44006</v>
      </c>
      <c r="E546" s="113" t="s">
        <v>20267</v>
      </c>
      <c r="F546" s="257" t="s">
        <v>14413</v>
      </c>
      <c r="G546" s="258">
        <v>1.95</v>
      </c>
      <c r="H546" s="152"/>
      <c r="I546" s="160">
        <f t="shared" si="8"/>
        <v>47930.000000000022</v>
      </c>
    </row>
    <row r="547" spans="2:9" hidden="1" x14ac:dyDescent="0.25">
      <c r="B547" s="148"/>
      <c r="C547" s="148" t="s">
        <v>20266</v>
      </c>
      <c r="D547" s="150">
        <v>44006</v>
      </c>
      <c r="E547" s="113" t="s">
        <v>20265</v>
      </c>
      <c r="F547" s="257" t="s">
        <v>14413</v>
      </c>
      <c r="G547" s="258">
        <v>2.33</v>
      </c>
      <c r="H547" s="152"/>
      <c r="I547" s="160">
        <f t="shared" si="8"/>
        <v>47932.330000000024</v>
      </c>
    </row>
    <row r="548" spans="2:9" hidden="1" x14ac:dyDescent="0.25">
      <c r="B548" s="148"/>
      <c r="C548" s="148" t="s">
        <v>20264</v>
      </c>
      <c r="D548" s="150">
        <v>44006</v>
      </c>
      <c r="E548" s="113" t="s">
        <v>20263</v>
      </c>
      <c r="F548" s="257">
        <v>18</v>
      </c>
      <c r="G548" s="255">
        <v>1.68</v>
      </c>
      <c r="H548" s="152"/>
      <c r="I548" s="160">
        <f t="shared" si="8"/>
        <v>47934.010000000024</v>
      </c>
    </row>
    <row r="549" spans="2:9" hidden="1" x14ac:dyDescent="0.25">
      <c r="B549" s="148"/>
      <c r="C549" s="148" t="s">
        <v>20262</v>
      </c>
      <c r="D549" s="150">
        <v>44006</v>
      </c>
      <c r="E549" s="113" t="s">
        <v>20261</v>
      </c>
      <c r="F549" s="257">
        <v>18</v>
      </c>
      <c r="G549" s="255">
        <v>4.6900000000000004</v>
      </c>
      <c r="H549" s="152"/>
      <c r="I549" s="160">
        <f t="shared" si="8"/>
        <v>47938.700000000026</v>
      </c>
    </row>
    <row r="550" spans="2:9" hidden="1" x14ac:dyDescent="0.25">
      <c r="B550" s="148"/>
      <c r="C550" s="148" t="s">
        <v>20260</v>
      </c>
      <c r="D550" s="150">
        <v>44006</v>
      </c>
      <c r="E550" s="113" t="s">
        <v>20259</v>
      </c>
      <c r="F550" s="257">
        <v>18</v>
      </c>
      <c r="G550" s="255">
        <v>8.3800000000000008</v>
      </c>
      <c r="H550" s="152"/>
      <c r="I550" s="160">
        <f t="shared" si="8"/>
        <v>47947.080000000024</v>
      </c>
    </row>
    <row r="551" spans="2:9" hidden="1" x14ac:dyDescent="0.25">
      <c r="B551" s="148"/>
      <c r="C551" s="148" t="s">
        <v>20258</v>
      </c>
      <c r="D551" s="150">
        <v>44006</v>
      </c>
      <c r="E551" s="113" t="s">
        <v>20257</v>
      </c>
      <c r="F551" s="257">
        <v>18</v>
      </c>
      <c r="G551" s="255">
        <v>25.69</v>
      </c>
      <c r="H551" s="152"/>
      <c r="I551" s="160">
        <f t="shared" si="8"/>
        <v>47972.770000000026</v>
      </c>
    </row>
    <row r="552" spans="2:9" hidden="1" x14ac:dyDescent="0.25">
      <c r="B552" s="148"/>
      <c r="C552" s="148" t="s">
        <v>20256</v>
      </c>
      <c r="D552" s="150">
        <v>44006</v>
      </c>
      <c r="E552" s="113" t="s">
        <v>20255</v>
      </c>
      <c r="F552" s="257">
        <v>18</v>
      </c>
      <c r="G552" s="255">
        <v>17.239999999999998</v>
      </c>
      <c r="H552" s="152"/>
      <c r="I552" s="160">
        <f t="shared" si="8"/>
        <v>47990.010000000024</v>
      </c>
    </row>
    <row r="553" spans="2:9" hidden="1" x14ac:dyDescent="0.25">
      <c r="B553" s="148"/>
      <c r="C553" s="148" t="s">
        <v>20254</v>
      </c>
      <c r="D553" s="150">
        <v>44006</v>
      </c>
      <c r="E553" s="113" t="s">
        <v>20253</v>
      </c>
      <c r="F553" s="257">
        <v>18</v>
      </c>
      <c r="G553" s="255">
        <v>5.25</v>
      </c>
      <c r="H553" s="152"/>
      <c r="I553" s="160">
        <f t="shared" si="8"/>
        <v>47995.260000000024</v>
      </c>
    </row>
    <row r="554" spans="2:9" hidden="1" x14ac:dyDescent="0.25">
      <c r="B554" s="148"/>
      <c r="C554" s="148" t="s">
        <v>20252</v>
      </c>
      <c r="D554" s="150">
        <v>44006</v>
      </c>
      <c r="E554" s="113" t="s">
        <v>20251</v>
      </c>
      <c r="F554" s="257">
        <v>18</v>
      </c>
      <c r="G554" s="255">
        <v>8.2100000000000009</v>
      </c>
      <c r="H554" s="152"/>
      <c r="I554" s="160">
        <f t="shared" si="8"/>
        <v>48003.470000000023</v>
      </c>
    </row>
    <row r="555" spans="2:9" hidden="1" x14ac:dyDescent="0.25">
      <c r="B555" s="148"/>
      <c r="C555" s="148" t="s">
        <v>20250</v>
      </c>
      <c r="D555" s="150">
        <v>44006</v>
      </c>
      <c r="E555" s="113" t="s">
        <v>20249</v>
      </c>
      <c r="F555" s="257">
        <v>18</v>
      </c>
      <c r="G555" s="255">
        <v>13.88</v>
      </c>
      <c r="H555" s="152"/>
      <c r="I555" s="160">
        <f t="shared" si="8"/>
        <v>48017.35000000002</v>
      </c>
    </row>
    <row r="556" spans="2:9" hidden="1" x14ac:dyDescent="0.25">
      <c r="B556" s="148"/>
      <c r="C556" s="148" t="s">
        <v>20248</v>
      </c>
      <c r="D556" s="150">
        <v>44006</v>
      </c>
      <c r="E556" s="113" t="s">
        <v>20247</v>
      </c>
      <c r="F556" s="257">
        <v>18</v>
      </c>
      <c r="G556" s="255">
        <v>4.1900000000000004</v>
      </c>
      <c r="H556" s="152"/>
      <c r="I556" s="160">
        <f t="shared" si="8"/>
        <v>48021.540000000023</v>
      </c>
    </row>
    <row r="557" spans="2:9" hidden="1" x14ac:dyDescent="0.25">
      <c r="B557" s="148"/>
      <c r="C557" s="148" t="s">
        <v>20246</v>
      </c>
      <c r="D557" s="150">
        <v>44006</v>
      </c>
      <c r="E557" s="113" t="s">
        <v>20245</v>
      </c>
      <c r="F557" s="257">
        <v>18</v>
      </c>
      <c r="G557" s="255">
        <v>35.799999999999997</v>
      </c>
      <c r="H557" s="152"/>
      <c r="I557" s="160">
        <f t="shared" si="8"/>
        <v>48057.340000000026</v>
      </c>
    </row>
    <row r="558" spans="2:9" hidden="1" x14ac:dyDescent="0.25">
      <c r="B558" s="148"/>
      <c r="C558" s="148" t="s">
        <v>20244</v>
      </c>
      <c r="D558" s="150">
        <v>44006</v>
      </c>
      <c r="E558" s="113" t="s">
        <v>20243</v>
      </c>
      <c r="F558" s="257">
        <v>18</v>
      </c>
      <c r="G558" s="255">
        <v>8.3800000000000008</v>
      </c>
      <c r="H558" s="152"/>
      <c r="I558" s="160">
        <f t="shared" si="8"/>
        <v>48065.720000000023</v>
      </c>
    </row>
    <row r="559" spans="2:9" hidden="1" x14ac:dyDescent="0.25">
      <c r="B559" s="148"/>
      <c r="C559" s="148" t="s">
        <v>20242</v>
      </c>
      <c r="D559" s="150">
        <v>44006</v>
      </c>
      <c r="E559" s="113" t="s">
        <v>20241</v>
      </c>
      <c r="F559" s="257" t="s">
        <v>18712</v>
      </c>
      <c r="G559" s="160">
        <v>9</v>
      </c>
      <c r="H559" s="152"/>
      <c r="I559" s="160">
        <f t="shared" si="8"/>
        <v>48074.720000000023</v>
      </c>
    </row>
    <row r="560" spans="2:9" hidden="1" x14ac:dyDescent="0.25">
      <c r="B560" s="148"/>
      <c r="C560" s="148" t="s">
        <v>20240</v>
      </c>
      <c r="D560" s="150">
        <v>44007</v>
      </c>
      <c r="E560" s="113" t="s">
        <v>20239</v>
      </c>
      <c r="F560" s="257" t="s">
        <v>14436</v>
      </c>
      <c r="G560" s="160">
        <v>1.94</v>
      </c>
      <c r="H560" s="152"/>
      <c r="I560" s="160">
        <f t="shared" si="8"/>
        <v>48076.660000000025</v>
      </c>
    </row>
    <row r="561" spans="2:9" hidden="1" x14ac:dyDescent="0.25">
      <c r="B561" s="148"/>
      <c r="C561" s="148" t="s">
        <v>20238</v>
      </c>
      <c r="D561" s="150">
        <v>44007</v>
      </c>
      <c r="E561" s="113" t="s">
        <v>20237</v>
      </c>
      <c r="F561" s="257" t="s">
        <v>14436</v>
      </c>
      <c r="G561" s="160">
        <v>8022.79</v>
      </c>
      <c r="H561" s="152"/>
      <c r="I561" s="160">
        <f t="shared" si="8"/>
        <v>56099.450000000026</v>
      </c>
    </row>
    <row r="562" spans="2:9" ht="19.5" hidden="1" x14ac:dyDescent="0.25">
      <c r="B562" s="148"/>
      <c r="C562" s="148" t="s">
        <v>20236</v>
      </c>
      <c r="D562" s="150">
        <v>44007</v>
      </c>
      <c r="E562" s="113" t="s">
        <v>20235</v>
      </c>
      <c r="F562" s="257" t="s">
        <v>14413</v>
      </c>
      <c r="G562" s="258">
        <v>10.15</v>
      </c>
      <c r="H562" s="152"/>
      <c r="I562" s="160">
        <f t="shared" si="8"/>
        <v>56109.600000000028</v>
      </c>
    </row>
    <row r="563" spans="2:9" ht="19.5" hidden="1" x14ac:dyDescent="0.25">
      <c r="B563" s="148"/>
      <c r="C563" s="148" t="s">
        <v>20234</v>
      </c>
      <c r="D563" s="150">
        <v>44007</v>
      </c>
      <c r="E563" s="113" t="s">
        <v>20233</v>
      </c>
      <c r="F563" s="257" t="s">
        <v>14413</v>
      </c>
      <c r="G563" s="258">
        <v>8.4</v>
      </c>
      <c r="H563" s="152"/>
      <c r="I563" s="160">
        <f t="shared" si="8"/>
        <v>56118.000000000029</v>
      </c>
    </row>
    <row r="564" spans="2:9" hidden="1" x14ac:dyDescent="0.25">
      <c r="B564" s="148"/>
      <c r="C564" s="148" t="s">
        <v>20232</v>
      </c>
      <c r="D564" s="150">
        <v>44007</v>
      </c>
      <c r="E564" s="113" t="s">
        <v>20231</v>
      </c>
      <c r="F564" s="257" t="s">
        <v>14413</v>
      </c>
      <c r="G564" s="258">
        <v>1.95</v>
      </c>
      <c r="H564" s="152"/>
      <c r="I564" s="160">
        <f t="shared" si="8"/>
        <v>56119.950000000026</v>
      </c>
    </row>
    <row r="565" spans="2:9" ht="19.5" hidden="1" x14ac:dyDescent="0.25">
      <c r="B565" s="148"/>
      <c r="C565" s="148" t="s">
        <v>20230</v>
      </c>
      <c r="D565" s="150">
        <v>44007</v>
      </c>
      <c r="E565" s="113" t="s">
        <v>20229</v>
      </c>
      <c r="F565" s="257" t="s">
        <v>14413</v>
      </c>
      <c r="G565" s="258">
        <v>8.8000000000000007</v>
      </c>
      <c r="H565" s="152"/>
      <c r="I565" s="160">
        <f t="shared" si="8"/>
        <v>56128.750000000029</v>
      </c>
    </row>
    <row r="566" spans="2:9" ht="19.5" hidden="1" x14ac:dyDescent="0.25">
      <c r="B566" s="148"/>
      <c r="C566" s="148" t="s">
        <v>20228</v>
      </c>
      <c r="D566" s="150">
        <v>44007</v>
      </c>
      <c r="E566" s="113" t="s">
        <v>20227</v>
      </c>
      <c r="F566" s="257" t="s">
        <v>14413</v>
      </c>
      <c r="G566" s="258">
        <v>14.78</v>
      </c>
      <c r="H566" s="152"/>
      <c r="I566" s="160">
        <f t="shared" si="8"/>
        <v>56143.530000000028</v>
      </c>
    </row>
    <row r="567" spans="2:9" hidden="1" x14ac:dyDescent="0.25">
      <c r="B567" s="148"/>
      <c r="C567" s="148" t="s">
        <v>20226</v>
      </c>
      <c r="D567" s="150">
        <v>44007</v>
      </c>
      <c r="E567" s="113" t="s">
        <v>20225</v>
      </c>
      <c r="F567" s="257" t="s">
        <v>14413</v>
      </c>
      <c r="G567" s="258">
        <v>3.25</v>
      </c>
      <c r="H567" s="152"/>
      <c r="I567" s="160">
        <f t="shared" si="8"/>
        <v>56146.780000000028</v>
      </c>
    </row>
    <row r="568" spans="2:9" hidden="1" x14ac:dyDescent="0.25">
      <c r="B568" s="148"/>
      <c r="C568" s="148" t="s">
        <v>20224</v>
      </c>
      <c r="D568" s="150">
        <v>44007</v>
      </c>
      <c r="E568" s="113" t="s">
        <v>20223</v>
      </c>
      <c r="F568" s="257" t="s">
        <v>14413</v>
      </c>
      <c r="G568" s="258">
        <v>16.03</v>
      </c>
      <c r="H568" s="152"/>
      <c r="I568" s="160">
        <f t="shared" si="8"/>
        <v>56162.810000000027</v>
      </c>
    </row>
    <row r="569" spans="2:9" hidden="1" x14ac:dyDescent="0.25">
      <c r="B569" s="148"/>
      <c r="C569" s="148" t="s">
        <v>20222</v>
      </c>
      <c r="D569" s="150">
        <v>44007</v>
      </c>
      <c r="E569" s="113" t="s">
        <v>20221</v>
      </c>
      <c r="F569" s="257" t="s">
        <v>14413</v>
      </c>
      <c r="G569" s="258">
        <v>2.77</v>
      </c>
      <c r="H569" s="152"/>
      <c r="I569" s="160">
        <f t="shared" si="8"/>
        <v>56165.580000000024</v>
      </c>
    </row>
    <row r="570" spans="2:9" hidden="1" x14ac:dyDescent="0.25">
      <c r="B570" s="148"/>
      <c r="C570" s="148" t="s">
        <v>20220</v>
      </c>
      <c r="D570" s="150">
        <v>44007</v>
      </c>
      <c r="E570" s="113" t="s">
        <v>20219</v>
      </c>
      <c r="F570" s="257" t="s">
        <v>14413</v>
      </c>
      <c r="G570" s="258">
        <v>6.55</v>
      </c>
      <c r="H570" s="152"/>
      <c r="I570" s="160">
        <f t="shared" si="8"/>
        <v>56172.130000000026</v>
      </c>
    </row>
    <row r="571" spans="2:9" hidden="1" x14ac:dyDescent="0.25">
      <c r="B571" s="148"/>
      <c r="C571" s="148" t="s">
        <v>20218</v>
      </c>
      <c r="D571" s="150">
        <v>44007</v>
      </c>
      <c r="E571" s="113" t="s">
        <v>20217</v>
      </c>
      <c r="F571" s="257" t="s">
        <v>14413</v>
      </c>
      <c r="G571" s="258">
        <v>8.3800000000000008</v>
      </c>
      <c r="H571" s="152"/>
      <c r="I571" s="160">
        <f t="shared" si="8"/>
        <v>56180.510000000024</v>
      </c>
    </row>
    <row r="572" spans="2:9" hidden="1" x14ac:dyDescent="0.25">
      <c r="B572" s="148"/>
      <c r="C572" s="148" t="s">
        <v>20216</v>
      </c>
      <c r="D572" s="150">
        <v>44007</v>
      </c>
      <c r="E572" s="113" t="s">
        <v>20215</v>
      </c>
      <c r="F572" s="257" t="s">
        <v>14413</v>
      </c>
      <c r="G572" s="258">
        <v>6.68</v>
      </c>
      <c r="H572" s="152"/>
      <c r="I572" s="160">
        <f t="shared" si="8"/>
        <v>56187.190000000024</v>
      </c>
    </row>
    <row r="573" spans="2:9" hidden="1" x14ac:dyDescent="0.25">
      <c r="B573" s="148"/>
      <c r="C573" s="148" t="s">
        <v>20214</v>
      </c>
      <c r="D573" s="150">
        <v>44007</v>
      </c>
      <c r="E573" s="113" t="s">
        <v>20213</v>
      </c>
      <c r="F573" s="257" t="s">
        <v>14413</v>
      </c>
      <c r="G573" s="258">
        <v>1.69</v>
      </c>
      <c r="H573" s="152"/>
      <c r="I573" s="160">
        <f t="shared" si="8"/>
        <v>56188.880000000026</v>
      </c>
    </row>
    <row r="574" spans="2:9" hidden="1" x14ac:dyDescent="0.25">
      <c r="B574" s="148"/>
      <c r="C574" s="148" t="s">
        <v>20212</v>
      </c>
      <c r="D574" s="150">
        <v>44007</v>
      </c>
      <c r="E574" s="113" t="s">
        <v>20211</v>
      </c>
      <c r="F574" s="257" t="s">
        <v>14413</v>
      </c>
      <c r="G574" s="258">
        <v>1.87</v>
      </c>
      <c r="H574" s="152"/>
      <c r="I574" s="160">
        <f t="shared" si="8"/>
        <v>56190.750000000029</v>
      </c>
    </row>
    <row r="575" spans="2:9" ht="19.5" hidden="1" x14ac:dyDescent="0.25">
      <c r="B575" s="148"/>
      <c r="C575" s="148" t="s">
        <v>20210</v>
      </c>
      <c r="D575" s="150">
        <v>44007</v>
      </c>
      <c r="E575" s="113" t="s">
        <v>20209</v>
      </c>
      <c r="F575" s="257" t="s">
        <v>14413</v>
      </c>
      <c r="G575" s="258">
        <v>12.94</v>
      </c>
      <c r="H575" s="152"/>
      <c r="I575" s="160">
        <f t="shared" si="8"/>
        <v>56203.690000000031</v>
      </c>
    </row>
    <row r="576" spans="2:9" ht="19.5" hidden="1" x14ac:dyDescent="0.25">
      <c r="B576" s="148"/>
      <c r="C576" s="148" t="s">
        <v>20208</v>
      </c>
      <c r="D576" s="150">
        <v>44007</v>
      </c>
      <c r="E576" s="113" t="s">
        <v>20207</v>
      </c>
      <c r="F576" s="257">
        <v>19</v>
      </c>
      <c r="G576" s="255">
        <v>36.18</v>
      </c>
      <c r="H576" s="152"/>
      <c r="I576" s="160">
        <f t="shared" si="8"/>
        <v>56239.870000000032</v>
      </c>
    </row>
    <row r="577" spans="2:9" ht="19.5" hidden="1" x14ac:dyDescent="0.25">
      <c r="B577" s="148"/>
      <c r="C577" s="148" t="s">
        <v>20206</v>
      </c>
      <c r="D577" s="150">
        <v>44007</v>
      </c>
      <c r="E577" s="113" t="s">
        <v>20205</v>
      </c>
      <c r="F577" s="257">
        <v>19</v>
      </c>
      <c r="G577" s="255">
        <v>8.16</v>
      </c>
      <c r="H577" s="152"/>
      <c r="I577" s="160">
        <f t="shared" si="8"/>
        <v>56248.030000000035</v>
      </c>
    </row>
    <row r="578" spans="2:9" hidden="1" x14ac:dyDescent="0.25">
      <c r="B578" s="148"/>
      <c r="C578" s="148" t="s">
        <v>20204</v>
      </c>
      <c r="D578" s="150">
        <v>44007</v>
      </c>
      <c r="E578" s="113" t="s">
        <v>20203</v>
      </c>
      <c r="F578" s="257">
        <v>19</v>
      </c>
      <c r="G578" s="255">
        <v>15.02</v>
      </c>
      <c r="H578" s="152"/>
      <c r="I578" s="160">
        <f t="shared" si="8"/>
        <v>56263.050000000032</v>
      </c>
    </row>
    <row r="579" spans="2:9" hidden="1" x14ac:dyDescent="0.25">
      <c r="B579" s="148"/>
      <c r="C579" s="148" t="s">
        <v>20202</v>
      </c>
      <c r="D579" s="150">
        <v>44007</v>
      </c>
      <c r="E579" s="113" t="s">
        <v>20201</v>
      </c>
      <c r="F579" s="257">
        <v>19</v>
      </c>
      <c r="G579" s="255">
        <v>1.68</v>
      </c>
      <c r="H579" s="152"/>
      <c r="I579" s="160">
        <f t="shared" si="8"/>
        <v>56264.730000000032</v>
      </c>
    </row>
    <row r="580" spans="2:9" ht="19.5" hidden="1" x14ac:dyDescent="0.25">
      <c r="B580" s="148"/>
      <c r="C580" s="148" t="s">
        <v>20200</v>
      </c>
      <c r="D580" s="150">
        <v>44007</v>
      </c>
      <c r="E580" s="113" t="s">
        <v>20199</v>
      </c>
      <c r="F580" s="257">
        <v>19</v>
      </c>
      <c r="G580" s="255">
        <v>8.56</v>
      </c>
      <c r="H580" s="152"/>
      <c r="I580" s="160">
        <f t="shared" si="8"/>
        <v>56273.29000000003</v>
      </c>
    </row>
    <row r="581" spans="2:9" ht="19.5" hidden="1" x14ac:dyDescent="0.25">
      <c r="B581" s="148"/>
      <c r="C581" s="148" t="s">
        <v>20198</v>
      </c>
      <c r="D581" s="150">
        <v>44007</v>
      </c>
      <c r="E581" s="113" t="s">
        <v>20197</v>
      </c>
      <c r="F581" s="257">
        <v>19</v>
      </c>
      <c r="G581" s="255">
        <v>14.49</v>
      </c>
      <c r="H581" s="152"/>
      <c r="I581" s="160">
        <f t="shared" si="8"/>
        <v>56287.780000000028</v>
      </c>
    </row>
    <row r="582" spans="2:9" hidden="1" x14ac:dyDescent="0.25">
      <c r="B582" s="148"/>
      <c r="C582" s="148" t="s">
        <v>20196</v>
      </c>
      <c r="D582" s="150">
        <v>44007</v>
      </c>
      <c r="E582" s="113" t="s">
        <v>20195</v>
      </c>
      <c r="F582" s="257">
        <v>19</v>
      </c>
      <c r="G582" s="255">
        <v>4.84</v>
      </c>
      <c r="H582" s="152"/>
      <c r="I582" s="160">
        <f t="shared" si="8"/>
        <v>56292.620000000024</v>
      </c>
    </row>
    <row r="583" spans="2:9" hidden="1" x14ac:dyDescent="0.25">
      <c r="B583" s="148"/>
      <c r="C583" s="148" t="s">
        <v>20194</v>
      </c>
      <c r="D583" s="150">
        <v>44007</v>
      </c>
      <c r="E583" s="113" t="s">
        <v>20193</v>
      </c>
      <c r="F583" s="257">
        <v>19</v>
      </c>
      <c r="G583" s="255">
        <v>4.72</v>
      </c>
      <c r="H583" s="152"/>
      <c r="I583" s="160">
        <f t="shared" si="8"/>
        <v>56297.340000000026</v>
      </c>
    </row>
    <row r="584" spans="2:9" hidden="1" x14ac:dyDescent="0.25">
      <c r="B584" s="148"/>
      <c r="C584" s="148" t="s">
        <v>20192</v>
      </c>
      <c r="D584" s="150">
        <v>44007</v>
      </c>
      <c r="E584" s="113" t="s">
        <v>20191</v>
      </c>
      <c r="F584" s="257" t="s">
        <v>14436</v>
      </c>
      <c r="G584" s="160">
        <v>46.08</v>
      </c>
      <c r="H584" s="152"/>
      <c r="I584" s="160">
        <f t="shared" si="8"/>
        <v>56343.420000000027</v>
      </c>
    </row>
    <row r="585" spans="2:9" hidden="1" x14ac:dyDescent="0.25">
      <c r="B585" s="148"/>
      <c r="C585" s="148" t="s">
        <v>20190</v>
      </c>
      <c r="D585" s="150">
        <v>44008</v>
      </c>
      <c r="E585" s="113" t="s">
        <v>20189</v>
      </c>
      <c r="F585" s="257" t="s">
        <v>14436</v>
      </c>
      <c r="G585" s="160">
        <v>8.3800000000000008</v>
      </c>
      <c r="H585" s="152"/>
      <c r="I585" s="160">
        <f t="shared" si="8"/>
        <v>56351.800000000025</v>
      </c>
    </row>
    <row r="586" spans="2:9" x14ac:dyDescent="0.25">
      <c r="B586" s="148" t="s">
        <v>14414</v>
      </c>
      <c r="C586" s="148" t="s">
        <v>20188</v>
      </c>
      <c r="D586" s="150">
        <v>44008</v>
      </c>
      <c r="E586" s="113" t="s">
        <v>20187</v>
      </c>
      <c r="G586" s="258">
        <v>4.1900000000000004</v>
      </c>
      <c r="H586" s="152"/>
      <c r="I586" s="160">
        <f t="shared" si="8"/>
        <v>56355.990000000027</v>
      </c>
    </row>
    <row r="587" spans="2:9" x14ac:dyDescent="0.25">
      <c r="B587" s="148" t="s">
        <v>14414</v>
      </c>
      <c r="C587" s="148" t="s">
        <v>20186</v>
      </c>
      <c r="D587" s="150">
        <v>44008</v>
      </c>
      <c r="E587" s="113" t="s">
        <v>20185</v>
      </c>
      <c r="G587" s="258">
        <v>3.74</v>
      </c>
      <c r="H587" s="152"/>
      <c r="I587" s="160">
        <f t="shared" si="8"/>
        <v>56359.730000000025</v>
      </c>
    </row>
    <row r="588" spans="2:9" ht="19.5" x14ac:dyDescent="0.25">
      <c r="B588" s="148" t="s">
        <v>14414</v>
      </c>
      <c r="C588" s="148" t="s">
        <v>20184</v>
      </c>
      <c r="D588" s="150">
        <v>44008</v>
      </c>
      <c r="E588" s="113" t="s">
        <v>20183</v>
      </c>
      <c r="G588" s="258">
        <v>23.86</v>
      </c>
      <c r="H588" s="152"/>
      <c r="I588" s="160">
        <f t="shared" si="8"/>
        <v>56383.590000000026</v>
      </c>
    </row>
    <row r="589" spans="2:9" x14ac:dyDescent="0.25">
      <c r="B589" s="148" t="s">
        <v>14414</v>
      </c>
      <c r="C589" s="148" t="s">
        <v>20182</v>
      </c>
      <c r="D589" s="150">
        <v>44008</v>
      </c>
      <c r="E589" s="113" t="s">
        <v>20181</v>
      </c>
      <c r="G589" s="258">
        <v>3.95</v>
      </c>
      <c r="H589" s="152"/>
      <c r="I589" s="160">
        <f t="shared" si="8"/>
        <v>56387.540000000023</v>
      </c>
    </row>
    <row r="590" spans="2:9" x14ac:dyDescent="0.25">
      <c r="B590" s="148" t="s">
        <v>14414</v>
      </c>
      <c r="C590" s="148" t="s">
        <v>20180</v>
      </c>
      <c r="D590" s="150">
        <v>44008</v>
      </c>
      <c r="E590" s="113" t="s">
        <v>20179</v>
      </c>
      <c r="G590" s="258">
        <v>6.38</v>
      </c>
      <c r="H590" s="152"/>
      <c r="I590" s="160">
        <f t="shared" si="8"/>
        <v>56393.92000000002</v>
      </c>
    </row>
    <row r="591" spans="2:9" ht="19.5" x14ac:dyDescent="0.25">
      <c r="B591" s="148" t="s">
        <v>14414</v>
      </c>
      <c r="C591" s="148" t="s">
        <v>20178</v>
      </c>
      <c r="D591" s="150">
        <v>44008</v>
      </c>
      <c r="E591" s="113" t="s">
        <v>20177</v>
      </c>
      <c r="G591" s="258">
        <v>20.75</v>
      </c>
      <c r="H591" s="152"/>
      <c r="I591" s="160">
        <f t="shared" si="8"/>
        <v>56414.67000000002</v>
      </c>
    </row>
    <row r="592" spans="2:9" x14ac:dyDescent="0.25">
      <c r="B592" s="148" t="s">
        <v>14414</v>
      </c>
      <c r="C592" s="148" t="s">
        <v>20176</v>
      </c>
      <c r="D592" s="150">
        <v>44008</v>
      </c>
      <c r="E592" s="113" t="s">
        <v>20175</v>
      </c>
      <c r="G592" s="258">
        <v>7.02</v>
      </c>
      <c r="H592" s="152"/>
      <c r="I592" s="160">
        <f t="shared" si="8"/>
        <v>56421.690000000017</v>
      </c>
    </row>
    <row r="593" spans="2:9" x14ac:dyDescent="0.25">
      <c r="B593" s="148" t="s">
        <v>14414</v>
      </c>
      <c r="C593" s="148" t="s">
        <v>20174</v>
      </c>
      <c r="D593" s="150">
        <v>44008</v>
      </c>
      <c r="E593" s="113" t="s">
        <v>20173</v>
      </c>
      <c r="G593" s="258">
        <v>5.99</v>
      </c>
      <c r="H593" s="152"/>
      <c r="I593" s="160">
        <f t="shared" si="8"/>
        <v>56427.680000000015</v>
      </c>
    </row>
    <row r="594" spans="2:9" x14ac:dyDescent="0.25">
      <c r="B594" s="148" t="s">
        <v>14414</v>
      </c>
      <c r="C594" s="148" t="s">
        <v>20172</v>
      </c>
      <c r="D594" s="150">
        <v>44008</v>
      </c>
      <c r="E594" s="113" t="s">
        <v>20171</v>
      </c>
      <c r="G594" s="258">
        <v>12.02</v>
      </c>
      <c r="H594" s="152"/>
      <c r="I594" s="160">
        <f t="shared" si="8"/>
        <v>56439.700000000012</v>
      </c>
    </row>
    <row r="595" spans="2:9" x14ac:dyDescent="0.25">
      <c r="B595" s="148" t="s">
        <v>14414</v>
      </c>
      <c r="C595" s="148" t="s">
        <v>20170</v>
      </c>
      <c r="D595" s="150">
        <v>44008</v>
      </c>
      <c r="E595" s="113" t="s">
        <v>20169</v>
      </c>
      <c r="G595" s="258">
        <v>8.3800000000000008</v>
      </c>
      <c r="H595" s="152"/>
      <c r="I595" s="160">
        <f t="shared" si="8"/>
        <v>56448.080000000009</v>
      </c>
    </row>
    <row r="596" spans="2:9" x14ac:dyDescent="0.25">
      <c r="B596" s="148" t="s">
        <v>14414</v>
      </c>
      <c r="C596" s="148" t="s">
        <v>20168</v>
      </c>
      <c r="D596" s="150">
        <v>44008</v>
      </c>
      <c r="E596" s="113" t="s">
        <v>20167</v>
      </c>
      <c r="G596" s="258">
        <v>5.27</v>
      </c>
      <c r="H596" s="152"/>
      <c r="I596" s="160">
        <f t="shared" ref="I596:I659" si="9">+I595+G596-H596</f>
        <v>56453.350000000006</v>
      </c>
    </row>
    <row r="597" spans="2:9" x14ac:dyDescent="0.25">
      <c r="B597" s="148" t="s">
        <v>14414</v>
      </c>
      <c r="C597" s="148" t="s">
        <v>20166</v>
      </c>
      <c r="D597" s="150">
        <v>44008</v>
      </c>
      <c r="E597" s="113" t="s">
        <v>20165</v>
      </c>
      <c r="G597" s="258">
        <v>1.74</v>
      </c>
      <c r="H597" s="152"/>
      <c r="I597" s="160">
        <f t="shared" si="9"/>
        <v>56455.090000000004</v>
      </c>
    </row>
    <row r="598" spans="2:9" x14ac:dyDescent="0.25">
      <c r="B598" s="148" t="s">
        <v>14414</v>
      </c>
      <c r="C598" s="148" t="s">
        <v>20164</v>
      </c>
      <c r="D598" s="150">
        <v>44008</v>
      </c>
      <c r="E598" s="113" t="s">
        <v>20163</v>
      </c>
      <c r="G598" s="258">
        <v>6.38</v>
      </c>
      <c r="H598" s="152"/>
      <c r="I598" s="160">
        <f t="shared" si="9"/>
        <v>56461.47</v>
      </c>
    </row>
    <row r="599" spans="2:9" x14ac:dyDescent="0.25">
      <c r="B599" s="148" t="s">
        <v>14414</v>
      </c>
      <c r="C599" s="148" t="s">
        <v>20162</v>
      </c>
      <c r="D599" s="150">
        <v>44008</v>
      </c>
      <c r="E599" s="113" t="s">
        <v>20161</v>
      </c>
      <c r="G599" s="258">
        <v>1.68</v>
      </c>
      <c r="H599" s="152"/>
      <c r="I599" s="160">
        <f t="shared" si="9"/>
        <v>56463.15</v>
      </c>
    </row>
    <row r="600" spans="2:9" hidden="1" x14ac:dyDescent="0.25">
      <c r="B600" s="148"/>
      <c r="C600" s="148" t="s">
        <v>20160</v>
      </c>
      <c r="D600" s="150">
        <v>44008</v>
      </c>
      <c r="E600" s="113" t="s">
        <v>20159</v>
      </c>
      <c r="F600" s="257">
        <v>20</v>
      </c>
      <c r="G600" s="255">
        <v>3.98</v>
      </c>
      <c r="H600" s="152"/>
      <c r="I600" s="160">
        <f t="shared" si="9"/>
        <v>56467.130000000005</v>
      </c>
    </row>
    <row r="601" spans="2:9" hidden="1" x14ac:dyDescent="0.25">
      <c r="B601" s="148"/>
      <c r="C601" s="148" t="s">
        <v>20158</v>
      </c>
      <c r="D601" s="150">
        <v>44008</v>
      </c>
      <c r="E601" s="113" t="s">
        <v>20157</v>
      </c>
      <c r="F601" s="257">
        <v>20</v>
      </c>
      <c r="G601" s="255">
        <v>12.3</v>
      </c>
      <c r="H601" s="152"/>
      <c r="I601" s="160">
        <f t="shared" si="9"/>
        <v>56479.430000000008</v>
      </c>
    </row>
    <row r="602" spans="2:9" hidden="1" x14ac:dyDescent="0.25">
      <c r="B602" s="148"/>
      <c r="C602" s="148" t="s">
        <v>20156</v>
      </c>
      <c r="D602" s="150">
        <v>44008</v>
      </c>
      <c r="E602" s="113" t="s">
        <v>20155</v>
      </c>
      <c r="F602" s="257">
        <v>20</v>
      </c>
      <c r="G602" s="255">
        <v>1.77</v>
      </c>
      <c r="H602" s="152"/>
      <c r="I602" s="160">
        <f t="shared" si="9"/>
        <v>56481.200000000004</v>
      </c>
    </row>
    <row r="603" spans="2:9" ht="19.5" hidden="1" x14ac:dyDescent="0.25">
      <c r="B603" s="148"/>
      <c r="C603" s="148" t="s">
        <v>20154</v>
      </c>
      <c r="D603" s="150">
        <v>44008</v>
      </c>
      <c r="E603" s="113" t="s">
        <v>20153</v>
      </c>
      <c r="F603" s="257">
        <v>20</v>
      </c>
      <c r="G603" s="255">
        <v>7.22</v>
      </c>
      <c r="H603" s="152"/>
      <c r="I603" s="160">
        <f t="shared" si="9"/>
        <v>56488.420000000006</v>
      </c>
    </row>
    <row r="604" spans="2:9" ht="19.5" hidden="1" x14ac:dyDescent="0.25">
      <c r="B604" s="148"/>
      <c r="C604" s="148" t="s">
        <v>20152</v>
      </c>
      <c r="D604" s="150">
        <v>44008</v>
      </c>
      <c r="E604" s="113" t="s">
        <v>20151</v>
      </c>
      <c r="F604" s="257">
        <v>20</v>
      </c>
      <c r="G604" s="255">
        <v>11.9</v>
      </c>
      <c r="H604" s="152"/>
      <c r="I604" s="160">
        <f t="shared" si="9"/>
        <v>56500.320000000007</v>
      </c>
    </row>
    <row r="605" spans="2:9" ht="19.5" hidden="1" x14ac:dyDescent="0.25">
      <c r="B605" s="148"/>
      <c r="C605" s="148" t="s">
        <v>20150</v>
      </c>
      <c r="D605" s="150">
        <v>44008</v>
      </c>
      <c r="E605" s="113" t="s">
        <v>20149</v>
      </c>
      <c r="F605" s="257">
        <v>20</v>
      </c>
      <c r="G605" s="255">
        <v>10.08</v>
      </c>
      <c r="H605" s="152"/>
      <c r="I605" s="160">
        <f t="shared" si="9"/>
        <v>56510.400000000009</v>
      </c>
    </row>
    <row r="606" spans="2:9" hidden="1" x14ac:dyDescent="0.25">
      <c r="B606" s="148"/>
      <c r="C606" s="148" t="s">
        <v>20148</v>
      </c>
      <c r="D606" s="150">
        <v>44008</v>
      </c>
      <c r="E606" s="113" t="s">
        <v>20147</v>
      </c>
      <c r="F606" s="257" t="s">
        <v>14436</v>
      </c>
      <c r="G606" s="160">
        <v>4449.8500000000004</v>
      </c>
      <c r="H606" s="152"/>
      <c r="I606" s="160">
        <f t="shared" si="9"/>
        <v>60960.250000000007</v>
      </c>
    </row>
    <row r="607" spans="2:9" hidden="1" x14ac:dyDescent="0.25">
      <c r="B607" s="148"/>
      <c r="C607" s="148" t="s">
        <v>20146</v>
      </c>
      <c r="D607" s="150">
        <v>44008</v>
      </c>
      <c r="E607" s="113" t="s">
        <v>20145</v>
      </c>
      <c r="F607" s="257" t="s">
        <v>14436</v>
      </c>
      <c r="G607" s="160">
        <v>7.82</v>
      </c>
      <c r="H607" s="152"/>
      <c r="I607" s="160">
        <f t="shared" si="9"/>
        <v>60968.070000000007</v>
      </c>
    </row>
    <row r="608" spans="2:9" hidden="1" x14ac:dyDescent="0.25">
      <c r="B608" s="148"/>
      <c r="C608" s="148" t="s">
        <v>20144</v>
      </c>
      <c r="D608" s="150">
        <v>44008</v>
      </c>
      <c r="E608" s="113" t="s">
        <v>20143</v>
      </c>
      <c r="F608" s="257" t="s">
        <v>14436</v>
      </c>
      <c r="G608" s="160">
        <v>528.07000000000005</v>
      </c>
      <c r="H608" s="152"/>
      <c r="I608" s="160">
        <f t="shared" si="9"/>
        <v>61496.140000000007</v>
      </c>
    </row>
    <row r="609" spans="2:9" hidden="1" x14ac:dyDescent="0.25">
      <c r="B609" s="148"/>
      <c r="C609" s="148" t="s">
        <v>20142</v>
      </c>
      <c r="D609" s="150">
        <v>44008</v>
      </c>
      <c r="E609" s="113" t="s">
        <v>20141</v>
      </c>
      <c r="F609" s="257" t="s">
        <v>14436</v>
      </c>
      <c r="G609" s="160">
        <v>0.37</v>
      </c>
      <c r="H609" s="152"/>
      <c r="I609" s="160">
        <f t="shared" si="9"/>
        <v>61496.510000000009</v>
      </c>
    </row>
    <row r="610" spans="2:9" x14ac:dyDescent="0.25">
      <c r="B610" s="148" t="s">
        <v>14414</v>
      </c>
      <c r="C610" s="148" t="s">
        <v>20140</v>
      </c>
      <c r="D610" s="150">
        <v>44009</v>
      </c>
      <c r="E610" s="113" t="s">
        <v>20139</v>
      </c>
      <c r="G610" s="258">
        <v>4.83</v>
      </c>
      <c r="H610" s="152"/>
      <c r="I610" s="160">
        <f t="shared" si="9"/>
        <v>61501.340000000011</v>
      </c>
    </row>
    <row r="611" spans="2:9" ht="19.5" x14ac:dyDescent="0.25">
      <c r="B611" s="148" t="s">
        <v>14414</v>
      </c>
      <c r="C611" s="148" t="s">
        <v>20138</v>
      </c>
      <c r="D611" s="150">
        <v>44009</v>
      </c>
      <c r="E611" s="113" t="s">
        <v>20137</v>
      </c>
      <c r="G611" s="258">
        <v>25.24</v>
      </c>
      <c r="H611" s="152"/>
      <c r="I611" s="160">
        <f t="shared" si="9"/>
        <v>61526.580000000009</v>
      </c>
    </row>
    <row r="612" spans="2:9" x14ac:dyDescent="0.25">
      <c r="B612" s="148" t="s">
        <v>14414</v>
      </c>
      <c r="C612" s="148" t="s">
        <v>20136</v>
      </c>
      <c r="D612" s="150">
        <v>44009</v>
      </c>
      <c r="E612" s="113" t="s">
        <v>20135</v>
      </c>
      <c r="G612" s="258">
        <v>6.47</v>
      </c>
      <c r="H612" s="152"/>
      <c r="I612" s="160">
        <f t="shared" si="9"/>
        <v>61533.05000000001</v>
      </c>
    </row>
    <row r="613" spans="2:9" x14ac:dyDescent="0.25">
      <c r="B613" s="148" t="s">
        <v>14414</v>
      </c>
      <c r="C613" s="148" t="s">
        <v>20134</v>
      </c>
      <c r="D613" s="150">
        <v>44009</v>
      </c>
      <c r="E613" s="113" t="s">
        <v>20133</v>
      </c>
      <c r="G613" s="258">
        <v>15.64</v>
      </c>
      <c r="H613" s="152"/>
      <c r="I613" s="160">
        <f t="shared" si="9"/>
        <v>61548.69000000001</v>
      </c>
    </row>
    <row r="614" spans="2:9" x14ac:dyDescent="0.25">
      <c r="B614" s="148" t="s">
        <v>14414</v>
      </c>
      <c r="C614" s="148" t="s">
        <v>20132</v>
      </c>
      <c r="D614" s="150">
        <v>44009</v>
      </c>
      <c r="E614" s="113" t="s">
        <v>20131</v>
      </c>
      <c r="G614" s="258">
        <v>2.1800000000000002</v>
      </c>
      <c r="H614" s="152"/>
      <c r="I614" s="160">
        <f t="shared" si="9"/>
        <v>61550.87000000001</v>
      </c>
    </row>
    <row r="615" spans="2:9" x14ac:dyDescent="0.25">
      <c r="B615" s="148" t="s">
        <v>14414</v>
      </c>
      <c r="C615" s="148" t="s">
        <v>20130</v>
      </c>
      <c r="D615" s="150">
        <v>44009</v>
      </c>
      <c r="E615" s="113" t="s">
        <v>20129</v>
      </c>
      <c r="G615" s="258">
        <v>3.67</v>
      </c>
      <c r="H615" s="152"/>
      <c r="I615" s="160">
        <f t="shared" si="9"/>
        <v>61554.540000000008</v>
      </c>
    </row>
    <row r="616" spans="2:9" x14ac:dyDescent="0.25">
      <c r="B616" s="148" t="s">
        <v>14414</v>
      </c>
      <c r="C616" s="148" t="s">
        <v>20128</v>
      </c>
      <c r="D616" s="150">
        <v>44009</v>
      </c>
      <c r="E616" s="113" t="s">
        <v>20127</v>
      </c>
      <c r="G616" s="258">
        <v>5.96</v>
      </c>
      <c r="H616" s="152"/>
      <c r="I616" s="160">
        <f t="shared" si="9"/>
        <v>61560.500000000007</v>
      </c>
    </row>
    <row r="617" spans="2:9" ht="19.5" x14ac:dyDescent="0.25">
      <c r="B617" s="148" t="s">
        <v>14414</v>
      </c>
      <c r="C617" s="148" t="s">
        <v>20126</v>
      </c>
      <c r="D617" s="150">
        <v>44009</v>
      </c>
      <c r="E617" s="113" t="s">
        <v>20125</v>
      </c>
      <c r="G617" s="258">
        <v>14.67</v>
      </c>
      <c r="H617" s="152"/>
      <c r="I617" s="160">
        <f t="shared" si="9"/>
        <v>61575.170000000006</v>
      </c>
    </row>
    <row r="618" spans="2:9" ht="19.5" x14ac:dyDescent="0.25">
      <c r="B618" s="148" t="s">
        <v>14414</v>
      </c>
      <c r="C618" s="148" t="s">
        <v>20124</v>
      </c>
      <c r="D618" s="150">
        <v>44009</v>
      </c>
      <c r="E618" s="113" t="s">
        <v>20123</v>
      </c>
      <c r="G618" s="258">
        <v>6.99</v>
      </c>
      <c r="H618" s="152"/>
      <c r="I618" s="160">
        <f t="shared" si="9"/>
        <v>61582.16</v>
      </c>
    </row>
    <row r="619" spans="2:9" x14ac:dyDescent="0.25">
      <c r="B619" s="148" t="s">
        <v>14414</v>
      </c>
      <c r="C619" s="148" t="s">
        <v>20122</v>
      </c>
      <c r="D619" s="150">
        <v>44009</v>
      </c>
      <c r="E619" s="113" t="s">
        <v>20121</v>
      </c>
      <c r="G619" s="258">
        <v>13.01</v>
      </c>
      <c r="H619" s="152"/>
      <c r="I619" s="160">
        <f t="shared" si="9"/>
        <v>61595.170000000006</v>
      </c>
    </row>
    <row r="620" spans="2:9" ht="19.5" hidden="1" x14ac:dyDescent="0.25">
      <c r="B620" s="148"/>
      <c r="C620" s="148" t="s">
        <v>20120</v>
      </c>
      <c r="D620" s="150">
        <v>44009</v>
      </c>
      <c r="E620" s="113" t="s">
        <v>20119</v>
      </c>
      <c r="F620" s="257" t="s">
        <v>14436</v>
      </c>
      <c r="G620" s="160">
        <v>18.71</v>
      </c>
      <c r="H620" s="152"/>
      <c r="I620" s="160">
        <f t="shared" si="9"/>
        <v>61613.880000000005</v>
      </c>
    </row>
    <row r="621" spans="2:9" x14ac:dyDescent="0.25">
      <c r="B621" s="148" t="s">
        <v>14414</v>
      </c>
      <c r="C621" s="148" t="s">
        <v>20118</v>
      </c>
      <c r="D621" s="150">
        <v>44010</v>
      </c>
      <c r="E621" s="113" t="s">
        <v>20117</v>
      </c>
      <c r="G621" s="258">
        <v>5.38</v>
      </c>
      <c r="H621" s="152"/>
      <c r="I621" s="160">
        <f t="shared" si="9"/>
        <v>61619.26</v>
      </c>
    </row>
    <row r="622" spans="2:9" x14ac:dyDescent="0.25">
      <c r="B622" s="148" t="s">
        <v>14414</v>
      </c>
      <c r="C622" s="148" t="s">
        <v>20116</v>
      </c>
      <c r="D622" s="150">
        <v>44010</v>
      </c>
      <c r="E622" s="113" t="s">
        <v>20115</v>
      </c>
      <c r="G622" s="258">
        <v>13.06</v>
      </c>
      <c r="H622" s="152"/>
      <c r="I622" s="160">
        <f t="shared" si="9"/>
        <v>61632.32</v>
      </c>
    </row>
    <row r="623" spans="2:9" x14ac:dyDescent="0.25">
      <c r="B623" s="148" t="s">
        <v>14414</v>
      </c>
      <c r="C623" s="148" t="s">
        <v>20114</v>
      </c>
      <c r="D623" s="150">
        <v>44010</v>
      </c>
      <c r="E623" s="113" t="s">
        <v>20113</v>
      </c>
      <c r="G623" s="258">
        <v>10.91</v>
      </c>
      <c r="H623" s="152"/>
      <c r="I623" s="160">
        <f t="shared" si="9"/>
        <v>61643.23</v>
      </c>
    </row>
    <row r="624" spans="2:9" ht="19.5" hidden="1" x14ac:dyDescent="0.25">
      <c r="B624" s="148"/>
      <c r="C624" s="148" t="s">
        <v>20112</v>
      </c>
      <c r="D624" s="150">
        <v>44011</v>
      </c>
      <c r="E624" s="113" t="s">
        <v>20111</v>
      </c>
      <c r="F624" s="257" t="s">
        <v>14436</v>
      </c>
      <c r="G624" s="160">
        <v>1</v>
      </c>
      <c r="H624" s="152"/>
      <c r="I624" s="160">
        <f t="shared" si="9"/>
        <v>61644.23</v>
      </c>
    </row>
    <row r="625" spans="2:9" hidden="1" x14ac:dyDescent="0.25">
      <c r="B625" s="148"/>
      <c r="C625" s="148" t="s">
        <v>20110</v>
      </c>
      <c r="D625" s="150">
        <v>44011</v>
      </c>
      <c r="E625" s="113" t="s">
        <v>20109</v>
      </c>
      <c r="F625" s="257" t="s">
        <v>14436</v>
      </c>
      <c r="G625" s="160">
        <v>5.64</v>
      </c>
      <c r="H625" s="152"/>
      <c r="I625" s="160">
        <f t="shared" si="9"/>
        <v>61649.87</v>
      </c>
    </row>
    <row r="626" spans="2:9" hidden="1" x14ac:dyDescent="0.25">
      <c r="B626" s="148"/>
      <c r="C626" s="148" t="s">
        <v>20108</v>
      </c>
      <c r="D626" s="150">
        <v>44011</v>
      </c>
      <c r="E626" s="113" t="s">
        <v>20107</v>
      </c>
      <c r="F626" s="257" t="s">
        <v>14436</v>
      </c>
      <c r="G626" s="160">
        <v>5.15</v>
      </c>
      <c r="H626" s="152"/>
      <c r="I626" s="160">
        <f t="shared" si="9"/>
        <v>61655.020000000004</v>
      </c>
    </row>
    <row r="627" spans="2:9" hidden="1" x14ac:dyDescent="0.25">
      <c r="B627" s="148"/>
      <c r="C627" s="148" t="s">
        <v>20106</v>
      </c>
      <c r="D627" s="150">
        <v>44011</v>
      </c>
      <c r="E627" s="113" t="s">
        <v>20105</v>
      </c>
      <c r="F627" s="257" t="s">
        <v>14436</v>
      </c>
      <c r="G627" s="160">
        <v>7</v>
      </c>
      <c r="H627" s="152"/>
      <c r="I627" s="160">
        <f t="shared" si="9"/>
        <v>61662.020000000004</v>
      </c>
    </row>
    <row r="628" spans="2:9" ht="19.5" x14ac:dyDescent="0.25">
      <c r="B628" s="148" t="s">
        <v>14414</v>
      </c>
      <c r="C628" s="148" t="s">
        <v>20104</v>
      </c>
      <c r="D628" s="150">
        <v>44011</v>
      </c>
      <c r="E628" s="113" t="s">
        <v>20103</v>
      </c>
      <c r="G628" s="258">
        <v>5.04</v>
      </c>
      <c r="H628" s="152"/>
      <c r="I628" s="160">
        <f t="shared" si="9"/>
        <v>61667.060000000005</v>
      </c>
    </row>
    <row r="629" spans="2:9" x14ac:dyDescent="0.25">
      <c r="B629" s="148" t="s">
        <v>14414</v>
      </c>
      <c r="C629" s="148" t="s">
        <v>20102</v>
      </c>
      <c r="D629" s="150">
        <v>44011</v>
      </c>
      <c r="E629" s="113" t="s">
        <v>20101</v>
      </c>
      <c r="G629" s="258">
        <v>14.86</v>
      </c>
      <c r="H629" s="152"/>
      <c r="I629" s="160">
        <f t="shared" si="9"/>
        <v>61681.920000000006</v>
      </c>
    </row>
    <row r="630" spans="2:9" x14ac:dyDescent="0.25">
      <c r="B630" s="148" t="s">
        <v>14414</v>
      </c>
      <c r="C630" s="148" t="s">
        <v>20100</v>
      </c>
      <c r="D630" s="150">
        <v>44011</v>
      </c>
      <c r="E630" s="113" t="s">
        <v>20099</v>
      </c>
      <c r="G630" s="258">
        <v>2.72</v>
      </c>
      <c r="H630" s="152"/>
      <c r="I630" s="160">
        <f t="shared" si="9"/>
        <v>61684.640000000007</v>
      </c>
    </row>
    <row r="631" spans="2:9" ht="19.5" x14ac:dyDescent="0.25">
      <c r="B631" s="148" t="s">
        <v>14414</v>
      </c>
      <c r="C631" s="148" t="s">
        <v>20098</v>
      </c>
      <c r="D631" s="150">
        <v>44011</v>
      </c>
      <c r="E631" s="113" t="s">
        <v>20097</v>
      </c>
      <c r="G631" s="258">
        <v>9.23</v>
      </c>
      <c r="H631" s="152"/>
      <c r="I631" s="160">
        <f t="shared" si="9"/>
        <v>61693.87000000001</v>
      </c>
    </row>
    <row r="632" spans="2:9" x14ac:dyDescent="0.25">
      <c r="B632" s="148" t="s">
        <v>14414</v>
      </c>
      <c r="C632" s="148" t="s">
        <v>20096</v>
      </c>
      <c r="D632" s="150">
        <v>44011</v>
      </c>
      <c r="E632" s="113" t="s">
        <v>20095</v>
      </c>
      <c r="G632" s="258">
        <v>7.03</v>
      </c>
      <c r="H632" s="152"/>
      <c r="I632" s="160">
        <f t="shared" si="9"/>
        <v>61700.900000000009</v>
      </c>
    </row>
    <row r="633" spans="2:9" x14ac:dyDescent="0.25">
      <c r="B633" s="148" t="s">
        <v>14414</v>
      </c>
      <c r="C633" s="148" t="s">
        <v>20094</v>
      </c>
      <c r="D633" s="150">
        <v>44011</v>
      </c>
      <c r="E633" s="113" t="s">
        <v>20093</v>
      </c>
      <c r="G633" s="258">
        <v>2.0499999999999998</v>
      </c>
      <c r="H633" s="152"/>
      <c r="I633" s="160">
        <f t="shared" si="9"/>
        <v>61702.950000000012</v>
      </c>
    </row>
    <row r="634" spans="2:9" x14ac:dyDescent="0.25">
      <c r="B634" s="148" t="s">
        <v>14414</v>
      </c>
      <c r="C634" s="148" t="s">
        <v>20092</v>
      </c>
      <c r="D634" s="150">
        <v>44011</v>
      </c>
      <c r="E634" s="113" t="s">
        <v>20091</v>
      </c>
      <c r="G634" s="258">
        <v>22.76</v>
      </c>
      <c r="H634" s="152"/>
      <c r="I634" s="160">
        <f t="shared" si="9"/>
        <v>61725.710000000014</v>
      </c>
    </row>
    <row r="635" spans="2:9" ht="19.5" x14ac:dyDescent="0.25">
      <c r="B635" s="148" t="s">
        <v>14414</v>
      </c>
      <c r="C635" s="148" t="s">
        <v>20090</v>
      </c>
      <c r="D635" s="150">
        <v>44011</v>
      </c>
      <c r="E635" s="113" t="s">
        <v>20089</v>
      </c>
      <c r="G635" s="258">
        <v>8.4700000000000006</v>
      </c>
      <c r="H635" s="152"/>
      <c r="I635" s="160">
        <f t="shared" si="9"/>
        <v>61734.180000000015</v>
      </c>
    </row>
    <row r="636" spans="2:9" x14ac:dyDescent="0.25">
      <c r="B636" s="148" t="s">
        <v>14414</v>
      </c>
      <c r="C636" s="148" t="s">
        <v>20088</v>
      </c>
      <c r="D636" s="150">
        <v>44011</v>
      </c>
      <c r="E636" s="113" t="s">
        <v>20087</v>
      </c>
      <c r="G636" s="258">
        <v>3.88</v>
      </c>
      <c r="H636" s="152"/>
      <c r="I636" s="160">
        <f t="shared" si="9"/>
        <v>61738.060000000012</v>
      </c>
    </row>
    <row r="637" spans="2:9" x14ac:dyDescent="0.25">
      <c r="B637" s="148" t="s">
        <v>14414</v>
      </c>
      <c r="C637" s="148" t="s">
        <v>20086</v>
      </c>
      <c r="D637" s="150">
        <v>44011</v>
      </c>
      <c r="E637" s="113" t="s">
        <v>20085</v>
      </c>
      <c r="G637" s="258">
        <v>0.94</v>
      </c>
      <c r="H637" s="152"/>
      <c r="I637" s="160">
        <f t="shared" si="9"/>
        <v>61739.000000000015</v>
      </c>
    </row>
    <row r="638" spans="2:9" ht="19.5" x14ac:dyDescent="0.25">
      <c r="B638" s="148" t="s">
        <v>14414</v>
      </c>
      <c r="C638" s="148" t="s">
        <v>20084</v>
      </c>
      <c r="D638" s="150">
        <v>44011</v>
      </c>
      <c r="E638" s="113" t="s">
        <v>20083</v>
      </c>
      <c r="G638" s="258">
        <v>46.04</v>
      </c>
      <c r="H638" s="152"/>
      <c r="I638" s="160">
        <f t="shared" si="9"/>
        <v>61785.040000000015</v>
      </c>
    </row>
    <row r="639" spans="2:9" x14ac:dyDescent="0.25">
      <c r="B639" s="148" t="s">
        <v>14414</v>
      </c>
      <c r="C639" s="148" t="s">
        <v>20082</v>
      </c>
      <c r="D639" s="150">
        <v>44011</v>
      </c>
      <c r="E639" s="113" t="s">
        <v>20081</v>
      </c>
      <c r="G639" s="258">
        <v>8.3800000000000008</v>
      </c>
      <c r="H639" s="152"/>
      <c r="I639" s="160">
        <f t="shared" si="9"/>
        <v>61793.420000000013</v>
      </c>
    </row>
    <row r="640" spans="2:9" x14ac:dyDescent="0.25">
      <c r="B640" s="148" t="s">
        <v>14414</v>
      </c>
      <c r="C640" s="148" t="s">
        <v>20080</v>
      </c>
      <c r="D640" s="150">
        <v>44011</v>
      </c>
      <c r="E640" s="113" t="s">
        <v>20079</v>
      </c>
      <c r="G640" s="258">
        <v>1.68</v>
      </c>
      <c r="H640" s="152"/>
      <c r="I640" s="160">
        <f t="shared" si="9"/>
        <v>61795.100000000013</v>
      </c>
    </row>
    <row r="641" spans="2:9" x14ac:dyDescent="0.25">
      <c r="B641" s="148" t="s">
        <v>14414</v>
      </c>
      <c r="C641" s="148" t="s">
        <v>20078</v>
      </c>
      <c r="D641" s="150">
        <v>44011</v>
      </c>
      <c r="E641" s="113" t="s">
        <v>20077</v>
      </c>
      <c r="G641" s="258">
        <v>1.84</v>
      </c>
      <c r="H641" s="152"/>
      <c r="I641" s="160">
        <f t="shared" si="9"/>
        <v>61796.94000000001</v>
      </c>
    </row>
    <row r="642" spans="2:9" x14ac:dyDescent="0.25">
      <c r="B642" s="148" t="s">
        <v>14414</v>
      </c>
      <c r="C642" s="148" t="s">
        <v>20076</v>
      </c>
      <c r="D642" s="150">
        <v>44011</v>
      </c>
      <c r="E642" s="113" t="s">
        <v>20075</v>
      </c>
      <c r="G642" s="258">
        <v>5.72</v>
      </c>
      <c r="H642" s="152"/>
      <c r="I642" s="160">
        <f t="shared" si="9"/>
        <v>61802.660000000011</v>
      </c>
    </row>
    <row r="643" spans="2:9" hidden="1" x14ac:dyDescent="0.25">
      <c r="B643" s="148"/>
      <c r="C643" s="148" t="s">
        <v>20074</v>
      </c>
      <c r="D643" s="150">
        <v>44011</v>
      </c>
      <c r="E643" s="113" t="s">
        <v>20073</v>
      </c>
      <c r="F643" s="257">
        <v>21</v>
      </c>
      <c r="G643" s="255">
        <v>2.21</v>
      </c>
      <c r="H643" s="152"/>
      <c r="I643" s="160">
        <f t="shared" si="9"/>
        <v>61804.87000000001</v>
      </c>
    </row>
    <row r="644" spans="2:9" hidden="1" x14ac:dyDescent="0.25">
      <c r="B644" s="148"/>
      <c r="C644" s="148" t="s">
        <v>20072</v>
      </c>
      <c r="D644" s="150">
        <v>44011</v>
      </c>
      <c r="E644" s="113" t="s">
        <v>20071</v>
      </c>
      <c r="F644" s="257">
        <v>21</v>
      </c>
      <c r="G644" s="255">
        <v>6.7</v>
      </c>
      <c r="H644" s="152"/>
      <c r="I644" s="160">
        <f t="shared" si="9"/>
        <v>61811.570000000007</v>
      </c>
    </row>
    <row r="645" spans="2:9" hidden="1" x14ac:dyDescent="0.25">
      <c r="B645" s="148"/>
      <c r="C645" s="148" t="s">
        <v>20070</v>
      </c>
      <c r="D645" s="150">
        <v>44011</v>
      </c>
      <c r="E645" s="113" t="s">
        <v>20069</v>
      </c>
      <c r="F645" s="257">
        <v>21</v>
      </c>
      <c r="G645" s="255">
        <v>1.68</v>
      </c>
      <c r="H645" s="152"/>
      <c r="I645" s="160">
        <f t="shared" si="9"/>
        <v>61813.250000000007</v>
      </c>
    </row>
    <row r="646" spans="2:9" hidden="1" x14ac:dyDescent="0.25">
      <c r="B646" s="148"/>
      <c r="C646" s="148" t="s">
        <v>20068</v>
      </c>
      <c r="D646" s="150">
        <v>44011</v>
      </c>
      <c r="E646" s="113" t="s">
        <v>20067</v>
      </c>
      <c r="F646" s="257">
        <v>21</v>
      </c>
      <c r="G646" s="255">
        <v>15.3</v>
      </c>
      <c r="H646" s="152"/>
      <c r="I646" s="160">
        <f t="shared" si="9"/>
        <v>61828.55000000001</v>
      </c>
    </row>
    <row r="647" spans="2:9" hidden="1" x14ac:dyDescent="0.25">
      <c r="B647" s="148"/>
      <c r="C647" s="148" t="s">
        <v>20066</v>
      </c>
      <c r="D647" s="150">
        <v>44011</v>
      </c>
      <c r="E647" s="113" t="s">
        <v>20065</v>
      </c>
      <c r="F647" s="257">
        <v>21</v>
      </c>
      <c r="G647" s="255">
        <v>0.78</v>
      </c>
      <c r="H647" s="152"/>
      <c r="I647" s="160">
        <f t="shared" si="9"/>
        <v>61829.330000000009</v>
      </c>
    </row>
    <row r="648" spans="2:9" hidden="1" x14ac:dyDescent="0.25">
      <c r="B648" s="148"/>
      <c r="C648" s="148" t="s">
        <v>20064</v>
      </c>
      <c r="D648" s="150">
        <v>44011</v>
      </c>
      <c r="E648" s="113" t="s">
        <v>20063</v>
      </c>
      <c r="F648" s="257">
        <v>21</v>
      </c>
      <c r="G648" s="255">
        <v>1.38</v>
      </c>
      <c r="H648" s="152"/>
      <c r="I648" s="160">
        <f t="shared" si="9"/>
        <v>61830.710000000006</v>
      </c>
    </row>
    <row r="649" spans="2:9" hidden="1" x14ac:dyDescent="0.25">
      <c r="B649" s="148"/>
      <c r="C649" s="148" t="s">
        <v>20062</v>
      </c>
      <c r="D649" s="150">
        <v>44011</v>
      </c>
      <c r="E649" s="113" t="s">
        <v>20061</v>
      </c>
      <c r="F649" s="257">
        <v>21</v>
      </c>
      <c r="G649" s="255">
        <v>19.170000000000002</v>
      </c>
      <c r="H649" s="152"/>
      <c r="I649" s="160">
        <f t="shared" si="9"/>
        <v>61849.880000000005</v>
      </c>
    </row>
    <row r="650" spans="2:9" hidden="1" x14ac:dyDescent="0.25">
      <c r="B650" s="148"/>
      <c r="C650" s="148" t="s">
        <v>20060</v>
      </c>
      <c r="D650" s="150">
        <v>44011</v>
      </c>
      <c r="E650" s="113" t="s">
        <v>20059</v>
      </c>
      <c r="F650" s="257">
        <v>21</v>
      </c>
      <c r="G650" s="255">
        <v>3.36</v>
      </c>
      <c r="H650" s="152"/>
      <c r="I650" s="160">
        <f t="shared" si="9"/>
        <v>61853.240000000005</v>
      </c>
    </row>
    <row r="651" spans="2:9" hidden="1" x14ac:dyDescent="0.25">
      <c r="B651" s="148"/>
      <c r="C651" s="148" t="s">
        <v>20058</v>
      </c>
      <c r="D651" s="150">
        <v>44012</v>
      </c>
      <c r="E651" s="113" t="s">
        <v>20057</v>
      </c>
      <c r="F651" s="257" t="s">
        <v>14436</v>
      </c>
      <c r="G651" s="160">
        <v>3.42</v>
      </c>
      <c r="H651" s="152"/>
      <c r="I651" s="160">
        <f t="shared" si="9"/>
        <v>61856.66</v>
      </c>
    </row>
    <row r="652" spans="2:9" x14ac:dyDescent="0.25">
      <c r="B652" s="148" t="s">
        <v>14414</v>
      </c>
      <c r="C652" s="148" t="s">
        <v>20056</v>
      </c>
      <c r="D652" s="150">
        <v>44012</v>
      </c>
      <c r="E652" s="113" t="s">
        <v>20055</v>
      </c>
      <c r="G652" s="258">
        <v>23.21</v>
      </c>
      <c r="H652" s="152"/>
      <c r="I652" s="160">
        <f t="shared" si="9"/>
        <v>61879.87</v>
      </c>
    </row>
    <row r="653" spans="2:9" x14ac:dyDescent="0.25">
      <c r="B653" s="148" t="s">
        <v>14414</v>
      </c>
      <c r="C653" s="148" t="s">
        <v>20054</v>
      </c>
      <c r="D653" s="150">
        <v>44012</v>
      </c>
      <c r="E653" s="113" t="s">
        <v>20053</v>
      </c>
      <c r="G653" s="258">
        <v>7.5</v>
      </c>
      <c r="H653" s="152"/>
      <c r="I653" s="160">
        <f t="shared" si="9"/>
        <v>61887.37</v>
      </c>
    </row>
    <row r="654" spans="2:9" x14ac:dyDescent="0.25">
      <c r="B654" s="148" t="s">
        <v>14414</v>
      </c>
      <c r="C654" s="148" t="s">
        <v>20052</v>
      </c>
      <c r="D654" s="150">
        <v>44012</v>
      </c>
      <c r="E654" s="113" t="s">
        <v>20051</v>
      </c>
      <c r="G654" s="258">
        <v>5.71</v>
      </c>
      <c r="H654" s="152"/>
      <c r="I654" s="160">
        <f t="shared" si="9"/>
        <v>61893.08</v>
      </c>
    </row>
    <row r="655" spans="2:9" x14ac:dyDescent="0.25">
      <c r="B655" s="148" t="s">
        <v>14414</v>
      </c>
      <c r="C655" s="148" t="s">
        <v>20050</v>
      </c>
      <c r="D655" s="150">
        <v>44012</v>
      </c>
      <c r="E655" s="113" t="s">
        <v>20049</v>
      </c>
      <c r="G655" s="258">
        <v>1.68</v>
      </c>
      <c r="H655" s="152"/>
      <c r="I655" s="160">
        <f t="shared" si="9"/>
        <v>61894.76</v>
      </c>
    </row>
    <row r="656" spans="2:9" x14ac:dyDescent="0.25">
      <c r="B656" s="148" t="s">
        <v>14414</v>
      </c>
      <c r="C656" s="148" t="s">
        <v>20048</v>
      </c>
      <c r="D656" s="150">
        <v>44012</v>
      </c>
      <c r="E656" s="113" t="s">
        <v>20047</v>
      </c>
      <c r="G656" s="258">
        <v>3.71</v>
      </c>
      <c r="H656" s="152"/>
      <c r="I656" s="160">
        <f t="shared" si="9"/>
        <v>61898.47</v>
      </c>
    </row>
    <row r="657" spans="2:9" x14ac:dyDescent="0.25">
      <c r="B657" s="148" t="s">
        <v>14414</v>
      </c>
      <c r="C657" s="148" t="s">
        <v>20046</v>
      </c>
      <c r="D657" s="150">
        <v>44012</v>
      </c>
      <c r="E657" s="113" t="s">
        <v>20045</v>
      </c>
      <c r="G657" s="258">
        <v>27.89</v>
      </c>
      <c r="H657" s="152"/>
      <c r="I657" s="160">
        <f t="shared" si="9"/>
        <v>61926.36</v>
      </c>
    </row>
    <row r="658" spans="2:9" ht="19.5" x14ac:dyDescent="0.25">
      <c r="B658" s="148" t="s">
        <v>14414</v>
      </c>
      <c r="C658" s="148" t="s">
        <v>20044</v>
      </c>
      <c r="D658" s="150">
        <v>44012</v>
      </c>
      <c r="E658" s="113" t="s">
        <v>20043</v>
      </c>
      <c r="G658" s="258">
        <v>5.35</v>
      </c>
      <c r="H658" s="152"/>
      <c r="I658" s="160">
        <f t="shared" si="9"/>
        <v>61931.71</v>
      </c>
    </row>
    <row r="659" spans="2:9" ht="19.5" x14ac:dyDescent="0.25">
      <c r="B659" s="148" t="s">
        <v>14414</v>
      </c>
      <c r="C659" s="148" t="s">
        <v>20042</v>
      </c>
      <c r="D659" s="150">
        <v>44012</v>
      </c>
      <c r="E659" s="113" t="s">
        <v>20041</v>
      </c>
      <c r="G659" s="258">
        <v>11.7</v>
      </c>
      <c r="H659" s="152"/>
      <c r="I659" s="160">
        <f t="shared" si="9"/>
        <v>61943.409999999996</v>
      </c>
    </row>
    <row r="660" spans="2:9" x14ac:dyDescent="0.25">
      <c r="B660" s="148" t="s">
        <v>14414</v>
      </c>
      <c r="C660" s="148" t="s">
        <v>20040</v>
      </c>
      <c r="D660" s="150">
        <v>44012</v>
      </c>
      <c r="E660" s="113" t="s">
        <v>20039</v>
      </c>
      <c r="G660" s="258">
        <v>6.94</v>
      </c>
      <c r="H660" s="152"/>
      <c r="I660" s="160">
        <f t="shared" ref="I660:I686" si="10">+I659+G660-H660</f>
        <v>61950.35</v>
      </c>
    </row>
    <row r="661" spans="2:9" x14ac:dyDescent="0.25">
      <c r="B661" s="148" t="s">
        <v>14414</v>
      </c>
      <c r="C661" s="148" t="s">
        <v>20038</v>
      </c>
      <c r="D661" s="150">
        <v>44012</v>
      </c>
      <c r="E661" s="113" t="s">
        <v>20037</v>
      </c>
      <c r="G661" s="258">
        <v>2.34</v>
      </c>
      <c r="H661" s="152"/>
      <c r="I661" s="160">
        <f t="shared" si="10"/>
        <v>61952.689999999995</v>
      </c>
    </row>
    <row r="662" spans="2:9" x14ac:dyDescent="0.25">
      <c r="B662" s="148" t="s">
        <v>14414</v>
      </c>
      <c r="C662" s="148" t="s">
        <v>20036</v>
      </c>
      <c r="D662" s="150">
        <v>44012</v>
      </c>
      <c r="E662" s="113" t="s">
        <v>20035</v>
      </c>
      <c r="G662" s="258">
        <v>4.05</v>
      </c>
      <c r="H662" s="152"/>
      <c r="I662" s="160">
        <f t="shared" si="10"/>
        <v>61956.74</v>
      </c>
    </row>
    <row r="663" spans="2:9" x14ac:dyDescent="0.25">
      <c r="B663" s="148" t="s">
        <v>14414</v>
      </c>
      <c r="C663" s="148" t="s">
        <v>20034</v>
      </c>
      <c r="D663" s="150">
        <v>44012</v>
      </c>
      <c r="E663" s="113" t="s">
        <v>20033</v>
      </c>
      <c r="G663" s="258">
        <v>3.52</v>
      </c>
      <c r="H663" s="152"/>
      <c r="I663" s="160">
        <f t="shared" si="10"/>
        <v>61960.259999999995</v>
      </c>
    </row>
    <row r="664" spans="2:9" x14ac:dyDescent="0.25">
      <c r="B664" s="148" t="s">
        <v>14414</v>
      </c>
      <c r="C664" s="148" t="s">
        <v>20032</v>
      </c>
      <c r="D664" s="150">
        <v>44012</v>
      </c>
      <c r="E664" s="113" t="s">
        <v>20031</v>
      </c>
      <c r="G664" s="258">
        <v>3.47</v>
      </c>
      <c r="H664" s="152"/>
      <c r="I664" s="160">
        <f t="shared" si="10"/>
        <v>61963.729999999996</v>
      </c>
    </row>
    <row r="665" spans="2:9" x14ac:dyDescent="0.25">
      <c r="B665" s="148" t="s">
        <v>14414</v>
      </c>
      <c r="C665" s="148" t="s">
        <v>20030</v>
      </c>
      <c r="D665" s="150">
        <v>44012</v>
      </c>
      <c r="E665" s="113" t="s">
        <v>20029</v>
      </c>
      <c r="G665" s="258">
        <v>8.3800000000000008</v>
      </c>
      <c r="H665" s="152"/>
      <c r="I665" s="160">
        <f t="shared" si="10"/>
        <v>61972.109999999993</v>
      </c>
    </row>
    <row r="666" spans="2:9" x14ac:dyDescent="0.25">
      <c r="B666" s="148" t="s">
        <v>14414</v>
      </c>
      <c r="C666" s="148" t="s">
        <v>20028</v>
      </c>
      <c r="D666" s="150">
        <v>44012</v>
      </c>
      <c r="E666" s="113" t="s">
        <v>20027</v>
      </c>
      <c r="G666" s="258">
        <v>16.760000000000002</v>
      </c>
      <c r="H666" s="152"/>
      <c r="I666" s="160">
        <f t="shared" si="10"/>
        <v>61988.869999999995</v>
      </c>
    </row>
    <row r="667" spans="2:9" x14ac:dyDescent="0.25">
      <c r="B667" s="148" t="s">
        <v>14414</v>
      </c>
      <c r="C667" s="148" t="s">
        <v>20026</v>
      </c>
      <c r="D667" s="150">
        <v>44012</v>
      </c>
      <c r="E667" s="113" t="s">
        <v>20025</v>
      </c>
      <c r="G667" s="258">
        <v>4.58</v>
      </c>
      <c r="H667" s="152"/>
      <c r="I667" s="160">
        <f t="shared" si="10"/>
        <v>61993.45</v>
      </c>
    </row>
    <row r="668" spans="2:9" x14ac:dyDescent="0.25">
      <c r="B668" s="148" t="s">
        <v>14414</v>
      </c>
      <c r="C668" s="148" t="s">
        <v>20024</v>
      </c>
      <c r="D668" s="150">
        <v>44012</v>
      </c>
      <c r="E668" s="113" t="s">
        <v>20023</v>
      </c>
      <c r="G668" s="258">
        <v>19.45</v>
      </c>
      <c r="H668" s="152"/>
      <c r="I668" s="160">
        <f t="shared" si="10"/>
        <v>62012.899999999994</v>
      </c>
    </row>
    <row r="669" spans="2:9" x14ac:dyDescent="0.25">
      <c r="B669" s="148" t="s">
        <v>14414</v>
      </c>
      <c r="C669" s="148" t="s">
        <v>20022</v>
      </c>
      <c r="D669" s="150">
        <v>44012</v>
      </c>
      <c r="E669" s="113" t="s">
        <v>20021</v>
      </c>
      <c r="G669" s="258">
        <v>1.68</v>
      </c>
      <c r="H669" s="152"/>
      <c r="I669" s="160">
        <f t="shared" si="10"/>
        <v>62014.579999999994</v>
      </c>
    </row>
    <row r="670" spans="2:9" x14ac:dyDescent="0.25">
      <c r="B670" s="148" t="s">
        <v>14414</v>
      </c>
      <c r="C670" s="148" t="s">
        <v>20020</v>
      </c>
      <c r="D670" s="150">
        <v>44012</v>
      </c>
      <c r="E670" s="113" t="s">
        <v>20019</v>
      </c>
      <c r="G670" s="258">
        <v>11.95</v>
      </c>
      <c r="H670" s="152"/>
      <c r="I670" s="160">
        <f t="shared" si="10"/>
        <v>62026.529999999992</v>
      </c>
    </row>
    <row r="671" spans="2:9" ht="19.5" x14ac:dyDescent="0.25">
      <c r="B671" s="148" t="s">
        <v>14414</v>
      </c>
      <c r="C671" s="148" t="s">
        <v>20018</v>
      </c>
      <c r="D671" s="150">
        <v>44012</v>
      </c>
      <c r="E671" s="113" t="s">
        <v>20017</v>
      </c>
      <c r="G671" s="258">
        <v>3.36</v>
      </c>
      <c r="H671" s="152"/>
      <c r="I671" s="160">
        <f t="shared" si="10"/>
        <v>62029.889999999992</v>
      </c>
    </row>
    <row r="672" spans="2:9" x14ac:dyDescent="0.25">
      <c r="B672" s="148" t="s">
        <v>14414</v>
      </c>
      <c r="C672" s="148" t="s">
        <v>20016</v>
      </c>
      <c r="D672" s="150">
        <v>44012</v>
      </c>
      <c r="E672" s="113" t="s">
        <v>20015</v>
      </c>
      <c r="G672" s="258">
        <v>3.36</v>
      </c>
      <c r="H672" s="152"/>
      <c r="I672" s="160">
        <f t="shared" si="10"/>
        <v>62033.249999999993</v>
      </c>
    </row>
    <row r="673" spans="2:9" ht="19.5" x14ac:dyDescent="0.25">
      <c r="B673" s="148" t="s">
        <v>14414</v>
      </c>
      <c r="C673" s="148" t="s">
        <v>20014</v>
      </c>
      <c r="D673" s="150">
        <v>44012</v>
      </c>
      <c r="E673" s="113" t="s">
        <v>20013</v>
      </c>
      <c r="G673" s="258">
        <v>10.08</v>
      </c>
      <c r="H673" s="152"/>
      <c r="I673" s="160">
        <f t="shared" si="10"/>
        <v>62043.329999999994</v>
      </c>
    </row>
    <row r="674" spans="2:9" x14ac:dyDescent="0.25">
      <c r="B674" s="148" t="s">
        <v>14414</v>
      </c>
      <c r="C674" s="148" t="s">
        <v>20012</v>
      </c>
      <c r="D674" s="150">
        <v>44012</v>
      </c>
      <c r="E674" s="113" t="s">
        <v>20011</v>
      </c>
      <c r="G674" s="258">
        <v>3.45</v>
      </c>
      <c r="H674" s="152"/>
      <c r="I674" s="160">
        <f t="shared" si="10"/>
        <v>62046.779999999992</v>
      </c>
    </row>
    <row r="675" spans="2:9" hidden="1" x14ac:dyDescent="0.25">
      <c r="B675" s="148"/>
      <c r="C675" s="148" t="s">
        <v>20010</v>
      </c>
      <c r="D675" s="150">
        <v>44012</v>
      </c>
      <c r="E675" s="113" t="s">
        <v>20009</v>
      </c>
      <c r="F675" s="257">
        <v>22</v>
      </c>
      <c r="G675" s="255">
        <v>0.95</v>
      </c>
      <c r="H675" s="152"/>
      <c r="I675" s="160">
        <f t="shared" si="10"/>
        <v>62047.729999999989</v>
      </c>
    </row>
    <row r="676" spans="2:9" hidden="1" x14ac:dyDescent="0.25">
      <c r="B676" s="148"/>
      <c r="C676" s="148" t="s">
        <v>20008</v>
      </c>
      <c r="D676" s="150">
        <v>44012</v>
      </c>
      <c r="E676" s="113" t="s">
        <v>20007</v>
      </c>
      <c r="F676" s="257">
        <v>22</v>
      </c>
      <c r="G676" s="255">
        <v>6.14</v>
      </c>
      <c r="H676" s="152"/>
      <c r="I676" s="160">
        <f t="shared" si="10"/>
        <v>62053.869999999988</v>
      </c>
    </row>
    <row r="677" spans="2:9" hidden="1" x14ac:dyDescent="0.25">
      <c r="B677" s="148"/>
      <c r="C677" s="148" t="s">
        <v>20006</v>
      </c>
      <c r="D677" s="150">
        <v>44012</v>
      </c>
      <c r="E677" s="113" t="s">
        <v>20005</v>
      </c>
      <c r="F677" s="257">
        <v>22</v>
      </c>
      <c r="G677" s="255">
        <v>1.94</v>
      </c>
      <c r="H677" s="152"/>
      <c r="I677" s="160">
        <f t="shared" si="10"/>
        <v>62055.80999999999</v>
      </c>
    </row>
    <row r="678" spans="2:9" hidden="1" x14ac:dyDescent="0.25">
      <c r="B678" s="148"/>
      <c r="C678" s="148" t="s">
        <v>20004</v>
      </c>
      <c r="D678" s="150">
        <v>44012</v>
      </c>
      <c r="E678" s="113" t="s">
        <v>20003</v>
      </c>
      <c r="F678" s="257">
        <v>22</v>
      </c>
      <c r="G678" s="255">
        <v>1.94</v>
      </c>
      <c r="H678" s="152"/>
      <c r="I678" s="160">
        <f t="shared" si="10"/>
        <v>62057.749999999993</v>
      </c>
    </row>
    <row r="679" spans="2:9" hidden="1" x14ac:dyDescent="0.25">
      <c r="B679" s="148"/>
      <c r="C679" s="148" t="s">
        <v>20002</v>
      </c>
      <c r="D679" s="150">
        <v>44012</v>
      </c>
      <c r="E679" s="113" t="s">
        <v>20001</v>
      </c>
      <c r="F679" s="257">
        <v>22</v>
      </c>
      <c r="G679" s="255">
        <v>4.49</v>
      </c>
      <c r="H679" s="152"/>
      <c r="I679" s="160">
        <f t="shared" si="10"/>
        <v>62062.239999999991</v>
      </c>
    </row>
    <row r="680" spans="2:9" hidden="1" x14ac:dyDescent="0.25">
      <c r="B680" s="148"/>
      <c r="C680" s="148" t="s">
        <v>20000</v>
      </c>
      <c r="D680" s="150">
        <v>44012</v>
      </c>
      <c r="E680" s="113" t="s">
        <v>19999</v>
      </c>
      <c r="F680" s="257">
        <v>22</v>
      </c>
      <c r="G680" s="255">
        <v>6.58</v>
      </c>
      <c r="H680" s="152"/>
      <c r="I680" s="160">
        <f t="shared" si="10"/>
        <v>62068.819999999992</v>
      </c>
    </row>
    <row r="681" spans="2:9" hidden="1" x14ac:dyDescent="0.25">
      <c r="B681" s="148"/>
      <c r="C681" s="148" t="s">
        <v>19998</v>
      </c>
      <c r="D681" s="150">
        <v>44012</v>
      </c>
      <c r="E681" s="113" t="s">
        <v>19997</v>
      </c>
      <c r="F681" s="257" t="s">
        <v>14436</v>
      </c>
      <c r="G681" s="160">
        <v>1202.3699999999999</v>
      </c>
      <c r="H681" s="152"/>
      <c r="I681" s="160">
        <f t="shared" si="10"/>
        <v>63271.189999999995</v>
      </c>
    </row>
    <row r="682" spans="2:9" hidden="1" x14ac:dyDescent="0.25">
      <c r="B682" s="148"/>
      <c r="C682" s="148" t="s">
        <v>19996</v>
      </c>
      <c r="D682" s="150">
        <v>44012</v>
      </c>
      <c r="E682" s="113" t="s">
        <v>19995</v>
      </c>
      <c r="F682" s="257" t="s">
        <v>14436</v>
      </c>
      <c r="G682" s="160">
        <v>6354.98</v>
      </c>
      <c r="H682" s="152"/>
      <c r="I682" s="160">
        <f t="shared" si="10"/>
        <v>69626.17</v>
      </c>
    </row>
    <row r="683" spans="2:9" hidden="1" x14ac:dyDescent="0.25">
      <c r="B683" s="148"/>
      <c r="C683" s="148" t="s">
        <v>19994</v>
      </c>
      <c r="D683" s="150">
        <v>44012</v>
      </c>
      <c r="E683" s="113" t="s">
        <v>19993</v>
      </c>
      <c r="F683" s="257" t="s">
        <v>14436</v>
      </c>
      <c r="G683" s="160">
        <v>8.3800000000000008</v>
      </c>
      <c r="H683" s="152"/>
      <c r="I683" s="160">
        <f t="shared" si="10"/>
        <v>69634.55</v>
      </c>
    </row>
    <row r="684" spans="2:9" hidden="1" x14ac:dyDescent="0.25">
      <c r="B684" s="148"/>
      <c r="C684" s="148" t="s">
        <v>19992</v>
      </c>
      <c r="D684" s="150">
        <v>44012</v>
      </c>
      <c r="E684" s="113" t="s">
        <v>19991</v>
      </c>
      <c r="F684" s="257" t="s">
        <v>14436</v>
      </c>
      <c r="G684" s="160">
        <v>8.3800000000000008</v>
      </c>
      <c r="H684" s="152"/>
      <c r="I684" s="160">
        <f t="shared" si="10"/>
        <v>69642.930000000008</v>
      </c>
    </row>
    <row r="685" spans="2:9" ht="19.5" hidden="1" x14ac:dyDescent="0.25">
      <c r="B685" s="148"/>
      <c r="C685" s="148" t="s">
        <v>18949</v>
      </c>
      <c r="D685" s="150">
        <v>44012</v>
      </c>
      <c r="E685" s="113" t="s">
        <v>19990</v>
      </c>
      <c r="F685" s="257" t="s">
        <v>14433</v>
      </c>
      <c r="G685" s="152"/>
      <c r="H685" s="161">
        <v>1663.42</v>
      </c>
      <c r="I685" s="160">
        <f t="shared" si="10"/>
        <v>67979.510000000009</v>
      </c>
    </row>
    <row r="686" spans="2:9" hidden="1" x14ac:dyDescent="0.25">
      <c r="B686" s="148"/>
      <c r="C686" s="148" t="s">
        <v>18947</v>
      </c>
      <c r="D686" s="150">
        <v>44012</v>
      </c>
      <c r="E686" s="113" t="s">
        <v>19989</v>
      </c>
      <c r="F686" s="257" t="s">
        <v>14433</v>
      </c>
      <c r="G686" s="152"/>
      <c r="H686" s="161">
        <v>3073.7</v>
      </c>
      <c r="I686" s="160">
        <f t="shared" si="10"/>
        <v>64905.810000000012</v>
      </c>
    </row>
    <row r="687" spans="2:9" x14ac:dyDescent="0.25">
      <c r="B687" s="109"/>
      <c r="C687" s="109" t="s">
        <v>323</v>
      </c>
      <c r="D687" s="151">
        <v>46867.39</v>
      </c>
      <c r="E687" s="313" t="s">
        <v>322</v>
      </c>
      <c r="F687" s="318"/>
      <c r="G687" s="152"/>
      <c r="H687" s="153" t="s">
        <v>320</v>
      </c>
      <c r="I687" s="162">
        <f>+I686</f>
        <v>64905.810000000012</v>
      </c>
    </row>
    <row r="690" spans="5:9" x14ac:dyDescent="0.2">
      <c r="E690" s="114" t="s">
        <v>319</v>
      </c>
      <c r="I690" s="273" t="s">
        <v>318</v>
      </c>
    </row>
  </sheetData>
  <autoFilter ref="A17:K687" xr:uid="{FF712F39-A6AC-456F-82F5-C4861053B2AC}">
    <filterColumn colId="5">
      <filters blank="1"/>
    </filterColumn>
  </autoFilter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E82FE-9B91-4801-BDC1-0A93BB26D097}">
  <sheetPr>
    <pageSetUpPr fitToPage="1"/>
  </sheetPr>
  <dimension ref="A1:G225"/>
  <sheetViews>
    <sheetView workbookViewId="0">
      <selection activeCell="A9" sqref="A9:XFD10"/>
    </sheetView>
  </sheetViews>
  <sheetFormatPr baseColWidth="10" defaultColWidth="11.5703125" defaultRowHeight="15.75" x14ac:dyDescent="0.25"/>
  <cols>
    <col min="1" max="1" width="12.28515625" style="137" customWidth="1"/>
    <col min="2" max="2" width="43.5703125" style="215" bestFit="1" customWidth="1"/>
    <col min="3" max="3" width="10" style="142" customWidth="1"/>
    <col min="4" max="4" width="14.85546875" style="137" customWidth="1"/>
    <col min="5" max="5" width="19.5703125" style="137" customWidth="1"/>
    <col min="6" max="6" width="7.28515625" style="137" customWidth="1"/>
    <col min="7" max="7" width="10.7109375" style="137" customWidth="1"/>
    <col min="8" max="16384" width="11.5703125" style="137"/>
  </cols>
  <sheetData>
    <row r="1" spans="1:6" x14ac:dyDescent="0.25">
      <c r="A1" s="384" t="s">
        <v>14422</v>
      </c>
      <c r="B1" s="384"/>
      <c r="C1" s="384"/>
      <c r="D1" s="384"/>
      <c r="E1" s="384"/>
      <c r="F1" s="384"/>
    </row>
    <row r="2" spans="1:6" x14ac:dyDescent="0.25">
      <c r="A2" s="123" t="s">
        <v>2772</v>
      </c>
      <c r="B2" s="123" t="s">
        <v>2773</v>
      </c>
      <c r="C2" s="208" t="s">
        <v>11</v>
      </c>
      <c r="D2" s="123" t="s">
        <v>2774</v>
      </c>
      <c r="E2" s="123" t="s">
        <v>7</v>
      </c>
      <c r="F2" s="123" t="s">
        <v>2775</v>
      </c>
    </row>
    <row r="3" spans="1:6" x14ac:dyDescent="0.25">
      <c r="A3" s="203" t="str">
        <f>"3902164"</f>
        <v>3902164</v>
      </c>
      <c r="B3" s="207" t="s">
        <v>5742</v>
      </c>
      <c r="C3" s="209">
        <v>2.97</v>
      </c>
      <c r="D3" s="203">
        <v>329487</v>
      </c>
      <c r="E3" s="205">
        <v>43983.414050925923</v>
      </c>
      <c r="F3" s="123">
        <v>6599</v>
      </c>
    </row>
    <row r="4" spans="1:6" x14ac:dyDescent="0.25">
      <c r="A4" s="203" t="str">
        <f>"3909239"</f>
        <v>3909239</v>
      </c>
      <c r="B4" s="207" t="s">
        <v>5732</v>
      </c>
      <c r="C4" s="209">
        <v>1.68</v>
      </c>
      <c r="D4" s="203">
        <v>329502</v>
      </c>
      <c r="E4" s="205">
        <v>43983.471747685187</v>
      </c>
      <c r="F4" s="123">
        <v>6600</v>
      </c>
    </row>
    <row r="5" spans="1:6" x14ac:dyDescent="0.25">
      <c r="A5" s="203" t="str">
        <f>"3906750"</f>
        <v>3906750</v>
      </c>
      <c r="B5" s="207" t="s">
        <v>2911</v>
      </c>
      <c r="C5" s="209">
        <v>6.61</v>
      </c>
      <c r="D5" s="203">
        <v>329122</v>
      </c>
      <c r="E5" s="205">
        <v>43983.609930555554</v>
      </c>
      <c r="F5" s="123">
        <v>6601</v>
      </c>
    </row>
    <row r="6" spans="1:6" x14ac:dyDescent="0.25">
      <c r="A6" s="203" t="str">
        <f>"3902041"</f>
        <v>3902041</v>
      </c>
      <c r="B6" s="207" t="s">
        <v>2898</v>
      </c>
      <c r="C6" s="209">
        <v>25.14</v>
      </c>
      <c r="D6" s="203">
        <v>328329</v>
      </c>
      <c r="E6" s="205">
        <v>43983.612928240742</v>
      </c>
      <c r="F6" s="123">
        <v>6602</v>
      </c>
    </row>
    <row r="7" spans="1:6" x14ac:dyDescent="0.25">
      <c r="A7" s="203" t="str">
        <f>"3907330"</f>
        <v>3907330</v>
      </c>
      <c r="B7" s="207" t="s">
        <v>2899</v>
      </c>
      <c r="C7" s="209">
        <v>56.13</v>
      </c>
      <c r="D7" s="203">
        <v>328423</v>
      </c>
      <c r="E7" s="205">
        <v>43983.614490740743</v>
      </c>
      <c r="F7" s="123">
        <v>6603</v>
      </c>
    </row>
    <row r="8" spans="1:6" x14ac:dyDescent="0.25">
      <c r="A8" s="203" t="str">
        <f>"3960344"</f>
        <v>3960344</v>
      </c>
      <c r="B8" s="207" t="s">
        <v>2953</v>
      </c>
      <c r="C8" s="209">
        <v>8.3800000000000008</v>
      </c>
      <c r="D8" s="203">
        <v>328238</v>
      </c>
      <c r="E8" s="205">
        <v>43983.690671296295</v>
      </c>
      <c r="F8" s="123">
        <v>6604</v>
      </c>
    </row>
    <row r="9" spans="1:6" s="164" customFormat="1" x14ac:dyDescent="0.25">
      <c r="A9" s="115"/>
      <c r="B9" s="115" t="s">
        <v>5691</v>
      </c>
      <c r="C9" s="222">
        <f>SUM(C3:C8)</f>
        <v>100.91</v>
      </c>
      <c r="D9" s="115">
        <v>1</v>
      </c>
      <c r="E9" s="163"/>
      <c r="F9" s="115"/>
    </row>
    <row r="10" spans="1:6" customFormat="1" x14ac:dyDescent="0.25">
      <c r="A10" s="118"/>
      <c r="B10" s="116"/>
      <c r="C10" s="223"/>
      <c r="D10" s="118"/>
      <c r="E10" s="117"/>
      <c r="F10" s="118"/>
    </row>
    <row r="11" spans="1:6" x14ac:dyDescent="0.25">
      <c r="A11" s="203" t="str">
        <f>"3960232"</f>
        <v>3960232</v>
      </c>
      <c r="B11" s="207" t="s">
        <v>2859</v>
      </c>
      <c r="C11" s="209">
        <v>12.3</v>
      </c>
      <c r="D11" s="203">
        <v>328230</v>
      </c>
      <c r="E11" s="205">
        <v>43984.74523148148</v>
      </c>
      <c r="F11" s="123">
        <v>6795</v>
      </c>
    </row>
    <row r="12" spans="1:6" x14ac:dyDescent="0.25">
      <c r="A12" s="203" t="str">
        <f>"3900389"</f>
        <v>3900389</v>
      </c>
      <c r="B12" s="207" t="s">
        <v>2844</v>
      </c>
      <c r="C12" s="209">
        <v>1.68</v>
      </c>
      <c r="D12" s="203">
        <v>329686</v>
      </c>
      <c r="E12" s="205">
        <v>43984.74523148148</v>
      </c>
      <c r="F12" s="123">
        <v>6796</v>
      </c>
    </row>
    <row r="13" spans="1:6" x14ac:dyDescent="0.25">
      <c r="A13" s="203" t="str">
        <f>"3909223"</f>
        <v>3909223</v>
      </c>
      <c r="B13" s="207" t="s">
        <v>2846</v>
      </c>
      <c r="C13" s="209">
        <v>2</v>
      </c>
      <c r="D13" s="203">
        <v>329493</v>
      </c>
      <c r="E13" s="205">
        <v>43984.74523148148</v>
      </c>
      <c r="F13" s="123">
        <v>6797</v>
      </c>
    </row>
    <row r="14" spans="1:6" x14ac:dyDescent="0.25">
      <c r="A14" s="203" t="str">
        <f>"3903282"</f>
        <v>3903282</v>
      </c>
      <c r="B14" s="207" t="s">
        <v>2847</v>
      </c>
      <c r="C14" s="209">
        <v>1.93</v>
      </c>
      <c r="D14" s="203">
        <v>330025</v>
      </c>
      <c r="E14" s="205">
        <v>43984.74523148148</v>
      </c>
      <c r="F14" s="123">
        <v>6798</v>
      </c>
    </row>
    <row r="15" spans="1:6" x14ac:dyDescent="0.25">
      <c r="A15" s="203" t="str">
        <f>"3940013"</f>
        <v>3940013</v>
      </c>
      <c r="B15" s="207" t="s">
        <v>2854</v>
      </c>
      <c r="C15" s="209">
        <v>8.3800000000000008</v>
      </c>
      <c r="D15" s="203">
        <v>328138</v>
      </c>
      <c r="E15" s="205">
        <v>43984.74523148148</v>
      </c>
      <c r="F15" s="123">
        <v>6799</v>
      </c>
    </row>
    <row r="16" spans="1:6" x14ac:dyDescent="0.25">
      <c r="A16" s="203" t="str">
        <f>"3950041"</f>
        <v>3950041</v>
      </c>
      <c r="B16" s="207" t="s">
        <v>2850</v>
      </c>
      <c r="C16" s="209">
        <v>4.1900000000000004</v>
      </c>
      <c r="D16" s="203">
        <v>328159</v>
      </c>
      <c r="E16" s="205">
        <v>43984.74523148148</v>
      </c>
      <c r="F16" s="123">
        <v>6800</v>
      </c>
    </row>
    <row r="17" spans="1:6" x14ac:dyDescent="0.25">
      <c r="A17" s="203" t="str">
        <f>"3950328"</f>
        <v>3950328</v>
      </c>
      <c r="B17" s="207" t="s">
        <v>2848</v>
      </c>
      <c r="C17" s="209">
        <v>8.3800000000000008</v>
      </c>
      <c r="D17" s="203">
        <v>328312</v>
      </c>
      <c r="E17" s="205">
        <v>43984.74523148148</v>
      </c>
      <c r="F17" s="123">
        <v>6801</v>
      </c>
    </row>
    <row r="18" spans="1:6" x14ac:dyDescent="0.25">
      <c r="A18" s="203" t="str">
        <f>"3900963"</f>
        <v>3900963</v>
      </c>
      <c r="B18" s="207" t="s">
        <v>5796</v>
      </c>
      <c r="C18" s="209">
        <v>8.92</v>
      </c>
      <c r="D18" s="203">
        <v>328734</v>
      </c>
      <c r="E18" s="205">
        <v>43984.74523148148</v>
      </c>
      <c r="F18" s="123">
        <v>6802</v>
      </c>
    </row>
    <row r="19" spans="1:6" x14ac:dyDescent="0.25">
      <c r="A19" s="203" t="str">
        <f>"3960256"</f>
        <v>3960256</v>
      </c>
      <c r="B19" s="207" t="s">
        <v>2843</v>
      </c>
      <c r="C19" s="209">
        <v>17.899999999999999</v>
      </c>
      <c r="D19" s="203">
        <v>328156</v>
      </c>
      <c r="E19" s="205">
        <v>43984.74523148148</v>
      </c>
      <c r="F19" s="123">
        <v>6803</v>
      </c>
    </row>
    <row r="20" spans="1:6" x14ac:dyDescent="0.25">
      <c r="A20" s="203" t="str">
        <f>"3903098"</f>
        <v>3903098</v>
      </c>
      <c r="B20" s="207" t="s">
        <v>2849</v>
      </c>
      <c r="C20" s="209">
        <v>3.47</v>
      </c>
      <c r="D20" s="203">
        <v>328497</v>
      </c>
      <c r="E20" s="205">
        <v>43984.74523148148</v>
      </c>
      <c r="F20" s="123">
        <v>6804</v>
      </c>
    </row>
    <row r="21" spans="1:6" x14ac:dyDescent="0.25">
      <c r="A21" s="203" t="str">
        <f>"3906324"</f>
        <v>3906324</v>
      </c>
      <c r="B21" s="207" t="s">
        <v>2855</v>
      </c>
      <c r="C21" s="209">
        <v>4.1900000000000004</v>
      </c>
      <c r="D21" s="203">
        <v>328403</v>
      </c>
      <c r="E21" s="205">
        <v>43984.74523148148</v>
      </c>
      <c r="F21" s="123">
        <v>6805</v>
      </c>
    </row>
    <row r="22" spans="1:6" x14ac:dyDescent="0.25">
      <c r="A22" s="203" t="str">
        <f>"3920281"</f>
        <v>3920281</v>
      </c>
      <c r="B22" s="207" t="s">
        <v>2851</v>
      </c>
      <c r="C22" s="209">
        <v>7.82</v>
      </c>
      <c r="D22" s="203">
        <v>328135</v>
      </c>
      <c r="E22" s="205">
        <v>43984.74523148148</v>
      </c>
      <c r="F22" s="123">
        <v>6806</v>
      </c>
    </row>
    <row r="23" spans="1:6" x14ac:dyDescent="0.25">
      <c r="A23" s="203" t="str">
        <f>"3908927"</f>
        <v>3908927</v>
      </c>
      <c r="B23" s="207" t="s">
        <v>2852</v>
      </c>
      <c r="C23" s="209">
        <v>1.68</v>
      </c>
      <c r="D23" s="203">
        <v>328896</v>
      </c>
      <c r="E23" s="205">
        <v>43984.74523148148</v>
      </c>
      <c r="F23" s="123">
        <v>6807</v>
      </c>
    </row>
    <row r="24" spans="1:6" x14ac:dyDescent="0.25">
      <c r="A24" s="203" t="str">
        <f>"3945272"</f>
        <v>3945272</v>
      </c>
      <c r="B24" s="207" t="s">
        <v>2853</v>
      </c>
      <c r="C24" s="209">
        <v>4.1900000000000004</v>
      </c>
      <c r="D24" s="203">
        <v>328379</v>
      </c>
      <c r="E24" s="205">
        <v>43984.74523148148</v>
      </c>
      <c r="F24" s="123">
        <v>6808</v>
      </c>
    </row>
    <row r="25" spans="1:6" x14ac:dyDescent="0.25">
      <c r="A25" s="203" t="str">
        <f>"3901113"</f>
        <v>3901113</v>
      </c>
      <c r="B25" s="207" t="s">
        <v>2856</v>
      </c>
      <c r="C25" s="209">
        <v>2.04</v>
      </c>
      <c r="D25" s="203">
        <v>328922</v>
      </c>
      <c r="E25" s="205">
        <v>43984.74523148148</v>
      </c>
      <c r="F25" s="123">
        <v>6809</v>
      </c>
    </row>
    <row r="26" spans="1:6" x14ac:dyDescent="0.25">
      <c r="A26" s="203" t="str">
        <f>"3900676"</f>
        <v>3900676</v>
      </c>
      <c r="B26" s="207" t="s">
        <v>5795</v>
      </c>
      <c r="C26" s="209">
        <v>2.34</v>
      </c>
      <c r="D26" s="203">
        <v>330266</v>
      </c>
      <c r="E26" s="205">
        <v>43984.74523148148</v>
      </c>
      <c r="F26" s="123">
        <v>6810</v>
      </c>
    </row>
    <row r="27" spans="1:6" x14ac:dyDescent="0.25">
      <c r="A27" s="203" t="str">
        <f>"3945262"</f>
        <v>3945262</v>
      </c>
      <c r="B27" s="207" t="s">
        <v>2857</v>
      </c>
      <c r="C27" s="209">
        <v>3.36</v>
      </c>
      <c r="D27" s="203">
        <v>328382</v>
      </c>
      <c r="E27" s="205">
        <v>43984.74523148148</v>
      </c>
      <c r="F27" s="123">
        <v>6811</v>
      </c>
    </row>
    <row r="28" spans="1:6" x14ac:dyDescent="0.25">
      <c r="A28" s="203" t="str">
        <f>"3909981"</f>
        <v>3909981</v>
      </c>
      <c r="B28" s="207" t="s">
        <v>2845</v>
      </c>
      <c r="C28" s="209">
        <v>1.9</v>
      </c>
      <c r="D28" s="203">
        <v>328649</v>
      </c>
      <c r="E28" s="205">
        <v>43984.74523148148</v>
      </c>
      <c r="F28" s="123">
        <v>6812</v>
      </c>
    </row>
    <row r="29" spans="1:6" x14ac:dyDescent="0.25">
      <c r="A29" s="203" t="str">
        <f>"3902750"</f>
        <v>3902750</v>
      </c>
      <c r="B29" s="207" t="s">
        <v>2824</v>
      </c>
      <c r="C29" s="209">
        <v>9.84</v>
      </c>
      <c r="D29" s="203">
        <v>328365</v>
      </c>
      <c r="E29" s="205">
        <v>43984.74523148148</v>
      </c>
      <c r="F29" s="123">
        <v>6813</v>
      </c>
    </row>
    <row r="30" spans="1:6" x14ac:dyDescent="0.25">
      <c r="A30" s="203" t="str">
        <f>"3960364"</f>
        <v>3960364</v>
      </c>
      <c r="B30" s="207" t="s">
        <v>2839</v>
      </c>
      <c r="C30" s="209">
        <v>13.75</v>
      </c>
      <c r="D30" s="203">
        <v>328244</v>
      </c>
      <c r="E30" s="205">
        <v>43984.74523148148</v>
      </c>
      <c r="F30" s="123">
        <v>6814</v>
      </c>
    </row>
    <row r="31" spans="1:6" x14ac:dyDescent="0.25">
      <c r="A31" s="203" t="str">
        <f>"3903364"</f>
        <v>3903364</v>
      </c>
      <c r="B31" s="207" t="s">
        <v>2825</v>
      </c>
      <c r="C31" s="209">
        <v>16.329999999999998</v>
      </c>
      <c r="D31" s="203">
        <v>328857</v>
      </c>
      <c r="E31" s="205">
        <v>43984.74523148148</v>
      </c>
      <c r="F31" s="123">
        <v>6815</v>
      </c>
    </row>
    <row r="32" spans="1:6" x14ac:dyDescent="0.25">
      <c r="A32" s="203" t="str">
        <f>"3960315"</f>
        <v>3960315</v>
      </c>
      <c r="B32" s="207" t="s">
        <v>2826</v>
      </c>
      <c r="C32" s="209">
        <v>4.7</v>
      </c>
      <c r="D32" s="203">
        <v>328307</v>
      </c>
      <c r="E32" s="205">
        <v>43984.74523148148</v>
      </c>
      <c r="F32" s="123">
        <v>6816</v>
      </c>
    </row>
    <row r="33" spans="1:7" x14ac:dyDescent="0.25">
      <c r="A33" s="203" t="str">
        <f>"3900349"</f>
        <v>3900349</v>
      </c>
      <c r="B33" s="207" t="s">
        <v>2827</v>
      </c>
      <c r="C33" s="209">
        <v>6.85</v>
      </c>
      <c r="D33" s="203">
        <v>329668</v>
      </c>
      <c r="E33" s="205">
        <v>43984.74523148148</v>
      </c>
      <c r="F33" s="123">
        <v>6817</v>
      </c>
    </row>
    <row r="34" spans="1:7" x14ac:dyDescent="0.25">
      <c r="A34" s="203" t="str">
        <f>"3945284"</f>
        <v>3945284</v>
      </c>
      <c r="B34" s="207" t="s">
        <v>2842</v>
      </c>
      <c r="C34" s="209">
        <v>8.3800000000000008</v>
      </c>
      <c r="D34" s="203">
        <v>328381</v>
      </c>
      <c r="E34" s="205">
        <v>43984.74523148148</v>
      </c>
      <c r="F34" s="123">
        <v>6818</v>
      </c>
    </row>
    <row r="35" spans="1:7" x14ac:dyDescent="0.25">
      <c r="A35" s="203" t="str">
        <f>"3945102"</f>
        <v>3945102</v>
      </c>
      <c r="B35" s="207" t="s">
        <v>2835</v>
      </c>
      <c r="C35" s="209">
        <v>8.3800000000000008</v>
      </c>
      <c r="D35" s="203">
        <v>328229</v>
      </c>
      <c r="E35" s="205">
        <v>43984.74523148148</v>
      </c>
      <c r="F35" s="123">
        <v>6819</v>
      </c>
      <c r="G35" s="216"/>
    </row>
    <row r="36" spans="1:7" x14ac:dyDescent="0.25">
      <c r="A36" s="203" t="str">
        <f>"3960212"</f>
        <v>3960212</v>
      </c>
      <c r="B36" s="207" t="s">
        <v>2837</v>
      </c>
      <c r="C36" s="209">
        <v>13.17</v>
      </c>
      <c r="D36" s="203">
        <v>328188</v>
      </c>
      <c r="E36" s="205">
        <v>43984.74523148148</v>
      </c>
      <c r="F36" s="123">
        <v>6820</v>
      </c>
    </row>
    <row r="37" spans="1:7" x14ac:dyDescent="0.25">
      <c r="A37" s="203" t="str">
        <f>"3901398"</f>
        <v>3901398</v>
      </c>
      <c r="B37" s="207" t="s">
        <v>2829</v>
      </c>
      <c r="C37" s="209">
        <v>3.82</v>
      </c>
      <c r="D37" s="203">
        <v>329830</v>
      </c>
      <c r="E37" s="205">
        <v>43984.74523148148</v>
      </c>
      <c r="F37" s="123">
        <v>6821</v>
      </c>
    </row>
    <row r="38" spans="1:7" x14ac:dyDescent="0.25">
      <c r="A38" s="203" t="str">
        <f>"3903781"</f>
        <v>3903781</v>
      </c>
      <c r="B38" s="207" t="s">
        <v>2830</v>
      </c>
      <c r="C38" s="209">
        <v>7.82</v>
      </c>
      <c r="D38" s="203">
        <v>328374</v>
      </c>
      <c r="E38" s="205">
        <v>43984.74523148148</v>
      </c>
      <c r="F38" s="123">
        <v>6822</v>
      </c>
    </row>
    <row r="39" spans="1:7" x14ac:dyDescent="0.25">
      <c r="A39" s="203" t="str">
        <f>"3906802"</f>
        <v>3906802</v>
      </c>
      <c r="B39" s="207" t="s">
        <v>2822</v>
      </c>
      <c r="C39" s="209">
        <v>1.75</v>
      </c>
      <c r="D39" s="203">
        <v>329289</v>
      </c>
      <c r="E39" s="205">
        <v>43984.74523148148</v>
      </c>
      <c r="F39" s="123">
        <v>6823</v>
      </c>
    </row>
    <row r="40" spans="1:7" x14ac:dyDescent="0.25">
      <c r="A40" s="203" t="str">
        <f>"3945435"</f>
        <v>3945435</v>
      </c>
      <c r="B40" s="207" t="s">
        <v>2834</v>
      </c>
      <c r="C40" s="209">
        <v>8.3800000000000008</v>
      </c>
      <c r="D40" s="203">
        <v>328277</v>
      </c>
      <c r="E40" s="205">
        <v>43984.74523148148</v>
      </c>
      <c r="F40" s="123">
        <v>6824</v>
      </c>
    </row>
    <row r="41" spans="1:7" x14ac:dyDescent="0.25">
      <c r="A41" s="203" t="str">
        <f>"3903127"</f>
        <v>3903127</v>
      </c>
      <c r="B41" s="207" t="s">
        <v>2840</v>
      </c>
      <c r="C41" s="209">
        <v>1.68</v>
      </c>
      <c r="D41" s="203">
        <v>328566</v>
      </c>
      <c r="E41" s="205">
        <v>43984.74523148148</v>
      </c>
      <c r="F41" s="123">
        <v>6825</v>
      </c>
    </row>
    <row r="42" spans="1:7" x14ac:dyDescent="0.25">
      <c r="A42" s="203" t="str">
        <f>"3945105"</f>
        <v>3945105</v>
      </c>
      <c r="B42" s="207" t="s">
        <v>5750</v>
      </c>
      <c r="C42" s="209">
        <v>8.3800000000000008</v>
      </c>
      <c r="D42" s="203">
        <v>328236</v>
      </c>
      <c r="E42" s="205">
        <v>43984.74523148148</v>
      </c>
      <c r="F42" s="123">
        <v>6826</v>
      </c>
    </row>
    <row r="43" spans="1:7" x14ac:dyDescent="0.25">
      <c r="A43" s="203" t="str">
        <f>"3907541"</f>
        <v>3907541</v>
      </c>
      <c r="B43" s="207" t="s">
        <v>2841</v>
      </c>
      <c r="C43" s="209">
        <v>4.45</v>
      </c>
      <c r="D43" s="203">
        <v>328585</v>
      </c>
      <c r="E43" s="205">
        <v>43984.74523148148</v>
      </c>
      <c r="F43" s="123">
        <v>6827</v>
      </c>
    </row>
    <row r="44" spans="1:7" x14ac:dyDescent="0.25">
      <c r="A44" s="203" t="str">
        <f>"3909936"</f>
        <v>3909936</v>
      </c>
      <c r="B44" s="207" t="s">
        <v>2820</v>
      </c>
      <c r="C44" s="209">
        <v>2.4500000000000002</v>
      </c>
      <c r="D44" s="203">
        <v>328723</v>
      </c>
      <c r="E44" s="205">
        <v>43984.74523148148</v>
      </c>
      <c r="F44" s="123">
        <v>6828</v>
      </c>
    </row>
    <row r="45" spans="1:7" x14ac:dyDescent="0.25">
      <c r="A45" s="203" t="str">
        <f>"3960277"</f>
        <v>3960277</v>
      </c>
      <c r="B45" s="207" t="s">
        <v>2838</v>
      </c>
      <c r="C45" s="209">
        <v>8.42</v>
      </c>
      <c r="D45" s="203">
        <v>328173</v>
      </c>
      <c r="E45" s="205">
        <v>43984.74523148148</v>
      </c>
      <c r="F45" s="123">
        <v>6829</v>
      </c>
    </row>
    <row r="46" spans="1:7" x14ac:dyDescent="0.25">
      <c r="A46" s="203" t="str">
        <f>"3950033"</f>
        <v>3950033</v>
      </c>
      <c r="B46" s="207" t="s">
        <v>2828</v>
      </c>
      <c r="C46" s="209">
        <v>8.3800000000000008</v>
      </c>
      <c r="D46" s="203">
        <v>328160</v>
      </c>
      <c r="E46" s="205">
        <v>43984.74523148148</v>
      </c>
      <c r="F46" s="123">
        <v>6830</v>
      </c>
    </row>
    <row r="47" spans="1:7" x14ac:dyDescent="0.25">
      <c r="A47" s="203" t="str">
        <f>"3945221"</f>
        <v>3945221</v>
      </c>
      <c r="B47" s="207" t="s">
        <v>5751</v>
      </c>
      <c r="C47" s="209">
        <v>3.36</v>
      </c>
      <c r="D47" s="203">
        <v>328361</v>
      </c>
      <c r="E47" s="205">
        <v>43984.74523148148</v>
      </c>
      <c r="F47" s="123">
        <v>6831</v>
      </c>
    </row>
    <row r="48" spans="1:7" x14ac:dyDescent="0.25">
      <c r="A48" s="203" t="str">
        <f>"3907239"</f>
        <v>3907239</v>
      </c>
      <c r="B48" s="207" t="s">
        <v>2836</v>
      </c>
      <c r="C48" s="209">
        <v>6.94</v>
      </c>
      <c r="D48" s="203">
        <v>328474</v>
      </c>
      <c r="E48" s="205">
        <v>43984.74523148148</v>
      </c>
      <c r="F48" s="123">
        <v>6832</v>
      </c>
    </row>
    <row r="49" spans="1:6" x14ac:dyDescent="0.25">
      <c r="A49" s="203" t="str">
        <f>"3900568"</f>
        <v>3900568</v>
      </c>
      <c r="B49" s="207" t="s">
        <v>5849</v>
      </c>
      <c r="C49" s="209">
        <v>2.02</v>
      </c>
      <c r="D49" s="203">
        <v>329752</v>
      </c>
      <c r="E49" s="205">
        <v>43984.74523148148</v>
      </c>
      <c r="F49" s="123">
        <v>6833</v>
      </c>
    </row>
    <row r="50" spans="1:6" x14ac:dyDescent="0.25">
      <c r="A50" s="203" t="str">
        <f>"3903061"</f>
        <v>3903061</v>
      </c>
      <c r="B50" s="207" t="s">
        <v>2832</v>
      </c>
      <c r="C50" s="209">
        <v>6.94</v>
      </c>
      <c r="D50" s="203">
        <v>328487</v>
      </c>
      <c r="E50" s="205">
        <v>43984.74523148148</v>
      </c>
      <c r="F50" s="123">
        <v>6834</v>
      </c>
    </row>
    <row r="51" spans="1:6" x14ac:dyDescent="0.25">
      <c r="A51" s="203" t="str">
        <f>"3902419"</f>
        <v>3902419</v>
      </c>
      <c r="B51" s="207" t="s">
        <v>2821</v>
      </c>
      <c r="C51" s="209">
        <v>4.16</v>
      </c>
      <c r="D51" s="203">
        <v>329425</v>
      </c>
      <c r="E51" s="205">
        <v>43984.74523148148</v>
      </c>
      <c r="F51" s="123">
        <v>6835</v>
      </c>
    </row>
    <row r="52" spans="1:6" x14ac:dyDescent="0.25">
      <c r="A52" s="203" t="str">
        <f>"3909039"</f>
        <v>3909039</v>
      </c>
      <c r="B52" s="207" t="s">
        <v>2833</v>
      </c>
      <c r="C52" s="209">
        <v>1.68</v>
      </c>
      <c r="D52" s="203">
        <v>329176</v>
      </c>
      <c r="E52" s="205">
        <v>43984.74523148148</v>
      </c>
      <c r="F52" s="123">
        <v>6836</v>
      </c>
    </row>
    <row r="53" spans="1:6" x14ac:dyDescent="0.25">
      <c r="A53" s="203" t="str">
        <f>"3903467"</f>
        <v>3903467</v>
      </c>
      <c r="B53" s="207" t="s">
        <v>2823</v>
      </c>
      <c r="C53" s="209">
        <v>1.68</v>
      </c>
      <c r="D53" s="203">
        <v>328808</v>
      </c>
      <c r="E53" s="205">
        <v>43984.74523148148</v>
      </c>
      <c r="F53" s="123">
        <v>6837</v>
      </c>
    </row>
    <row r="54" spans="1:6" x14ac:dyDescent="0.25">
      <c r="A54" s="203" t="str">
        <f>"3945038"</f>
        <v>3945038</v>
      </c>
      <c r="B54" s="207" t="s">
        <v>2867</v>
      </c>
      <c r="C54" s="209">
        <v>15.3</v>
      </c>
      <c r="D54" s="203">
        <v>330454</v>
      </c>
      <c r="E54" s="205">
        <v>43984.74523148148</v>
      </c>
      <c r="F54" s="123">
        <v>6838</v>
      </c>
    </row>
    <row r="55" spans="1:6" x14ac:dyDescent="0.25">
      <c r="A55" s="203" t="str">
        <f>"3901033"</f>
        <v>3901033</v>
      </c>
      <c r="B55" s="207" t="s">
        <v>2868</v>
      </c>
      <c r="C55" s="209">
        <v>30.6</v>
      </c>
      <c r="D55" s="203">
        <v>330459</v>
      </c>
      <c r="E55" s="205">
        <v>43984.74523148148</v>
      </c>
      <c r="F55" s="123">
        <v>6839</v>
      </c>
    </row>
    <row r="56" spans="1:6" x14ac:dyDescent="0.25">
      <c r="A56" s="203" t="str">
        <f>"3909054"</f>
        <v>3909054</v>
      </c>
      <c r="B56" s="207" t="s">
        <v>2864</v>
      </c>
      <c r="C56" s="209">
        <v>2.02</v>
      </c>
      <c r="D56" s="203">
        <v>330687</v>
      </c>
      <c r="E56" s="205">
        <v>43984.74523148148</v>
      </c>
      <c r="F56" s="123">
        <v>6840</v>
      </c>
    </row>
    <row r="57" spans="1:6" x14ac:dyDescent="0.25">
      <c r="A57" s="203" t="str">
        <f>"3900340"</f>
        <v>3900340</v>
      </c>
      <c r="B57" s="207" t="s">
        <v>2865</v>
      </c>
      <c r="C57" s="209">
        <v>15.3</v>
      </c>
      <c r="D57" s="203">
        <v>330450</v>
      </c>
      <c r="E57" s="205">
        <v>43984.74523148148</v>
      </c>
      <c r="F57" s="123">
        <v>6841</v>
      </c>
    </row>
    <row r="58" spans="1:6" x14ac:dyDescent="0.25">
      <c r="A58" s="203" t="str">
        <f>"3900344"</f>
        <v>3900344</v>
      </c>
      <c r="B58" s="207" t="s">
        <v>2865</v>
      </c>
      <c r="C58" s="209">
        <v>15.3</v>
      </c>
      <c r="D58" s="203">
        <v>330451</v>
      </c>
      <c r="E58" s="205">
        <v>43984.74523148148</v>
      </c>
      <c r="F58" s="123">
        <v>6842</v>
      </c>
    </row>
    <row r="59" spans="1:6" x14ac:dyDescent="0.25">
      <c r="A59" s="203" t="str">
        <f>"3900657"</f>
        <v>3900657</v>
      </c>
      <c r="B59" s="207" t="s">
        <v>2865</v>
      </c>
      <c r="C59" s="209">
        <v>15.3</v>
      </c>
      <c r="D59" s="203">
        <v>330449</v>
      </c>
      <c r="E59" s="205">
        <v>43984.74523148148</v>
      </c>
      <c r="F59" s="123">
        <v>6843</v>
      </c>
    </row>
    <row r="60" spans="1:6" x14ac:dyDescent="0.25">
      <c r="A60" s="203" t="str">
        <f>"3906796"</f>
        <v>3906796</v>
      </c>
      <c r="B60" s="207" t="s">
        <v>2861</v>
      </c>
      <c r="C60" s="209">
        <v>4.3</v>
      </c>
      <c r="D60" s="203">
        <v>330700</v>
      </c>
      <c r="E60" s="205">
        <v>43984.74523148148</v>
      </c>
      <c r="F60" s="123">
        <v>6844</v>
      </c>
    </row>
    <row r="61" spans="1:6" x14ac:dyDescent="0.25">
      <c r="A61" s="203" t="str">
        <f>"3908716"</f>
        <v>3908716</v>
      </c>
      <c r="B61" s="207" t="s">
        <v>2862</v>
      </c>
      <c r="C61" s="209">
        <v>1.94</v>
      </c>
      <c r="D61" s="203">
        <v>330572</v>
      </c>
      <c r="E61" s="205">
        <v>43984.74523148148</v>
      </c>
      <c r="F61" s="123">
        <v>6845</v>
      </c>
    </row>
    <row r="62" spans="1:6" x14ac:dyDescent="0.25">
      <c r="A62" s="203" t="str">
        <f>"3907922"</f>
        <v>3907922</v>
      </c>
      <c r="B62" s="207" t="s">
        <v>2860</v>
      </c>
      <c r="C62" s="209">
        <v>1.68</v>
      </c>
      <c r="D62" s="203">
        <v>330684</v>
      </c>
      <c r="E62" s="205">
        <v>43984.74523148148</v>
      </c>
      <c r="F62" s="123">
        <v>6846</v>
      </c>
    </row>
    <row r="63" spans="1:6" x14ac:dyDescent="0.25">
      <c r="A63" s="203" t="str">
        <f>"3908672"</f>
        <v>3908672</v>
      </c>
      <c r="B63" s="207" t="s">
        <v>2863</v>
      </c>
      <c r="C63" s="209">
        <v>2.16</v>
      </c>
      <c r="D63" s="203">
        <v>330563</v>
      </c>
      <c r="E63" s="205">
        <v>43984.74523148148</v>
      </c>
      <c r="F63" s="123">
        <v>6847</v>
      </c>
    </row>
    <row r="64" spans="1:6" x14ac:dyDescent="0.25">
      <c r="A64" s="203" t="str">
        <f>"3907867"</f>
        <v>3907867</v>
      </c>
      <c r="B64" s="207" t="s">
        <v>2791</v>
      </c>
      <c r="C64" s="209">
        <v>3.2</v>
      </c>
      <c r="D64" s="203">
        <v>329002</v>
      </c>
      <c r="E64" s="205">
        <v>43984.490046296298</v>
      </c>
      <c r="F64" s="123">
        <v>6848</v>
      </c>
    </row>
    <row r="65" spans="1:6" x14ac:dyDescent="0.25">
      <c r="A65" s="203" t="str">
        <f>"3900567"</f>
        <v>3900567</v>
      </c>
      <c r="B65" s="207" t="s">
        <v>5873</v>
      </c>
      <c r="C65" s="209">
        <v>5.04</v>
      </c>
      <c r="D65" s="203">
        <v>316044</v>
      </c>
      <c r="E65" s="205">
        <v>43984.51295138889</v>
      </c>
      <c r="F65" s="123">
        <v>6852</v>
      </c>
    </row>
    <row r="66" spans="1:6" x14ac:dyDescent="0.25">
      <c r="A66" s="203" t="str">
        <f>"3903517"</f>
        <v>3903517</v>
      </c>
      <c r="B66" s="207" t="s">
        <v>5765</v>
      </c>
      <c r="C66" s="209">
        <v>3.6</v>
      </c>
      <c r="D66" s="203">
        <v>329098</v>
      </c>
      <c r="E66" s="205">
        <v>43984.645613425928</v>
      </c>
      <c r="F66" s="123">
        <v>6849</v>
      </c>
    </row>
    <row r="67" spans="1:6" x14ac:dyDescent="0.25">
      <c r="A67" s="203" t="str">
        <f>"3909132"</f>
        <v>3909132</v>
      </c>
      <c r="B67" s="207" t="s">
        <v>2969</v>
      </c>
      <c r="C67" s="209">
        <v>6.82</v>
      </c>
      <c r="D67" s="203">
        <v>329327</v>
      </c>
      <c r="E67" s="205">
        <v>43984.656226851854</v>
      </c>
      <c r="F67" s="123">
        <v>6850</v>
      </c>
    </row>
    <row r="68" spans="1:6" x14ac:dyDescent="0.25">
      <c r="A68" s="203" t="str">
        <f>"3908938"</f>
        <v>3908938</v>
      </c>
      <c r="B68" s="207" t="s">
        <v>5850</v>
      </c>
      <c r="C68" s="209">
        <v>5.0199999999999996</v>
      </c>
      <c r="D68" s="203">
        <v>328895</v>
      </c>
      <c r="E68" s="205">
        <v>43984.801608796297</v>
      </c>
      <c r="F68" s="123">
        <v>6851</v>
      </c>
    </row>
    <row r="69" spans="1:6" s="164" customFormat="1" x14ac:dyDescent="0.25">
      <c r="A69" s="115"/>
      <c r="B69" s="115" t="s">
        <v>5691</v>
      </c>
      <c r="C69" s="222">
        <f>SUM(C11:C68)</f>
        <v>387.96000000000009</v>
      </c>
      <c r="D69" s="115">
        <v>2</v>
      </c>
      <c r="E69" s="163"/>
      <c r="F69" s="115"/>
    </row>
    <row r="70" spans="1:6" customFormat="1" x14ac:dyDescent="0.25">
      <c r="A70" s="118"/>
      <c r="B70" s="116"/>
      <c r="C70" s="223"/>
      <c r="D70" s="118"/>
      <c r="E70" s="117"/>
      <c r="F70" s="118"/>
    </row>
    <row r="71" spans="1:6" x14ac:dyDescent="0.25">
      <c r="A71" s="203" t="str">
        <f>"3906821"</f>
        <v>3906821</v>
      </c>
      <c r="B71" s="207" t="s">
        <v>2950</v>
      </c>
      <c r="C71" s="209">
        <v>6.41</v>
      </c>
      <c r="D71" s="203">
        <v>329302</v>
      </c>
      <c r="E71" s="205">
        <v>43985.358564814815</v>
      </c>
      <c r="F71" s="123">
        <v>6916</v>
      </c>
    </row>
    <row r="72" spans="1:6" x14ac:dyDescent="0.25">
      <c r="A72" s="203" t="str">
        <f>"3904232"</f>
        <v>3904232</v>
      </c>
      <c r="B72" s="207" t="s">
        <v>5872</v>
      </c>
      <c r="C72" s="209">
        <v>65.11</v>
      </c>
      <c r="D72" s="203">
        <v>330475</v>
      </c>
      <c r="E72" s="205">
        <v>43985.454201388886</v>
      </c>
      <c r="F72" s="123">
        <v>7862</v>
      </c>
    </row>
    <row r="73" spans="1:6" x14ac:dyDescent="0.25">
      <c r="A73" s="203" t="str">
        <f>"3907531"</f>
        <v>3907531</v>
      </c>
      <c r="B73" s="207" t="s">
        <v>2959</v>
      </c>
      <c r="C73" s="209">
        <v>10.99</v>
      </c>
      <c r="D73" s="203">
        <v>328519</v>
      </c>
      <c r="E73" s="205">
        <v>43985.47923611111</v>
      </c>
      <c r="F73" s="123">
        <v>6918</v>
      </c>
    </row>
    <row r="74" spans="1:6" x14ac:dyDescent="0.25">
      <c r="A74" s="203" t="str">
        <f>"3907873"</f>
        <v>3907873</v>
      </c>
      <c r="B74" s="207" t="s">
        <v>2787</v>
      </c>
      <c r="C74" s="209">
        <v>8.4</v>
      </c>
      <c r="D74" s="203">
        <v>328977</v>
      </c>
      <c r="E74" s="205">
        <v>43985.560844907406</v>
      </c>
      <c r="F74" s="123">
        <v>6919</v>
      </c>
    </row>
    <row r="75" spans="1:6" s="164" customFormat="1" x14ac:dyDescent="0.25">
      <c r="A75" s="115"/>
      <c r="B75" s="115" t="s">
        <v>5691</v>
      </c>
      <c r="C75" s="222">
        <f>SUM(C71:C74)</f>
        <v>90.91</v>
      </c>
      <c r="D75" s="115">
        <v>3</v>
      </c>
      <c r="E75" s="163"/>
      <c r="F75" s="115"/>
    </row>
    <row r="76" spans="1:6" customFormat="1" x14ac:dyDescent="0.25">
      <c r="A76" s="118"/>
      <c r="B76" s="116"/>
      <c r="C76" s="223"/>
      <c r="D76" s="118"/>
      <c r="E76" s="117"/>
      <c r="F76" s="118"/>
    </row>
    <row r="77" spans="1:6" x14ac:dyDescent="0.25">
      <c r="A77" s="203" t="str">
        <f>"3902612"</f>
        <v>3902612</v>
      </c>
      <c r="B77" s="207" t="s">
        <v>5871</v>
      </c>
      <c r="C77" s="209">
        <v>3.31</v>
      </c>
      <c r="D77" s="203">
        <v>330423</v>
      </c>
      <c r="E77" s="205">
        <v>43986.444155092591</v>
      </c>
      <c r="F77" s="123">
        <v>6990</v>
      </c>
    </row>
    <row r="78" spans="1:6" x14ac:dyDescent="0.25">
      <c r="A78" s="203" t="str">
        <f>"3960284"</f>
        <v>3960284</v>
      </c>
      <c r="B78" s="207" t="s">
        <v>2879</v>
      </c>
      <c r="C78" s="209">
        <v>25.14</v>
      </c>
      <c r="D78" s="203">
        <v>328212</v>
      </c>
      <c r="E78" s="205">
        <v>43986.496851851851</v>
      </c>
      <c r="F78" s="123">
        <v>6991</v>
      </c>
    </row>
    <row r="79" spans="1:6" x14ac:dyDescent="0.25">
      <c r="A79" s="203" t="str">
        <f>"3901413"</f>
        <v>3901413</v>
      </c>
      <c r="B79" s="207" t="s">
        <v>5870</v>
      </c>
      <c r="C79" s="209">
        <v>26.3</v>
      </c>
      <c r="D79" s="203">
        <v>329832</v>
      </c>
      <c r="E79" s="205">
        <v>43986.503518518519</v>
      </c>
      <c r="F79" s="123">
        <v>6992</v>
      </c>
    </row>
    <row r="80" spans="1:6" x14ac:dyDescent="0.25">
      <c r="A80" s="203" t="str">
        <f>"3900593"</f>
        <v>3900593</v>
      </c>
      <c r="B80" s="207" t="s">
        <v>2797</v>
      </c>
      <c r="C80" s="209">
        <v>1.68</v>
      </c>
      <c r="D80" s="203">
        <v>329764</v>
      </c>
      <c r="E80" s="205">
        <v>43986.591053240743</v>
      </c>
      <c r="F80" s="123">
        <v>6993</v>
      </c>
    </row>
    <row r="81" spans="1:6" x14ac:dyDescent="0.25">
      <c r="A81" s="203" t="str">
        <f>"3903516"</f>
        <v>3903516</v>
      </c>
      <c r="B81" s="207" t="s">
        <v>2785</v>
      </c>
      <c r="C81" s="209">
        <v>12.01</v>
      </c>
      <c r="D81" s="203">
        <v>329339</v>
      </c>
      <c r="E81" s="205">
        <v>43986.642893518518</v>
      </c>
      <c r="F81" s="123">
        <v>6994</v>
      </c>
    </row>
    <row r="82" spans="1:6" x14ac:dyDescent="0.25">
      <c r="A82" s="203" t="str">
        <f>"3945066"</f>
        <v>3945066</v>
      </c>
      <c r="B82" s="207" t="s">
        <v>5869</v>
      </c>
      <c r="C82" s="209">
        <v>91.8</v>
      </c>
      <c r="D82" s="203">
        <v>330496</v>
      </c>
      <c r="E82" s="205">
        <v>43986.655671296299</v>
      </c>
      <c r="F82" s="123">
        <v>6995</v>
      </c>
    </row>
    <row r="83" spans="1:6" x14ac:dyDescent="0.25">
      <c r="A83" s="203" t="str">
        <f>"3908019"</f>
        <v>3908019</v>
      </c>
      <c r="B83" s="207" t="s">
        <v>5754</v>
      </c>
      <c r="C83" s="209">
        <v>8.94</v>
      </c>
      <c r="D83" s="203">
        <v>329323</v>
      </c>
      <c r="E83" s="205">
        <v>43986.700613425928</v>
      </c>
      <c r="F83" s="123">
        <v>6996</v>
      </c>
    </row>
    <row r="84" spans="1:6" s="164" customFormat="1" x14ac:dyDescent="0.25">
      <c r="A84" s="115"/>
      <c r="B84" s="115" t="s">
        <v>5691</v>
      </c>
      <c r="C84" s="222">
        <f>SUM(C77:C83)</f>
        <v>169.18</v>
      </c>
      <c r="D84" s="115">
        <v>4</v>
      </c>
      <c r="E84" s="163"/>
      <c r="F84" s="115"/>
    </row>
    <row r="85" spans="1:6" customFormat="1" x14ac:dyDescent="0.25">
      <c r="A85" s="118"/>
      <c r="B85" s="116"/>
      <c r="C85" s="223"/>
      <c r="D85" s="118"/>
      <c r="E85" s="117"/>
      <c r="F85" s="118"/>
    </row>
    <row r="86" spans="1:6" x14ac:dyDescent="0.25">
      <c r="A86" s="203" t="str">
        <f>"3920065"</f>
        <v>3920065</v>
      </c>
      <c r="B86" s="207" t="s">
        <v>2895</v>
      </c>
      <c r="C86" s="209">
        <v>15.3</v>
      </c>
      <c r="D86" s="203">
        <v>330445</v>
      </c>
      <c r="E86" s="205">
        <v>43987.429120370369</v>
      </c>
      <c r="F86" s="123">
        <v>7084</v>
      </c>
    </row>
    <row r="87" spans="1:6" x14ac:dyDescent="0.25">
      <c r="A87" s="203" t="str">
        <f>"23923168"</f>
        <v>23923168</v>
      </c>
      <c r="B87" s="207" t="s">
        <v>5818</v>
      </c>
      <c r="C87" s="209">
        <v>2.37</v>
      </c>
      <c r="D87" s="203">
        <v>1928</v>
      </c>
      <c r="E87" s="205">
        <v>43987.504108796296</v>
      </c>
      <c r="F87" s="123">
        <v>7085</v>
      </c>
    </row>
    <row r="88" spans="1:6" x14ac:dyDescent="0.25">
      <c r="A88" s="203" t="str">
        <f>"23923173"</f>
        <v>23923173</v>
      </c>
      <c r="B88" s="207" t="s">
        <v>5818</v>
      </c>
      <c r="C88" s="209">
        <v>1.68</v>
      </c>
      <c r="D88" s="203">
        <v>1930</v>
      </c>
      <c r="E88" s="205">
        <v>43987.506701388891</v>
      </c>
      <c r="F88" s="123">
        <v>7090</v>
      </c>
    </row>
    <row r="89" spans="1:6" x14ac:dyDescent="0.25">
      <c r="A89" s="203" t="str">
        <f>"3950310"</f>
        <v>3950310</v>
      </c>
      <c r="B89" s="207" t="s">
        <v>5868</v>
      </c>
      <c r="C89" s="209">
        <v>25.14</v>
      </c>
      <c r="D89" s="203">
        <v>328302</v>
      </c>
      <c r="E89" s="205">
        <v>43987.54960648148</v>
      </c>
      <c r="F89" s="123">
        <v>7086</v>
      </c>
    </row>
    <row r="90" spans="1:6" x14ac:dyDescent="0.25">
      <c r="A90" s="203" t="str">
        <f>"3908639"</f>
        <v>3908639</v>
      </c>
      <c r="B90" s="207" t="s">
        <v>2906</v>
      </c>
      <c r="C90" s="209">
        <v>4.03</v>
      </c>
      <c r="D90" s="203">
        <v>330776</v>
      </c>
      <c r="E90" s="205">
        <v>43987.557581018518</v>
      </c>
      <c r="F90" s="123">
        <v>7087</v>
      </c>
    </row>
    <row r="91" spans="1:6" x14ac:dyDescent="0.25">
      <c r="A91" s="203" t="str">
        <f>"3908204"</f>
        <v>3908204</v>
      </c>
      <c r="B91" s="207" t="s">
        <v>5785</v>
      </c>
      <c r="C91" s="209">
        <v>10.85</v>
      </c>
      <c r="D91" s="203">
        <v>330367</v>
      </c>
      <c r="E91" s="205">
        <v>43987.63449074074</v>
      </c>
      <c r="F91" s="123">
        <v>7088</v>
      </c>
    </row>
    <row r="92" spans="1:6" x14ac:dyDescent="0.25">
      <c r="A92" s="203" t="str">
        <f>"3903320"</f>
        <v>3903320</v>
      </c>
      <c r="B92" s="207" t="s">
        <v>2804</v>
      </c>
      <c r="C92" s="209">
        <v>1.8</v>
      </c>
      <c r="D92" s="203">
        <v>328775</v>
      </c>
      <c r="E92" s="205">
        <v>43987.668124999997</v>
      </c>
      <c r="F92" s="123">
        <v>7089</v>
      </c>
    </row>
    <row r="93" spans="1:6" s="164" customFormat="1" x14ac:dyDescent="0.25">
      <c r="A93" s="115"/>
      <c r="B93" s="115" t="s">
        <v>5691</v>
      </c>
      <c r="C93" s="222">
        <f>SUM(C86:C92)</f>
        <v>61.17</v>
      </c>
      <c r="D93" s="115">
        <v>5</v>
      </c>
      <c r="E93" s="163"/>
      <c r="F93" s="115"/>
    </row>
    <row r="94" spans="1:6" customFormat="1" x14ac:dyDescent="0.25">
      <c r="A94" s="118"/>
      <c r="B94" s="116"/>
      <c r="C94" s="223"/>
      <c r="D94" s="118"/>
      <c r="E94" s="117"/>
      <c r="F94" s="118"/>
    </row>
    <row r="95" spans="1:6" x14ac:dyDescent="0.25">
      <c r="A95" s="203" t="str">
        <f>"3909154"</f>
        <v>3909154</v>
      </c>
      <c r="B95" s="207" t="s">
        <v>5832</v>
      </c>
      <c r="C95" s="209">
        <v>5.45</v>
      </c>
      <c r="D95" s="203">
        <v>329331</v>
      </c>
      <c r="E95" s="205">
        <v>43990.461851851855</v>
      </c>
      <c r="F95" s="123">
        <v>7138</v>
      </c>
    </row>
    <row r="96" spans="1:6" x14ac:dyDescent="0.25">
      <c r="A96" s="203" t="str">
        <f>"3940887"</f>
        <v>3940887</v>
      </c>
      <c r="B96" s="207" t="s">
        <v>2933</v>
      </c>
      <c r="C96" s="209">
        <v>53.7</v>
      </c>
      <c r="D96" s="203">
        <v>328178</v>
      </c>
      <c r="E96" s="205">
        <v>43990.538043981483</v>
      </c>
      <c r="F96" s="123">
        <v>7139</v>
      </c>
    </row>
    <row r="97" spans="1:6" x14ac:dyDescent="0.25">
      <c r="A97" s="203" t="str">
        <f>"3945263"</f>
        <v>3945263</v>
      </c>
      <c r="B97" s="207" t="s">
        <v>5867</v>
      </c>
      <c r="C97" s="209">
        <v>41.9</v>
      </c>
      <c r="D97" s="203">
        <v>328376</v>
      </c>
      <c r="E97" s="205">
        <v>43990.562395833331</v>
      </c>
      <c r="F97" s="123">
        <v>7140</v>
      </c>
    </row>
    <row r="98" spans="1:6" x14ac:dyDescent="0.25">
      <c r="A98" s="203" t="str">
        <f>"3908295"</f>
        <v>3908295</v>
      </c>
      <c r="B98" s="207" t="s">
        <v>5866</v>
      </c>
      <c r="C98" s="209">
        <v>0.75</v>
      </c>
      <c r="D98" s="203">
        <v>330437</v>
      </c>
      <c r="E98" s="205">
        <v>43990.666087962964</v>
      </c>
      <c r="F98" s="123">
        <v>7141</v>
      </c>
    </row>
    <row r="99" spans="1:6" x14ac:dyDescent="0.25">
      <c r="A99" s="203" t="str">
        <f>"3907169"</f>
        <v>3907169</v>
      </c>
      <c r="B99" s="207" t="s">
        <v>2893</v>
      </c>
      <c r="C99" s="209">
        <v>6.94</v>
      </c>
      <c r="D99" s="203">
        <v>328470</v>
      </c>
      <c r="E99" s="205">
        <v>43990.768333333333</v>
      </c>
      <c r="F99" s="123">
        <v>7142</v>
      </c>
    </row>
    <row r="100" spans="1:6" x14ac:dyDescent="0.25">
      <c r="A100" s="203" t="str">
        <f>"3909086"</f>
        <v>3909086</v>
      </c>
      <c r="B100" s="207" t="s">
        <v>2962</v>
      </c>
      <c r="C100" s="209">
        <v>6.15</v>
      </c>
      <c r="D100" s="203">
        <v>329187</v>
      </c>
      <c r="E100" s="205">
        <v>43990.854432870372</v>
      </c>
      <c r="F100" s="123">
        <v>7143</v>
      </c>
    </row>
    <row r="101" spans="1:6" s="164" customFormat="1" x14ac:dyDescent="0.25">
      <c r="A101" s="115"/>
      <c r="B101" s="115" t="s">
        <v>5691</v>
      </c>
      <c r="C101" s="222">
        <f>SUM(C95:C100)</f>
        <v>114.89000000000001</v>
      </c>
      <c r="D101" s="115">
        <v>6</v>
      </c>
      <c r="E101" s="163"/>
      <c r="F101" s="115"/>
    </row>
    <row r="102" spans="1:6" customFormat="1" x14ac:dyDescent="0.25">
      <c r="A102" s="118"/>
      <c r="B102" s="116"/>
      <c r="C102" s="223"/>
      <c r="D102" s="118"/>
      <c r="E102" s="117"/>
      <c r="F102" s="118"/>
    </row>
    <row r="103" spans="1:6" x14ac:dyDescent="0.25">
      <c r="A103" s="203" t="str">
        <f>"23923029"</f>
        <v>23923029</v>
      </c>
      <c r="B103" s="207" t="s">
        <v>2930</v>
      </c>
      <c r="C103" s="209">
        <v>11.22</v>
      </c>
      <c r="D103" s="203">
        <v>1776</v>
      </c>
      <c r="E103" s="205">
        <v>43991.419108796297</v>
      </c>
      <c r="F103" s="123">
        <v>7192</v>
      </c>
    </row>
    <row r="104" spans="1:6" x14ac:dyDescent="0.25">
      <c r="A104" s="203" t="str">
        <f>"3906658"</f>
        <v>3906658</v>
      </c>
      <c r="B104" s="207" t="s">
        <v>2907</v>
      </c>
      <c r="C104" s="209">
        <v>12.11</v>
      </c>
      <c r="D104" s="203">
        <v>330632</v>
      </c>
      <c r="E104" s="205">
        <v>43991.496157407404</v>
      </c>
      <c r="F104" s="123">
        <v>7193</v>
      </c>
    </row>
    <row r="105" spans="1:6" x14ac:dyDescent="0.25">
      <c r="A105" s="203" t="str">
        <f>"3945304"</f>
        <v>3945304</v>
      </c>
      <c r="B105" s="207" t="s">
        <v>2782</v>
      </c>
      <c r="C105" s="209">
        <v>33.520000000000003</v>
      </c>
      <c r="D105" s="203">
        <v>328418</v>
      </c>
      <c r="E105" s="205">
        <v>43991.51</v>
      </c>
      <c r="F105" s="123">
        <v>7194</v>
      </c>
    </row>
    <row r="106" spans="1:6" x14ac:dyDescent="0.25">
      <c r="A106" s="203" t="str">
        <f>"3960363"</f>
        <v>3960363</v>
      </c>
      <c r="B106" s="207" t="s">
        <v>5733</v>
      </c>
      <c r="C106" s="209">
        <v>33.520000000000003</v>
      </c>
      <c r="D106" s="203">
        <v>328243</v>
      </c>
      <c r="E106" s="205">
        <v>43991.588819444441</v>
      </c>
      <c r="F106" s="123">
        <v>7195</v>
      </c>
    </row>
    <row r="107" spans="1:6" x14ac:dyDescent="0.25">
      <c r="A107" s="203" t="str">
        <f>"3960257"</f>
        <v>3960257</v>
      </c>
      <c r="B107" s="207" t="s">
        <v>2880</v>
      </c>
      <c r="C107" s="209">
        <v>15.3</v>
      </c>
      <c r="D107" s="203">
        <v>330446</v>
      </c>
      <c r="E107" s="205">
        <v>43991.619849537034</v>
      </c>
      <c r="F107" s="123">
        <v>7196</v>
      </c>
    </row>
    <row r="108" spans="1:6" x14ac:dyDescent="0.25">
      <c r="A108" s="203" t="str">
        <f>"3960275"</f>
        <v>3960275</v>
      </c>
      <c r="B108" s="207" t="s">
        <v>2880</v>
      </c>
      <c r="C108" s="209">
        <v>19.03</v>
      </c>
      <c r="D108" s="203">
        <v>330453</v>
      </c>
      <c r="E108" s="205">
        <v>43991.620752314811</v>
      </c>
      <c r="F108" s="123">
        <v>7197</v>
      </c>
    </row>
    <row r="109" spans="1:6" s="164" customFormat="1" x14ac:dyDescent="0.25">
      <c r="A109" s="115"/>
      <c r="B109" s="115" t="s">
        <v>5691</v>
      </c>
      <c r="C109" s="222">
        <f>SUM(C103:C108)</f>
        <v>124.7</v>
      </c>
      <c r="D109" s="115">
        <v>7</v>
      </c>
      <c r="E109" s="163"/>
      <c r="F109" s="115"/>
    </row>
    <row r="110" spans="1:6" customFormat="1" x14ac:dyDescent="0.25">
      <c r="A110" s="118"/>
      <c r="B110" s="116"/>
      <c r="C110" s="223"/>
      <c r="D110" s="118"/>
      <c r="E110" s="117"/>
      <c r="F110" s="118"/>
    </row>
    <row r="111" spans="1:6" x14ac:dyDescent="0.25">
      <c r="A111" s="203" t="str">
        <f>"3901396"</f>
        <v>3901396</v>
      </c>
      <c r="B111" s="207" t="s">
        <v>2788</v>
      </c>
      <c r="C111" s="209">
        <v>5.44</v>
      </c>
      <c r="D111" s="203">
        <v>329829</v>
      </c>
      <c r="E111" s="205">
        <v>43992.264606481483</v>
      </c>
      <c r="F111" s="123">
        <v>7223</v>
      </c>
    </row>
    <row r="112" spans="1:6" x14ac:dyDescent="0.25">
      <c r="A112" s="203" t="str">
        <f>"3908621"</f>
        <v>3908621</v>
      </c>
      <c r="B112" s="207" t="s">
        <v>2912</v>
      </c>
      <c r="C112" s="209">
        <v>1.85</v>
      </c>
      <c r="D112" s="203">
        <v>328534</v>
      </c>
      <c r="E112" s="205">
        <v>43992.386631944442</v>
      </c>
      <c r="F112" s="123">
        <v>7224</v>
      </c>
    </row>
    <row r="113" spans="1:6" x14ac:dyDescent="0.25">
      <c r="A113" s="203" t="str">
        <f>"3907791"</f>
        <v>3907791</v>
      </c>
      <c r="B113" s="207" t="s">
        <v>5726</v>
      </c>
      <c r="C113" s="209">
        <v>2.36</v>
      </c>
      <c r="D113" s="203">
        <v>328876</v>
      </c>
      <c r="E113" s="205">
        <v>43992.533229166664</v>
      </c>
      <c r="F113" s="123">
        <v>7225</v>
      </c>
    </row>
    <row r="114" spans="1:6" x14ac:dyDescent="0.25">
      <c r="A114" s="203" t="str">
        <f>"3945113"</f>
        <v>3945113</v>
      </c>
      <c r="B114" s="207" t="s">
        <v>2790</v>
      </c>
      <c r="C114" s="209">
        <v>8.3800000000000008</v>
      </c>
      <c r="D114" s="203">
        <v>328247</v>
      </c>
      <c r="E114" s="205">
        <v>43992.597719907404</v>
      </c>
      <c r="F114" s="123">
        <v>7226</v>
      </c>
    </row>
    <row r="115" spans="1:6" x14ac:dyDescent="0.25">
      <c r="A115" s="203" t="str">
        <f>"3960320"</f>
        <v>3960320</v>
      </c>
      <c r="B115" s="207" t="s">
        <v>5806</v>
      </c>
      <c r="C115" s="209">
        <v>34.01</v>
      </c>
      <c r="D115" s="203">
        <v>328328</v>
      </c>
      <c r="E115" s="205">
        <v>43992.703865740739</v>
      </c>
      <c r="F115" s="123">
        <v>7227</v>
      </c>
    </row>
    <row r="116" spans="1:6" s="164" customFormat="1" x14ac:dyDescent="0.25">
      <c r="A116" s="115"/>
      <c r="B116" s="115" t="s">
        <v>5691</v>
      </c>
      <c r="C116" s="222">
        <f>SUM(C111:C115)</f>
        <v>52.04</v>
      </c>
      <c r="D116" s="115">
        <v>8</v>
      </c>
      <c r="E116" s="163"/>
      <c r="F116" s="115"/>
    </row>
    <row r="117" spans="1:6" customFormat="1" x14ac:dyDescent="0.25">
      <c r="A117" s="118"/>
      <c r="B117" s="116"/>
      <c r="C117" s="223"/>
      <c r="D117" s="118"/>
      <c r="E117" s="117"/>
      <c r="F117" s="118"/>
    </row>
    <row r="118" spans="1:6" x14ac:dyDescent="0.25">
      <c r="A118" s="203" t="str">
        <f>"3960392"</f>
        <v>3960392</v>
      </c>
      <c r="B118" s="207" t="s">
        <v>2872</v>
      </c>
      <c r="C118" s="209">
        <v>10.07</v>
      </c>
      <c r="D118" s="203">
        <v>328297</v>
      </c>
      <c r="E118" s="205">
        <v>43993.353865740741</v>
      </c>
      <c r="F118" s="123">
        <v>7258</v>
      </c>
    </row>
    <row r="119" spans="1:6" x14ac:dyDescent="0.25">
      <c r="A119" s="203" t="str">
        <f>"3908631"</f>
        <v>3908631</v>
      </c>
      <c r="B119" s="207" t="s">
        <v>2900</v>
      </c>
      <c r="C119" s="209">
        <v>5.2</v>
      </c>
      <c r="D119" s="203">
        <v>328515</v>
      </c>
      <c r="E119" s="205">
        <v>43993.418263888889</v>
      </c>
      <c r="F119" s="123">
        <v>7259</v>
      </c>
    </row>
    <row r="120" spans="1:6" x14ac:dyDescent="0.25">
      <c r="A120" s="203" t="str">
        <f>"3960375"</f>
        <v>3960375</v>
      </c>
      <c r="B120" s="207" t="s">
        <v>2936</v>
      </c>
      <c r="C120" s="209">
        <v>4.1900000000000004</v>
      </c>
      <c r="D120" s="203">
        <v>328268</v>
      </c>
      <c r="E120" s="205">
        <v>43993.545590277776</v>
      </c>
      <c r="F120" s="123">
        <v>7260</v>
      </c>
    </row>
    <row r="121" spans="1:6" x14ac:dyDescent="0.25">
      <c r="A121" s="203" t="str">
        <f>"3900244"</f>
        <v>3900244</v>
      </c>
      <c r="B121" s="207" t="s">
        <v>2926</v>
      </c>
      <c r="C121" s="209">
        <v>7.6</v>
      </c>
      <c r="D121" s="203">
        <v>330801</v>
      </c>
      <c r="E121" s="205">
        <v>43993.568969907406</v>
      </c>
      <c r="F121" s="123">
        <v>7261</v>
      </c>
    </row>
    <row r="122" spans="1:6" x14ac:dyDescent="0.25">
      <c r="A122" s="203" t="str">
        <f>"3904228"</f>
        <v>3904228</v>
      </c>
      <c r="B122" s="207" t="s">
        <v>5836</v>
      </c>
      <c r="C122" s="209">
        <v>29.78</v>
      </c>
      <c r="D122" s="203">
        <v>330498</v>
      </c>
      <c r="E122" s="205">
        <v>43993.602638888886</v>
      </c>
      <c r="F122" s="123">
        <v>7262</v>
      </c>
    </row>
    <row r="123" spans="1:6" x14ac:dyDescent="0.25">
      <c r="A123" s="203" t="str">
        <f>"3930078"</f>
        <v>3930078</v>
      </c>
      <c r="B123" s="207" t="s">
        <v>2989</v>
      </c>
      <c r="C123" s="209">
        <v>9.34</v>
      </c>
      <c r="D123" s="203">
        <v>328835</v>
      </c>
      <c r="E123" s="205">
        <v>43993.630949074075</v>
      </c>
      <c r="F123" s="123">
        <v>7263</v>
      </c>
    </row>
    <row r="124" spans="1:6" x14ac:dyDescent="0.25">
      <c r="A124" s="203" t="str">
        <f>"3902744"</f>
        <v>3902744</v>
      </c>
      <c r="B124" s="207" t="s">
        <v>2934</v>
      </c>
      <c r="C124" s="209">
        <v>16.920000000000002</v>
      </c>
      <c r="D124" s="203">
        <v>329985</v>
      </c>
      <c r="E124" s="205">
        <v>43993.692361111112</v>
      </c>
      <c r="F124" s="123">
        <v>7264</v>
      </c>
    </row>
    <row r="125" spans="1:6" s="164" customFormat="1" x14ac:dyDescent="0.25">
      <c r="A125" s="115"/>
      <c r="B125" s="115" t="s">
        <v>5691</v>
      </c>
      <c r="C125" s="222">
        <f>SUM(C118:C124)</f>
        <v>83.100000000000009</v>
      </c>
      <c r="D125" s="115">
        <v>9</v>
      </c>
      <c r="E125" s="163"/>
      <c r="F125" s="115"/>
    </row>
    <row r="126" spans="1:6" customFormat="1" x14ac:dyDescent="0.25">
      <c r="A126" s="118"/>
      <c r="B126" s="116"/>
      <c r="C126" s="223"/>
      <c r="D126" s="118"/>
      <c r="E126" s="117"/>
      <c r="F126" s="118"/>
    </row>
    <row r="127" spans="1:6" x14ac:dyDescent="0.25">
      <c r="A127" s="203" t="str">
        <f>"3940102"</f>
        <v>3940102</v>
      </c>
      <c r="B127" s="207" t="s">
        <v>5695</v>
      </c>
      <c r="C127" s="209">
        <v>25.14</v>
      </c>
      <c r="D127" s="203">
        <v>328139</v>
      </c>
      <c r="E127" s="205">
        <v>43994.391875000001</v>
      </c>
      <c r="F127" s="123">
        <v>7300</v>
      </c>
    </row>
    <row r="128" spans="1:6" x14ac:dyDescent="0.25">
      <c r="A128" s="203" t="str">
        <f>"3903017"</f>
        <v>3903017</v>
      </c>
      <c r="B128" s="207" t="s">
        <v>2923</v>
      </c>
      <c r="C128" s="209">
        <v>6.07</v>
      </c>
      <c r="D128" s="203">
        <v>325010</v>
      </c>
      <c r="E128" s="205">
        <v>43994.397638888891</v>
      </c>
      <c r="F128" s="123">
        <v>7301</v>
      </c>
    </row>
    <row r="129" spans="1:6" x14ac:dyDescent="0.25">
      <c r="A129" s="203" t="str">
        <f>"3930044"</f>
        <v>3930044</v>
      </c>
      <c r="B129" s="207" t="s">
        <v>5840</v>
      </c>
      <c r="C129" s="209">
        <v>1.53</v>
      </c>
      <c r="D129" s="203">
        <v>329404</v>
      </c>
      <c r="E129" s="205">
        <v>43994.475254629629</v>
      </c>
      <c r="F129" s="123">
        <v>7302</v>
      </c>
    </row>
    <row r="130" spans="1:6" x14ac:dyDescent="0.25">
      <c r="A130" s="203" t="str">
        <f>"3930042"</f>
        <v>3930042</v>
      </c>
      <c r="B130" s="207" t="s">
        <v>2929</v>
      </c>
      <c r="C130" s="209">
        <v>12.04</v>
      </c>
      <c r="D130" s="203">
        <v>330589</v>
      </c>
      <c r="E130" s="205">
        <v>43994.664490740739</v>
      </c>
      <c r="F130" s="123">
        <v>7303</v>
      </c>
    </row>
    <row r="131" spans="1:6" s="164" customFormat="1" x14ac:dyDescent="0.25">
      <c r="A131" s="115"/>
      <c r="B131" s="115" t="s">
        <v>5691</v>
      </c>
      <c r="C131" s="222">
        <f>SUM(C127:C130)</f>
        <v>44.78</v>
      </c>
      <c r="D131" s="115">
        <v>10</v>
      </c>
      <c r="E131" s="163"/>
      <c r="F131" s="115"/>
    </row>
    <row r="132" spans="1:6" customFormat="1" x14ac:dyDescent="0.25">
      <c r="A132" s="118"/>
      <c r="B132" s="116"/>
      <c r="C132" s="223"/>
      <c r="D132" s="118"/>
      <c r="E132" s="117"/>
      <c r="F132" s="118"/>
    </row>
    <row r="133" spans="1:6" x14ac:dyDescent="0.25">
      <c r="A133" s="203" t="str">
        <f>"3945401"</f>
        <v>3945401</v>
      </c>
      <c r="B133" s="207" t="s">
        <v>2967</v>
      </c>
      <c r="C133" s="209">
        <v>8.3800000000000008</v>
      </c>
      <c r="D133" s="203">
        <v>328270</v>
      </c>
      <c r="E133" s="205">
        <v>43997.46020833333</v>
      </c>
      <c r="F133" s="123">
        <v>7360</v>
      </c>
    </row>
    <row r="134" spans="1:6" x14ac:dyDescent="0.25">
      <c r="A134" s="203" t="str">
        <f>"3903217"</f>
        <v>3903217</v>
      </c>
      <c r="B134" s="207" t="s">
        <v>5780</v>
      </c>
      <c r="C134" s="209">
        <v>4.55</v>
      </c>
      <c r="D134" s="203">
        <v>328665</v>
      </c>
      <c r="E134" s="205">
        <v>43997.562465277777</v>
      </c>
      <c r="F134" s="123">
        <v>7361</v>
      </c>
    </row>
    <row r="135" spans="1:6" x14ac:dyDescent="0.25">
      <c r="A135" s="203" t="str">
        <f>"3960269"</f>
        <v>3960269</v>
      </c>
      <c r="B135" s="207" t="s">
        <v>2927</v>
      </c>
      <c r="C135" s="209">
        <v>12.3</v>
      </c>
      <c r="D135" s="203">
        <v>328149</v>
      </c>
      <c r="E135" s="205">
        <v>43997.612800925926</v>
      </c>
      <c r="F135" s="123">
        <v>7362</v>
      </c>
    </row>
    <row r="136" spans="1:6" x14ac:dyDescent="0.25">
      <c r="A136" s="203" t="str">
        <f>"3903545"</f>
        <v>3903545</v>
      </c>
      <c r="B136" s="207" t="s">
        <v>2877</v>
      </c>
      <c r="C136" s="209">
        <v>4.88</v>
      </c>
      <c r="D136" s="203">
        <v>329100</v>
      </c>
      <c r="E136" s="205">
        <v>43997.583414351851</v>
      </c>
      <c r="F136" s="123">
        <v>7363</v>
      </c>
    </row>
    <row r="137" spans="1:6" x14ac:dyDescent="0.25">
      <c r="A137" s="203" t="str">
        <f>"3902009"</f>
        <v>3902009</v>
      </c>
      <c r="B137" s="207" t="s">
        <v>2890</v>
      </c>
      <c r="C137" s="209">
        <v>3.36</v>
      </c>
      <c r="D137" s="203">
        <v>330610</v>
      </c>
      <c r="E137" s="205">
        <v>43997.454791666663</v>
      </c>
      <c r="F137" s="123">
        <v>7364</v>
      </c>
    </row>
    <row r="138" spans="1:6" x14ac:dyDescent="0.25">
      <c r="A138" s="203" t="str">
        <f>"3960300"</f>
        <v>3960300</v>
      </c>
      <c r="B138" s="207" t="s">
        <v>5865</v>
      </c>
      <c r="C138" s="209">
        <v>12.57</v>
      </c>
      <c r="D138" s="203">
        <v>317296</v>
      </c>
      <c r="E138" s="205">
        <v>43997.671840277777</v>
      </c>
      <c r="F138" s="123">
        <v>7366</v>
      </c>
    </row>
    <row r="139" spans="1:6" x14ac:dyDescent="0.25">
      <c r="A139" s="203" t="str">
        <f>"3908064"</f>
        <v>3908064</v>
      </c>
      <c r="B139" s="207" t="s">
        <v>2976</v>
      </c>
      <c r="C139" s="209">
        <v>11.26</v>
      </c>
      <c r="D139" s="203">
        <v>329463</v>
      </c>
      <c r="E139" s="205">
        <v>43997.80709490741</v>
      </c>
      <c r="F139" s="123">
        <v>7365</v>
      </c>
    </row>
    <row r="140" spans="1:6" s="164" customFormat="1" x14ac:dyDescent="0.25">
      <c r="A140" s="115"/>
      <c r="B140" s="115" t="s">
        <v>5691</v>
      </c>
      <c r="C140" s="222">
        <f>SUM(C133:C139)</f>
        <v>57.3</v>
      </c>
      <c r="D140" s="115">
        <v>11</v>
      </c>
      <c r="E140" s="163"/>
      <c r="F140" s="115"/>
    </row>
    <row r="141" spans="1:6" customFormat="1" x14ac:dyDescent="0.25">
      <c r="A141" s="118"/>
      <c r="B141" s="116"/>
      <c r="C141" s="223"/>
      <c r="D141" s="118"/>
      <c r="E141" s="117"/>
      <c r="F141" s="118"/>
    </row>
    <row r="142" spans="1:6" x14ac:dyDescent="0.25">
      <c r="A142" s="203" t="str">
        <f>"3902951"</f>
        <v>3902951</v>
      </c>
      <c r="B142" s="207" t="s">
        <v>2904</v>
      </c>
      <c r="C142" s="209">
        <v>5.15</v>
      </c>
      <c r="D142" s="203">
        <v>330794</v>
      </c>
      <c r="E142" s="205">
        <v>43998.435856481483</v>
      </c>
      <c r="F142" s="123">
        <v>7385</v>
      </c>
    </row>
    <row r="143" spans="1:6" x14ac:dyDescent="0.25">
      <c r="A143" s="203" t="str">
        <f>"3901913"</f>
        <v>3901913</v>
      </c>
      <c r="B143" s="207" t="s">
        <v>2904</v>
      </c>
      <c r="C143" s="209">
        <v>9.17</v>
      </c>
      <c r="D143" s="203">
        <v>330785</v>
      </c>
      <c r="E143" s="205">
        <v>43998.436435185184</v>
      </c>
      <c r="F143" s="123">
        <v>7386</v>
      </c>
    </row>
    <row r="144" spans="1:6" x14ac:dyDescent="0.25">
      <c r="A144" s="203" t="str">
        <f>"3907666"</f>
        <v>3907666</v>
      </c>
      <c r="B144" s="207" t="s">
        <v>5864</v>
      </c>
      <c r="C144" s="209">
        <v>6.09</v>
      </c>
      <c r="D144" s="203">
        <v>328697</v>
      </c>
      <c r="E144" s="205">
        <v>43998.521967592591</v>
      </c>
      <c r="F144" s="123">
        <v>7387</v>
      </c>
    </row>
    <row r="145" spans="1:6" x14ac:dyDescent="0.25">
      <c r="A145" s="203" t="str">
        <f>"3960313"</f>
        <v>3960313</v>
      </c>
      <c r="B145" s="207" t="s">
        <v>2944</v>
      </c>
      <c r="C145" s="209">
        <v>15.64</v>
      </c>
      <c r="D145" s="203">
        <v>328308</v>
      </c>
      <c r="E145" s="205">
        <v>43998.660381944443</v>
      </c>
      <c r="F145" s="123">
        <v>7388</v>
      </c>
    </row>
    <row r="146" spans="1:6" s="164" customFormat="1" x14ac:dyDescent="0.25">
      <c r="A146" s="115"/>
      <c r="B146" s="115" t="s">
        <v>5691</v>
      </c>
      <c r="C146" s="222">
        <f>SUM(C142:C145)</f>
        <v>36.049999999999997</v>
      </c>
      <c r="D146" s="115">
        <v>12</v>
      </c>
      <c r="E146" s="163"/>
      <c r="F146" s="115"/>
    </row>
    <row r="147" spans="1:6" customFormat="1" x14ac:dyDescent="0.25">
      <c r="A147" s="118"/>
      <c r="B147" s="116"/>
      <c r="C147" s="223"/>
      <c r="D147" s="118"/>
      <c r="E147" s="117"/>
      <c r="F147" s="118"/>
    </row>
    <row r="148" spans="1:6" x14ac:dyDescent="0.25">
      <c r="A148" s="203" t="str">
        <f>"3900397"</f>
        <v>3900397</v>
      </c>
      <c r="B148" s="207" t="s">
        <v>2984</v>
      </c>
      <c r="C148" s="209">
        <v>3.55</v>
      </c>
      <c r="D148" s="203">
        <v>330814</v>
      </c>
      <c r="E148" s="205">
        <v>43999.600532407407</v>
      </c>
      <c r="F148" s="123">
        <v>7411</v>
      </c>
    </row>
    <row r="149" spans="1:6" x14ac:dyDescent="0.25">
      <c r="A149" s="203" t="str">
        <f>"3903592"</f>
        <v>3903592</v>
      </c>
      <c r="B149" s="207" t="s">
        <v>2984</v>
      </c>
      <c r="C149" s="209">
        <v>9.48</v>
      </c>
      <c r="D149" s="203">
        <v>329264</v>
      </c>
      <c r="E149" s="205">
        <v>43999.602233796293</v>
      </c>
      <c r="F149" s="123">
        <v>7412</v>
      </c>
    </row>
    <row r="150" spans="1:6" x14ac:dyDescent="0.25">
      <c r="A150" s="203" t="str">
        <f>"3906747"</f>
        <v>3906747</v>
      </c>
      <c r="B150" s="207" t="s">
        <v>2942</v>
      </c>
      <c r="C150" s="209">
        <v>53.95</v>
      </c>
      <c r="D150" s="203">
        <v>330680</v>
      </c>
      <c r="E150" s="205">
        <v>43999.60292824074</v>
      </c>
      <c r="F150" s="123">
        <v>7413</v>
      </c>
    </row>
    <row r="151" spans="1:6" s="164" customFormat="1" x14ac:dyDescent="0.25">
      <c r="A151" s="115"/>
      <c r="B151" s="115" t="s">
        <v>5691</v>
      </c>
      <c r="C151" s="222">
        <f>SUM(C148:C150)</f>
        <v>66.98</v>
      </c>
      <c r="D151" s="115">
        <v>13</v>
      </c>
      <c r="E151" s="163"/>
      <c r="F151" s="115"/>
    </row>
    <row r="152" spans="1:6" customFormat="1" x14ac:dyDescent="0.25">
      <c r="A152" s="118"/>
      <c r="B152" s="116"/>
      <c r="C152" s="223"/>
      <c r="D152" s="118"/>
      <c r="E152" s="117"/>
      <c r="F152" s="118"/>
    </row>
    <row r="153" spans="1:6" x14ac:dyDescent="0.25">
      <c r="A153" s="203" t="str">
        <f>"3960373"</f>
        <v>3960373</v>
      </c>
      <c r="B153" s="207" t="s">
        <v>2940</v>
      </c>
      <c r="C153" s="209">
        <v>13.48</v>
      </c>
      <c r="D153" s="203">
        <v>328264</v>
      </c>
      <c r="E153" s="205">
        <v>44000.440798611111</v>
      </c>
      <c r="F153" s="123">
        <v>7449</v>
      </c>
    </row>
    <row r="154" spans="1:6" x14ac:dyDescent="0.25">
      <c r="A154" s="203" t="str">
        <f>"3960243"</f>
        <v>3960243</v>
      </c>
      <c r="B154" s="207" t="s">
        <v>5863</v>
      </c>
      <c r="C154" s="209">
        <v>25.14</v>
      </c>
      <c r="D154" s="203">
        <v>328202</v>
      </c>
      <c r="E154" s="205">
        <v>44000.633032407408</v>
      </c>
      <c r="F154" s="123">
        <v>7450</v>
      </c>
    </row>
    <row r="155" spans="1:6" s="164" customFormat="1" x14ac:dyDescent="0.25">
      <c r="A155" s="115"/>
      <c r="B155" s="115" t="s">
        <v>5691</v>
      </c>
      <c r="C155" s="222">
        <f>SUM(C153:C154)</f>
        <v>38.620000000000005</v>
      </c>
      <c r="D155" s="115">
        <v>14</v>
      </c>
      <c r="E155" s="163"/>
      <c r="F155" s="115"/>
    </row>
    <row r="156" spans="1:6" customFormat="1" x14ac:dyDescent="0.25">
      <c r="A156" s="118"/>
      <c r="B156" s="116"/>
      <c r="C156" s="223"/>
      <c r="D156" s="118"/>
      <c r="E156" s="117"/>
      <c r="F156" s="118"/>
    </row>
    <row r="157" spans="1:6" x14ac:dyDescent="0.25">
      <c r="A157" s="203" t="str">
        <f>"3903204"</f>
        <v>3903204</v>
      </c>
      <c r="B157" s="207" t="s">
        <v>5787</v>
      </c>
      <c r="C157" s="209">
        <v>6.13</v>
      </c>
      <c r="D157" s="203">
        <v>328652</v>
      </c>
      <c r="E157" s="205">
        <v>44001.329317129632</v>
      </c>
      <c r="F157" s="123">
        <v>7481</v>
      </c>
    </row>
    <row r="158" spans="1:6" x14ac:dyDescent="0.25">
      <c r="A158" s="203" t="str">
        <f>"3930231"</f>
        <v>3930231</v>
      </c>
      <c r="B158" s="207" t="s">
        <v>5741</v>
      </c>
      <c r="C158" s="209">
        <v>7.87</v>
      </c>
      <c r="D158" s="203">
        <v>329031</v>
      </c>
      <c r="E158" s="205">
        <v>44001.469398148147</v>
      </c>
      <c r="F158" s="123">
        <v>7482</v>
      </c>
    </row>
    <row r="159" spans="1:6" x14ac:dyDescent="0.25">
      <c r="A159" s="203" t="str">
        <f>"3903105"</f>
        <v>3903105</v>
      </c>
      <c r="B159" s="207" t="s">
        <v>2903</v>
      </c>
      <c r="C159" s="209">
        <v>3.88</v>
      </c>
      <c r="D159" s="203">
        <v>330778</v>
      </c>
      <c r="E159" s="205">
        <v>44001.788113425922</v>
      </c>
      <c r="F159" s="123">
        <v>7483</v>
      </c>
    </row>
    <row r="160" spans="1:6" s="164" customFormat="1" x14ac:dyDescent="0.25">
      <c r="A160" s="115"/>
      <c r="B160" s="115" t="s">
        <v>5691</v>
      </c>
      <c r="C160" s="222">
        <f>SUM(C157:C159)</f>
        <v>17.88</v>
      </c>
      <c r="D160" s="115">
        <v>15</v>
      </c>
      <c r="E160" s="163"/>
      <c r="F160" s="115"/>
    </row>
    <row r="161" spans="1:6" customFormat="1" x14ac:dyDescent="0.25">
      <c r="A161" s="118"/>
      <c r="B161" s="116"/>
      <c r="C161" s="223"/>
      <c r="D161" s="118"/>
      <c r="E161" s="117"/>
      <c r="F161" s="118"/>
    </row>
    <row r="162" spans="1:6" x14ac:dyDescent="0.25">
      <c r="A162" s="203" t="str">
        <f>"3903952"</f>
        <v>3903952</v>
      </c>
      <c r="B162" s="207" t="s">
        <v>2963</v>
      </c>
      <c r="C162" s="209">
        <v>25.53</v>
      </c>
      <c r="D162" s="203">
        <v>332946</v>
      </c>
      <c r="E162" s="205">
        <v>44004.663831018515</v>
      </c>
      <c r="F162" s="123">
        <v>7500</v>
      </c>
    </row>
    <row r="163" spans="1:6" x14ac:dyDescent="0.25">
      <c r="A163" s="203" t="str">
        <f>"3903121"</f>
        <v>3903121</v>
      </c>
      <c r="B163" s="207" t="s">
        <v>2794</v>
      </c>
      <c r="C163" s="209">
        <v>4.17</v>
      </c>
      <c r="D163" s="203">
        <v>331374</v>
      </c>
      <c r="E163" s="205">
        <v>44004.695648148147</v>
      </c>
      <c r="F163" s="123">
        <v>7501</v>
      </c>
    </row>
    <row r="164" spans="1:6" x14ac:dyDescent="0.25">
      <c r="A164" s="203" t="str">
        <f>"3909013"</f>
        <v>3909013</v>
      </c>
      <c r="B164" s="207" t="s">
        <v>2938</v>
      </c>
      <c r="C164" s="209">
        <v>10.48</v>
      </c>
      <c r="D164" s="203">
        <v>331852</v>
      </c>
      <c r="E164" s="205">
        <v>44004.714629629627</v>
      </c>
      <c r="F164" s="123">
        <v>7502</v>
      </c>
    </row>
    <row r="165" spans="1:6" x14ac:dyDescent="0.25">
      <c r="A165" s="203" t="str">
        <f>"3909033"</f>
        <v>3909033</v>
      </c>
      <c r="B165" s="207" t="s">
        <v>2812</v>
      </c>
      <c r="C165" s="209">
        <v>3.36</v>
      </c>
      <c r="D165" s="203">
        <v>332187</v>
      </c>
      <c r="E165" s="205">
        <v>44004.733460648145</v>
      </c>
      <c r="F165" s="123">
        <v>7503</v>
      </c>
    </row>
    <row r="166" spans="1:6" x14ac:dyDescent="0.25">
      <c r="A166" s="203" t="str">
        <f>"3945208"</f>
        <v>3945208</v>
      </c>
      <c r="B166" s="207" t="s">
        <v>5813</v>
      </c>
      <c r="C166" s="209">
        <v>8.3800000000000008</v>
      </c>
      <c r="D166" s="203">
        <v>331177</v>
      </c>
      <c r="E166" s="205">
        <v>44004.831921296296</v>
      </c>
      <c r="F166" s="123">
        <v>7504</v>
      </c>
    </row>
    <row r="167" spans="1:6" x14ac:dyDescent="0.25">
      <c r="A167" s="203" t="str">
        <f>"3960274"</f>
        <v>3960274</v>
      </c>
      <c r="B167" s="207" t="s">
        <v>2798</v>
      </c>
      <c r="C167" s="209">
        <v>14.1</v>
      </c>
      <c r="D167" s="203">
        <v>330972</v>
      </c>
      <c r="E167" s="205">
        <v>44004.866111111114</v>
      </c>
      <c r="F167" s="123">
        <v>7505</v>
      </c>
    </row>
    <row r="168" spans="1:6" s="164" customFormat="1" x14ac:dyDescent="0.25">
      <c r="A168" s="115"/>
      <c r="B168" s="115" t="s">
        <v>5691</v>
      </c>
      <c r="C168" s="222">
        <f>SUM(C162:C167)</f>
        <v>66.02000000000001</v>
      </c>
      <c r="D168" s="115">
        <v>16</v>
      </c>
      <c r="E168" s="163"/>
      <c r="F168" s="115"/>
    </row>
    <row r="169" spans="1:6" customFormat="1" x14ac:dyDescent="0.25">
      <c r="A169" s="118"/>
      <c r="B169" s="116"/>
      <c r="C169" s="223"/>
      <c r="D169" s="118"/>
      <c r="E169" s="117"/>
      <c r="F169" s="118"/>
    </row>
    <row r="170" spans="1:6" x14ac:dyDescent="0.25">
      <c r="A170" s="203" t="str">
        <f>"3960319"</f>
        <v>3960319</v>
      </c>
      <c r="B170" s="207" t="s">
        <v>5798</v>
      </c>
      <c r="C170" s="209">
        <v>35.81</v>
      </c>
      <c r="D170" s="203">
        <v>331134</v>
      </c>
      <c r="E170" s="205">
        <v>44005.484317129631</v>
      </c>
      <c r="F170" s="123">
        <v>7551</v>
      </c>
    </row>
    <row r="171" spans="1:6" x14ac:dyDescent="0.25">
      <c r="A171" s="203" t="str">
        <f>"3901426"</f>
        <v>3901426</v>
      </c>
      <c r="B171" s="207" t="s">
        <v>2891</v>
      </c>
      <c r="C171" s="209">
        <v>10.59</v>
      </c>
      <c r="D171" s="203">
        <v>332783</v>
      </c>
      <c r="E171" s="205">
        <v>44005.530046296299</v>
      </c>
      <c r="F171" s="123">
        <v>7552</v>
      </c>
    </row>
    <row r="172" spans="1:6" x14ac:dyDescent="0.25">
      <c r="A172" s="203" t="str">
        <f>"3907238"</f>
        <v>3907238</v>
      </c>
      <c r="B172" s="207" t="s">
        <v>5823</v>
      </c>
      <c r="C172" s="209">
        <v>6.94</v>
      </c>
      <c r="D172" s="203">
        <v>331298</v>
      </c>
      <c r="E172" s="205">
        <v>44005.636944444443</v>
      </c>
      <c r="F172" s="123">
        <v>7553</v>
      </c>
    </row>
    <row r="173" spans="1:6" x14ac:dyDescent="0.25">
      <c r="A173" s="203" t="str">
        <f>"3907377"</f>
        <v>3907377</v>
      </c>
      <c r="B173" s="207" t="s">
        <v>5801</v>
      </c>
      <c r="C173" s="209">
        <v>12.23</v>
      </c>
      <c r="D173" s="203">
        <v>333057</v>
      </c>
      <c r="E173" s="205">
        <v>44005.674409722225</v>
      </c>
      <c r="F173" s="123">
        <v>7554</v>
      </c>
    </row>
    <row r="174" spans="1:6" s="164" customFormat="1" x14ac:dyDescent="0.25">
      <c r="A174" s="115"/>
      <c r="B174" s="115" t="s">
        <v>5691</v>
      </c>
      <c r="C174" s="222">
        <f>SUM(C170:C173)</f>
        <v>65.570000000000007</v>
      </c>
      <c r="D174" s="115">
        <v>17</v>
      </c>
      <c r="E174" s="163"/>
      <c r="F174" s="115"/>
    </row>
    <row r="175" spans="1:6" customFormat="1" x14ac:dyDescent="0.25">
      <c r="A175" s="118"/>
      <c r="B175" s="116"/>
      <c r="C175" s="223"/>
      <c r="D175" s="118"/>
      <c r="E175" s="117"/>
      <c r="F175" s="118"/>
    </row>
    <row r="176" spans="1:6" x14ac:dyDescent="0.25">
      <c r="A176" s="203" t="str">
        <f>"3908129"</f>
        <v>3908129</v>
      </c>
      <c r="B176" s="207" t="s">
        <v>5809</v>
      </c>
      <c r="C176" s="209">
        <v>1.68</v>
      </c>
      <c r="D176" s="203">
        <v>333198</v>
      </c>
      <c r="E176" s="205">
        <v>44006.270011574074</v>
      </c>
      <c r="F176" s="123">
        <v>7594</v>
      </c>
    </row>
    <row r="177" spans="1:6" x14ac:dyDescent="0.25">
      <c r="A177" s="203" t="str">
        <f>"3903866"</f>
        <v>3903866</v>
      </c>
      <c r="B177" s="207" t="s">
        <v>5792</v>
      </c>
      <c r="C177" s="209">
        <v>4.6900000000000004</v>
      </c>
      <c r="D177" s="203">
        <v>332921</v>
      </c>
      <c r="E177" s="205">
        <v>44006.364374999997</v>
      </c>
      <c r="F177" s="123">
        <v>7595</v>
      </c>
    </row>
    <row r="178" spans="1:6" x14ac:dyDescent="0.25">
      <c r="A178" s="203" t="str">
        <f>"3960284"</f>
        <v>3960284</v>
      </c>
      <c r="B178" s="207" t="s">
        <v>2879</v>
      </c>
      <c r="C178" s="209">
        <v>8.3800000000000008</v>
      </c>
      <c r="D178" s="203">
        <v>331031</v>
      </c>
      <c r="E178" s="205">
        <v>44006.430277777778</v>
      </c>
      <c r="F178" s="123">
        <v>7596</v>
      </c>
    </row>
    <row r="179" spans="1:6" x14ac:dyDescent="0.25">
      <c r="A179" s="203" t="str">
        <f>"3960369"</f>
        <v>3960369</v>
      </c>
      <c r="B179" s="207" t="s">
        <v>2937</v>
      </c>
      <c r="C179" s="209">
        <v>25.69</v>
      </c>
      <c r="D179" s="203">
        <v>331071</v>
      </c>
      <c r="E179" s="205">
        <v>44006.470138888886</v>
      </c>
      <c r="F179" s="123">
        <v>7597</v>
      </c>
    </row>
    <row r="180" spans="1:6" x14ac:dyDescent="0.25">
      <c r="A180" s="203" t="str">
        <f>"3907156"</f>
        <v>3907156</v>
      </c>
      <c r="B180" s="207" t="s">
        <v>5862</v>
      </c>
      <c r="C180" s="209">
        <v>17.239999999999998</v>
      </c>
      <c r="D180" s="203">
        <v>331274</v>
      </c>
      <c r="E180" s="205">
        <v>44006.497465277775</v>
      </c>
      <c r="F180" s="123">
        <v>7598</v>
      </c>
    </row>
    <row r="181" spans="1:6" x14ac:dyDescent="0.25">
      <c r="A181" s="203" t="str">
        <f>"3920083"</f>
        <v>3920083</v>
      </c>
      <c r="B181" s="207" t="s">
        <v>2954</v>
      </c>
      <c r="C181" s="209">
        <v>5.25</v>
      </c>
      <c r="D181" s="203">
        <v>330999</v>
      </c>
      <c r="E181" s="205">
        <v>44006.498171296298</v>
      </c>
      <c r="F181" s="123">
        <v>7599</v>
      </c>
    </row>
    <row r="182" spans="1:6" x14ac:dyDescent="0.25">
      <c r="A182" s="203" t="str">
        <f>"23923267"</f>
        <v>23923267</v>
      </c>
      <c r="B182" s="207" t="s">
        <v>5825</v>
      </c>
      <c r="C182" s="209">
        <v>8.2100000000000009</v>
      </c>
      <c r="D182" s="203">
        <v>2100</v>
      </c>
      <c r="E182" s="205">
        <v>44006.553078703706</v>
      </c>
      <c r="F182" s="123">
        <v>7600</v>
      </c>
    </row>
    <row r="183" spans="1:6" x14ac:dyDescent="0.25">
      <c r="A183" s="203" t="str">
        <f>"3907152"</f>
        <v>3907152</v>
      </c>
      <c r="B183" s="207" t="s">
        <v>5703</v>
      </c>
      <c r="C183" s="209">
        <v>13.88</v>
      </c>
      <c r="D183" s="203">
        <v>331271</v>
      </c>
      <c r="E183" s="205">
        <v>44006.565578703703</v>
      </c>
      <c r="F183" s="123">
        <v>7601</v>
      </c>
    </row>
    <row r="184" spans="1:6" x14ac:dyDescent="0.25">
      <c r="A184" s="203" t="str">
        <f>"3945504"</f>
        <v>3945504</v>
      </c>
      <c r="B184" s="207" t="s">
        <v>5831</v>
      </c>
      <c r="C184" s="209">
        <v>4.1900000000000004</v>
      </c>
      <c r="D184" s="203">
        <v>331110</v>
      </c>
      <c r="E184" s="205">
        <v>44006.626712962963</v>
      </c>
      <c r="F184" s="123">
        <v>7602</v>
      </c>
    </row>
    <row r="185" spans="1:6" x14ac:dyDescent="0.25">
      <c r="A185" s="203" t="str">
        <f>"3920094"</f>
        <v>3920094</v>
      </c>
      <c r="B185" s="207" t="s">
        <v>5793</v>
      </c>
      <c r="C185" s="209">
        <v>35.799999999999997</v>
      </c>
      <c r="D185" s="203">
        <v>330991</v>
      </c>
      <c r="E185" s="205">
        <v>44006.663668981484</v>
      </c>
      <c r="F185" s="123">
        <v>7603</v>
      </c>
    </row>
    <row r="186" spans="1:6" x14ac:dyDescent="0.25">
      <c r="A186" s="203" t="str">
        <f>"3960252"</f>
        <v>3960252</v>
      </c>
      <c r="B186" s="207" t="s">
        <v>5816</v>
      </c>
      <c r="C186" s="209">
        <v>8.3800000000000008</v>
      </c>
      <c r="D186" s="203">
        <v>331043</v>
      </c>
      <c r="E186" s="205">
        <v>44006.766828703701</v>
      </c>
      <c r="F186" s="123">
        <v>7604</v>
      </c>
    </row>
    <row r="187" spans="1:6" s="164" customFormat="1" x14ac:dyDescent="0.25">
      <c r="A187" s="115"/>
      <c r="B187" s="115" t="s">
        <v>5691</v>
      </c>
      <c r="C187" s="222">
        <f>SUM(C176:C186)</f>
        <v>133.38999999999999</v>
      </c>
      <c r="D187" s="115">
        <v>18</v>
      </c>
      <c r="E187" s="163"/>
      <c r="F187" s="115"/>
    </row>
    <row r="188" spans="1:6" customFormat="1" x14ac:dyDescent="0.25">
      <c r="A188" s="118"/>
      <c r="B188" s="116"/>
      <c r="C188" s="223"/>
      <c r="D188" s="118"/>
      <c r="E188" s="117"/>
      <c r="F188" s="118"/>
    </row>
    <row r="189" spans="1:6" x14ac:dyDescent="0.25">
      <c r="A189" s="203" t="str">
        <f>"3900321"</f>
        <v>3900321</v>
      </c>
      <c r="B189" s="207" t="s">
        <v>5778</v>
      </c>
      <c r="C189" s="209">
        <v>36.18</v>
      </c>
      <c r="D189" s="203">
        <v>332508</v>
      </c>
      <c r="E189" s="205">
        <v>44007.374756944446</v>
      </c>
      <c r="F189" s="123">
        <v>7641</v>
      </c>
    </row>
    <row r="190" spans="1:6" x14ac:dyDescent="0.25">
      <c r="A190" s="203" t="str">
        <f>"3907615"</f>
        <v>3907615</v>
      </c>
      <c r="B190" s="207" t="s">
        <v>2781</v>
      </c>
      <c r="C190" s="209">
        <v>8.16</v>
      </c>
      <c r="D190" s="203">
        <v>331515</v>
      </c>
      <c r="E190" s="205">
        <v>44007.389062499999</v>
      </c>
      <c r="F190" s="123">
        <v>7642</v>
      </c>
    </row>
    <row r="191" spans="1:6" x14ac:dyDescent="0.25">
      <c r="A191" s="203" t="str">
        <f>"3907489"</f>
        <v>3907489</v>
      </c>
      <c r="B191" s="207" t="s">
        <v>5749</v>
      </c>
      <c r="C191" s="209">
        <v>15.02</v>
      </c>
      <c r="D191" s="203">
        <v>331331</v>
      </c>
      <c r="E191" s="205">
        <v>44007.399444444447</v>
      </c>
      <c r="F191" s="123">
        <v>7643</v>
      </c>
    </row>
    <row r="192" spans="1:6" x14ac:dyDescent="0.25">
      <c r="A192" s="203" t="str">
        <f>"3930021"</f>
        <v>3930021</v>
      </c>
      <c r="B192" s="207" t="s">
        <v>5861</v>
      </c>
      <c r="C192" s="209">
        <v>1.68</v>
      </c>
      <c r="D192" s="203">
        <v>331647</v>
      </c>
      <c r="E192" s="205">
        <v>44007.446967592594</v>
      </c>
      <c r="F192" s="123">
        <v>7644</v>
      </c>
    </row>
    <row r="193" spans="1:6" x14ac:dyDescent="0.25">
      <c r="A193" s="203" t="str">
        <f>"3901267"</f>
        <v>3901267</v>
      </c>
      <c r="B193" s="207" t="s">
        <v>2807</v>
      </c>
      <c r="C193" s="209">
        <v>8.56</v>
      </c>
      <c r="D193" s="203">
        <v>332674</v>
      </c>
      <c r="E193" s="205">
        <v>44007.447337962964</v>
      </c>
      <c r="F193" s="123">
        <v>7645</v>
      </c>
    </row>
    <row r="194" spans="1:6" x14ac:dyDescent="0.25">
      <c r="A194" s="203" t="str">
        <f>"23923021"</f>
        <v>23923021</v>
      </c>
      <c r="B194" s="207" t="s">
        <v>2886</v>
      </c>
      <c r="C194" s="209">
        <v>14.49</v>
      </c>
      <c r="D194" s="203">
        <v>1968</v>
      </c>
      <c r="E194" s="205">
        <v>44007.510312500002</v>
      </c>
      <c r="F194" s="123">
        <v>7646</v>
      </c>
    </row>
    <row r="195" spans="1:6" x14ac:dyDescent="0.25">
      <c r="A195" s="203" t="str">
        <f>"3906750"</f>
        <v>3906750</v>
      </c>
      <c r="B195" s="207" t="s">
        <v>2911</v>
      </c>
      <c r="C195" s="209">
        <v>4.84</v>
      </c>
      <c r="D195" s="203">
        <v>331961</v>
      </c>
      <c r="E195" s="205">
        <v>44007.562754629631</v>
      </c>
      <c r="F195" s="123">
        <v>7647</v>
      </c>
    </row>
    <row r="196" spans="1:6" x14ac:dyDescent="0.25">
      <c r="A196" s="203" t="str">
        <f>"3903545"</f>
        <v>3903545</v>
      </c>
      <c r="B196" s="207" t="s">
        <v>2877</v>
      </c>
      <c r="C196" s="209">
        <v>4.72</v>
      </c>
      <c r="D196" s="203">
        <v>331939</v>
      </c>
      <c r="E196" s="205">
        <v>44007.575104166666</v>
      </c>
      <c r="F196" s="123">
        <v>7648</v>
      </c>
    </row>
    <row r="197" spans="1:6" s="164" customFormat="1" x14ac:dyDescent="0.25">
      <c r="A197" s="115"/>
      <c r="B197" s="115" t="s">
        <v>5691</v>
      </c>
      <c r="C197" s="222">
        <f>SUM(C189:C196)</f>
        <v>93.649999999999991</v>
      </c>
      <c r="D197" s="115">
        <v>19</v>
      </c>
      <c r="E197" s="163"/>
      <c r="F197" s="115"/>
    </row>
    <row r="198" spans="1:6" customFormat="1" x14ac:dyDescent="0.25">
      <c r="A198" s="118"/>
      <c r="B198" s="116"/>
      <c r="C198" s="223"/>
      <c r="D198" s="118"/>
      <c r="E198" s="117"/>
      <c r="F198" s="118"/>
    </row>
    <row r="199" spans="1:6" x14ac:dyDescent="0.25">
      <c r="A199" s="203" t="s">
        <v>5860</v>
      </c>
      <c r="B199" s="207" t="s">
        <v>5700</v>
      </c>
      <c r="C199" s="209">
        <v>3.98</v>
      </c>
      <c r="D199" s="203">
        <v>331884</v>
      </c>
      <c r="E199" s="205">
        <v>44008.39880787037</v>
      </c>
      <c r="F199" s="123">
        <v>7698</v>
      </c>
    </row>
    <row r="200" spans="1:6" x14ac:dyDescent="0.25">
      <c r="A200" s="203" t="s">
        <v>5859</v>
      </c>
      <c r="B200" s="207" t="s">
        <v>2894</v>
      </c>
      <c r="C200" s="209">
        <v>12.3</v>
      </c>
      <c r="D200" s="203">
        <v>330992</v>
      </c>
      <c r="E200" s="205">
        <v>44008.503865740742</v>
      </c>
      <c r="F200" s="123">
        <v>7699</v>
      </c>
    </row>
    <row r="201" spans="1:6" x14ac:dyDescent="0.25">
      <c r="A201" s="203" t="s">
        <v>5858</v>
      </c>
      <c r="B201" s="207" t="s">
        <v>2802</v>
      </c>
      <c r="C201" s="209">
        <v>1.77</v>
      </c>
      <c r="D201" s="203">
        <v>331923</v>
      </c>
      <c r="E201" s="205">
        <v>44008.557060185187</v>
      </c>
      <c r="F201" s="123">
        <v>7700</v>
      </c>
    </row>
    <row r="202" spans="1:6" x14ac:dyDescent="0.25">
      <c r="A202" s="203" t="s">
        <v>5857</v>
      </c>
      <c r="B202" s="207" t="s">
        <v>2878</v>
      </c>
      <c r="C202" s="209">
        <v>7.22</v>
      </c>
      <c r="D202" s="203">
        <v>332386</v>
      </c>
      <c r="E202" s="205">
        <v>44008.658483796295</v>
      </c>
      <c r="F202" s="123">
        <v>7701</v>
      </c>
    </row>
    <row r="203" spans="1:6" x14ac:dyDescent="0.25">
      <c r="A203" s="203" t="s">
        <v>5856</v>
      </c>
      <c r="B203" s="207" t="s">
        <v>5854</v>
      </c>
      <c r="C203" s="209">
        <v>11.9</v>
      </c>
      <c r="D203" s="203">
        <v>332445</v>
      </c>
      <c r="E203" s="205">
        <v>44008.756215277775</v>
      </c>
      <c r="F203" s="123">
        <v>7702</v>
      </c>
    </row>
    <row r="204" spans="1:6" x14ac:dyDescent="0.25">
      <c r="A204" s="203" t="s">
        <v>5855</v>
      </c>
      <c r="B204" s="207" t="s">
        <v>5854</v>
      </c>
      <c r="C204" s="209">
        <v>10.08</v>
      </c>
      <c r="D204" s="203">
        <v>332447</v>
      </c>
      <c r="E204" s="205">
        <v>44008.759548611109</v>
      </c>
      <c r="F204" s="123">
        <v>7703</v>
      </c>
    </row>
    <row r="205" spans="1:6" s="164" customFormat="1" x14ac:dyDescent="0.25">
      <c r="A205" s="115"/>
      <c r="B205" s="115" t="s">
        <v>5691</v>
      </c>
      <c r="C205" s="222">
        <f>SUM(C199:C204)</f>
        <v>47.25</v>
      </c>
      <c r="D205" s="115">
        <v>20</v>
      </c>
      <c r="E205" s="163"/>
      <c r="F205" s="115"/>
    </row>
    <row r="206" spans="1:6" customFormat="1" x14ac:dyDescent="0.25">
      <c r="A206" s="118"/>
      <c r="B206" s="116"/>
      <c r="C206" s="223"/>
      <c r="D206" s="118"/>
      <c r="E206" s="117"/>
      <c r="F206" s="118"/>
    </row>
    <row r="207" spans="1:6" x14ac:dyDescent="0.25">
      <c r="A207" s="203" t="str">
        <f>"3930394"</f>
        <v>3930394</v>
      </c>
      <c r="B207" s="207" t="s">
        <v>2813</v>
      </c>
      <c r="C207" s="209">
        <v>2.21</v>
      </c>
      <c r="D207" s="203">
        <v>332241</v>
      </c>
      <c r="E207" s="205">
        <v>44011.352002314816</v>
      </c>
      <c r="F207" s="123">
        <v>7777</v>
      </c>
    </row>
    <row r="208" spans="1:6" x14ac:dyDescent="0.25">
      <c r="A208" s="203" t="str">
        <f>"3930391"</f>
        <v>3930391</v>
      </c>
      <c r="B208" s="207" t="s">
        <v>5771</v>
      </c>
      <c r="C208" s="209">
        <v>6.7</v>
      </c>
      <c r="D208" s="203">
        <v>332230</v>
      </c>
      <c r="E208" s="205">
        <v>44011.424004629633</v>
      </c>
      <c r="F208" s="123">
        <v>7778</v>
      </c>
    </row>
    <row r="209" spans="1:6" x14ac:dyDescent="0.25">
      <c r="A209" s="203" t="str">
        <f>"3909239"</f>
        <v>3909239</v>
      </c>
      <c r="B209" s="207" t="s">
        <v>5732</v>
      </c>
      <c r="C209" s="209">
        <v>1.68</v>
      </c>
      <c r="D209" s="203">
        <v>332353</v>
      </c>
      <c r="E209" s="205">
        <v>44011.822395833333</v>
      </c>
      <c r="F209" s="123">
        <v>7779</v>
      </c>
    </row>
    <row r="210" spans="1:6" x14ac:dyDescent="0.25">
      <c r="A210" s="203" t="str">
        <f>"0"</f>
        <v>0</v>
      </c>
      <c r="B210" s="207" t="s">
        <v>5853</v>
      </c>
      <c r="C210" s="209">
        <v>3.36</v>
      </c>
      <c r="D210" s="203">
        <v>1366</v>
      </c>
      <c r="E210" s="205">
        <v>44011.353506944448</v>
      </c>
      <c r="F210" s="123">
        <v>7784</v>
      </c>
    </row>
    <row r="211" spans="1:6" x14ac:dyDescent="0.25">
      <c r="A211" s="203" t="str">
        <f>"3901461"</f>
        <v>3901461</v>
      </c>
      <c r="B211" s="207" t="s">
        <v>2931</v>
      </c>
      <c r="C211" s="209">
        <v>15.3</v>
      </c>
      <c r="D211" s="203">
        <v>330465</v>
      </c>
      <c r="E211" s="205">
        <v>44011.767546296294</v>
      </c>
      <c r="F211" s="123">
        <v>7780</v>
      </c>
    </row>
    <row r="212" spans="1:6" x14ac:dyDescent="0.25">
      <c r="A212" s="203" t="str">
        <f>"3908182"</f>
        <v>3908182</v>
      </c>
      <c r="B212" s="207" t="s">
        <v>5820</v>
      </c>
      <c r="C212" s="209">
        <v>0.78</v>
      </c>
      <c r="D212" s="203">
        <v>333237</v>
      </c>
      <c r="E212" s="205">
        <v>44011.846909722219</v>
      </c>
      <c r="F212" s="123">
        <v>7781</v>
      </c>
    </row>
    <row r="213" spans="1:6" x14ac:dyDescent="0.25">
      <c r="A213" s="203" t="str">
        <f>"3908224"</f>
        <v>3908224</v>
      </c>
      <c r="B213" s="207" t="s">
        <v>5805</v>
      </c>
      <c r="C213" s="209">
        <v>1.38</v>
      </c>
      <c r="D213" s="203">
        <v>333256</v>
      </c>
      <c r="E213" s="205">
        <v>44011.591192129628</v>
      </c>
      <c r="F213" s="123">
        <v>7782</v>
      </c>
    </row>
    <row r="214" spans="1:6" x14ac:dyDescent="0.25">
      <c r="A214" s="203" t="str">
        <f>"3960265"</f>
        <v>3960265</v>
      </c>
      <c r="B214" s="207" t="s">
        <v>2999</v>
      </c>
      <c r="C214" s="209">
        <v>19.170000000000002</v>
      </c>
      <c r="D214" s="203">
        <v>330967</v>
      </c>
      <c r="E214" s="205">
        <v>44011.693969907406</v>
      </c>
      <c r="F214" s="123">
        <v>7783</v>
      </c>
    </row>
    <row r="215" spans="1:6" s="164" customFormat="1" x14ac:dyDescent="0.25">
      <c r="A215" s="115"/>
      <c r="B215" s="115" t="s">
        <v>5691</v>
      </c>
      <c r="C215" s="222">
        <f>SUM(C207:C214)</f>
        <v>50.58</v>
      </c>
      <c r="D215" s="115">
        <v>21</v>
      </c>
      <c r="E215" s="163"/>
      <c r="F215" s="115"/>
    </row>
    <row r="216" spans="1:6" customFormat="1" x14ac:dyDescent="0.25">
      <c r="A216" s="118"/>
      <c r="B216" s="116"/>
      <c r="C216" s="223"/>
      <c r="D216" s="118"/>
      <c r="E216" s="117"/>
      <c r="F216" s="118"/>
    </row>
    <row r="217" spans="1:6" x14ac:dyDescent="0.25">
      <c r="A217" s="203" t="str">
        <f>"3930044"</f>
        <v>3930044</v>
      </c>
      <c r="B217" s="207" t="s">
        <v>5840</v>
      </c>
      <c r="C217" s="209">
        <v>0.95</v>
      </c>
      <c r="D217" s="203">
        <v>332250</v>
      </c>
      <c r="E217" s="205">
        <v>44012.470381944448</v>
      </c>
      <c r="F217" s="123">
        <v>7856</v>
      </c>
    </row>
    <row r="218" spans="1:6" x14ac:dyDescent="0.25">
      <c r="A218" s="203" t="str">
        <f>"3930367"</f>
        <v>3930367</v>
      </c>
      <c r="B218" s="207" t="s">
        <v>5852</v>
      </c>
      <c r="C218" s="209">
        <v>6.14</v>
      </c>
      <c r="D218" s="203">
        <v>332217</v>
      </c>
      <c r="E218" s="205">
        <v>44012.537916666668</v>
      </c>
      <c r="F218" s="123">
        <v>7857</v>
      </c>
    </row>
    <row r="219" spans="1:6" x14ac:dyDescent="0.25">
      <c r="A219" s="203" t="str">
        <f>"3907525"</f>
        <v>3907525</v>
      </c>
      <c r="B219" s="207" t="s">
        <v>2905</v>
      </c>
      <c r="C219" s="209">
        <v>1.94</v>
      </c>
      <c r="D219" s="203">
        <v>330566</v>
      </c>
      <c r="E219" s="205">
        <v>44012.584386574075</v>
      </c>
      <c r="F219" s="123">
        <v>7858</v>
      </c>
    </row>
    <row r="220" spans="1:6" x14ac:dyDescent="0.25">
      <c r="A220" s="203" t="str">
        <f>"3907544"</f>
        <v>3907544</v>
      </c>
      <c r="B220" s="207" t="s">
        <v>2905</v>
      </c>
      <c r="C220" s="209">
        <v>1.94</v>
      </c>
      <c r="D220" s="203">
        <v>330565</v>
      </c>
      <c r="E220" s="205">
        <v>44012.587129629632</v>
      </c>
      <c r="F220" s="123">
        <v>7859</v>
      </c>
    </row>
    <row r="221" spans="1:6" x14ac:dyDescent="0.25">
      <c r="A221" s="203" t="str">
        <f>"3909922"</f>
        <v>3909922</v>
      </c>
      <c r="B221" s="207" t="s">
        <v>5740</v>
      </c>
      <c r="C221" s="209">
        <v>4.49</v>
      </c>
      <c r="D221" s="203">
        <v>330569</v>
      </c>
      <c r="E221" s="205">
        <v>44012.59134259259</v>
      </c>
      <c r="F221" s="123">
        <v>7860</v>
      </c>
    </row>
    <row r="222" spans="1:6" x14ac:dyDescent="0.25">
      <c r="A222" s="203" t="str">
        <f>"3908939"</f>
        <v>3908939</v>
      </c>
      <c r="B222" s="207" t="s">
        <v>5851</v>
      </c>
      <c r="C222" s="209">
        <v>6.58</v>
      </c>
      <c r="D222" s="203">
        <v>330616</v>
      </c>
      <c r="E222" s="205">
        <v>44012.79478009259</v>
      </c>
      <c r="F222" s="123">
        <v>7861</v>
      </c>
    </row>
    <row r="223" spans="1:6" s="164" customFormat="1" x14ac:dyDescent="0.25">
      <c r="A223" s="115"/>
      <c r="B223" s="115" t="s">
        <v>5691</v>
      </c>
      <c r="C223" s="222">
        <f>SUM(C217:C222)</f>
        <v>22.04</v>
      </c>
      <c r="D223" s="115">
        <v>22</v>
      </c>
      <c r="E223" s="163"/>
      <c r="F223" s="115"/>
    </row>
    <row r="224" spans="1:6" customFormat="1" x14ac:dyDescent="0.25">
      <c r="A224" s="118"/>
      <c r="B224" s="116"/>
      <c r="C224" s="223"/>
      <c r="D224" s="118"/>
      <c r="E224" s="117"/>
      <c r="F224" s="118"/>
    </row>
    <row r="225" spans="1:6" x14ac:dyDescent="0.25">
      <c r="A225" s="217"/>
      <c r="B225" s="218"/>
      <c r="C225" s="221"/>
      <c r="D225" s="217"/>
      <c r="E225" s="217"/>
      <c r="F225" s="217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1" fitToHeight="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AC2F7-8D70-45BD-9150-0554DB922DB4}">
  <sheetPr>
    <pageSetUpPr fitToPage="1"/>
  </sheetPr>
  <dimension ref="A1:K405"/>
  <sheetViews>
    <sheetView topLeftCell="A169" workbookViewId="0">
      <selection activeCell="E195" sqref="E195"/>
    </sheetView>
  </sheetViews>
  <sheetFormatPr baseColWidth="10" defaultRowHeight="15.75" x14ac:dyDescent="0.25"/>
  <cols>
    <col min="1" max="1" width="10.28515625" style="137" customWidth="1"/>
    <col min="2" max="2" width="9.42578125" style="137" customWidth="1"/>
    <col min="3" max="3" width="33.7109375" style="137" customWidth="1"/>
    <col min="4" max="4" width="11.140625" style="137" customWidth="1"/>
    <col min="5" max="5" width="10.42578125" style="142" customWidth="1"/>
    <col min="6" max="6" width="17" style="137" customWidth="1"/>
    <col min="7" max="7" width="8.7109375" style="137" bestFit="1" customWidth="1"/>
    <col min="8" max="8" width="8.5703125" style="137" bestFit="1" customWidth="1"/>
  </cols>
  <sheetData>
    <row r="1" spans="1:8" ht="16.5" thickBot="1" x14ac:dyDescent="0.3">
      <c r="A1" s="380" t="s">
        <v>14423</v>
      </c>
      <c r="B1" s="381"/>
      <c r="C1" s="381"/>
      <c r="D1" s="381"/>
      <c r="E1" s="381"/>
      <c r="F1" s="381"/>
      <c r="G1" s="143"/>
      <c r="H1" s="201"/>
    </row>
    <row r="2" spans="1:8" ht="15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x14ac:dyDescent="0.25">
      <c r="A3" s="134" t="s">
        <v>11191</v>
      </c>
      <c r="B3" s="134" t="s">
        <v>11245</v>
      </c>
      <c r="C3" s="134" t="s">
        <v>11244</v>
      </c>
      <c r="D3" s="134" t="s">
        <v>4253</v>
      </c>
      <c r="E3" s="139">
        <v>9.2200000000000006</v>
      </c>
      <c r="F3" s="134" t="s">
        <v>4252</v>
      </c>
      <c r="G3" s="134" t="s">
        <v>3007</v>
      </c>
      <c r="H3" s="123">
        <v>6584</v>
      </c>
    </row>
    <row r="4" spans="1:8" x14ac:dyDescent="0.25">
      <c r="A4" s="134" t="s">
        <v>11191</v>
      </c>
      <c r="B4" s="134" t="s">
        <v>11243</v>
      </c>
      <c r="C4" s="134" t="s">
        <v>11242</v>
      </c>
      <c r="D4" s="134" t="s">
        <v>6250</v>
      </c>
      <c r="E4" s="139">
        <v>13.22</v>
      </c>
      <c r="F4" s="134" t="s">
        <v>6249</v>
      </c>
      <c r="G4" s="134" t="s">
        <v>3007</v>
      </c>
      <c r="H4" s="123">
        <v>6585</v>
      </c>
    </row>
    <row r="5" spans="1:8" x14ac:dyDescent="0.25">
      <c r="A5" s="134" t="s">
        <v>11191</v>
      </c>
      <c r="B5" s="134" t="s">
        <v>11241</v>
      </c>
      <c r="C5" s="134" t="s">
        <v>11240</v>
      </c>
      <c r="D5" s="134" t="s">
        <v>4937</v>
      </c>
      <c r="E5" s="139">
        <v>7.25</v>
      </c>
      <c r="F5" s="134" t="s">
        <v>4936</v>
      </c>
      <c r="G5" s="134" t="s">
        <v>3007</v>
      </c>
      <c r="H5" s="123">
        <v>6586</v>
      </c>
    </row>
    <row r="6" spans="1:8" x14ac:dyDescent="0.25">
      <c r="A6" s="134" t="s">
        <v>11191</v>
      </c>
      <c r="B6" s="134" t="s">
        <v>11239</v>
      </c>
      <c r="C6" s="134" t="s">
        <v>11238</v>
      </c>
      <c r="D6" s="134" t="s">
        <v>5448</v>
      </c>
      <c r="E6" s="139">
        <v>26.31</v>
      </c>
      <c r="F6" s="134" t="s">
        <v>5447</v>
      </c>
      <c r="G6" s="134" t="s">
        <v>3007</v>
      </c>
      <c r="H6" s="123">
        <v>6587</v>
      </c>
    </row>
    <row r="7" spans="1:8" x14ac:dyDescent="0.25">
      <c r="A7" s="134" t="s">
        <v>11191</v>
      </c>
      <c r="B7" s="134" t="s">
        <v>11237</v>
      </c>
      <c r="C7" s="134" t="s">
        <v>11236</v>
      </c>
      <c r="D7" s="134" t="s">
        <v>3668</v>
      </c>
      <c r="E7" s="139">
        <v>19.57</v>
      </c>
      <c r="F7" s="134" t="s">
        <v>3667</v>
      </c>
      <c r="G7" s="134" t="s">
        <v>3007</v>
      </c>
      <c r="H7" s="123">
        <v>6588</v>
      </c>
    </row>
    <row r="8" spans="1:8" x14ac:dyDescent="0.25">
      <c r="A8" s="134" t="s">
        <v>11191</v>
      </c>
      <c r="B8" s="134" t="s">
        <v>11235</v>
      </c>
      <c r="C8" s="134" t="s">
        <v>11234</v>
      </c>
      <c r="D8" s="134" t="s">
        <v>11233</v>
      </c>
      <c r="E8" s="139">
        <v>19.16</v>
      </c>
      <c r="F8" s="134" t="s">
        <v>11232</v>
      </c>
      <c r="G8" s="134" t="s">
        <v>3007</v>
      </c>
      <c r="H8" s="123">
        <v>6589</v>
      </c>
    </row>
    <row r="9" spans="1:8" x14ac:dyDescent="0.25">
      <c r="A9" s="134" t="s">
        <v>11191</v>
      </c>
      <c r="B9" s="134" t="s">
        <v>11231</v>
      </c>
      <c r="C9" s="134" t="s">
        <v>11230</v>
      </c>
      <c r="D9" s="134" t="s">
        <v>8285</v>
      </c>
      <c r="E9" s="139">
        <v>5.04</v>
      </c>
      <c r="F9" s="134" t="s">
        <v>8284</v>
      </c>
      <c r="G9" s="134" t="s">
        <v>3007</v>
      </c>
      <c r="H9" s="123">
        <v>6590</v>
      </c>
    </row>
    <row r="10" spans="1:8" x14ac:dyDescent="0.25">
      <c r="A10" s="134" t="s">
        <v>11191</v>
      </c>
      <c r="B10" s="134" t="s">
        <v>11229</v>
      </c>
      <c r="C10" s="134" t="s">
        <v>11228</v>
      </c>
      <c r="D10" s="134" t="s">
        <v>4669</v>
      </c>
      <c r="E10" s="139">
        <v>11.31</v>
      </c>
      <c r="F10" s="134" t="s">
        <v>4668</v>
      </c>
      <c r="G10" s="134" t="s">
        <v>3007</v>
      </c>
      <c r="H10" s="123">
        <v>6591</v>
      </c>
    </row>
    <row r="11" spans="1:8" x14ac:dyDescent="0.25">
      <c r="A11" s="134" t="s">
        <v>11191</v>
      </c>
      <c r="B11" s="134" t="s">
        <v>11227</v>
      </c>
      <c r="C11" s="134" t="s">
        <v>11226</v>
      </c>
      <c r="D11" s="134" t="s">
        <v>11225</v>
      </c>
      <c r="E11" s="139">
        <v>0.11</v>
      </c>
      <c r="F11" s="134" t="s">
        <v>11224</v>
      </c>
      <c r="G11" s="134" t="s">
        <v>3007</v>
      </c>
      <c r="H11" s="123">
        <v>6592</v>
      </c>
    </row>
    <row r="12" spans="1:8" x14ac:dyDescent="0.25">
      <c r="A12" s="134" t="s">
        <v>11191</v>
      </c>
      <c r="B12" s="134" t="s">
        <v>11223</v>
      </c>
      <c r="C12" s="134" t="s">
        <v>11222</v>
      </c>
      <c r="D12" s="134" t="s">
        <v>5214</v>
      </c>
      <c r="E12" s="139">
        <v>6.94</v>
      </c>
      <c r="F12" s="134" t="s">
        <v>5213</v>
      </c>
      <c r="G12" s="134" t="s">
        <v>3007</v>
      </c>
      <c r="H12" s="123">
        <v>6593</v>
      </c>
    </row>
    <row r="13" spans="1:8" x14ac:dyDescent="0.25">
      <c r="A13" s="134" t="s">
        <v>11191</v>
      </c>
      <c r="B13" s="134" t="s">
        <v>11221</v>
      </c>
      <c r="C13" s="134" t="s">
        <v>11220</v>
      </c>
      <c r="D13" s="134" t="s">
        <v>11219</v>
      </c>
      <c r="E13" s="139">
        <v>13.3</v>
      </c>
      <c r="F13" s="134" t="s">
        <v>11218</v>
      </c>
      <c r="G13" s="134" t="s">
        <v>3007</v>
      </c>
      <c r="H13" s="123">
        <v>6594</v>
      </c>
    </row>
    <row r="14" spans="1:8" x14ac:dyDescent="0.25">
      <c r="A14" s="134" t="s">
        <v>11191</v>
      </c>
      <c r="B14" s="134" t="s">
        <v>11217</v>
      </c>
      <c r="C14" s="134" t="s">
        <v>11216</v>
      </c>
      <c r="D14" s="134" t="s">
        <v>11215</v>
      </c>
      <c r="E14" s="139">
        <v>5.04</v>
      </c>
      <c r="F14" s="134" t="s">
        <v>11214</v>
      </c>
      <c r="G14" s="134" t="s">
        <v>3007</v>
      </c>
      <c r="H14" s="123">
        <v>6595</v>
      </c>
    </row>
    <row r="15" spans="1:8" x14ac:dyDescent="0.25">
      <c r="A15" s="134" t="s">
        <v>11191</v>
      </c>
      <c r="B15" s="134" t="s">
        <v>11213</v>
      </c>
      <c r="C15" s="134" t="s">
        <v>11212</v>
      </c>
      <c r="D15" s="134" t="s">
        <v>7444</v>
      </c>
      <c r="E15" s="139">
        <v>1.33</v>
      </c>
      <c r="F15" s="134" t="s">
        <v>11211</v>
      </c>
      <c r="G15" s="134" t="s">
        <v>3007</v>
      </c>
      <c r="H15" s="123">
        <v>6596</v>
      </c>
    </row>
    <row r="16" spans="1:8" x14ac:dyDescent="0.25">
      <c r="A16" s="134" t="s">
        <v>11191</v>
      </c>
      <c r="B16" s="134" t="s">
        <v>11210</v>
      </c>
      <c r="C16" s="134" t="s">
        <v>11209</v>
      </c>
      <c r="D16" s="134" t="s">
        <v>5143</v>
      </c>
      <c r="E16" s="139">
        <v>6.78</v>
      </c>
      <c r="F16" s="134" t="s">
        <v>5142</v>
      </c>
      <c r="G16" s="134" t="s">
        <v>3007</v>
      </c>
      <c r="H16" s="123">
        <v>6597</v>
      </c>
    </row>
    <row r="17" spans="1:8" x14ac:dyDescent="0.25">
      <c r="A17" s="134" t="s">
        <v>11191</v>
      </c>
      <c r="B17" s="134" t="s">
        <v>10244</v>
      </c>
      <c r="C17" s="134" t="s">
        <v>11208</v>
      </c>
      <c r="D17" s="134" t="s">
        <v>3074</v>
      </c>
      <c r="E17" s="139">
        <v>14.91</v>
      </c>
      <c r="F17" s="134" t="s">
        <v>3073</v>
      </c>
      <c r="G17" s="134" t="s">
        <v>3007</v>
      </c>
      <c r="H17" s="123">
        <v>6598</v>
      </c>
    </row>
    <row r="18" spans="1:8" x14ac:dyDescent="0.25">
      <c r="A18" s="134" t="s">
        <v>11191</v>
      </c>
      <c r="B18" s="134" t="s">
        <v>11207</v>
      </c>
      <c r="C18" s="134" t="s">
        <v>11206</v>
      </c>
      <c r="D18" s="134" t="s">
        <v>10496</v>
      </c>
      <c r="E18" s="139">
        <v>8.7899999999999991</v>
      </c>
      <c r="F18" s="134" t="s">
        <v>10495</v>
      </c>
      <c r="G18" s="134" t="s">
        <v>3007</v>
      </c>
      <c r="H18" s="123">
        <v>6605</v>
      </c>
    </row>
    <row r="19" spans="1:8" x14ac:dyDescent="0.25">
      <c r="A19" s="134" t="s">
        <v>11191</v>
      </c>
      <c r="B19" s="134" t="s">
        <v>11205</v>
      </c>
      <c r="C19" s="134" t="s">
        <v>11204</v>
      </c>
      <c r="D19" s="134" t="s">
        <v>5506</v>
      </c>
      <c r="E19" s="139">
        <v>6.05</v>
      </c>
      <c r="F19" s="134" t="s">
        <v>5505</v>
      </c>
      <c r="G19" s="134" t="s">
        <v>3007</v>
      </c>
      <c r="H19" s="123">
        <v>6606</v>
      </c>
    </row>
    <row r="20" spans="1:8" x14ac:dyDescent="0.25">
      <c r="A20" s="134" t="s">
        <v>11191</v>
      </c>
      <c r="B20" s="134" t="s">
        <v>11203</v>
      </c>
      <c r="C20" s="134" t="s">
        <v>11202</v>
      </c>
      <c r="D20" s="134" t="s">
        <v>7553</v>
      </c>
      <c r="E20" s="139">
        <v>14.25</v>
      </c>
      <c r="F20" s="134" t="s">
        <v>7552</v>
      </c>
      <c r="G20" s="134" t="s">
        <v>3007</v>
      </c>
      <c r="H20" s="123">
        <v>6607</v>
      </c>
    </row>
    <row r="21" spans="1:8" x14ac:dyDescent="0.25">
      <c r="A21" s="134" t="s">
        <v>11191</v>
      </c>
      <c r="B21" s="134" t="s">
        <v>11201</v>
      </c>
      <c r="C21" s="134" t="s">
        <v>11200</v>
      </c>
      <c r="D21" s="134" t="s">
        <v>3293</v>
      </c>
      <c r="E21" s="139">
        <v>9.09</v>
      </c>
      <c r="F21" s="134" t="s">
        <v>3292</v>
      </c>
      <c r="G21" s="134" t="s">
        <v>3007</v>
      </c>
      <c r="H21" s="123">
        <v>6608</v>
      </c>
    </row>
    <row r="22" spans="1:8" x14ac:dyDescent="0.25">
      <c r="A22" s="134" t="s">
        <v>11191</v>
      </c>
      <c r="B22" s="134" t="s">
        <v>11199</v>
      </c>
      <c r="C22" s="134" t="s">
        <v>11198</v>
      </c>
      <c r="D22" s="134" t="s">
        <v>9135</v>
      </c>
      <c r="E22" s="139">
        <v>6.15</v>
      </c>
      <c r="F22" s="134" t="s">
        <v>9134</v>
      </c>
      <c r="G22" s="134" t="s">
        <v>3007</v>
      </c>
      <c r="H22" s="123">
        <v>6609</v>
      </c>
    </row>
    <row r="23" spans="1:8" x14ac:dyDescent="0.25">
      <c r="A23" s="134" t="s">
        <v>11191</v>
      </c>
      <c r="B23" s="134" t="s">
        <v>11197</v>
      </c>
      <c r="C23" s="134" t="s">
        <v>11196</v>
      </c>
      <c r="D23" s="134" t="s">
        <v>5102</v>
      </c>
      <c r="E23" s="139">
        <v>7.61</v>
      </c>
      <c r="F23" s="134" t="s">
        <v>5101</v>
      </c>
      <c r="G23" s="134" t="s">
        <v>3007</v>
      </c>
      <c r="H23" s="123">
        <v>6610</v>
      </c>
    </row>
    <row r="24" spans="1:8" x14ac:dyDescent="0.25">
      <c r="A24" s="134" t="s">
        <v>11191</v>
      </c>
      <c r="B24" s="134" t="s">
        <v>11195</v>
      </c>
      <c r="C24" s="134" t="s">
        <v>11194</v>
      </c>
      <c r="D24" s="134" t="s">
        <v>7160</v>
      </c>
      <c r="E24" s="139">
        <v>6.41</v>
      </c>
      <c r="F24" s="134" t="s">
        <v>7159</v>
      </c>
      <c r="G24" s="134" t="s">
        <v>3007</v>
      </c>
      <c r="H24" s="123">
        <v>6611</v>
      </c>
    </row>
    <row r="25" spans="1:8" x14ac:dyDescent="0.25">
      <c r="A25" s="134" t="s">
        <v>11191</v>
      </c>
      <c r="B25" s="134" t="s">
        <v>11193</v>
      </c>
      <c r="C25" s="134" t="s">
        <v>11192</v>
      </c>
      <c r="D25" s="134" t="s">
        <v>3820</v>
      </c>
      <c r="E25" s="139">
        <v>6.46</v>
      </c>
      <c r="F25" s="134" t="s">
        <v>3819</v>
      </c>
      <c r="G25" s="134" t="s">
        <v>3007</v>
      </c>
      <c r="H25" s="123">
        <v>6612</v>
      </c>
    </row>
    <row r="26" spans="1:8" x14ac:dyDescent="0.25">
      <c r="A26" s="134" t="s">
        <v>11191</v>
      </c>
      <c r="B26" s="134" t="s">
        <v>11190</v>
      </c>
      <c r="C26" s="134" t="s">
        <v>11189</v>
      </c>
      <c r="D26" s="134" t="s">
        <v>3438</v>
      </c>
      <c r="E26" s="139">
        <v>12.29</v>
      </c>
      <c r="F26" s="134" t="s">
        <v>3437</v>
      </c>
      <c r="G26" s="134" t="s">
        <v>3007</v>
      </c>
      <c r="H26" s="123">
        <v>6613</v>
      </c>
    </row>
    <row r="27" spans="1:8" x14ac:dyDescent="0.25">
      <c r="A27" s="134" t="s">
        <v>11142</v>
      </c>
      <c r="B27" s="134" t="s">
        <v>11188</v>
      </c>
      <c r="C27" s="134" t="s">
        <v>11187</v>
      </c>
      <c r="D27" s="134" t="s">
        <v>4799</v>
      </c>
      <c r="E27" s="139">
        <v>5.04</v>
      </c>
      <c r="F27" s="134" t="s">
        <v>4798</v>
      </c>
      <c r="G27" s="134" t="s">
        <v>3007</v>
      </c>
      <c r="H27" s="123">
        <v>6692</v>
      </c>
    </row>
    <row r="28" spans="1:8" x14ac:dyDescent="0.25">
      <c r="A28" s="134" t="s">
        <v>11142</v>
      </c>
      <c r="B28" s="134" t="s">
        <v>11186</v>
      </c>
      <c r="C28" s="134" t="s">
        <v>11185</v>
      </c>
      <c r="D28" s="134" t="s">
        <v>6853</v>
      </c>
      <c r="E28" s="139">
        <v>8.8000000000000007</v>
      </c>
      <c r="F28" s="134" t="s">
        <v>6852</v>
      </c>
      <c r="G28" s="134" t="s">
        <v>3007</v>
      </c>
      <c r="H28" s="123">
        <v>6693</v>
      </c>
    </row>
    <row r="29" spans="1:8" x14ac:dyDescent="0.25">
      <c r="A29" s="134" t="s">
        <v>11142</v>
      </c>
      <c r="B29" s="134" t="s">
        <v>11184</v>
      </c>
      <c r="C29" s="134" t="s">
        <v>11183</v>
      </c>
      <c r="D29" s="134" t="s">
        <v>3615</v>
      </c>
      <c r="E29" s="139">
        <v>6.36</v>
      </c>
      <c r="F29" s="134" t="s">
        <v>3614</v>
      </c>
      <c r="G29" s="134" t="s">
        <v>3007</v>
      </c>
      <c r="H29" s="123">
        <v>6694</v>
      </c>
    </row>
    <row r="30" spans="1:8" x14ac:dyDescent="0.25">
      <c r="A30" s="134" t="s">
        <v>11142</v>
      </c>
      <c r="B30" s="134" t="s">
        <v>11182</v>
      </c>
      <c r="C30" s="134" t="s">
        <v>11181</v>
      </c>
      <c r="D30" s="134" t="s">
        <v>6757</v>
      </c>
      <c r="E30" s="139">
        <v>14.02</v>
      </c>
      <c r="F30" s="134" t="s">
        <v>6756</v>
      </c>
      <c r="G30" s="134" t="s">
        <v>3007</v>
      </c>
      <c r="H30" s="124">
        <v>6695</v>
      </c>
    </row>
    <row r="31" spans="1:8" x14ac:dyDescent="0.25">
      <c r="A31" s="134" t="s">
        <v>11142</v>
      </c>
      <c r="B31" s="134" t="s">
        <v>11180</v>
      </c>
      <c r="C31" s="134" t="s">
        <v>11179</v>
      </c>
      <c r="D31" s="134" t="s">
        <v>3599</v>
      </c>
      <c r="E31" s="139">
        <v>10.08</v>
      </c>
      <c r="F31" s="134" t="s">
        <v>3598</v>
      </c>
      <c r="G31" s="134" t="s">
        <v>3007</v>
      </c>
      <c r="H31" s="124">
        <v>6696</v>
      </c>
    </row>
    <row r="32" spans="1:8" x14ac:dyDescent="0.25">
      <c r="A32" s="134" t="s">
        <v>11142</v>
      </c>
      <c r="B32" s="134" t="s">
        <v>11178</v>
      </c>
      <c r="C32" s="134" t="s">
        <v>11177</v>
      </c>
      <c r="D32" s="134" t="s">
        <v>4156</v>
      </c>
      <c r="E32" s="139">
        <v>29.66</v>
      </c>
      <c r="F32" s="134" t="s">
        <v>4155</v>
      </c>
      <c r="G32" s="134" t="s">
        <v>3007</v>
      </c>
      <c r="H32" s="124">
        <v>6697</v>
      </c>
    </row>
    <row r="33" spans="1:11" x14ac:dyDescent="0.25">
      <c r="A33" s="134" t="s">
        <v>11142</v>
      </c>
      <c r="B33" s="134" t="s">
        <v>11176</v>
      </c>
      <c r="C33" s="134" t="s">
        <v>11175</v>
      </c>
      <c r="D33" s="134" t="s">
        <v>3123</v>
      </c>
      <c r="E33" s="139">
        <v>3.34</v>
      </c>
      <c r="F33" s="134" t="s">
        <v>3122</v>
      </c>
      <c r="G33" s="134" t="s">
        <v>3007</v>
      </c>
      <c r="H33" s="124" t="s">
        <v>11174</v>
      </c>
    </row>
    <row r="34" spans="1:11" x14ac:dyDescent="0.25">
      <c r="A34" s="134" t="s">
        <v>11142</v>
      </c>
      <c r="B34" s="134" t="s">
        <v>11173</v>
      </c>
      <c r="C34" s="134" t="s">
        <v>11172</v>
      </c>
      <c r="D34" s="134" t="s">
        <v>4273</v>
      </c>
      <c r="E34" s="139">
        <v>4.95</v>
      </c>
      <c r="F34" s="134" t="s">
        <v>4272</v>
      </c>
      <c r="G34" s="134" t="s">
        <v>3007</v>
      </c>
      <c r="H34" s="124">
        <v>6698</v>
      </c>
    </row>
    <row r="35" spans="1:11" x14ac:dyDescent="0.25">
      <c r="A35" s="134" t="s">
        <v>11142</v>
      </c>
      <c r="B35" s="134" t="s">
        <v>11171</v>
      </c>
      <c r="C35" s="134" t="s">
        <v>11170</v>
      </c>
      <c r="D35" s="134" t="s">
        <v>6846</v>
      </c>
      <c r="E35" s="139">
        <v>0.17</v>
      </c>
      <c r="F35" s="134" t="s">
        <v>11169</v>
      </c>
      <c r="G35" s="134" t="s">
        <v>3007</v>
      </c>
      <c r="H35" s="124">
        <v>6699</v>
      </c>
    </row>
    <row r="36" spans="1:11" x14ac:dyDescent="0.25">
      <c r="A36" s="134" t="s">
        <v>11142</v>
      </c>
      <c r="B36" s="134" t="s">
        <v>11168</v>
      </c>
      <c r="C36" s="134" t="s">
        <v>11167</v>
      </c>
      <c r="D36" s="134" t="s">
        <v>5673</v>
      </c>
      <c r="E36" s="139">
        <v>1.68</v>
      </c>
      <c r="F36" s="134" t="s">
        <v>5672</v>
      </c>
      <c r="G36" s="134" t="s">
        <v>3007</v>
      </c>
      <c r="H36" s="124">
        <v>6700</v>
      </c>
    </row>
    <row r="37" spans="1:11" x14ac:dyDescent="0.25">
      <c r="A37" s="134" t="s">
        <v>11142</v>
      </c>
      <c r="B37" s="134" t="s">
        <v>11166</v>
      </c>
      <c r="C37" s="134" t="s">
        <v>11165</v>
      </c>
      <c r="D37" s="134" t="s">
        <v>8070</v>
      </c>
      <c r="E37" s="139">
        <v>8.34</v>
      </c>
      <c r="F37" s="134" t="s">
        <v>8069</v>
      </c>
      <c r="G37" s="134" t="s">
        <v>3007</v>
      </c>
      <c r="H37" s="124">
        <v>6701</v>
      </c>
    </row>
    <row r="38" spans="1:11" x14ac:dyDescent="0.25">
      <c r="A38" s="134" t="s">
        <v>11142</v>
      </c>
      <c r="B38" s="134" t="s">
        <v>11164</v>
      </c>
      <c r="C38" s="134" t="s">
        <v>11163</v>
      </c>
      <c r="D38" s="134" t="s">
        <v>11162</v>
      </c>
      <c r="E38" s="139">
        <v>23.06</v>
      </c>
      <c r="F38" s="134" t="s">
        <v>11161</v>
      </c>
      <c r="G38" s="134" t="s">
        <v>3007</v>
      </c>
      <c r="H38" s="123">
        <v>6702</v>
      </c>
    </row>
    <row r="39" spans="1:11" x14ac:dyDescent="0.25">
      <c r="A39" s="134" t="s">
        <v>11142</v>
      </c>
      <c r="B39" s="134" t="s">
        <v>11160</v>
      </c>
      <c r="C39" s="134" t="s">
        <v>11159</v>
      </c>
      <c r="D39" s="134" t="s">
        <v>6982</v>
      </c>
      <c r="E39" s="139">
        <v>13.69</v>
      </c>
      <c r="F39" s="134" t="s">
        <v>6981</v>
      </c>
      <c r="G39" s="134" t="s">
        <v>3007</v>
      </c>
      <c r="H39" s="123">
        <v>6703</v>
      </c>
    </row>
    <row r="40" spans="1:11" x14ac:dyDescent="0.25">
      <c r="A40" s="134" t="s">
        <v>11142</v>
      </c>
      <c r="B40" s="134" t="s">
        <v>11158</v>
      </c>
      <c r="C40" s="134" t="s">
        <v>11157</v>
      </c>
      <c r="D40" s="134" t="s">
        <v>5550</v>
      </c>
      <c r="E40" s="139">
        <v>11.55</v>
      </c>
      <c r="F40" s="134" t="s">
        <v>5549</v>
      </c>
      <c r="G40" s="134" t="s">
        <v>3007</v>
      </c>
      <c r="H40" s="123">
        <v>6704</v>
      </c>
    </row>
    <row r="41" spans="1:11" x14ac:dyDescent="0.25">
      <c r="A41" s="134" t="s">
        <v>11142</v>
      </c>
      <c r="B41" s="134" t="s">
        <v>11156</v>
      </c>
      <c r="C41" s="134" t="s">
        <v>11155</v>
      </c>
      <c r="D41" s="134" t="s">
        <v>7464</v>
      </c>
      <c r="E41" s="139">
        <v>9.4499999999999993</v>
      </c>
      <c r="F41" s="134" t="s">
        <v>7463</v>
      </c>
      <c r="G41" s="134" t="s">
        <v>3007</v>
      </c>
      <c r="H41" s="123">
        <v>6705</v>
      </c>
    </row>
    <row r="42" spans="1:11" x14ac:dyDescent="0.25">
      <c r="A42" s="134" t="s">
        <v>11142</v>
      </c>
      <c r="B42" s="134" t="s">
        <v>11154</v>
      </c>
      <c r="C42" s="134" t="s">
        <v>11153</v>
      </c>
      <c r="D42" s="134" t="s">
        <v>3692</v>
      </c>
      <c r="E42" s="139">
        <v>2.4</v>
      </c>
      <c r="F42" s="134" t="s">
        <v>3691</v>
      </c>
      <c r="G42" s="134" t="s">
        <v>3007</v>
      </c>
      <c r="H42" s="123">
        <v>6706</v>
      </c>
    </row>
    <row r="43" spans="1:11" x14ac:dyDescent="0.25">
      <c r="A43" s="134" t="s">
        <v>11142</v>
      </c>
      <c r="B43" s="134" t="s">
        <v>11152</v>
      </c>
      <c r="C43" s="134" t="s">
        <v>11151</v>
      </c>
      <c r="D43" s="134" t="s">
        <v>11150</v>
      </c>
      <c r="E43" s="139">
        <v>9.08</v>
      </c>
      <c r="F43" s="134" t="s">
        <v>11149</v>
      </c>
      <c r="G43" s="134" t="s">
        <v>3007</v>
      </c>
      <c r="H43" s="123">
        <v>6707</v>
      </c>
    </row>
    <row r="44" spans="1:11" x14ac:dyDescent="0.25">
      <c r="A44" s="134" t="s">
        <v>11142</v>
      </c>
      <c r="B44" s="134" t="s">
        <v>11148</v>
      </c>
      <c r="C44" s="134" t="s">
        <v>11147</v>
      </c>
      <c r="D44" s="134" t="s">
        <v>5285</v>
      </c>
      <c r="E44" s="139">
        <v>11.58</v>
      </c>
      <c r="F44" s="134" t="s">
        <v>5284</v>
      </c>
      <c r="G44" s="134" t="s">
        <v>3007</v>
      </c>
      <c r="H44" s="123">
        <v>6708</v>
      </c>
    </row>
    <row r="45" spans="1:11" x14ac:dyDescent="0.25">
      <c r="A45" s="134" t="s">
        <v>11142</v>
      </c>
      <c r="B45" s="134" t="s">
        <v>11146</v>
      </c>
      <c r="C45" s="134" t="s">
        <v>11145</v>
      </c>
      <c r="D45" s="134" t="s">
        <v>3026</v>
      </c>
      <c r="E45" s="139">
        <v>7.59</v>
      </c>
      <c r="F45" s="134" t="s">
        <v>3025</v>
      </c>
      <c r="G45" s="134" t="s">
        <v>3007</v>
      </c>
      <c r="H45" s="123">
        <v>6709</v>
      </c>
    </row>
    <row r="46" spans="1:11" x14ac:dyDescent="0.25">
      <c r="A46" s="134" t="s">
        <v>11142</v>
      </c>
      <c r="B46" s="134" t="s">
        <v>11144</v>
      </c>
      <c r="C46" s="134" t="s">
        <v>11143</v>
      </c>
      <c r="D46" s="134" t="s">
        <v>5396</v>
      </c>
      <c r="E46" s="139">
        <v>7.32</v>
      </c>
      <c r="F46" s="134" t="s">
        <v>5395</v>
      </c>
      <c r="G46" s="134" t="s">
        <v>3007</v>
      </c>
      <c r="H46" s="123">
        <v>6710</v>
      </c>
    </row>
    <row r="47" spans="1:11" x14ac:dyDescent="0.25">
      <c r="A47" s="134" t="s">
        <v>11142</v>
      </c>
      <c r="B47" s="134" t="s">
        <v>11141</v>
      </c>
      <c r="C47" s="134" t="s">
        <v>11140</v>
      </c>
      <c r="D47" s="134" t="s">
        <v>11139</v>
      </c>
      <c r="E47" s="139">
        <v>3.38</v>
      </c>
      <c r="F47" s="134" t="s">
        <v>11138</v>
      </c>
      <c r="G47" s="134" t="s">
        <v>3007</v>
      </c>
      <c r="H47" s="123">
        <v>6711</v>
      </c>
      <c r="K47" t="s">
        <v>5521</v>
      </c>
    </row>
    <row r="48" spans="1:11" x14ac:dyDescent="0.25">
      <c r="A48" s="134" t="s">
        <v>11069</v>
      </c>
      <c r="B48" s="134" t="s">
        <v>11137</v>
      </c>
      <c r="C48" s="134" t="s">
        <v>11136</v>
      </c>
      <c r="D48" s="134" t="s">
        <v>5064</v>
      </c>
      <c r="E48" s="139">
        <v>12.53</v>
      </c>
      <c r="F48" s="134" t="s">
        <v>5063</v>
      </c>
      <c r="G48" s="134" t="s">
        <v>3007</v>
      </c>
      <c r="H48" s="123">
        <v>6878</v>
      </c>
    </row>
    <row r="49" spans="1:8" x14ac:dyDescent="0.25">
      <c r="A49" s="134" t="s">
        <v>11069</v>
      </c>
      <c r="B49" s="134" t="s">
        <v>11135</v>
      </c>
      <c r="C49" s="134" t="s">
        <v>11134</v>
      </c>
      <c r="D49" s="134" t="s">
        <v>7592</v>
      </c>
      <c r="E49" s="139">
        <v>26.04</v>
      </c>
      <c r="F49" s="134" t="s">
        <v>7588</v>
      </c>
      <c r="G49" s="134" t="s">
        <v>3007</v>
      </c>
      <c r="H49" s="123">
        <v>6879</v>
      </c>
    </row>
    <row r="50" spans="1:8" x14ac:dyDescent="0.25">
      <c r="A50" s="134" t="s">
        <v>11069</v>
      </c>
      <c r="B50" s="134" t="s">
        <v>11133</v>
      </c>
      <c r="C50" s="134" t="s">
        <v>11132</v>
      </c>
      <c r="D50" s="134" t="s">
        <v>7113</v>
      </c>
      <c r="E50" s="139">
        <v>2.4300000000000002</v>
      </c>
      <c r="F50" s="134" t="s">
        <v>7112</v>
      </c>
      <c r="G50" s="134" t="s">
        <v>3007</v>
      </c>
      <c r="H50" s="123">
        <v>6880</v>
      </c>
    </row>
    <row r="51" spans="1:8" x14ac:dyDescent="0.25">
      <c r="A51" s="134" t="s">
        <v>11069</v>
      </c>
      <c r="B51" s="134" t="s">
        <v>11131</v>
      </c>
      <c r="C51" s="134" t="s">
        <v>11130</v>
      </c>
      <c r="D51" s="134" t="s">
        <v>8403</v>
      </c>
      <c r="E51" s="139">
        <v>21.09</v>
      </c>
      <c r="F51" s="134" t="s">
        <v>8402</v>
      </c>
      <c r="G51" s="134" t="s">
        <v>3007</v>
      </c>
      <c r="H51" s="123">
        <v>6881</v>
      </c>
    </row>
    <row r="52" spans="1:8" x14ac:dyDescent="0.25">
      <c r="A52" s="134" t="s">
        <v>11069</v>
      </c>
      <c r="B52" s="134" t="s">
        <v>5492</v>
      </c>
      <c r="C52" s="134" t="s">
        <v>11129</v>
      </c>
      <c r="D52" s="134" t="s">
        <v>11128</v>
      </c>
      <c r="E52" s="139">
        <v>4.9400000000000004</v>
      </c>
      <c r="F52" s="134" t="s">
        <v>11124</v>
      </c>
      <c r="G52" s="134" t="s">
        <v>3007</v>
      </c>
      <c r="H52" s="123">
        <v>6882</v>
      </c>
    </row>
    <row r="53" spans="1:8" x14ac:dyDescent="0.25">
      <c r="A53" s="134" t="s">
        <v>11069</v>
      </c>
      <c r="B53" s="134" t="s">
        <v>11127</v>
      </c>
      <c r="C53" s="134" t="s">
        <v>11126</v>
      </c>
      <c r="D53" s="134" t="s">
        <v>11125</v>
      </c>
      <c r="E53" s="139">
        <v>1.74</v>
      </c>
      <c r="F53" s="134" t="s">
        <v>11124</v>
      </c>
      <c r="G53" s="134" t="s">
        <v>3007</v>
      </c>
      <c r="H53" s="123">
        <v>6883</v>
      </c>
    </row>
    <row r="54" spans="1:8" x14ac:dyDescent="0.25">
      <c r="A54" s="134" t="s">
        <v>11069</v>
      </c>
      <c r="B54" s="134" t="s">
        <v>11123</v>
      </c>
      <c r="C54" s="134" t="s">
        <v>11122</v>
      </c>
      <c r="D54" s="134" t="s">
        <v>7843</v>
      </c>
      <c r="E54" s="139">
        <v>8.4700000000000006</v>
      </c>
      <c r="F54" s="134" t="s">
        <v>7842</v>
      </c>
      <c r="G54" s="134" t="s">
        <v>3007</v>
      </c>
      <c r="H54" s="123">
        <v>6884</v>
      </c>
    </row>
    <row r="55" spans="1:8" x14ac:dyDescent="0.25">
      <c r="A55" s="134" t="s">
        <v>11069</v>
      </c>
      <c r="B55" s="134" t="s">
        <v>11121</v>
      </c>
      <c r="C55" s="134" t="s">
        <v>11120</v>
      </c>
      <c r="D55" s="134" t="s">
        <v>3390</v>
      </c>
      <c r="E55" s="139">
        <v>8.3800000000000008</v>
      </c>
      <c r="F55" s="134" t="s">
        <v>3389</v>
      </c>
      <c r="G55" s="134" t="s">
        <v>3007</v>
      </c>
      <c r="H55" s="123">
        <v>6885</v>
      </c>
    </row>
    <row r="56" spans="1:8" x14ac:dyDescent="0.25">
      <c r="A56" s="134" t="s">
        <v>11069</v>
      </c>
      <c r="B56" s="134" t="s">
        <v>11119</v>
      </c>
      <c r="C56" s="134" t="s">
        <v>11118</v>
      </c>
      <c r="D56" s="134" t="s">
        <v>8720</v>
      </c>
      <c r="E56" s="139">
        <v>25.14</v>
      </c>
      <c r="F56" s="134" t="s">
        <v>8719</v>
      </c>
      <c r="G56" s="134" t="s">
        <v>3007</v>
      </c>
      <c r="H56" s="123">
        <v>6886</v>
      </c>
    </row>
    <row r="57" spans="1:8" x14ac:dyDescent="0.25">
      <c r="A57" s="134" t="s">
        <v>11069</v>
      </c>
      <c r="B57" s="134" t="s">
        <v>11117</v>
      </c>
      <c r="C57" s="134" t="s">
        <v>11116</v>
      </c>
      <c r="D57" s="134" t="s">
        <v>11115</v>
      </c>
      <c r="E57" s="139">
        <v>46.42</v>
      </c>
      <c r="F57" s="134" t="s">
        <v>11114</v>
      </c>
      <c r="G57" s="134" t="s">
        <v>3007</v>
      </c>
      <c r="H57" s="123">
        <v>6887</v>
      </c>
    </row>
    <row r="58" spans="1:8" x14ac:dyDescent="0.25">
      <c r="A58" s="134" t="s">
        <v>11069</v>
      </c>
      <c r="B58" s="134" t="s">
        <v>11113</v>
      </c>
      <c r="C58" s="134" t="s">
        <v>11112</v>
      </c>
      <c r="D58" s="134" t="s">
        <v>3816</v>
      </c>
      <c r="E58" s="139">
        <v>30.1</v>
      </c>
      <c r="F58" s="134" t="s">
        <v>3815</v>
      </c>
      <c r="G58" s="134" t="s">
        <v>3007</v>
      </c>
      <c r="H58" s="123">
        <v>6888</v>
      </c>
    </row>
    <row r="59" spans="1:8" x14ac:dyDescent="0.25">
      <c r="A59" s="134" t="s">
        <v>11069</v>
      </c>
      <c r="B59" s="134" t="s">
        <v>11111</v>
      </c>
      <c r="C59" s="134" t="s">
        <v>11110</v>
      </c>
      <c r="D59" s="134" t="s">
        <v>11109</v>
      </c>
      <c r="E59" s="139">
        <v>34.42</v>
      </c>
      <c r="F59" s="134" t="s">
        <v>11108</v>
      </c>
      <c r="G59" s="134" t="s">
        <v>3007</v>
      </c>
      <c r="H59" s="123">
        <v>6889</v>
      </c>
    </row>
    <row r="60" spans="1:8" x14ac:dyDescent="0.25">
      <c r="A60" s="134" t="s">
        <v>11069</v>
      </c>
      <c r="B60" s="134" t="s">
        <v>11107</v>
      </c>
      <c r="C60" s="134" t="s">
        <v>11106</v>
      </c>
      <c r="D60" s="134" t="s">
        <v>3567</v>
      </c>
      <c r="E60" s="139">
        <v>18.239999999999998</v>
      </c>
      <c r="F60" s="134" t="s">
        <v>3566</v>
      </c>
      <c r="G60" s="134" t="s">
        <v>3007</v>
      </c>
      <c r="H60" s="123">
        <v>6890</v>
      </c>
    </row>
    <row r="61" spans="1:8" x14ac:dyDescent="0.25">
      <c r="A61" s="134" t="s">
        <v>11069</v>
      </c>
      <c r="B61" s="134" t="s">
        <v>11105</v>
      </c>
      <c r="C61" s="134" t="s">
        <v>11104</v>
      </c>
      <c r="D61" s="134" t="s">
        <v>4847</v>
      </c>
      <c r="E61" s="139">
        <v>2.4</v>
      </c>
      <c r="F61" s="134" t="s">
        <v>4846</v>
      </c>
      <c r="G61" s="134" t="s">
        <v>3007</v>
      </c>
      <c r="H61" s="123">
        <v>6891</v>
      </c>
    </row>
    <row r="62" spans="1:8" x14ac:dyDescent="0.25">
      <c r="A62" s="134" t="s">
        <v>11069</v>
      </c>
      <c r="B62" s="134" t="s">
        <v>11103</v>
      </c>
      <c r="C62" s="134" t="s">
        <v>11102</v>
      </c>
      <c r="D62" s="134" t="s">
        <v>6479</v>
      </c>
      <c r="E62" s="139">
        <v>16.29</v>
      </c>
      <c r="F62" s="134" t="s">
        <v>6478</v>
      </c>
      <c r="G62" s="134" t="s">
        <v>3007</v>
      </c>
      <c r="H62" s="123">
        <v>6892</v>
      </c>
    </row>
    <row r="63" spans="1:8" x14ac:dyDescent="0.25">
      <c r="A63" s="134" t="s">
        <v>11069</v>
      </c>
      <c r="B63" s="134" t="s">
        <v>11101</v>
      </c>
      <c r="C63" s="134" t="s">
        <v>11100</v>
      </c>
      <c r="D63" s="134" t="s">
        <v>6633</v>
      </c>
      <c r="E63" s="139">
        <v>9.66</v>
      </c>
      <c r="F63" s="134" t="s">
        <v>6632</v>
      </c>
      <c r="G63" s="134" t="s">
        <v>3007</v>
      </c>
      <c r="H63" s="123">
        <v>6893</v>
      </c>
    </row>
    <row r="64" spans="1:8" x14ac:dyDescent="0.25">
      <c r="A64" s="134" t="s">
        <v>11069</v>
      </c>
      <c r="B64" s="134" t="s">
        <v>11099</v>
      </c>
      <c r="C64" s="134" t="s">
        <v>11098</v>
      </c>
      <c r="D64" s="134" t="s">
        <v>5024</v>
      </c>
      <c r="E64" s="139">
        <v>8.3800000000000008</v>
      </c>
      <c r="F64" s="134" t="s">
        <v>5023</v>
      </c>
      <c r="G64" s="134" t="s">
        <v>3007</v>
      </c>
      <c r="H64" s="123">
        <v>6894</v>
      </c>
    </row>
    <row r="65" spans="1:8" x14ac:dyDescent="0.25">
      <c r="A65" s="134" t="s">
        <v>11069</v>
      </c>
      <c r="B65" s="134" t="s">
        <v>11097</v>
      </c>
      <c r="C65" s="134" t="s">
        <v>11096</v>
      </c>
      <c r="D65" s="134" t="s">
        <v>5622</v>
      </c>
      <c r="E65" s="139">
        <v>1.84</v>
      </c>
      <c r="F65" s="134" t="s">
        <v>5621</v>
      </c>
      <c r="G65" s="134" t="s">
        <v>3007</v>
      </c>
      <c r="H65" s="123">
        <v>6895</v>
      </c>
    </row>
    <row r="66" spans="1:8" x14ac:dyDescent="0.25">
      <c r="A66" s="134" t="s">
        <v>11069</v>
      </c>
      <c r="B66" s="134" t="s">
        <v>11095</v>
      </c>
      <c r="C66" s="134" t="s">
        <v>11094</v>
      </c>
      <c r="D66" s="134" t="s">
        <v>8749</v>
      </c>
      <c r="E66" s="139">
        <v>25.14</v>
      </c>
      <c r="F66" s="134" t="s">
        <v>8745</v>
      </c>
      <c r="G66" s="134" t="s">
        <v>3007</v>
      </c>
      <c r="H66" s="123">
        <v>6896</v>
      </c>
    </row>
    <row r="67" spans="1:8" x14ac:dyDescent="0.25">
      <c r="A67" s="134" t="s">
        <v>11069</v>
      </c>
      <c r="B67" s="134" t="s">
        <v>11093</v>
      </c>
      <c r="C67" s="134" t="s">
        <v>11092</v>
      </c>
      <c r="D67" s="134" t="s">
        <v>8746</v>
      </c>
      <c r="E67" s="139">
        <v>25.14</v>
      </c>
      <c r="F67" s="134" t="s">
        <v>8745</v>
      </c>
      <c r="G67" s="134" t="s">
        <v>3007</v>
      </c>
      <c r="H67" s="123">
        <v>6897</v>
      </c>
    </row>
    <row r="68" spans="1:8" x14ac:dyDescent="0.25">
      <c r="A68" s="134" t="s">
        <v>11069</v>
      </c>
      <c r="B68" s="134" t="s">
        <v>11091</v>
      </c>
      <c r="C68" s="134" t="s">
        <v>11090</v>
      </c>
      <c r="D68" s="134" t="s">
        <v>7042</v>
      </c>
      <c r="E68" s="139">
        <v>24.6</v>
      </c>
      <c r="F68" s="134" t="s">
        <v>7038</v>
      </c>
      <c r="G68" s="134" t="s">
        <v>3007</v>
      </c>
      <c r="H68" s="123">
        <v>6898</v>
      </c>
    </row>
    <row r="69" spans="1:8" x14ac:dyDescent="0.25">
      <c r="A69" s="134" t="s">
        <v>11069</v>
      </c>
      <c r="B69" s="134" t="s">
        <v>11089</v>
      </c>
      <c r="C69" s="134" t="s">
        <v>11088</v>
      </c>
      <c r="D69" s="134" t="s">
        <v>7039</v>
      </c>
      <c r="E69" s="139">
        <v>11.66</v>
      </c>
      <c r="F69" s="134" t="s">
        <v>7038</v>
      </c>
      <c r="G69" s="134" t="s">
        <v>3007</v>
      </c>
      <c r="H69" s="123">
        <v>6899</v>
      </c>
    </row>
    <row r="70" spans="1:8" x14ac:dyDescent="0.25">
      <c r="A70" s="134" t="s">
        <v>11069</v>
      </c>
      <c r="B70" s="134" t="s">
        <v>11087</v>
      </c>
      <c r="C70" s="134" t="s">
        <v>11086</v>
      </c>
      <c r="D70" s="134" t="s">
        <v>5376</v>
      </c>
      <c r="E70" s="139">
        <v>2.6</v>
      </c>
      <c r="F70" s="134" t="s">
        <v>5375</v>
      </c>
      <c r="G70" s="134" t="s">
        <v>3007</v>
      </c>
      <c r="H70" s="123">
        <v>6900</v>
      </c>
    </row>
    <row r="71" spans="1:8" x14ac:dyDescent="0.25">
      <c r="A71" s="134" t="s">
        <v>11069</v>
      </c>
      <c r="B71" s="134" t="s">
        <v>11085</v>
      </c>
      <c r="C71" s="134" t="s">
        <v>11084</v>
      </c>
      <c r="D71" s="134" t="s">
        <v>3945</v>
      </c>
      <c r="E71" s="139">
        <v>5.54</v>
      </c>
      <c r="F71" s="134" t="s">
        <v>3944</v>
      </c>
      <c r="G71" s="134" t="s">
        <v>3007</v>
      </c>
      <c r="H71" s="123">
        <v>6901</v>
      </c>
    </row>
    <row r="72" spans="1:8" x14ac:dyDescent="0.25">
      <c r="A72" s="134" t="s">
        <v>11069</v>
      </c>
      <c r="B72" s="134" t="s">
        <v>11083</v>
      </c>
      <c r="C72" s="134" t="s">
        <v>11082</v>
      </c>
      <c r="D72" s="134" t="s">
        <v>11081</v>
      </c>
      <c r="E72" s="139">
        <v>5.04</v>
      </c>
      <c r="F72" s="134" t="s">
        <v>11080</v>
      </c>
      <c r="G72" s="134" t="s">
        <v>3007</v>
      </c>
      <c r="H72" s="123">
        <v>6902</v>
      </c>
    </row>
    <row r="73" spans="1:8" x14ac:dyDescent="0.25">
      <c r="A73" s="134" t="s">
        <v>11069</v>
      </c>
      <c r="B73" s="134" t="s">
        <v>11079</v>
      </c>
      <c r="C73" s="134" t="s">
        <v>11078</v>
      </c>
      <c r="D73" s="134" t="s">
        <v>7381</v>
      </c>
      <c r="E73" s="139">
        <v>21.6</v>
      </c>
      <c r="F73" s="134" t="s">
        <v>7380</v>
      </c>
      <c r="G73" s="134" t="s">
        <v>3007</v>
      </c>
      <c r="H73" s="123">
        <v>6903</v>
      </c>
    </row>
    <row r="74" spans="1:8" x14ac:dyDescent="0.25">
      <c r="A74" s="134" t="s">
        <v>11069</v>
      </c>
      <c r="B74" s="134" t="s">
        <v>11077</v>
      </c>
      <c r="C74" s="134" t="s">
        <v>11076</v>
      </c>
      <c r="D74" s="134" t="s">
        <v>10278</v>
      </c>
      <c r="E74" s="139">
        <v>3.38</v>
      </c>
      <c r="F74" s="134" t="s">
        <v>10277</v>
      </c>
      <c r="G74" s="134" t="s">
        <v>3007</v>
      </c>
      <c r="H74" s="123">
        <v>6904</v>
      </c>
    </row>
    <row r="75" spans="1:8" x14ac:dyDescent="0.25">
      <c r="A75" s="134" t="s">
        <v>11069</v>
      </c>
      <c r="B75" s="134" t="s">
        <v>11075</v>
      </c>
      <c r="C75" s="134" t="s">
        <v>11074</v>
      </c>
      <c r="D75" s="134" t="s">
        <v>4469</v>
      </c>
      <c r="E75" s="139">
        <v>8.34</v>
      </c>
      <c r="F75" s="134" t="s">
        <v>4468</v>
      </c>
      <c r="G75" s="134" t="s">
        <v>3007</v>
      </c>
      <c r="H75" s="123">
        <v>6905</v>
      </c>
    </row>
    <row r="76" spans="1:8" x14ac:dyDescent="0.25">
      <c r="A76" s="134" t="s">
        <v>11069</v>
      </c>
      <c r="B76" s="134" t="s">
        <v>11073</v>
      </c>
      <c r="C76" s="134" t="s">
        <v>11072</v>
      </c>
      <c r="D76" s="134" t="s">
        <v>11071</v>
      </c>
      <c r="E76" s="139">
        <v>9.73</v>
      </c>
      <c r="F76" s="134" t="s">
        <v>11070</v>
      </c>
      <c r="G76" s="134" t="s">
        <v>3007</v>
      </c>
      <c r="H76" s="123">
        <v>6906</v>
      </c>
    </row>
    <row r="77" spans="1:8" x14ac:dyDescent="0.25">
      <c r="A77" s="134" t="s">
        <v>11069</v>
      </c>
      <c r="B77" s="134" t="s">
        <v>11068</v>
      </c>
      <c r="C77" s="134" t="s">
        <v>11067</v>
      </c>
      <c r="D77" s="134" t="s">
        <v>7166</v>
      </c>
      <c r="E77" s="139">
        <v>7.76</v>
      </c>
      <c r="F77" s="134" t="s">
        <v>7165</v>
      </c>
      <c r="G77" s="134" t="s">
        <v>3007</v>
      </c>
      <c r="H77" s="123">
        <v>6907</v>
      </c>
    </row>
    <row r="78" spans="1:8" x14ac:dyDescent="0.25">
      <c r="A78" s="134" t="s">
        <v>11023</v>
      </c>
      <c r="B78" s="134" t="s">
        <v>11066</v>
      </c>
      <c r="C78" s="134" t="s">
        <v>11065</v>
      </c>
      <c r="D78" s="134" t="s">
        <v>3050</v>
      </c>
      <c r="E78" s="139">
        <v>1.84</v>
      </c>
      <c r="F78" s="134" t="s">
        <v>3049</v>
      </c>
      <c r="G78" s="134" t="s">
        <v>3007</v>
      </c>
      <c r="H78" s="123">
        <v>6960</v>
      </c>
    </row>
    <row r="79" spans="1:8" x14ac:dyDescent="0.25">
      <c r="A79" s="134" t="s">
        <v>11023</v>
      </c>
      <c r="B79" s="134" t="s">
        <v>11064</v>
      </c>
      <c r="C79" s="134" t="s">
        <v>11063</v>
      </c>
      <c r="D79" s="134" t="s">
        <v>8560</v>
      </c>
      <c r="E79" s="139">
        <v>8.73</v>
      </c>
      <c r="F79" s="134" t="s">
        <v>8559</v>
      </c>
      <c r="G79" s="134" t="s">
        <v>3007</v>
      </c>
      <c r="H79" s="123">
        <v>6961</v>
      </c>
    </row>
    <row r="80" spans="1:8" x14ac:dyDescent="0.25">
      <c r="A80" s="134" t="s">
        <v>11023</v>
      </c>
      <c r="B80" s="134" t="s">
        <v>11062</v>
      </c>
      <c r="C80" s="134" t="s">
        <v>11061</v>
      </c>
      <c r="D80" s="134" t="s">
        <v>6658</v>
      </c>
      <c r="E80" s="139">
        <v>13.56</v>
      </c>
      <c r="F80" s="134" t="s">
        <v>6657</v>
      </c>
      <c r="G80" s="134" t="s">
        <v>3007</v>
      </c>
      <c r="H80" s="123">
        <v>6962</v>
      </c>
    </row>
    <row r="81" spans="1:11" x14ac:dyDescent="0.25">
      <c r="A81" s="134" t="s">
        <v>11023</v>
      </c>
      <c r="B81" s="134" t="s">
        <v>11060</v>
      </c>
      <c r="C81" s="134" t="s">
        <v>11059</v>
      </c>
      <c r="D81" s="134" t="s">
        <v>4285</v>
      </c>
      <c r="E81" s="139">
        <v>9.32</v>
      </c>
      <c r="F81" s="134" t="s">
        <v>4284</v>
      </c>
      <c r="G81" s="134" t="s">
        <v>3007</v>
      </c>
      <c r="H81" s="123">
        <v>6963</v>
      </c>
    </row>
    <row r="82" spans="1:11" x14ac:dyDescent="0.25">
      <c r="A82" s="134" t="s">
        <v>11023</v>
      </c>
      <c r="B82" s="134" t="s">
        <v>11058</v>
      </c>
      <c r="C82" s="134" t="s">
        <v>11057</v>
      </c>
      <c r="D82" s="134" t="s">
        <v>3863</v>
      </c>
      <c r="E82" s="139">
        <v>18.18</v>
      </c>
      <c r="F82" s="134" t="s">
        <v>3862</v>
      </c>
      <c r="G82" s="134" t="s">
        <v>3007</v>
      </c>
      <c r="H82" s="123">
        <v>6964</v>
      </c>
    </row>
    <row r="83" spans="1:11" x14ac:dyDescent="0.25">
      <c r="A83" s="134" t="s">
        <v>11023</v>
      </c>
      <c r="B83" s="134" t="s">
        <v>11056</v>
      </c>
      <c r="C83" s="134" t="s">
        <v>11055</v>
      </c>
      <c r="D83" s="134" t="s">
        <v>7152</v>
      </c>
      <c r="E83" s="139">
        <v>1.68</v>
      </c>
      <c r="F83" s="134" t="s">
        <v>7151</v>
      </c>
      <c r="G83" s="134" t="s">
        <v>3007</v>
      </c>
      <c r="H83" s="123">
        <v>6965</v>
      </c>
    </row>
    <row r="84" spans="1:11" x14ac:dyDescent="0.25">
      <c r="A84" s="134" t="s">
        <v>11023</v>
      </c>
      <c r="B84" s="134" t="s">
        <v>11054</v>
      </c>
      <c r="C84" s="134" t="s">
        <v>11053</v>
      </c>
      <c r="D84" s="134" t="s">
        <v>3551</v>
      </c>
      <c r="E84" s="139">
        <v>5.85</v>
      </c>
      <c r="F84" s="134" t="s">
        <v>3550</v>
      </c>
      <c r="G84" s="134" t="s">
        <v>3007</v>
      </c>
      <c r="H84" s="123">
        <v>6966</v>
      </c>
    </row>
    <row r="85" spans="1:11" x14ac:dyDescent="0.25">
      <c r="A85" s="134" t="s">
        <v>11023</v>
      </c>
      <c r="B85" s="134" t="s">
        <v>11052</v>
      </c>
      <c r="C85" s="134" t="s">
        <v>11051</v>
      </c>
      <c r="D85" s="134" t="s">
        <v>7585</v>
      </c>
      <c r="E85" s="139">
        <v>4.1100000000000003</v>
      </c>
      <c r="F85" s="134" t="s">
        <v>7584</v>
      </c>
      <c r="G85" s="134" t="s">
        <v>3007</v>
      </c>
      <c r="H85" s="123">
        <v>6967</v>
      </c>
    </row>
    <row r="86" spans="1:11" x14ac:dyDescent="0.25">
      <c r="A86" s="134" t="s">
        <v>11023</v>
      </c>
      <c r="B86" s="134" t="s">
        <v>11050</v>
      </c>
      <c r="C86" s="134" t="s">
        <v>11049</v>
      </c>
      <c r="D86" s="134" t="s">
        <v>3559</v>
      </c>
      <c r="E86" s="139">
        <v>5.36</v>
      </c>
      <c r="F86" s="134" t="s">
        <v>3558</v>
      </c>
      <c r="G86" s="134" t="s">
        <v>3007</v>
      </c>
      <c r="H86" s="123">
        <v>6968</v>
      </c>
      <c r="I86" s="125"/>
      <c r="K86" s="123"/>
    </row>
    <row r="87" spans="1:11" x14ac:dyDescent="0.25">
      <c r="A87" s="134" t="s">
        <v>11023</v>
      </c>
      <c r="B87" s="134" t="s">
        <v>11048</v>
      </c>
      <c r="C87" s="134" t="s">
        <v>11047</v>
      </c>
      <c r="D87" s="134" t="s">
        <v>4673</v>
      </c>
      <c r="E87" s="139">
        <v>6.04</v>
      </c>
      <c r="F87" s="134" t="s">
        <v>4672</v>
      </c>
      <c r="G87" s="134" t="s">
        <v>3007</v>
      </c>
      <c r="H87" s="123">
        <v>6969</v>
      </c>
    </row>
    <row r="88" spans="1:11" x14ac:dyDescent="0.25">
      <c r="A88" s="134" t="s">
        <v>11023</v>
      </c>
      <c r="B88" s="134" t="s">
        <v>11046</v>
      </c>
      <c r="C88" s="134" t="s">
        <v>11045</v>
      </c>
      <c r="D88" s="134" t="s">
        <v>7407</v>
      </c>
      <c r="E88" s="139">
        <v>5</v>
      </c>
      <c r="F88" s="134" t="s">
        <v>7406</v>
      </c>
      <c r="G88" s="134" t="s">
        <v>3007</v>
      </c>
      <c r="H88" s="123">
        <v>6970</v>
      </c>
    </row>
    <row r="89" spans="1:11" x14ac:dyDescent="0.25">
      <c r="A89" s="134" t="s">
        <v>11023</v>
      </c>
      <c r="B89" s="134" t="s">
        <v>11044</v>
      </c>
      <c r="C89" s="134" t="s">
        <v>11043</v>
      </c>
      <c r="D89" s="134" t="s">
        <v>11042</v>
      </c>
      <c r="E89" s="139">
        <v>7.58</v>
      </c>
      <c r="F89" s="134" t="s">
        <v>11038</v>
      </c>
      <c r="G89" s="134" t="s">
        <v>3007</v>
      </c>
      <c r="H89" s="123">
        <v>6972</v>
      </c>
    </row>
    <row r="90" spans="1:11" x14ac:dyDescent="0.25">
      <c r="A90" s="134" t="s">
        <v>11023</v>
      </c>
      <c r="B90" s="134" t="s">
        <v>11041</v>
      </c>
      <c r="C90" s="134" t="s">
        <v>11040</v>
      </c>
      <c r="D90" s="134" t="s">
        <v>11039</v>
      </c>
      <c r="E90" s="139">
        <v>16.420000000000002</v>
      </c>
      <c r="F90" s="134" t="s">
        <v>11038</v>
      </c>
      <c r="G90" s="134" t="s">
        <v>3007</v>
      </c>
      <c r="H90" s="123">
        <v>6971</v>
      </c>
    </row>
    <row r="91" spans="1:11" x14ac:dyDescent="0.25">
      <c r="A91" s="134" t="s">
        <v>11023</v>
      </c>
      <c r="B91" s="134" t="s">
        <v>11037</v>
      </c>
      <c r="C91" s="134" t="s">
        <v>11036</v>
      </c>
      <c r="D91" s="134" t="s">
        <v>3979</v>
      </c>
      <c r="E91" s="139">
        <v>3.36</v>
      </c>
      <c r="F91" s="134" t="s">
        <v>3978</v>
      </c>
      <c r="G91" s="134" t="s">
        <v>3007</v>
      </c>
      <c r="H91" s="123">
        <v>6973</v>
      </c>
    </row>
    <row r="92" spans="1:11" x14ac:dyDescent="0.25">
      <c r="A92" s="134" t="s">
        <v>11023</v>
      </c>
      <c r="B92" s="134" t="s">
        <v>11035</v>
      </c>
      <c r="C92" s="134" t="s">
        <v>11034</v>
      </c>
      <c r="D92" s="134" t="s">
        <v>6467</v>
      </c>
      <c r="E92" s="139">
        <v>25.14</v>
      </c>
      <c r="F92" s="134" t="s">
        <v>6466</v>
      </c>
      <c r="G92" s="134" t="s">
        <v>3007</v>
      </c>
      <c r="H92" s="123">
        <v>6974</v>
      </c>
    </row>
    <row r="93" spans="1:11" x14ac:dyDescent="0.25">
      <c r="A93" s="134" t="s">
        <v>11023</v>
      </c>
      <c r="B93" s="134" t="s">
        <v>11033</v>
      </c>
      <c r="C93" s="134" t="s">
        <v>11032</v>
      </c>
      <c r="D93" s="134" t="s">
        <v>7966</v>
      </c>
      <c r="E93" s="139">
        <v>7.75</v>
      </c>
      <c r="F93" s="134" t="s">
        <v>7965</v>
      </c>
      <c r="G93" s="134" t="s">
        <v>3007</v>
      </c>
      <c r="H93" s="123">
        <v>6975</v>
      </c>
    </row>
    <row r="94" spans="1:11" x14ac:dyDescent="0.25">
      <c r="A94" s="134" t="s">
        <v>11023</v>
      </c>
      <c r="B94" s="134" t="s">
        <v>11031</v>
      </c>
      <c r="C94" s="134" t="s">
        <v>11030</v>
      </c>
      <c r="D94" s="134" t="s">
        <v>11029</v>
      </c>
      <c r="E94" s="139">
        <v>13.02</v>
      </c>
      <c r="F94" s="134" t="s">
        <v>11028</v>
      </c>
      <c r="G94" s="134" t="s">
        <v>3007</v>
      </c>
      <c r="H94" s="123">
        <v>6976</v>
      </c>
    </row>
    <row r="95" spans="1:11" x14ac:dyDescent="0.25">
      <c r="A95" s="134" t="s">
        <v>11023</v>
      </c>
      <c r="B95" s="134" t="s">
        <v>11027</v>
      </c>
      <c r="C95" s="134" t="s">
        <v>11026</v>
      </c>
      <c r="D95" s="134" t="s">
        <v>3871</v>
      </c>
      <c r="E95" s="139">
        <v>10.06</v>
      </c>
      <c r="F95" s="134" t="s">
        <v>3870</v>
      </c>
      <c r="G95" s="134" t="s">
        <v>3007</v>
      </c>
      <c r="H95" s="123">
        <v>6977</v>
      </c>
    </row>
    <row r="96" spans="1:11" x14ac:dyDescent="0.25">
      <c r="A96" s="134" t="s">
        <v>11023</v>
      </c>
      <c r="B96" s="134" t="s">
        <v>11025</v>
      </c>
      <c r="C96" s="134" t="s">
        <v>11024</v>
      </c>
      <c r="D96" s="134" t="s">
        <v>3940</v>
      </c>
      <c r="E96" s="139">
        <v>2.2599999999999998</v>
      </c>
      <c r="F96" s="134" t="s">
        <v>3939</v>
      </c>
      <c r="G96" s="134" t="s">
        <v>3007</v>
      </c>
      <c r="H96" s="124">
        <v>6978</v>
      </c>
    </row>
    <row r="97" spans="1:8" x14ac:dyDescent="0.25">
      <c r="A97" s="134" t="s">
        <v>11023</v>
      </c>
      <c r="B97" s="134" t="s">
        <v>11022</v>
      </c>
      <c r="C97" s="134" t="s">
        <v>11021</v>
      </c>
      <c r="D97" s="134" t="s">
        <v>5470</v>
      </c>
      <c r="E97" s="139">
        <v>6.29</v>
      </c>
      <c r="F97" s="134" t="s">
        <v>5469</v>
      </c>
      <c r="G97" s="134" t="s">
        <v>3007</v>
      </c>
      <c r="H97" s="123">
        <v>6979</v>
      </c>
    </row>
    <row r="98" spans="1:8" x14ac:dyDescent="0.25">
      <c r="A98" s="134" t="s">
        <v>10986</v>
      </c>
      <c r="B98" s="134" t="s">
        <v>11020</v>
      </c>
      <c r="C98" s="134" t="s">
        <v>11019</v>
      </c>
      <c r="D98" s="134" t="s">
        <v>4064</v>
      </c>
      <c r="E98" s="139">
        <v>6.87</v>
      </c>
      <c r="F98" s="134" t="s">
        <v>4063</v>
      </c>
      <c r="G98" s="134" t="s">
        <v>3007</v>
      </c>
      <c r="H98" s="123">
        <v>7055</v>
      </c>
    </row>
    <row r="99" spans="1:8" x14ac:dyDescent="0.25">
      <c r="A99" s="134" t="s">
        <v>10986</v>
      </c>
      <c r="B99" s="134" t="s">
        <v>11018</v>
      </c>
      <c r="C99" s="134" t="s">
        <v>11017</v>
      </c>
      <c r="D99" s="134" t="s">
        <v>8846</v>
      </c>
      <c r="E99" s="139">
        <v>8.2899999999999991</v>
      </c>
      <c r="F99" s="134" t="s">
        <v>8845</v>
      </c>
      <c r="G99" s="134" t="s">
        <v>3007</v>
      </c>
      <c r="H99" s="123">
        <v>7056</v>
      </c>
    </row>
    <row r="100" spans="1:8" x14ac:dyDescent="0.25">
      <c r="A100" s="134" t="s">
        <v>10986</v>
      </c>
      <c r="B100" s="134" t="s">
        <v>11016</v>
      </c>
      <c r="C100" s="134" t="s">
        <v>11015</v>
      </c>
      <c r="D100" s="134" t="s">
        <v>11014</v>
      </c>
      <c r="E100" s="139">
        <v>5.04</v>
      </c>
      <c r="F100" s="134" t="s">
        <v>11013</v>
      </c>
      <c r="G100" s="134" t="s">
        <v>3007</v>
      </c>
      <c r="H100" s="123">
        <v>7057</v>
      </c>
    </row>
    <row r="101" spans="1:8" x14ac:dyDescent="0.25">
      <c r="A101" s="134" t="s">
        <v>10986</v>
      </c>
      <c r="B101" s="134" t="s">
        <v>11012</v>
      </c>
      <c r="C101" s="134" t="s">
        <v>11011</v>
      </c>
      <c r="D101" s="134" t="s">
        <v>6028</v>
      </c>
      <c r="E101" s="139">
        <v>8.27</v>
      </c>
      <c r="F101" s="134" t="s">
        <v>6027</v>
      </c>
      <c r="G101" s="134" t="s">
        <v>3007</v>
      </c>
      <c r="H101" s="123">
        <v>7058</v>
      </c>
    </row>
    <row r="102" spans="1:8" x14ac:dyDescent="0.25">
      <c r="A102" s="134" t="s">
        <v>10986</v>
      </c>
      <c r="B102" s="134" t="s">
        <v>11010</v>
      </c>
      <c r="C102" s="134" t="s">
        <v>11009</v>
      </c>
      <c r="D102" s="134" t="s">
        <v>4716</v>
      </c>
      <c r="E102" s="139">
        <v>10.119999999999999</v>
      </c>
      <c r="F102" s="134" t="s">
        <v>4715</v>
      </c>
      <c r="G102" s="134" t="s">
        <v>3007</v>
      </c>
      <c r="H102" s="123">
        <v>7059</v>
      </c>
    </row>
    <row r="103" spans="1:8" x14ac:dyDescent="0.25">
      <c r="A103" s="134" t="s">
        <v>10986</v>
      </c>
      <c r="B103" s="134" t="s">
        <v>11008</v>
      </c>
      <c r="C103" s="134" t="s">
        <v>11007</v>
      </c>
      <c r="D103" s="134" t="s">
        <v>11006</v>
      </c>
      <c r="E103" s="139">
        <v>15.44</v>
      </c>
      <c r="F103" s="134" t="s">
        <v>11005</v>
      </c>
      <c r="G103" s="134" t="s">
        <v>3007</v>
      </c>
      <c r="H103" s="123">
        <v>7060</v>
      </c>
    </row>
    <row r="104" spans="1:8" x14ac:dyDescent="0.25">
      <c r="A104" s="134" t="s">
        <v>10986</v>
      </c>
      <c r="B104" s="134" t="s">
        <v>11004</v>
      </c>
      <c r="C104" s="134" t="s">
        <v>11003</v>
      </c>
      <c r="D104" s="134" t="s">
        <v>3579</v>
      </c>
      <c r="E104" s="139">
        <v>6.79</v>
      </c>
      <c r="F104" s="134" t="s">
        <v>3578</v>
      </c>
      <c r="G104" s="134" t="s">
        <v>3007</v>
      </c>
      <c r="H104" s="123">
        <v>7061</v>
      </c>
    </row>
    <row r="105" spans="1:8" x14ac:dyDescent="0.25">
      <c r="A105" s="134" t="s">
        <v>10986</v>
      </c>
      <c r="B105" s="134" t="s">
        <v>11002</v>
      </c>
      <c r="C105" s="134" t="s">
        <v>11001</v>
      </c>
      <c r="D105" s="134" t="s">
        <v>3787</v>
      </c>
      <c r="E105" s="139">
        <v>6.92</v>
      </c>
      <c r="F105" s="134" t="s">
        <v>3786</v>
      </c>
      <c r="G105" s="134" t="s">
        <v>3007</v>
      </c>
      <c r="H105" s="123">
        <v>7062</v>
      </c>
    </row>
    <row r="106" spans="1:8" x14ac:dyDescent="0.25">
      <c r="A106" s="134" t="s">
        <v>10986</v>
      </c>
      <c r="B106" s="134" t="s">
        <v>11000</v>
      </c>
      <c r="C106" s="134" t="s">
        <v>10999</v>
      </c>
      <c r="D106" s="134" t="s">
        <v>5417</v>
      </c>
      <c r="E106" s="139">
        <v>4.12</v>
      </c>
      <c r="F106" s="134" t="s">
        <v>5416</v>
      </c>
      <c r="G106" s="134" t="s">
        <v>3007</v>
      </c>
      <c r="H106" s="123">
        <v>7063</v>
      </c>
    </row>
    <row r="107" spans="1:8" x14ac:dyDescent="0.25">
      <c r="A107" s="134" t="s">
        <v>10986</v>
      </c>
      <c r="B107" s="134" t="s">
        <v>10998</v>
      </c>
      <c r="C107" s="134" t="s">
        <v>10997</v>
      </c>
      <c r="D107" s="134" t="s">
        <v>3317</v>
      </c>
      <c r="E107" s="139">
        <v>3.36</v>
      </c>
      <c r="F107" s="134" t="s">
        <v>3316</v>
      </c>
      <c r="G107" s="134" t="s">
        <v>3007</v>
      </c>
      <c r="H107" s="123">
        <v>7064</v>
      </c>
    </row>
    <row r="108" spans="1:8" x14ac:dyDescent="0.25">
      <c r="A108" s="134" t="s">
        <v>10986</v>
      </c>
      <c r="B108" s="134" t="s">
        <v>10996</v>
      </c>
      <c r="C108" s="134" t="s">
        <v>10995</v>
      </c>
      <c r="D108" s="134" t="s">
        <v>6911</v>
      </c>
      <c r="E108" s="139">
        <v>19.75</v>
      </c>
      <c r="F108" s="134" t="s">
        <v>6910</v>
      </c>
      <c r="G108" s="134" t="s">
        <v>3007</v>
      </c>
      <c r="H108" s="123">
        <v>7065</v>
      </c>
    </row>
    <row r="109" spans="1:8" x14ac:dyDescent="0.25">
      <c r="A109" s="134" t="s">
        <v>10986</v>
      </c>
      <c r="B109" s="134" t="s">
        <v>10994</v>
      </c>
      <c r="C109" s="134" t="s">
        <v>10993</v>
      </c>
      <c r="D109" s="134" t="s">
        <v>3731</v>
      </c>
      <c r="E109" s="139">
        <v>5.04</v>
      </c>
      <c r="F109" s="134" t="s">
        <v>3730</v>
      </c>
      <c r="G109" s="134" t="s">
        <v>3007</v>
      </c>
      <c r="H109" s="123">
        <v>7066</v>
      </c>
    </row>
    <row r="110" spans="1:8" x14ac:dyDescent="0.25">
      <c r="A110" s="134" t="s">
        <v>10986</v>
      </c>
      <c r="B110" s="134" t="s">
        <v>10992</v>
      </c>
      <c r="C110" s="134" t="s">
        <v>10991</v>
      </c>
      <c r="D110" s="134" t="s">
        <v>8439</v>
      </c>
      <c r="E110" s="139">
        <v>7.61</v>
      </c>
      <c r="F110" s="134" t="s">
        <v>8438</v>
      </c>
      <c r="G110" s="134" t="s">
        <v>3007</v>
      </c>
      <c r="H110" s="123">
        <v>7067</v>
      </c>
    </row>
    <row r="111" spans="1:8" x14ac:dyDescent="0.25">
      <c r="A111" s="134" t="s">
        <v>10986</v>
      </c>
      <c r="B111" s="134" t="s">
        <v>10990</v>
      </c>
      <c r="C111" s="134" t="s">
        <v>10989</v>
      </c>
      <c r="D111" s="134" t="s">
        <v>10988</v>
      </c>
      <c r="E111" s="139">
        <v>11.27</v>
      </c>
      <c r="F111" s="134" t="s">
        <v>10987</v>
      </c>
      <c r="G111" s="134" t="s">
        <v>3007</v>
      </c>
      <c r="H111" s="123">
        <v>7068</v>
      </c>
    </row>
    <row r="112" spans="1:8" x14ac:dyDescent="0.25">
      <c r="A112" s="134" t="s">
        <v>10986</v>
      </c>
      <c r="B112" s="134" t="s">
        <v>10985</v>
      </c>
      <c r="C112" s="134" t="s">
        <v>10984</v>
      </c>
      <c r="D112" s="134" t="s">
        <v>4342</v>
      </c>
      <c r="E112" s="139">
        <v>3.33</v>
      </c>
      <c r="F112" s="134" t="s">
        <v>4341</v>
      </c>
      <c r="G112" s="134" t="s">
        <v>3007</v>
      </c>
      <c r="H112" s="123">
        <v>7069</v>
      </c>
    </row>
    <row r="113" spans="1:8" x14ac:dyDescent="0.25">
      <c r="A113" s="134" t="s">
        <v>10955</v>
      </c>
      <c r="B113" s="134" t="s">
        <v>10983</v>
      </c>
      <c r="C113" s="134" t="s">
        <v>10982</v>
      </c>
      <c r="D113" s="134" t="s">
        <v>5166</v>
      </c>
      <c r="E113" s="139">
        <v>29.43</v>
      </c>
      <c r="F113" s="134" t="s">
        <v>5165</v>
      </c>
      <c r="G113" s="134" t="s">
        <v>3007</v>
      </c>
      <c r="H113" s="123">
        <v>7070</v>
      </c>
    </row>
    <row r="114" spans="1:8" x14ac:dyDescent="0.25">
      <c r="A114" s="134" t="s">
        <v>10955</v>
      </c>
      <c r="B114" s="134" t="s">
        <v>10981</v>
      </c>
      <c r="C114" s="134" t="s">
        <v>10980</v>
      </c>
      <c r="D114" s="134" t="s">
        <v>3502</v>
      </c>
      <c r="E114" s="139">
        <v>30.69</v>
      </c>
      <c r="F114" s="134" t="s">
        <v>3498</v>
      </c>
      <c r="G114" s="134" t="s">
        <v>3007</v>
      </c>
      <c r="H114" s="123">
        <v>7071</v>
      </c>
    </row>
    <row r="115" spans="1:8" x14ac:dyDescent="0.25">
      <c r="A115" s="134" t="s">
        <v>10955</v>
      </c>
      <c r="B115" s="134" t="s">
        <v>10979</v>
      </c>
      <c r="C115" s="134" t="s">
        <v>10978</v>
      </c>
      <c r="D115" s="134" t="s">
        <v>3499</v>
      </c>
      <c r="E115" s="139">
        <v>9.43</v>
      </c>
      <c r="F115" s="134" t="s">
        <v>3498</v>
      </c>
      <c r="G115" s="134" t="s">
        <v>3007</v>
      </c>
      <c r="H115" s="123">
        <v>7072</v>
      </c>
    </row>
    <row r="116" spans="1:8" x14ac:dyDescent="0.25">
      <c r="A116" s="134" t="s">
        <v>10955</v>
      </c>
      <c r="B116" s="134" t="s">
        <v>10977</v>
      </c>
      <c r="C116" s="134" t="s">
        <v>10976</v>
      </c>
      <c r="D116" s="134" t="s">
        <v>3090</v>
      </c>
      <c r="E116" s="139">
        <v>5.47</v>
      </c>
      <c r="F116" s="134" t="s">
        <v>3089</v>
      </c>
      <c r="G116" s="134" t="s">
        <v>3007</v>
      </c>
      <c r="H116" s="123">
        <v>7073</v>
      </c>
    </row>
    <row r="117" spans="1:8" x14ac:dyDescent="0.25">
      <c r="A117" s="134" t="s">
        <v>10955</v>
      </c>
      <c r="B117" s="134" t="s">
        <v>10975</v>
      </c>
      <c r="C117" s="134" t="s">
        <v>10974</v>
      </c>
      <c r="D117" s="134" t="s">
        <v>5210</v>
      </c>
      <c r="E117" s="139">
        <v>3.08</v>
      </c>
      <c r="F117" s="134" t="s">
        <v>5209</v>
      </c>
      <c r="G117" s="134" t="s">
        <v>3007</v>
      </c>
      <c r="H117" s="123">
        <v>7074</v>
      </c>
    </row>
    <row r="118" spans="1:8" x14ac:dyDescent="0.25">
      <c r="A118" s="134" t="s">
        <v>10955</v>
      </c>
      <c r="B118" s="134" t="s">
        <v>10973</v>
      </c>
      <c r="C118" s="134" t="s">
        <v>10972</v>
      </c>
      <c r="D118" s="134" t="s">
        <v>10262</v>
      </c>
      <c r="E118" s="139">
        <v>8.4600000000000009</v>
      </c>
      <c r="F118" s="134" t="s">
        <v>10261</v>
      </c>
      <c r="G118" s="134" t="s">
        <v>3007</v>
      </c>
      <c r="H118" s="123">
        <v>7075</v>
      </c>
    </row>
    <row r="119" spans="1:8" x14ac:dyDescent="0.25">
      <c r="A119" s="134" t="s">
        <v>10955</v>
      </c>
      <c r="B119" s="134" t="s">
        <v>10971</v>
      </c>
      <c r="C119" s="134" t="s">
        <v>10970</v>
      </c>
      <c r="D119" s="134" t="s">
        <v>5444</v>
      </c>
      <c r="E119" s="139">
        <v>3.88</v>
      </c>
      <c r="F119" s="134" t="s">
        <v>5443</v>
      </c>
      <c r="G119" s="134" t="s">
        <v>3007</v>
      </c>
      <c r="H119" s="123">
        <v>7076</v>
      </c>
    </row>
    <row r="120" spans="1:8" x14ac:dyDescent="0.25">
      <c r="A120" s="134" t="s">
        <v>10955</v>
      </c>
      <c r="B120" s="134" t="s">
        <v>10969</v>
      </c>
      <c r="C120" s="134" t="s">
        <v>10968</v>
      </c>
      <c r="D120" s="134" t="s">
        <v>3627</v>
      </c>
      <c r="E120" s="139">
        <v>33.21</v>
      </c>
      <c r="F120" s="134" t="s">
        <v>3626</v>
      </c>
      <c r="G120" s="134" t="s">
        <v>3007</v>
      </c>
      <c r="H120" s="123">
        <v>7077</v>
      </c>
    </row>
    <row r="121" spans="1:8" x14ac:dyDescent="0.25">
      <c r="A121" s="134" t="s">
        <v>10955</v>
      </c>
      <c r="B121" s="134" t="s">
        <v>10967</v>
      </c>
      <c r="C121" s="134" t="s">
        <v>10966</v>
      </c>
      <c r="D121" s="134" t="s">
        <v>4598</v>
      </c>
      <c r="E121" s="139">
        <v>4.07</v>
      </c>
      <c r="F121" s="134" t="s">
        <v>4597</v>
      </c>
      <c r="G121" s="134" t="s">
        <v>3007</v>
      </c>
      <c r="H121" s="123">
        <v>7078</v>
      </c>
    </row>
    <row r="122" spans="1:8" x14ac:dyDescent="0.25">
      <c r="A122" s="134" t="s">
        <v>10955</v>
      </c>
      <c r="B122" s="134" t="s">
        <v>10965</v>
      </c>
      <c r="C122" s="134" t="s">
        <v>10964</v>
      </c>
      <c r="D122" s="134" t="s">
        <v>4689</v>
      </c>
      <c r="E122" s="139">
        <v>1.89</v>
      </c>
      <c r="F122" s="134" t="s">
        <v>4688</v>
      </c>
      <c r="G122" s="134" t="s">
        <v>3007</v>
      </c>
      <c r="H122" s="123">
        <v>7079</v>
      </c>
    </row>
    <row r="123" spans="1:8" x14ac:dyDescent="0.25">
      <c r="A123" s="134" t="s">
        <v>10955</v>
      </c>
      <c r="B123" s="134" t="s">
        <v>10963</v>
      </c>
      <c r="C123" s="134" t="s">
        <v>10962</v>
      </c>
      <c r="D123" s="134" t="s">
        <v>7205</v>
      </c>
      <c r="E123" s="139">
        <v>11.89</v>
      </c>
      <c r="F123" s="134" t="s">
        <v>7204</v>
      </c>
      <c r="G123" s="134" t="s">
        <v>3007</v>
      </c>
      <c r="H123" s="123">
        <v>7080</v>
      </c>
    </row>
    <row r="124" spans="1:8" x14ac:dyDescent="0.25">
      <c r="A124" s="134" t="s">
        <v>10955</v>
      </c>
      <c r="B124" s="134" t="s">
        <v>10961</v>
      </c>
      <c r="C124" s="134" t="s">
        <v>10960</v>
      </c>
      <c r="D124" s="134" t="s">
        <v>9110</v>
      </c>
      <c r="E124" s="139">
        <v>55.74</v>
      </c>
      <c r="F124" s="134" t="s">
        <v>9109</v>
      </c>
      <c r="G124" s="134" t="s">
        <v>3007</v>
      </c>
      <c r="H124" s="123">
        <v>7081</v>
      </c>
    </row>
    <row r="125" spans="1:8" x14ac:dyDescent="0.25">
      <c r="A125" s="134" t="s">
        <v>10955</v>
      </c>
      <c r="B125" s="134" t="s">
        <v>10959</v>
      </c>
      <c r="C125" s="134" t="s">
        <v>10958</v>
      </c>
      <c r="D125" s="134" t="s">
        <v>7066</v>
      </c>
      <c r="E125" s="139">
        <v>28.76</v>
      </c>
      <c r="F125" s="134" t="s">
        <v>7065</v>
      </c>
      <c r="G125" s="134" t="s">
        <v>3007</v>
      </c>
      <c r="H125" s="123">
        <v>7082</v>
      </c>
    </row>
    <row r="126" spans="1:8" x14ac:dyDescent="0.25">
      <c r="A126" s="134" t="s">
        <v>10955</v>
      </c>
      <c r="B126" s="134" t="s">
        <v>10957</v>
      </c>
      <c r="C126" s="134" t="s">
        <v>10956</v>
      </c>
      <c r="D126" s="134" t="s">
        <v>5265</v>
      </c>
      <c r="E126" s="139">
        <v>6.98</v>
      </c>
      <c r="F126" s="134" t="s">
        <v>5264</v>
      </c>
      <c r="G126" s="134" t="s">
        <v>3007</v>
      </c>
      <c r="H126" s="123">
        <v>7083</v>
      </c>
    </row>
    <row r="127" spans="1:8" x14ac:dyDescent="0.25">
      <c r="A127" s="134" t="s">
        <v>10955</v>
      </c>
      <c r="B127" s="134" t="s">
        <v>10954</v>
      </c>
      <c r="C127" s="134" t="s">
        <v>10953</v>
      </c>
      <c r="D127" s="134" t="s">
        <v>3317</v>
      </c>
      <c r="E127" s="139">
        <v>3.36</v>
      </c>
      <c r="F127" s="134" t="s">
        <v>3316</v>
      </c>
      <c r="G127" s="134" t="s">
        <v>3007</v>
      </c>
      <c r="H127" s="123" t="s">
        <v>10952</v>
      </c>
    </row>
    <row r="128" spans="1:8" x14ac:dyDescent="0.25">
      <c r="A128" s="134" t="s">
        <v>10951</v>
      </c>
      <c r="B128" s="134" t="s">
        <v>10950</v>
      </c>
      <c r="C128" s="134" t="s">
        <v>10949</v>
      </c>
      <c r="D128" s="134" t="s">
        <v>4281</v>
      </c>
      <c r="E128" s="139">
        <v>1.68</v>
      </c>
      <c r="F128" s="134" t="s">
        <v>4280</v>
      </c>
      <c r="G128" s="134" t="s">
        <v>3007</v>
      </c>
      <c r="H128" s="123">
        <v>7115</v>
      </c>
    </row>
    <row r="129" spans="1:8" x14ac:dyDescent="0.25">
      <c r="A129" s="134" t="s">
        <v>10905</v>
      </c>
      <c r="B129" s="134" t="s">
        <v>10948</v>
      </c>
      <c r="C129" s="134" t="s">
        <v>10947</v>
      </c>
      <c r="D129" s="134" t="s">
        <v>4733</v>
      </c>
      <c r="E129" s="139">
        <v>8.8699999999999992</v>
      </c>
      <c r="F129" s="134" t="s">
        <v>4732</v>
      </c>
      <c r="G129" s="134" t="s">
        <v>3007</v>
      </c>
      <c r="H129" s="123">
        <v>7116</v>
      </c>
    </row>
    <row r="130" spans="1:8" x14ac:dyDescent="0.25">
      <c r="A130" s="134" t="s">
        <v>10905</v>
      </c>
      <c r="B130" s="134" t="s">
        <v>10946</v>
      </c>
      <c r="C130" s="134" t="s">
        <v>10945</v>
      </c>
      <c r="D130" s="134" t="s">
        <v>10944</v>
      </c>
      <c r="E130" s="139">
        <v>23.81</v>
      </c>
      <c r="F130" s="134" t="s">
        <v>10943</v>
      </c>
      <c r="G130" s="134" t="s">
        <v>3007</v>
      </c>
      <c r="H130" s="123">
        <v>7117</v>
      </c>
    </row>
    <row r="131" spans="1:8" x14ac:dyDescent="0.25">
      <c r="A131" s="134" t="s">
        <v>10905</v>
      </c>
      <c r="B131" s="134" t="s">
        <v>8080</v>
      </c>
      <c r="C131" s="134" t="s">
        <v>10942</v>
      </c>
      <c r="D131" s="134" t="s">
        <v>3259</v>
      </c>
      <c r="E131" s="139">
        <v>6.72</v>
      </c>
      <c r="F131" s="134" t="s">
        <v>3258</v>
      </c>
      <c r="G131" s="134" t="s">
        <v>3007</v>
      </c>
      <c r="H131" s="123">
        <v>7118</v>
      </c>
    </row>
    <row r="132" spans="1:8" x14ac:dyDescent="0.25">
      <c r="A132" s="134" t="s">
        <v>10905</v>
      </c>
      <c r="B132" s="134" t="s">
        <v>10941</v>
      </c>
      <c r="C132" s="134" t="s">
        <v>10940</v>
      </c>
      <c r="D132" s="134" t="s">
        <v>3700</v>
      </c>
      <c r="E132" s="139">
        <v>33.61</v>
      </c>
      <c r="F132" s="134" t="s">
        <v>3699</v>
      </c>
      <c r="G132" s="134" t="s">
        <v>3007</v>
      </c>
      <c r="H132" s="123">
        <v>7119</v>
      </c>
    </row>
    <row r="133" spans="1:8" x14ac:dyDescent="0.25">
      <c r="A133" s="134" t="s">
        <v>10905</v>
      </c>
      <c r="B133" s="134" t="s">
        <v>10939</v>
      </c>
      <c r="C133" s="134" t="s">
        <v>10938</v>
      </c>
      <c r="D133" s="134" t="s">
        <v>10937</v>
      </c>
      <c r="E133" s="139">
        <v>92.58</v>
      </c>
      <c r="F133" s="134" t="s">
        <v>10933</v>
      </c>
      <c r="G133" s="134" t="s">
        <v>3007</v>
      </c>
      <c r="H133" s="123">
        <v>7120</v>
      </c>
    </row>
    <row r="134" spans="1:8" x14ac:dyDescent="0.25">
      <c r="A134" s="134" t="s">
        <v>10905</v>
      </c>
      <c r="B134" s="134" t="s">
        <v>10936</v>
      </c>
      <c r="C134" s="134" t="s">
        <v>10935</v>
      </c>
      <c r="D134" s="134" t="s">
        <v>10934</v>
      </c>
      <c r="E134" s="139">
        <v>51.94</v>
      </c>
      <c r="F134" s="134" t="s">
        <v>10933</v>
      </c>
      <c r="G134" s="134" t="s">
        <v>3007</v>
      </c>
      <c r="H134" s="123">
        <v>7121</v>
      </c>
    </row>
    <row r="135" spans="1:8" x14ac:dyDescent="0.25">
      <c r="A135" s="134" t="s">
        <v>10905</v>
      </c>
      <c r="B135" s="134" t="s">
        <v>10932</v>
      </c>
      <c r="C135" s="134" t="s">
        <v>10931</v>
      </c>
      <c r="D135" s="134" t="s">
        <v>10930</v>
      </c>
      <c r="E135" s="139">
        <v>15.1</v>
      </c>
      <c r="F135" s="134" t="s">
        <v>10929</v>
      </c>
      <c r="G135" s="134" t="s">
        <v>3007</v>
      </c>
      <c r="H135" s="123">
        <v>7122</v>
      </c>
    </row>
    <row r="136" spans="1:8" x14ac:dyDescent="0.25">
      <c r="A136" s="134" t="s">
        <v>10905</v>
      </c>
      <c r="B136" s="134" t="s">
        <v>10928</v>
      </c>
      <c r="C136" s="134" t="s">
        <v>10927</v>
      </c>
      <c r="D136" s="134" t="s">
        <v>6553</v>
      </c>
      <c r="E136" s="139">
        <v>8.69</v>
      </c>
      <c r="F136" s="134" t="s">
        <v>6552</v>
      </c>
      <c r="G136" s="134" t="s">
        <v>3007</v>
      </c>
      <c r="H136" s="123">
        <v>7123</v>
      </c>
    </row>
    <row r="137" spans="1:8" x14ac:dyDescent="0.25">
      <c r="A137" s="134" t="s">
        <v>10905</v>
      </c>
      <c r="B137" s="134" t="s">
        <v>10926</v>
      </c>
      <c r="C137" s="134" t="s">
        <v>10925</v>
      </c>
      <c r="D137" s="134" t="s">
        <v>4712</v>
      </c>
      <c r="E137" s="139">
        <v>8.41</v>
      </c>
      <c r="F137" s="134" t="s">
        <v>4711</v>
      </c>
      <c r="G137" s="134" t="s">
        <v>3007</v>
      </c>
      <c r="H137" s="123">
        <v>7124</v>
      </c>
    </row>
    <row r="138" spans="1:8" x14ac:dyDescent="0.25">
      <c r="A138" s="134" t="s">
        <v>10905</v>
      </c>
      <c r="B138" s="134" t="s">
        <v>10924</v>
      </c>
      <c r="C138" s="134" t="s">
        <v>10923</v>
      </c>
      <c r="D138" s="134" t="s">
        <v>4701</v>
      </c>
      <c r="E138" s="139">
        <v>15.47</v>
      </c>
      <c r="F138" s="134" t="s">
        <v>4700</v>
      </c>
      <c r="G138" s="134" t="s">
        <v>3007</v>
      </c>
      <c r="H138" s="123">
        <v>7125</v>
      </c>
    </row>
    <row r="139" spans="1:8" x14ac:dyDescent="0.25">
      <c r="A139" s="134" t="s">
        <v>10905</v>
      </c>
      <c r="B139" s="134" t="s">
        <v>10922</v>
      </c>
      <c r="C139" s="134" t="s">
        <v>10921</v>
      </c>
      <c r="D139" s="134" t="s">
        <v>3341</v>
      </c>
      <c r="E139" s="139">
        <v>6</v>
      </c>
      <c r="F139" s="134" t="s">
        <v>3340</v>
      </c>
      <c r="G139" s="134" t="s">
        <v>3007</v>
      </c>
      <c r="H139" s="123">
        <v>7128</v>
      </c>
    </row>
    <row r="140" spans="1:8" x14ac:dyDescent="0.25">
      <c r="A140" s="134" t="s">
        <v>10905</v>
      </c>
      <c r="B140" s="134" t="s">
        <v>10920</v>
      </c>
      <c r="C140" s="134" t="s">
        <v>10919</v>
      </c>
      <c r="D140" s="134" t="s">
        <v>5478</v>
      </c>
      <c r="E140" s="139">
        <v>3.73</v>
      </c>
      <c r="F140" s="134" t="s">
        <v>5477</v>
      </c>
      <c r="G140" s="134" t="s">
        <v>3007</v>
      </c>
      <c r="H140" s="123">
        <v>7129</v>
      </c>
    </row>
    <row r="141" spans="1:8" x14ac:dyDescent="0.25">
      <c r="A141" s="134" t="s">
        <v>10905</v>
      </c>
      <c r="B141" s="134" t="s">
        <v>10918</v>
      </c>
      <c r="C141" s="134" t="s">
        <v>10917</v>
      </c>
      <c r="D141" s="134" t="s">
        <v>4933</v>
      </c>
      <c r="E141" s="139">
        <v>2.91</v>
      </c>
      <c r="F141" s="134" t="s">
        <v>4932</v>
      </c>
      <c r="G141" s="134" t="s">
        <v>3007</v>
      </c>
      <c r="H141" s="123">
        <v>7130</v>
      </c>
    </row>
    <row r="142" spans="1:8" x14ac:dyDescent="0.25">
      <c r="A142" s="134" t="s">
        <v>10905</v>
      </c>
      <c r="B142" s="134" t="s">
        <v>10916</v>
      </c>
      <c r="C142" s="134" t="s">
        <v>10915</v>
      </c>
      <c r="D142" s="134" t="s">
        <v>5116</v>
      </c>
      <c r="E142" s="139">
        <v>13.6</v>
      </c>
      <c r="F142" s="134" t="s">
        <v>5115</v>
      </c>
      <c r="G142" s="134" t="s">
        <v>3007</v>
      </c>
      <c r="H142" s="123">
        <v>7131</v>
      </c>
    </row>
    <row r="143" spans="1:8" x14ac:dyDescent="0.25">
      <c r="A143" s="134" t="s">
        <v>10905</v>
      </c>
      <c r="B143" s="134" t="s">
        <v>10914</v>
      </c>
      <c r="C143" s="134" t="s">
        <v>10913</v>
      </c>
      <c r="D143" s="134" t="s">
        <v>9725</v>
      </c>
      <c r="E143" s="139">
        <v>3.91</v>
      </c>
      <c r="F143" s="134" t="s">
        <v>9724</v>
      </c>
      <c r="G143" s="134" t="s">
        <v>3007</v>
      </c>
      <c r="H143" s="123">
        <v>7132</v>
      </c>
    </row>
    <row r="144" spans="1:8" x14ac:dyDescent="0.25">
      <c r="A144" s="134" t="s">
        <v>10905</v>
      </c>
      <c r="B144" s="134" t="s">
        <v>9635</v>
      </c>
      <c r="C144" s="134" t="s">
        <v>10912</v>
      </c>
      <c r="D144" s="134" t="s">
        <v>9222</v>
      </c>
      <c r="E144" s="139">
        <v>3.42</v>
      </c>
      <c r="F144" s="134" t="s">
        <v>9221</v>
      </c>
      <c r="G144" s="134" t="s">
        <v>3007</v>
      </c>
      <c r="H144" s="123">
        <v>7133</v>
      </c>
    </row>
    <row r="145" spans="1:8" x14ac:dyDescent="0.25">
      <c r="A145" s="134" t="s">
        <v>10905</v>
      </c>
      <c r="B145" s="134" t="s">
        <v>10911</v>
      </c>
      <c r="C145" s="134" t="s">
        <v>10910</v>
      </c>
      <c r="D145" s="134" t="s">
        <v>3038</v>
      </c>
      <c r="E145" s="139">
        <v>26.74</v>
      </c>
      <c r="F145" s="134" t="s">
        <v>3037</v>
      </c>
      <c r="G145" s="134" t="s">
        <v>3007</v>
      </c>
      <c r="H145" s="123">
        <v>7134</v>
      </c>
    </row>
    <row r="146" spans="1:8" x14ac:dyDescent="0.25">
      <c r="A146" s="134" t="s">
        <v>10905</v>
      </c>
      <c r="B146" s="134" t="s">
        <v>10909</v>
      </c>
      <c r="C146" s="134" t="s">
        <v>10908</v>
      </c>
      <c r="D146" s="134" t="s">
        <v>4425</v>
      </c>
      <c r="E146" s="139">
        <v>16.54</v>
      </c>
      <c r="F146" s="134" t="s">
        <v>4424</v>
      </c>
      <c r="G146" s="134" t="s">
        <v>3007</v>
      </c>
      <c r="H146" s="123">
        <v>7135</v>
      </c>
    </row>
    <row r="147" spans="1:8" x14ac:dyDescent="0.25">
      <c r="A147" s="134" t="s">
        <v>10905</v>
      </c>
      <c r="B147" s="134" t="s">
        <v>10907</v>
      </c>
      <c r="C147" s="134" t="s">
        <v>10906</v>
      </c>
      <c r="D147" s="134" t="s">
        <v>5206</v>
      </c>
      <c r="E147" s="139">
        <v>13.26</v>
      </c>
      <c r="F147" s="134" t="s">
        <v>5205</v>
      </c>
      <c r="G147" s="134" t="s">
        <v>3007</v>
      </c>
      <c r="H147" s="123">
        <v>7136</v>
      </c>
    </row>
    <row r="148" spans="1:8" x14ac:dyDescent="0.25">
      <c r="A148" s="134" t="s">
        <v>10905</v>
      </c>
      <c r="B148" s="134" t="s">
        <v>10904</v>
      </c>
      <c r="C148" s="134" t="s">
        <v>10903</v>
      </c>
      <c r="D148" s="134" t="s">
        <v>8578</v>
      </c>
      <c r="E148" s="139">
        <v>9.06</v>
      </c>
      <c r="F148" s="134" t="s">
        <v>8577</v>
      </c>
      <c r="G148" s="134" t="s">
        <v>3007</v>
      </c>
      <c r="H148" s="123">
        <v>7137</v>
      </c>
    </row>
    <row r="149" spans="1:8" x14ac:dyDescent="0.25">
      <c r="A149" s="134" t="s">
        <v>10863</v>
      </c>
      <c r="B149" s="134" t="s">
        <v>10902</v>
      </c>
      <c r="C149" s="134" t="s">
        <v>10901</v>
      </c>
      <c r="D149" s="134" t="s">
        <v>9114</v>
      </c>
      <c r="E149" s="139">
        <v>5.43</v>
      </c>
      <c r="F149" s="134" t="s">
        <v>9113</v>
      </c>
      <c r="G149" s="134" t="s">
        <v>3007</v>
      </c>
      <c r="H149" s="123">
        <v>7165</v>
      </c>
    </row>
    <row r="150" spans="1:8" x14ac:dyDescent="0.25">
      <c r="A150" s="134" t="s">
        <v>10863</v>
      </c>
      <c r="B150" s="134" t="s">
        <v>10900</v>
      </c>
      <c r="C150" s="134" t="s">
        <v>10899</v>
      </c>
      <c r="D150" s="134" t="s">
        <v>10898</v>
      </c>
      <c r="E150" s="139">
        <v>2.59</v>
      </c>
      <c r="F150" s="134" t="s">
        <v>4135</v>
      </c>
      <c r="G150" s="134" t="s">
        <v>3007</v>
      </c>
      <c r="H150" s="123">
        <v>7166</v>
      </c>
    </row>
    <row r="151" spans="1:8" x14ac:dyDescent="0.25">
      <c r="A151" s="134" t="s">
        <v>10863</v>
      </c>
      <c r="B151" s="134" t="s">
        <v>10897</v>
      </c>
      <c r="C151" s="134" t="s">
        <v>10896</v>
      </c>
      <c r="D151" s="134" t="s">
        <v>4139</v>
      </c>
      <c r="E151" s="139">
        <v>11.19</v>
      </c>
      <c r="F151" s="134" t="s">
        <v>4135</v>
      </c>
      <c r="G151" s="134" t="s">
        <v>3007</v>
      </c>
      <c r="H151" s="123">
        <v>7168</v>
      </c>
    </row>
    <row r="152" spans="1:8" x14ac:dyDescent="0.25">
      <c r="A152" s="134" t="s">
        <v>10863</v>
      </c>
      <c r="B152" s="134" t="s">
        <v>10895</v>
      </c>
      <c r="C152" s="134" t="s">
        <v>10894</v>
      </c>
      <c r="D152" s="134" t="s">
        <v>4136</v>
      </c>
      <c r="E152" s="139">
        <v>11.21</v>
      </c>
      <c r="F152" s="134" t="s">
        <v>4135</v>
      </c>
      <c r="G152" s="134" t="s">
        <v>3007</v>
      </c>
      <c r="H152" s="123">
        <v>7167</v>
      </c>
    </row>
    <row r="153" spans="1:8" x14ac:dyDescent="0.25">
      <c r="A153" s="134" t="s">
        <v>10863</v>
      </c>
      <c r="B153" s="134" t="s">
        <v>10893</v>
      </c>
      <c r="C153" s="134" t="s">
        <v>10892</v>
      </c>
      <c r="D153" s="134" t="s">
        <v>5500</v>
      </c>
      <c r="E153" s="139">
        <v>7.04</v>
      </c>
      <c r="F153" s="134" t="s">
        <v>5499</v>
      </c>
      <c r="G153" s="134" t="s">
        <v>3007</v>
      </c>
      <c r="H153" s="123">
        <v>7169</v>
      </c>
    </row>
    <row r="154" spans="1:8" x14ac:dyDescent="0.25">
      <c r="A154" s="134" t="s">
        <v>10863</v>
      </c>
      <c r="B154" s="134" t="s">
        <v>10891</v>
      </c>
      <c r="C154" s="134" t="s">
        <v>10890</v>
      </c>
      <c r="D154" s="134" t="s">
        <v>10889</v>
      </c>
      <c r="E154" s="139">
        <v>6.27</v>
      </c>
      <c r="F154" s="134" t="s">
        <v>10888</v>
      </c>
      <c r="G154" s="134" t="s">
        <v>3007</v>
      </c>
      <c r="H154" s="123">
        <v>7170</v>
      </c>
    </row>
    <row r="155" spans="1:8" x14ac:dyDescent="0.25">
      <c r="A155" s="134" t="s">
        <v>10863</v>
      </c>
      <c r="B155" s="134" t="s">
        <v>10887</v>
      </c>
      <c r="C155" s="134" t="s">
        <v>10886</v>
      </c>
      <c r="D155" s="134" t="s">
        <v>4392</v>
      </c>
      <c r="E155" s="139">
        <v>15.95</v>
      </c>
      <c r="F155" s="134" t="s">
        <v>4391</v>
      </c>
      <c r="G155" s="134" t="s">
        <v>3007</v>
      </c>
      <c r="H155" s="123">
        <v>7171</v>
      </c>
    </row>
    <row r="156" spans="1:8" x14ac:dyDescent="0.25">
      <c r="A156" s="134" t="s">
        <v>10863</v>
      </c>
      <c r="B156" s="134" t="s">
        <v>10885</v>
      </c>
      <c r="C156" s="134" t="s">
        <v>10884</v>
      </c>
      <c r="D156" s="134" t="s">
        <v>4763</v>
      </c>
      <c r="E156" s="139">
        <v>12.21</v>
      </c>
      <c r="F156" s="134" t="s">
        <v>4762</v>
      </c>
      <c r="G156" s="134" t="s">
        <v>3007</v>
      </c>
      <c r="H156" s="123">
        <v>7172</v>
      </c>
    </row>
    <row r="157" spans="1:8" x14ac:dyDescent="0.25">
      <c r="A157" s="134" t="s">
        <v>10863</v>
      </c>
      <c r="B157" s="134" t="s">
        <v>10883</v>
      </c>
      <c r="C157" s="134" t="s">
        <v>10882</v>
      </c>
      <c r="D157" s="134" t="s">
        <v>4925</v>
      </c>
      <c r="E157" s="139">
        <v>3.07</v>
      </c>
      <c r="F157" s="134" t="s">
        <v>4924</v>
      </c>
      <c r="G157" s="134" t="s">
        <v>3007</v>
      </c>
      <c r="H157" s="123">
        <v>7173</v>
      </c>
    </row>
    <row r="158" spans="1:8" x14ac:dyDescent="0.25">
      <c r="A158" s="134" t="s">
        <v>10863</v>
      </c>
      <c r="B158" s="134" t="s">
        <v>10881</v>
      </c>
      <c r="C158" s="134" t="s">
        <v>10880</v>
      </c>
      <c r="D158" s="134" t="s">
        <v>3534</v>
      </c>
      <c r="E158" s="139">
        <v>17.91</v>
      </c>
      <c r="F158" s="134" t="s">
        <v>3533</v>
      </c>
      <c r="G158" s="134" t="s">
        <v>3007</v>
      </c>
      <c r="H158" s="123">
        <v>7174</v>
      </c>
    </row>
    <row r="159" spans="1:8" x14ac:dyDescent="0.25">
      <c r="A159" s="134" t="s">
        <v>10863</v>
      </c>
      <c r="B159" s="134" t="s">
        <v>10879</v>
      </c>
      <c r="C159" s="134" t="s">
        <v>10878</v>
      </c>
      <c r="D159" s="134" t="s">
        <v>5431</v>
      </c>
      <c r="E159" s="139">
        <v>6.23</v>
      </c>
      <c r="F159" s="134" t="s">
        <v>5430</v>
      </c>
      <c r="G159" s="134" t="s">
        <v>3007</v>
      </c>
      <c r="H159" s="123">
        <v>7175</v>
      </c>
    </row>
    <row r="160" spans="1:8" x14ac:dyDescent="0.25">
      <c r="A160" s="134" t="s">
        <v>10863</v>
      </c>
      <c r="B160" s="134" t="s">
        <v>10877</v>
      </c>
      <c r="C160" s="134" t="s">
        <v>10876</v>
      </c>
      <c r="D160" s="134" t="s">
        <v>4574</v>
      </c>
      <c r="E160" s="139">
        <v>10.48</v>
      </c>
      <c r="F160" s="134" t="s">
        <v>4573</v>
      </c>
      <c r="G160" s="134" t="s">
        <v>3007</v>
      </c>
      <c r="H160" s="123">
        <v>7179</v>
      </c>
    </row>
    <row r="161" spans="1:8" x14ac:dyDescent="0.25">
      <c r="A161" s="134" t="s">
        <v>10863</v>
      </c>
      <c r="B161" s="134" t="s">
        <v>10875</v>
      </c>
      <c r="C161" s="134" t="s">
        <v>10874</v>
      </c>
      <c r="D161" s="134" t="s">
        <v>9254</v>
      </c>
      <c r="E161" s="139">
        <v>10.1</v>
      </c>
      <c r="F161" s="134" t="s">
        <v>9253</v>
      </c>
      <c r="G161" s="134" t="s">
        <v>3007</v>
      </c>
      <c r="H161" s="123">
        <v>7182</v>
      </c>
    </row>
    <row r="162" spans="1:8" x14ac:dyDescent="0.25">
      <c r="A162" s="134" t="s">
        <v>10863</v>
      </c>
      <c r="B162" s="134" t="s">
        <v>10873</v>
      </c>
      <c r="C162" s="134" t="s">
        <v>10872</v>
      </c>
      <c r="D162" s="134" t="s">
        <v>4317</v>
      </c>
      <c r="E162" s="139">
        <v>2</v>
      </c>
      <c r="F162" s="134" t="s">
        <v>4316</v>
      </c>
      <c r="G162" s="134" t="s">
        <v>3007</v>
      </c>
      <c r="H162" s="123">
        <v>7185</v>
      </c>
    </row>
    <row r="163" spans="1:8" x14ac:dyDescent="0.25">
      <c r="A163" s="134" t="s">
        <v>10863</v>
      </c>
      <c r="B163" s="134" t="s">
        <v>10871</v>
      </c>
      <c r="C163" s="134" t="s">
        <v>10870</v>
      </c>
      <c r="D163" s="134" t="s">
        <v>4737</v>
      </c>
      <c r="E163" s="139">
        <v>8.5399999999999991</v>
      </c>
      <c r="F163" s="134" t="s">
        <v>4736</v>
      </c>
      <c r="G163" s="134" t="s">
        <v>3007</v>
      </c>
      <c r="H163" s="123">
        <v>7186</v>
      </c>
    </row>
    <row r="164" spans="1:8" x14ac:dyDescent="0.25">
      <c r="A164" s="134" t="s">
        <v>10863</v>
      </c>
      <c r="B164" s="134" t="s">
        <v>10869</v>
      </c>
      <c r="C164" s="134" t="s">
        <v>10868</v>
      </c>
      <c r="D164" s="134" t="s">
        <v>10867</v>
      </c>
      <c r="E164" s="139">
        <v>24.65</v>
      </c>
      <c r="F164" s="134" t="s">
        <v>10866</v>
      </c>
      <c r="G164" s="134" t="s">
        <v>3007</v>
      </c>
      <c r="H164" s="123">
        <v>7187</v>
      </c>
    </row>
    <row r="165" spans="1:8" x14ac:dyDescent="0.25">
      <c r="A165" s="134" t="s">
        <v>10863</v>
      </c>
      <c r="B165" s="134" t="s">
        <v>10865</v>
      </c>
      <c r="C165" s="134" t="s">
        <v>10864</v>
      </c>
      <c r="D165" s="134" t="s">
        <v>5044</v>
      </c>
      <c r="E165" s="139">
        <v>12.36</v>
      </c>
      <c r="F165" s="134" t="s">
        <v>5043</v>
      </c>
      <c r="G165" s="134" t="s">
        <v>3007</v>
      </c>
      <c r="H165" s="123">
        <v>7188</v>
      </c>
    </row>
    <row r="166" spans="1:8" x14ac:dyDescent="0.25">
      <c r="A166" s="134" t="s">
        <v>10863</v>
      </c>
      <c r="B166" s="134" t="s">
        <v>10862</v>
      </c>
      <c r="C166" s="134" t="s">
        <v>10861</v>
      </c>
      <c r="D166" s="134" t="s">
        <v>5313</v>
      </c>
      <c r="E166" s="139">
        <v>1.88</v>
      </c>
      <c r="F166" s="134" t="s">
        <v>5312</v>
      </c>
      <c r="G166" s="134" t="s">
        <v>3007</v>
      </c>
      <c r="H166" s="123">
        <v>7189</v>
      </c>
    </row>
    <row r="167" spans="1:8" x14ac:dyDescent="0.25">
      <c r="A167" s="134" t="s">
        <v>10814</v>
      </c>
      <c r="B167" s="134" t="s">
        <v>10860</v>
      </c>
      <c r="C167" s="134" t="s">
        <v>10859</v>
      </c>
      <c r="D167" s="134" t="s">
        <v>10858</v>
      </c>
      <c r="E167" s="139">
        <v>9.4600000000000009</v>
      </c>
      <c r="F167" s="134" t="s">
        <v>10857</v>
      </c>
      <c r="G167" s="134" t="s">
        <v>3007</v>
      </c>
      <c r="H167" s="123">
        <v>7203</v>
      </c>
    </row>
    <row r="168" spans="1:8" x14ac:dyDescent="0.25">
      <c r="A168" s="134" t="s">
        <v>10814</v>
      </c>
      <c r="B168" s="134" t="s">
        <v>10856</v>
      </c>
      <c r="C168" s="134" t="s">
        <v>10855</v>
      </c>
      <c r="D168" s="134" t="s">
        <v>3381</v>
      </c>
      <c r="E168" s="139">
        <v>8.15</v>
      </c>
      <c r="F168" s="134" t="s">
        <v>3380</v>
      </c>
      <c r="G168" s="134" t="s">
        <v>3007</v>
      </c>
      <c r="H168" s="123">
        <v>7204</v>
      </c>
    </row>
    <row r="169" spans="1:8" x14ac:dyDescent="0.25">
      <c r="A169" s="134" t="s">
        <v>10814</v>
      </c>
      <c r="B169" s="134" t="s">
        <v>10854</v>
      </c>
      <c r="C169" s="134" t="s">
        <v>10853</v>
      </c>
      <c r="D169" s="134" t="s">
        <v>4587</v>
      </c>
      <c r="E169" s="139">
        <v>16.73</v>
      </c>
      <c r="F169" s="134" t="s">
        <v>4586</v>
      </c>
      <c r="G169" s="134" t="s">
        <v>3007</v>
      </c>
      <c r="H169" s="123">
        <v>7205</v>
      </c>
    </row>
    <row r="170" spans="1:8" x14ac:dyDescent="0.25">
      <c r="A170" s="134" t="s">
        <v>10814</v>
      </c>
      <c r="B170" s="134" t="s">
        <v>10852</v>
      </c>
      <c r="C170" s="134" t="s">
        <v>10851</v>
      </c>
      <c r="D170" s="134" t="s">
        <v>10850</v>
      </c>
      <c r="E170" s="139">
        <v>11.06</v>
      </c>
      <c r="F170" s="134" t="s">
        <v>10849</v>
      </c>
      <c r="G170" s="134" t="s">
        <v>3007</v>
      </c>
      <c r="H170" s="123">
        <v>7206</v>
      </c>
    </row>
    <row r="171" spans="1:8" x14ac:dyDescent="0.25">
      <c r="A171" s="134" t="s">
        <v>10814</v>
      </c>
      <c r="B171" s="134" t="s">
        <v>10848</v>
      </c>
      <c r="C171" s="134" t="s">
        <v>10847</v>
      </c>
      <c r="D171" s="134" t="s">
        <v>6037</v>
      </c>
      <c r="E171" s="139">
        <v>8.5</v>
      </c>
      <c r="F171" s="134" t="s">
        <v>6036</v>
      </c>
      <c r="G171" s="134" t="s">
        <v>3007</v>
      </c>
      <c r="H171" s="123">
        <v>7207</v>
      </c>
    </row>
    <row r="172" spans="1:8" x14ac:dyDescent="0.25">
      <c r="A172" s="134" t="s">
        <v>10814</v>
      </c>
      <c r="B172" s="134" t="s">
        <v>10846</v>
      </c>
      <c r="C172" s="134" t="s">
        <v>10845</v>
      </c>
      <c r="D172" s="134" t="s">
        <v>3361</v>
      </c>
      <c r="E172" s="139">
        <v>5.25</v>
      </c>
      <c r="F172" s="134" t="s">
        <v>3360</v>
      </c>
      <c r="G172" s="134" t="s">
        <v>3007</v>
      </c>
      <c r="H172" s="123">
        <v>7208</v>
      </c>
    </row>
    <row r="173" spans="1:8" x14ac:dyDescent="0.25">
      <c r="A173" s="134" t="s">
        <v>10814</v>
      </c>
      <c r="B173" s="134" t="s">
        <v>10844</v>
      </c>
      <c r="C173" s="134" t="s">
        <v>10843</v>
      </c>
      <c r="D173" s="134" t="s">
        <v>3158</v>
      </c>
      <c r="E173" s="139">
        <v>8.67</v>
      </c>
      <c r="F173" s="134" t="s">
        <v>3157</v>
      </c>
      <c r="G173" s="134" t="s">
        <v>3007</v>
      </c>
      <c r="H173" s="123">
        <v>7209</v>
      </c>
    </row>
    <row r="174" spans="1:8" x14ac:dyDescent="0.25">
      <c r="A174" s="134" t="s">
        <v>10814</v>
      </c>
      <c r="B174" s="134" t="s">
        <v>10842</v>
      </c>
      <c r="C174" s="134" t="s">
        <v>10841</v>
      </c>
      <c r="D174" s="134" t="s">
        <v>5350</v>
      </c>
      <c r="E174" s="139">
        <v>9.33</v>
      </c>
      <c r="F174" s="134" t="s">
        <v>5349</v>
      </c>
      <c r="G174" s="134" t="s">
        <v>3007</v>
      </c>
      <c r="H174" s="123">
        <v>7210</v>
      </c>
    </row>
    <row r="175" spans="1:8" x14ac:dyDescent="0.25">
      <c r="A175" s="134" t="s">
        <v>10814</v>
      </c>
      <c r="B175" s="134" t="s">
        <v>10840</v>
      </c>
      <c r="C175" s="134" t="s">
        <v>10839</v>
      </c>
      <c r="D175" s="134" t="s">
        <v>5439</v>
      </c>
      <c r="E175" s="139">
        <v>65.34</v>
      </c>
      <c r="F175" s="134" t="s">
        <v>5438</v>
      </c>
      <c r="G175" s="134" t="s">
        <v>3007</v>
      </c>
      <c r="H175" s="123">
        <v>7211</v>
      </c>
    </row>
    <row r="176" spans="1:8" x14ac:dyDescent="0.25">
      <c r="A176" s="134" t="s">
        <v>10814</v>
      </c>
      <c r="B176" s="134" t="s">
        <v>10838</v>
      </c>
      <c r="C176" s="134" t="s">
        <v>10837</v>
      </c>
      <c r="D176" s="134" t="s">
        <v>4384</v>
      </c>
      <c r="E176" s="139">
        <v>5.25</v>
      </c>
      <c r="F176" s="134" t="s">
        <v>4383</v>
      </c>
      <c r="G176" s="134" t="s">
        <v>3007</v>
      </c>
      <c r="H176" s="123">
        <v>7212</v>
      </c>
    </row>
    <row r="177" spans="1:8" x14ac:dyDescent="0.25">
      <c r="A177" s="134" t="s">
        <v>10814</v>
      </c>
      <c r="B177" s="134" t="s">
        <v>10836</v>
      </c>
      <c r="C177" s="134" t="s">
        <v>10835</v>
      </c>
      <c r="D177" s="134" t="s">
        <v>7119</v>
      </c>
      <c r="E177" s="139">
        <v>62.95</v>
      </c>
      <c r="F177" s="134" t="s">
        <v>7118</v>
      </c>
      <c r="G177" s="134" t="s">
        <v>3007</v>
      </c>
      <c r="H177" s="123">
        <v>7213</v>
      </c>
    </row>
    <row r="178" spans="1:8" x14ac:dyDescent="0.25">
      <c r="A178" s="134" t="s">
        <v>10814</v>
      </c>
      <c r="B178" s="134" t="s">
        <v>10834</v>
      </c>
      <c r="C178" s="134" t="s">
        <v>10833</v>
      </c>
      <c r="D178" s="134" t="s">
        <v>4685</v>
      </c>
      <c r="E178" s="139">
        <v>9.31</v>
      </c>
      <c r="F178" s="134" t="s">
        <v>4684</v>
      </c>
      <c r="G178" s="134" t="s">
        <v>3007</v>
      </c>
      <c r="H178" s="123">
        <v>7214</v>
      </c>
    </row>
    <row r="179" spans="1:8" x14ac:dyDescent="0.25">
      <c r="A179" s="134" t="s">
        <v>10814</v>
      </c>
      <c r="B179" s="134" t="s">
        <v>10832</v>
      </c>
      <c r="C179" s="134" t="s">
        <v>10831</v>
      </c>
      <c r="D179" s="134" t="s">
        <v>4552</v>
      </c>
      <c r="E179" s="139">
        <v>36.14</v>
      </c>
      <c r="F179" s="134" t="s">
        <v>4551</v>
      </c>
      <c r="G179" s="134" t="s">
        <v>3007</v>
      </c>
      <c r="H179" s="123">
        <v>7215</v>
      </c>
    </row>
    <row r="180" spans="1:8" x14ac:dyDescent="0.25">
      <c r="A180" s="134" t="s">
        <v>10814</v>
      </c>
      <c r="B180" s="134" t="s">
        <v>10830</v>
      </c>
      <c r="C180" s="134" t="s">
        <v>10829</v>
      </c>
      <c r="D180" s="134" t="s">
        <v>3969</v>
      </c>
      <c r="E180" s="139">
        <v>7.38</v>
      </c>
      <c r="F180" s="134" t="s">
        <v>3968</v>
      </c>
      <c r="G180" s="134" t="s">
        <v>3007</v>
      </c>
      <c r="H180" s="123">
        <v>7216</v>
      </c>
    </row>
    <row r="181" spans="1:8" x14ac:dyDescent="0.25">
      <c r="A181" s="134" t="s">
        <v>10814</v>
      </c>
      <c r="B181" s="134" t="s">
        <v>9723</v>
      </c>
      <c r="C181" s="134" t="s">
        <v>10828</v>
      </c>
      <c r="D181" s="134" t="s">
        <v>10827</v>
      </c>
      <c r="E181" s="139">
        <v>1.39</v>
      </c>
      <c r="F181" s="134" t="s">
        <v>10826</v>
      </c>
      <c r="G181" s="134" t="s">
        <v>3007</v>
      </c>
      <c r="H181" s="123">
        <v>7217</v>
      </c>
    </row>
    <row r="182" spans="1:8" x14ac:dyDescent="0.25">
      <c r="A182" s="134" t="s">
        <v>10814</v>
      </c>
      <c r="B182" s="134" t="s">
        <v>9974</v>
      </c>
      <c r="C182" s="134" t="s">
        <v>10825</v>
      </c>
      <c r="D182" s="134" t="s">
        <v>10824</v>
      </c>
      <c r="E182" s="139">
        <v>5.04</v>
      </c>
      <c r="F182" s="134" t="s">
        <v>10817</v>
      </c>
      <c r="G182" s="134" t="s">
        <v>3007</v>
      </c>
      <c r="H182" s="123">
        <v>7220</v>
      </c>
    </row>
    <row r="183" spans="1:8" x14ac:dyDescent="0.25">
      <c r="A183" s="134" t="s">
        <v>10814</v>
      </c>
      <c r="B183" s="134" t="s">
        <v>10823</v>
      </c>
      <c r="C183" s="134" t="s">
        <v>10822</v>
      </c>
      <c r="D183" s="134" t="s">
        <v>10821</v>
      </c>
      <c r="E183" s="139">
        <v>6.41</v>
      </c>
      <c r="F183" s="134" t="s">
        <v>10817</v>
      </c>
      <c r="G183" s="134" t="s">
        <v>3007</v>
      </c>
      <c r="H183" s="123">
        <v>7218</v>
      </c>
    </row>
    <row r="184" spans="1:8" x14ac:dyDescent="0.25">
      <c r="A184" s="134" t="s">
        <v>10814</v>
      </c>
      <c r="B184" s="134" t="s">
        <v>10820</v>
      </c>
      <c r="C184" s="134" t="s">
        <v>10819</v>
      </c>
      <c r="D184" s="134" t="s">
        <v>10818</v>
      </c>
      <c r="E184" s="139">
        <v>6.52</v>
      </c>
      <c r="F184" s="134" t="s">
        <v>10817</v>
      </c>
      <c r="G184" s="134" t="s">
        <v>3007</v>
      </c>
      <c r="H184" s="123">
        <v>7219</v>
      </c>
    </row>
    <row r="185" spans="1:8" x14ac:dyDescent="0.25">
      <c r="A185" s="134" t="s">
        <v>10814</v>
      </c>
      <c r="B185" s="134" t="s">
        <v>10816</v>
      </c>
      <c r="C185" s="134" t="s">
        <v>10815</v>
      </c>
      <c r="D185" s="134" t="s">
        <v>8227</v>
      </c>
      <c r="E185" s="139">
        <v>9.99</v>
      </c>
      <c r="F185" s="134" t="s">
        <v>8226</v>
      </c>
      <c r="G185" s="134" t="s">
        <v>3007</v>
      </c>
      <c r="H185" s="123">
        <v>7221</v>
      </c>
    </row>
    <row r="186" spans="1:8" x14ac:dyDescent="0.25">
      <c r="A186" s="134" t="s">
        <v>10814</v>
      </c>
      <c r="B186" s="134" t="s">
        <v>10813</v>
      </c>
      <c r="C186" s="134" t="s">
        <v>10812</v>
      </c>
      <c r="D186" s="134" t="s">
        <v>3812</v>
      </c>
      <c r="E186" s="139">
        <v>17.8</v>
      </c>
      <c r="F186" s="134" t="s">
        <v>3811</v>
      </c>
      <c r="G186" s="134" t="s">
        <v>3007</v>
      </c>
      <c r="H186" s="123">
        <v>7222</v>
      </c>
    </row>
    <row r="187" spans="1:8" s="200" customFormat="1" x14ac:dyDescent="0.25">
      <c r="A187" s="198"/>
      <c r="B187" s="198"/>
      <c r="C187" s="198" t="s">
        <v>5691</v>
      </c>
      <c r="D187" s="198" t="s">
        <v>14408</v>
      </c>
      <c r="E187" s="199">
        <f>SUM(E3:E186)</f>
        <v>2233.1099999999988</v>
      </c>
      <c r="F187" s="198"/>
      <c r="G187" s="198"/>
      <c r="H187" s="172"/>
    </row>
    <row r="188" spans="1:8" s="195" customFormat="1" ht="32.25" thickBot="1" x14ac:dyDescent="0.3">
      <c r="A188" s="193"/>
      <c r="B188" s="193"/>
      <c r="C188" s="193" t="s">
        <v>14410</v>
      </c>
      <c r="D188" s="193"/>
      <c r="E188" s="197">
        <v>-69.39</v>
      </c>
      <c r="F188" s="193"/>
      <c r="G188" s="193"/>
      <c r="H188" s="123"/>
    </row>
    <row r="189" spans="1:8" s="195" customFormat="1" x14ac:dyDescent="0.25">
      <c r="A189" s="193"/>
      <c r="B189" s="193"/>
      <c r="C189" s="193" t="s">
        <v>5691</v>
      </c>
      <c r="D189" s="193"/>
      <c r="E189" s="196">
        <f>SUM(E187:E188)</f>
        <v>2163.7199999999989</v>
      </c>
      <c r="F189" s="193"/>
      <c r="G189" s="193"/>
      <c r="H189" s="123"/>
    </row>
    <row r="190" spans="1:8" s="195" customFormat="1" x14ac:dyDescent="0.25">
      <c r="A190" s="193"/>
      <c r="B190" s="193"/>
      <c r="C190" s="193"/>
      <c r="D190" s="193"/>
      <c r="E190" s="196"/>
      <c r="F190" s="193"/>
      <c r="G190" s="193"/>
      <c r="H190" s="123"/>
    </row>
    <row r="191" spans="1:8" x14ac:dyDescent="0.25">
      <c r="A191" s="224" t="s">
        <v>10783</v>
      </c>
      <c r="B191" s="224" t="s">
        <v>10811</v>
      </c>
      <c r="C191" s="224" t="s">
        <v>10810</v>
      </c>
      <c r="D191" s="224" t="s">
        <v>10809</v>
      </c>
      <c r="E191" s="225">
        <v>4.1500000000000004</v>
      </c>
      <c r="F191" s="224" t="s">
        <v>10808</v>
      </c>
      <c r="G191" s="224" t="s">
        <v>3007</v>
      </c>
      <c r="H191" s="123">
        <v>7246</v>
      </c>
    </row>
    <row r="192" spans="1:8" x14ac:dyDescent="0.25">
      <c r="A192" s="224" t="s">
        <v>10783</v>
      </c>
      <c r="B192" s="224" t="s">
        <v>10807</v>
      </c>
      <c r="C192" s="224" t="s">
        <v>10806</v>
      </c>
      <c r="D192" s="224" t="s">
        <v>7191</v>
      </c>
      <c r="E192" s="225">
        <v>3.53</v>
      </c>
      <c r="F192" s="224" t="s">
        <v>7190</v>
      </c>
      <c r="G192" s="224" t="s">
        <v>3007</v>
      </c>
      <c r="H192" s="123">
        <v>7247</v>
      </c>
    </row>
    <row r="193" spans="1:8" x14ac:dyDescent="0.25">
      <c r="A193" s="224" t="s">
        <v>10783</v>
      </c>
      <c r="B193" s="224" t="s">
        <v>10805</v>
      </c>
      <c r="C193" s="224" t="s">
        <v>10804</v>
      </c>
      <c r="D193" s="224" t="s">
        <v>3546</v>
      </c>
      <c r="E193" s="225">
        <v>17.27</v>
      </c>
      <c r="F193" s="224" t="s">
        <v>3545</v>
      </c>
      <c r="G193" s="224" t="s">
        <v>3007</v>
      </c>
      <c r="H193" s="123">
        <v>7248</v>
      </c>
    </row>
    <row r="194" spans="1:8" x14ac:dyDescent="0.25">
      <c r="A194" s="224" t="s">
        <v>10783</v>
      </c>
      <c r="B194" s="224" t="s">
        <v>10803</v>
      </c>
      <c r="C194" s="224" t="s">
        <v>10802</v>
      </c>
      <c r="D194" s="224" t="s">
        <v>3615</v>
      </c>
      <c r="E194" s="225">
        <v>6.36</v>
      </c>
      <c r="F194" s="224" t="s">
        <v>3614</v>
      </c>
      <c r="G194" s="224" t="s">
        <v>3007</v>
      </c>
      <c r="H194" s="123" t="s">
        <v>10801</v>
      </c>
    </row>
    <row r="195" spans="1:8" x14ac:dyDescent="0.25">
      <c r="A195" s="224" t="s">
        <v>10783</v>
      </c>
      <c r="B195" s="224" t="s">
        <v>7655</v>
      </c>
      <c r="C195" s="224" t="s">
        <v>10800</v>
      </c>
      <c r="D195" s="224" t="s">
        <v>10799</v>
      </c>
      <c r="E195" s="225">
        <v>9.18</v>
      </c>
      <c r="F195" s="224" t="s">
        <v>10798</v>
      </c>
      <c r="G195" s="224" t="s">
        <v>3007</v>
      </c>
      <c r="H195" s="123">
        <v>7249</v>
      </c>
    </row>
    <row r="196" spans="1:8" x14ac:dyDescent="0.25">
      <c r="A196" s="224" t="s">
        <v>10783</v>
      </c>
      <c r="B196" s="224" t="s">
        <v>10797</v>
      </c>
      <c r="C196" s="224" t="s">
        <v>10796</v>
      </c>
      <c r="D196" s="224" t="s">
        <v>5638</v>
      </c>
      <c r="E196" s="225">
        <v>5.73</v>
      </c>
      <c r="F196" s="224" t="s">
        <v>5637</v>
      </c>
      <c r="G196" s="224" t="s">
        <v>3007</v>
      </c>
      <c r="H196" s="123">
        <v>7250</v>
      </c>
    </row>
    <row r="197" spans="1:8" x14ac:dyDescent="0.25">
      <c r="A197" s="224" t="s">
        <v>10783</v>
      </c>
      <c r="B197" s="224" t="s">
        <v>10795</v>
      </c>
      <c r="C197" s="224" t="s">
        <v>10794</v>
      </c>
      <c r="D197" s="224" t="s">
        <v>3207</v>
      </c>
      <c r="E197" s="225">
        <v>1.9</v>
      </c>
      <c r="F197" s="224" t="s">
        <v>3206</v>
      </c>
      <c r="G197" s="224" t="s">
        <v>3007</v>
      </c>
      <c r="H197" s="123">
        <v>7251</v>
      </c>
    </row>
    <row r="198" spans="1:8" x14ac:dyDescent="0.25">
      <c r="A198" s="224" t="s">
        <v>10783</v>
      </c>
      <c r="B198" s="224" t="s">
        <v>10793</v>
      </c>
      <c r="C198" s="224" t="s">
        <v>10792</v>
      </c>
      <c r="D198" s="224" t="s">
        <v>9932</v>
      </c>
      <c r="E198" s="225">
        <v>1.68</v>
      </c>
      <c r="F198" s="224" t="s">
        <v>9931</v>
      </c>
      <c r="G198" s="224" t="s">
        <v>3007</v>
      </c>
      <c r="H198" s="123">
        <v>7252</v>
      </c>
    </row>
    <row r="199" spans="1:8" x14ac:dyDescent="0.25">
      <c r="A199" s="224" t="s">
        <v>10783</v>
      </c>
      <c r="B199" s="224" t="s">
        <v>10791</v>
      </c>
      <c r="C199" s="224" t="s">
        <v>10790</v>
      </c>
      <c r="D199" s="224" t="s">
        <v>6765</v>
      </c>
      <c r="E199" s="225">
        <v>24.6</v>
      </c>
      <c r="F199" s="224" t="s">
        <v>6764</v>
      </c>
      <c r="G199" s="224" t="s">
        <v>3007</v>
      </c>
      <c r="H199" s="123">
        <v>7253</v>
      </c>
    </row>
    <row r="200" spans="1:8" x14ac:dyDescent="0.25">
      <c r="A200" s="224" t="s">
        <v>10783</v>
      </c>
      <c r="B200" s="224" t="s">
        <v>10789</v>
      </c>
      <c r="C200" s="224" t="s">
        <v>10788</v>
      </c>
      <c r="D200" s="224" t="s">
        <v>8307</v>
      </c>
      <c r="E200" s="225">
        <v>5.74</v>
      </c>
      <c r="F200" s="224" t="s">
        <v>8306</v>
      </c>
      <c r="G200" s="224" t="s">
        <v>3007</v>
      </c>
      <c r="H200" s="123">
        <v>7254</v>
      </c>
    </row>
    <row r="201" spans="1:8" x14ac:dyDescent="0.25">
      <c r="A201" s="224" t="s">
        <v>10783</v>
      </c>
      <c r="B201" s="224" t="s">
        <v>10787</v>
      </c>
      <c r="C201" s="224" t="s">
        <v>10786</v>
      </c>
      <c r="D201" s="224" t="s">
        <v>4741</v>
      </c>
      <c r="E201" s="225">
        <v>12.48</v>
      </c>
      <c r="F201" s="224" t="s">
        <v>4740</v>
      </c>
      <c r="G201" s="224" t="s">
        <v>3007</v>
      </c>
      <c r="H201" s="123">
        <v>7255</v>
      </c>
    </row>
    <row r="202" spans="1:8" x14ac:dyDescent="0.25">
      <c r="A202" s="224" t="s">
        <v>10783</v>
      </c>
      <c r="B202" s="224" t="s">
        <v>10785</v>
      </c>
      <c r="C202" s="224" t="s">
        <v>10784</v>
      </c>
      <c r="D202" s="224" t="s">
        <v>5983</v>
      </c>
      <c r="E202" s="225">
        <v>0.5</v>
      </c>
      <c r="F202" s="224" t="s">
        <v>5982</v>
      </c>
      <c r="G202" s="224" t="s">
        <v>3007</v>
      </c>
      <c r="H202" s="123">
        <v>7256</v>
      </c>
    </row>
    <row r="203" spans="1:8" x14ac:dyDescent="0.25">
      <c r="A203" s="224" t="s">
        <v>10783</v>
      </c>
      <c r="B203" s="224" t="s">
        <v>10656</v>
      </c>
      <c r="C203" s="224" t="s">
        <v>10782</v>
      </c>
      <c r="D203" s="224" t="s">
        <v>3660</v>
      </c>
      <c r="E203" s="225">
        <v>10.45</v>
      </c>
      <c r="F203" s="224" t="s">
        <v>3659</v>
      </c>
      <c r="G203" s="224" t="s">
        <v>3007</v>
      </c>
      <c r="H203" s="123">
        <v>7257</v>
      </c>
    </row>
    <row r="204" spans="1:8" s="200" customFormat="1" x14ac:dyDescent="0.25">
      <c r="A204" s="198"/>
      <c r="B204" s="198"/>
      <c r="C204" s="198" t="s">
        <v>5691</v>
      </c>
      <c r="D204" s="198" t="s">
        <v>14409</v>
      </c>
      <c r="E204" s="199">
        <f>SUM(E191:E203)</f>
        <v>103.57000000000001</v>
      </c>
      <c r="F204" s="198"/>
      <c r="G204" s="198"/>
      <c r="H204" s="172"/>
    </row>
    <row r="205" spans="1:8" s="200" customFormat="1" x14ac:dyDescent="0.25">
      <c r="A205" s="198"/>
      <c r="B205" s="198"/>
      <c r="C205" s="198"/>
      <c r="D205" s="198"/>
      <c r="E205" s="199"/>
      <c r="F205" s="198"/>
      <c r="G205" s="198"/>
      <c r="H205" s="172"/>
    </row>
    <row r="206" spans="1:8" x14ac:dyDescent="0.25">
      <c r="A206" s="134" t="s">
        <v>10763</v>
      </c>
      <c r="B206" s="134" t="s">
        <v>10781</v>
      </c>
      <c r="C206" s="134" t="s">
        <v>10780</v>
      </c>
      <c r="D206" s="134" t="s">
        <v>5388</v>
      </c>
      <c r="E206" s="139">
        <v>5.95</v>
      </c>
      <c r="F206" s="134" t="s">
        <v>5387</v>
      </c>
      <c r="G206" s="134" t="s">
        <v>3007</v>
      </c>
      <c r="H206" s="123">
        <v>7283</v>
      </c>
    </row>
    <row r="207" spans="1:8" x14ac:dyDescent="0.25">
      <c r="A207" s="134" t="s">
        <v>10763</v>
      </c>
      <c r="B207" s="134" t="s">
        <v>10779</v>
      </c>
      <c r="C207" s="134" t="s">
        <v>10778</v>
      </c>
      <c r="D207" s="134" t="s">
        <v>8007</v>
      </c>
      <c r="E207" s="139">
        <v>4.3499999999999996</v>
      </c>
      <c r="F207" s="134" t="s">
        <v>8006</v>
      </c>
      <c r="G207" s="134" t="s">
        <v>3007</v>
      </c>
      <c r="H207" s="123">
        <v>7284</v>
      </c>
    </row>
    <row r="208" spans="1:8" x14ac:dyDescent="0.25">
      <c r="A208" s="134" t="s">
        <v>10763</v>
      </c>
      <c r="B208" s="134" t="s">
        <v>10777</v>
      </c>
      <c r="C208" s="134" t="s">
        <v>10776</v>
      </c>
      <c r="D208" s="134" t="s">
        <v>4465</v>
      </c>
      <c r="E208" s="139">
        <v>6.66</v>
      </c>
      <c r="F208" s="134" t="s">
        <v>4464</v>
      </c>
      <c r="G208" s="134" t="s">
        <v>3007</v>
      </c>
      <c r="H208" s="123">
        <v>7285</v>
      </c>
    </row>
    <row r="209" spans="1:8" x14ac:dyDescent="0.25">
      <c r="A209" s="134" t="s">
        <v>10763</v>
      </c>
      <c r="B209" s="134" t="s">
        <v>10775</v>
      </c>
      <c r="C209" s="134" t="s">
        <v>10774</v>
      </c>
      <c r="D209" s="134" t="s">
        <v>4362</v>
      </c>
      <c r="E209" s="139">
        <v>2.88</v>
      </c>
      <c r="F209" s="134" t="s">
        <v>4361</v>
      </c>
      <c r="G209" s="134" t="s">
        <v>3007</v>
      </c>
      <c r="H209" s="123">
        <v>7286</v>
      </c>
    </row>
    <row r="210" spans="1:8" x14ac:dyDescent="0.25">
      <c r="A210" s="134" t="s">
        <v>10763</v>
      </c>
      <c r="B210" s="134" t="s">
        <v>10773</v>
      </c>
      <c r="C210" s="134" t="s">
        <v>10772</v>
      </c>
      <c r="D210" s="134" t="s">
        <v>3563</v>
      </c>
      <c r="E210" s="139">
        <v>20.82</v>
      </c>
      <c r="F210" s="134" t="s">
        <v>3562</v>
      </c>
      <c r="G210" s="134" t="s">
        <v>3007</v>
      </c>
      <c r="H210" s="123">
        <v>7287</v>
      </c>
    </row>
    <row r="211" spans="1:8" x14ac:dyDescent="0.25">
      <c r="A211" s="134" t="s">
        <v>10763</v>
      </c>
      <c r="B211" s="134" t="s">
        <v>10771</v>
      </c>
      <c r="C211" s="134" t="s">
        <v>10770</v>
      </c>
      <c r="D211" s="134" t="s">
        <v>4859</v>
      </c>
      <c r="E211" s="139">
        <v>7.82</v>
      </c>
      <c r="F211" s="134" t="s">
        <v>4854</v>
      </c>
      <c r="G211" s="134" t="s">
        <v>3007</v>
      </c>
      <c r="H211" s="123">
        <v>7288</v>
      </c>
    </row>
    <row r="212" spans="1:8" x14ac:dyDescent="0.25">
      <c r="A212" s="134" t="s">
        <v>10763</v>
      </c>
      <c r="B212" s="134" t="s">
        <v>10769</v>
      </c>
      <c r="C212" s="134" t="s">
        <v>10768</v>
      </c>
      <c r="D212" s="134" t="s">
        <v>4855</v>
      </c>
      <c r="E212" s="139">
        <v>12.8</v>
      </c>
      <c r="F212" s="134" t="s">
        <v>4854</v>
      </c>
      <c r="G212" s="134" t="s">
        <v>3007</v>
      </c>
      <c r="H212" s="123">
        <v>7289</v>
      </c>
    </row>
    <row r="213" spans="1:8" x14ac:dyDescent="0.25">
      <c r="A213" s="134" t="s">
        <v>10763</v>
      </c>
      <c r="B213" s="134" t="s">
        <v>10767</v>
      </c>
      <c r="C213" s="134" t="s">
        <v>10766</v>
      </c>
      <c r="D213" s="134" t="s">
        <v>3373</v>
      </c>
      <c r="E213" s="139">
        <v>13.42</v>
      </c>
      <c r="F213" s="134" t="s">
        <v>3372</v>
      </c>
      <c r="G213" s="134" t="s">
        <v>3007</v>
      </c>
      <c r="H213" s="123">
        <v>7290</v>
      </c>
    </row>
    <row r="214" spans="1:8" x14ac:dyDescent="0.25">
      <c r="A214" s="134" t="s">
        <v>10763</v>
      </c>
      <c r="B214" s="134" t="s">
        <v>10765</v>
      </c>
      <c r="C214" s="134" t="s">
        <v>10764</v>
      </c>
      <c r="D214" s="134" t="s">
        <v>5002</v>
      </c>
      <c r="E214" s="139">
        <v>8.56</v>
      </c>
      <c r="F214" s="134" t="s">
        <v>5001</v>
      </c>
      <c r="G214" s="134" t="s">
        <v>3007</v>
      </c>
      <c r="H214" s="123">
        <v>7291</v>
      </c>
    </row>
    <row r="215" spans="1:8" x14ac:dyDescent="0.25">
      <c r="A215" s="134" t="s">
        <v>10763</v>
      </c>
      <c r="B215" s="134" t="s">
        <v>10762</v>
      </c>
      <c r="C215" s="134" t="s">
        <v>10761</v>
      </c>
      <c r="D215" s="134" t="s">
        <v>10760</v>
      </c>
      <c r="E215" s="139">
        <v>5.04</v>
      </c>
      <c r="F215" s="134" t="s">
        <v>10759</v>
      </c>
      <c r="G215" s="134" t="s">
        <v>3007</v>
      </c>
      <c r="H215" s="123">
        <v>7292</v>
      </c>
    </row>
    <row r="216" spans="1:8" x14ac:dyDescent="0.25">
      <c r="A216" s="134" t="s">
        <v>10744</v>
      </c>
      <c r="B216" s="134" t="s">
        <v>10758</v>
      </c>
      <c r="C216" s="134" t="s">
        <v>10757</v>
      </c>
      <c r="D216" s="134" t="s">
        <v>10756</v>
      </c>
      <c r="E216" s="139">
        <v>5.2</v>
      </c>
      <c r="F216" s="134" t="s">
        <v>10755</v>
      </c>
      <c r="G216" s="134" t="s">
        <v>3007</v>
      </c>
      <c r="H216" s="123">
        <v>7293</v>
      </c>
    </row>
    <row r="217" spans="1:8" x14ac:dyDescent="0.25">
      <c r="A217" s="134" t="s">
        <v>10744</v>
      </c>
      <c r="B217" s="134" t="s">
        <v>10754</v>
      </c>
      <c r="C217" s="134" t="s">
        <v>10753</v>
      </c>
      <c r="D217" s="134" t="s">
        <v>6683</v>
      </c>
      <c r="E217" s="139">
        <v>7.55</v>
      </c>
      <c r="F217" s="134" t="s">
        <v>6682</v>
      </c>
      <c r="G217" s="134" t="s">
        <v>3007</v>
      </c>
      <c r="H217" s="123">
        <v>7294</v>
      </c>
    </row>
    <row r="218" spans="1:8" x14ac:dyDescent="0.25">
      <c r="A218" s="134" t="s">
        <v>10744</v>
      </c>
      <c r="B218" s="134" t="s">
        <v>10752</v>
      </c>
      <c r="C218" s="134" t="s">
        <v>10751</v>
      </c>
      <c r="D218" s="134" t="s">
        <v>3369</v>
      </c>
      <c r="E218" s="139">
        <v>4.79</v>
      </c>
      <c r="F218" s="134" t="s">
        <v>3368</v>
      </c>
      <c r="G218" s="134" t="s">
        <v>3007</v>
      </c>
      <c r="H218" s="123">
        <v>7295</v>
      </c>
    </row>
    <row r="219" spans="1:8" x14ac:dyDescent="0.25">
      <c r="A219" s="134" t="s">
        <v>10744</v>
      </c>
      <c r="B219" s="134" t="s">
        <v>10750</v>
      </c>
      <c r="C219" s="134" t="s">
        <v>10749</v>
      </c>
      <c r="D219" s="134" t="s">
        <v>7019</v>
      </c>
      <c r="E219" s="139">
        <v>12.38</v>
      </c>
      <c r="F219" s="134" t="s">
        <v>7018</v>
      </c>
      <c r="G219" s="134" t="s">
        <v>3007</v>
      </c>
      <c r="H219" s="123">
        <v>7296</v>
      </c>
    </row>
    <row r="220" spans="1:8" x14ac:dyDescent="0.25">
      <c r="A220" s="134" t="s">
        <v>10744</v>
      </c>
      <c r="B220" s="134" t="s">
        <v>10748</v>
      </c>
      <c r="C220" s="134" t="s">
        <v>10747</v>
      </c>
      <c r="D220" s="134" t="s">
        <v>8759</v>
      </c>
      <c r="E220" s="139">
        <v>8.23</v>
      </c>
      <c r="F220" s="134" t="s">
        <v>8758</v>
      </c>
      <c r="G220" s="134" t="s">
        <v>3007</v>
      </c>
      <c r="H220" s="123">
        <v>7297</v>
      </c>
    </row>
    <row r="221" spans="1:8" x14ac:dyDescent="0.25">
      <c r="A221" s="134" t="s">
        <v>10744</v>
      </c>
      <c r="B221" s="134" t="s">
        <v>10746</v>
      </c>
      <c r="C221" s="134" t="s">
        <v>10745</v>
      </c>
      <c r="D221" s="134" t="s">
        <v>6651</v>
      </c>
      <c r="E221" s="139">
        <v>6.86</v>
      </c>
      <c r="F221" s="134" t="s">
        <v>6650</v>
      </c>
      <c r="G221" s="134" t="s">
        <v>3007</v>
      </c>
      <c r="H221" s="123">
        <v>7298</v>
      </c>
    </row>
    <row r="222" spans="1:8" x14ac:dyDescent="0.25">
      <c r="A222" s="134" t="s">
        <v>10744</v>
      </c>
      <c r="B222" s="134" t="s">
        <v>10743</v>
      </c>
      <c r="C222" s="134" t="s">
        <v>10742</v>
      </c>
      <c r="D222" s="134" t="s">
        <v>4073</v>
      </c>
      <c r="E222" s="139">
        <v>2.15</v>
      </c>
      <c r="F222" s="134" t="s">
        <v>4072</v>
      </c>
      <c r="G222" s="134" t="s">
        <v>3007</v>
      </c>
      <c r="H222" s="123">
        <v>7299</v>
      </c>
    </row>
    <row r="223" spans="1:8" x14ac:dyDescent="0.25">
      <c r="A223" s="134" t="s">
        <v>10737</v>
      </c>
      <c r="B223" s="134" t="s">
        <v>10741</v>
      </c>
      <c r="C223" s="134" t="s">
        <v>10740</v>
      </c>
      <c r="D223" s="134" t="s">
        <v>4979</v>
      </c>
      <c r="E223" s="139">
        <v>37</v>
      </c>
      <c r="F223" s="134" t="s">
        <v>4978</v>
      </c>
      <c r="G223" s="134" t="s">
        <v>3007</v>
      </c>
      <c r="H223" s="123">
        <v>7309</v>
      </c>
    </row>
    <row r="224" spans="1:8" x14ac:dyDescent="0.25">
      <c r="A224" s="134" t="s">
        <v>10737</v>
      </c>
      <c r="B224" s="134" t="s">
        <v>10739</v>
      </c>
      <c r="C224" s="134" t="s">
        <v>10738</v>
      </c>
      <c r="D224" s="134" t="s">
        <v>8958</v>
      </c>
      <c r="E224" s="139">
        <v>7.64</v>
      </c>
      <c r="F224" s="134" t="s">
        <v>8957</v>
      </c>
      <c r="G224" s="134" t="s">
        <v>3007</v>
      </c>
      <c r="H224" s="123">
        <v>7310</v>
      </c>
    </row>
    <row r="225" spans="1:8" x14ac:dyDescent="0.25">
      <c r="A225" s="134" t="s">
        <v>10737</v>
      </c>
      <c r="B225" s="134" t="s">
        <v>10736</v>
      </c>
      <c r="C225" s="134" t="s">
        <v>10735</v>
      </c>
      <c r="D225" s="134" t="s">
        <v>3276</v>
      </c>
      <c r="E225" s="139">
        <v>3.56</v>
      </c>
      <c r="F225" s="134" t="s">
        <v>3275</v>
      </c>
      <c r="G225" s="134" t="s">
        <v>3007</v>
      </c>
      <c r="H225" s="123">
        <v>7311</v>
      </c>
    </row>
    <row r="226" spans="1:8" x14ac:dyDescent="0.25">
      <c r="A226" s="134" t="s">
        <v>10685</v>
      </c>
      <c r="B226" s="134" t="s">
        <v>10734</v>
      </c>
      <c r="C226" s="134" t="s">
        <v>10733</v>
      </c>
      <c r="D226" s="134" t="s">
        <v>4787</v>
      </c>
      <c r="E226" s="139">
        <v>8.6999999999999993</v>
      </c>
      <c r="F226" s="134" t="s">
        <v>4786</v>
      </c>
      <c r="G226" s="134" t="s">
        <v>3007</v>
      </c>
      <c r="H226" s="123">
        <v>7332</v>
      </c>
    </row>
    <row r="227" spans="1:8" x14ac:dyDescent="0.25">
      <c r="A227" s="134" t="s">
        <v>10685</v>
      </c>
      <c r="B227" s="134" t="s">
        <v>10732</v>
      </c>
      <c r="C227" s="134" t="s">
        <v>10731</v>
      </c>
      <c r="D227" s="134" t="s">
        <v>10730</v>
      </c>
      <c r="E227" s="139">
        <v>10</v>
      </c>
      <c r="F227" s="134" t="s">
        <v>10729</v>
      </c>
      <c r="G227" s="134" t="s">
        <v>3007</v>
      </c>
      <c r="H227" s="123">
        <v>7333</v>
      </c>
    </row>
    <row r="228" spans="1:8" x14ac:dyDescent="0.25">
      <c r="A228" s="134" t="s">
        <v>10685</v>
      </c>
      <c r="B228" s="134" t="s">
        <v>10728</v>
      </c>
      <c r="C228" s="134" t="s">
        <v>10727</v>
      </c>
      <c r="D228" s="134" t="s">
        <v>10726</v>
      </c>
      <c r="E228" s="139">
        <v>2.15</v>
      </c>
      <c r="F228" s="134" t="s">
        <v>10725</v>
      </c>
      <c r="G228" s="134" t="s">
        <v>3007</v>
      </c>
      <c r="H228" s="123">
        <v>7334</v>
      </c>
    </row>
    <row r="229" spans="1:8" x14ac:dyDescent="0.25">
      <c r="A229" s="134" t="s">
        <v>10685</v>
      </c>
      <c r="B229" s="134" t="s">
        <v>10724</v>
      </c>
      <c r="C229" s="134" t="s">
        <v>10723</v>
      </c>
      <c r="D229" s="134" t="s">
        <v>10722</v>
      </c>
      <c r="E229" s="139">
        <v>6.03</v>
      </c>
      <c r="F229" s="134" t="s">
        <v>10721</v>
      </c>
      <c r="G229" s="134" t="s">
        <v>3007</v>
      </c>
      <c r="H229" s="123">
        <v>7335</v>
      </c>
    </row>
    <row r="230" spans="1:8" x14ac:dyDescent="0.25">
      <c r="A230" s="134" t="s">
        <v>10685</v>
      </c>
      <c r="B230" s="134" t="s">
        <v>10720</v>
      </c>
      <c r="C230" s="134" t="s">
        <v>10719</v>
      </c>
      <c r="D230" s="134" t="s">
        <v>8589</v>
      </c>
      <c r="E230" s="139">
        <v>3.94</v>
      </c>
      <c r="F230" s="134" t="s">
        <v>8588</v>
      </c>
      <c r="G230" s="134" t="s">
        <v>3007</v>
      </c>
      <c r="H230" s="123">
        <v>7336</v>
      </c>
    </row>
    <row r="231" spans="1:8" x14ac:dyDescent="0.25">
      <c r="A231" s="134" t="s">
        <v>10685</v>
      </c>
      <c r="B231" s="134" t="s">
        <v>10718</v>
      </c>
      <c r="C231" s="134" t="s">
        <v>10717</v>
      </c>
      <c r="D231" s="134" t="s">
        <v>10716</v>
      </c>
      <c r="E231" s="139">
        <v>8.3800000000000008</v>
      </c>
      <c r="F231" s="134" t="s">
        <v>10715</v>
      </c>
      <c r="G231" s="134" t="s">
        <v>3007</v>
      </c>
      <c r="H231" s="123">
        <v>7337</v>
      </c>
    </row>
    <row r="232" spans="1:8" x14ac:dyDescent="0.25">
      <c r="A232" s="134" t="s">
        <v>10685</v>
      </c>
      <c r="B232" s="134" t="s">
        <v>10714</v>
      </c>
      <c r="C232" s="134" t="s">
        <v>10713</v>
      </c>
      <c r="D232" s="134" t="s">
        <v>6567</v>
      </c>
      <c r="E232" s="139">
        <v>15.89</v>
      </c>
      <c r="F232" s="134" t="s">
        <v>6566</v>
      </c>
      <c r="G232" s="134" t="s">
        <v>3007</v>
      </c>
      <c r="H232" s="123">
        <v>7338</v>
      </c>
    </row>
    <row r="233" spans="1:8" x14ac:dyDescent="0.25">
      <c r="A233" s="134" t="s">
        <v>10685</v>
      </c>
      <c r="B233" s="134" t="s">
        <v>10712</v>
      </c>
      <c r="C233" s="134" t="s">
        <v>10711</v>
      </c>
      <c r="D233" s="134" t="s">
        <v>10710</v>
      </c>
      <c r="E233" s="139">
        <v>30.57</v>
      </c>
      <c r="F233" s="134" t="s">
        <v>10709</v>
      </c>
      <c r="G233" s="134" t="s">
        <v>3007</v>
      </c>
      <c r="H233" s="123">
        <v>7339</v>
      </c>
    </row>
    <row r="234" spans="1:8" x14ac:dyDescent="0.25">
      <c r="A234" s="134" t="s">
        <v>10685</v>
      </c>
      <c r="B234" s="134" t="s">
        <v>10708</v>
      </c>
      <c r="C234" s="134" t="s">
        <v>10707</v>
      </c>
      <c r="D234" s="134" t="s">
        <v>4354</v>
      </c>
      <c r="E234" s="139">
        <v>1.86</v>
      </c>
      <c r="F234" s="134" t="s">
        <v>4353</v>
      </c>
      <c r="G234" s="134" t="s">
        <v>3007</v>
      </c>
      <c r="H234" s="123">
        <v>7340</v>
      </c>
    </row>
    <row r="235" spans="1:8" x14ac:dyDescent="0.25">
      <c r="A235" s="134" t="s">
        <v>10685</v>
      </c>
      <c r="B235" s="134" t="s">
        <v>10706</v>
      </c>
      <c r="C235" s="134" t="s">
        <v>10705</v>
      </c>
      <c r="D235" s="134" t="s">
        <v>4477</v>
      </c>
      <c r="E235" s="139">
        <v>1.71</v>
      </c>
      <c r="F235" s="134" t="s">
        <v>4476</v>
      </c>
      <c r="G235" s="134" t="s">
        <v>3007</v>
      </c>
      <c r="H235" s="123">
        <v>7341</v>
      </c>
    </row>
    <row r="236" spans="1:8" x14ac:dyDescent="0.25">
      <c r="A236" s="134" t="s">
        <v>10685</v>
      </c>
      <c r="B236" s="134" t="s">
        <v>10704</v>
      </c>
      <c r="C236" s="134" t="s">
        <v>10703</v>
      </c>
      <c r="D236" s="134" t="s">
        <v>4480</v>
      </c>
      <c r="E236" s="139">
        <v>8.27</v>
      </c>
      <c r="F236" s="134" t="s">
        <v>4476</v>
      </c>
      <c r="G236" s="134" t="s">
        <v>3007</v>
      </c>
      <c r="H236" s="123">
        <v>7342</v>
      </c>
    </row>
    <row r="237" spans="1:8" x14ac:dyDescent="0.25">
      <c r="A237" s="134" t="s">
        <v>10685</v>
      </c>
      <c r="B237" s="134" t="s">
        <v>10702</v>
      </c>
      <c r="C237" s="134" t="s">
        <v>10701</v>
      </c>
      <c r="D237" s="134" t="s">
        <v>7107</v>
      </c>
      <c r="E237" s="139">
        <v>28.57</v>
      </c>
      <c r="F237" s="134" t="s">
        <v>7106</v>
      </c>
      <c r="G237" s="134" t="s">
        <v>3007</v>
      </c>
      <c r="H237" s="123">
        <v>7343</v>
      </c>
    </row>
    <row r="238" spans="1:8" x14ac:dyDescent="0.25">
      <c r="A238" s="134" t="s">
        <v>10685</v>
      </c>
      <c r="B238" s="134" t="s">
        <v>10700</v>
      </c>
      <c r="C238" s="134" t="s">
        <v>10699</v>
      </c>
      <c r="D238" s="134" t="s">
        <v>10698</v>
      </c>
      <c r="E238" s="139">
        <v>13.8</v>
      </c>
      <c r="F238" s="134" t="s">
        <v>10697</v>
      </c>
      <c r="G238" s="134" t="s">
        <v>3007</v>
      </c>
      <c r="H238" s="123">
        <v>7344</v>
      </c>
    </row>
    <row r="239" spans="1:8" x14ac:dyDescent="0.25">
      <c r="A239" s="134" t="s">
        <v>10685</v>
      </c>
      <c r="B239" s="134" t="s">
        <v>9304</v>
      </c>
      <c r="C239" s="134" t="s">
        <v>10696</v>
      </c>
      <c r="D239" s="134" t="s">
        <v>10695</v>
      </c>
      <c r="E239" s="139">
        <v>11.72</v>
      </c>
      <c r="F239" s="134" t="s">
        <v>10694</v>
      </c>
      <c r="G239" s="134" t="s">
        <v>3007</v>
      </c>
      <c r="H239" s="123">
        <v>7345</v>
      </c>
    </row>
    <row r="240" spans="1:8" x14ac:dyDescent="0.25">
      <c r="A240" s="134" t="s">
        <v>10685</v>
      </c>
      <c r="B240" s="134" t="s">
        <v>10693</v>
      </c>
      <c r="C240" s="134" t="s">
        <v>10692</v>
      </c>
      <c r="D240" s="134" t="s">
        <v>5646</v>
      </c>
      <c r="E240" s="139">
        <v>2.2799999999999998</v>
      </c>
      <c r="F240" s="134" t="s">
        <v>5645</v>
      </c>
      <c r="G240" s="134" t="s">
        <v>3007</v>
      </c>
      <c r="H240" s="123">
        <v>7346</v>
      </c>
    </row>
    <row r="241" spans="1:8" x14ac:dyDescent="0.25">
      <c r="A241" s="134" t="s">
        <v>10685</v>
      </c>
      <c r="B241" s="134" t="s">
        <v>10691</v>
      </c>
      <c r="C241" s="134" t="s">
        <v>10690</v>
      </c>
      <c r="D241" s="134" t="s">
        <v>5198</v>
      </c>
      <c r="E241" s="139">
        <v>0.56999999999999995</v>
      </c>
      <c r="F241" s="134" t="s">
        <v>5197</v>
      </c>
      <c r="G241" s="134" t="s">
        <v>3007</v>
      </c>
      <c r="H241" s="123">
        <v>7347</v>
      </c>
    </row>
    <row r="242" spans="1:8" x14ac:dyDescent="0.25">
      <c r="A242" s="134" t="s">
        <v>10685</v>
      </c>
      <c r="B242" s="134" t="s">
        <v>10689</v>
      </c>
      <c r="C242" s="134" t="s">
        <v>10688</v>
      </c>
      <c r="D242" s="134" t="s">
        <v>3219</v>
      </c>
      <c r="E242" s="139">
        <v>2.0699999999999998</v>
      </c>
      <c r="F242" s="134" t="s">
        <v>3218</v>
      </c>
      <c r="G242" s="134" t="s">
        <v>3007</v>
      </c>
      <c r="H242" s="123">
        <v>7348</v>
      </c>
    </row>
    <row r="243" spans="1:8" x14ac:dyDescent="0.25">
      <c r="A243" s="134" t="s">
        <v>10685</v>
      </c>
      <c r="B243" s="134" t="s">
        <v>10687</v>
      </c>
      <c r="C243" s="134" t="s">
        <v>10686</v>
      </c>
      <c r="D243" s="134" t="s">
        <v>3235</v>
      </c>
      <c r="E243" s="139">
        <v>2.48</v>
      </c>
      <c r="F243" s="134" t="s">
        <v>3234</v>
      </c>
      <c r="G243" s="134" t="s">
        <v>3007</v>
      </c>
      <c r="H243" s="123">
        <v>7349</v>
      </c>
    </row>
    <row r="244" spans="1:8" x14ac:dyDescent="0.25">
      <c r="A244" s="134" t="s">
        <v>10685</v>
      </c>
      <c r="B244" s="134" t="s">
        <v>10684</v>
      </c>
      <c r="C244" s="134" t="s">
        <v>10683</v>
      </c>
      <c r="D244" s="134" t="s">
        <v>10682</v>
      </c>
      <c r="E244" s="139">
        <v>20.78</v>
      </c>
      <c r="F244" s="134" t="s">
        <v>10681</v>
      </c>
      <c r="G244" s="134" t="s">
        <v>3007</v>
      </c>
      <c r="H244" s="123">
        <v>7350</v>
      </c>
    </row>
    <row r="245" spans="1:8" x14ac:dyDescent="0.25">
      <c r="A245" s="134" t="s">
        <v>10652</v>
      </c>
      <c r="B245" s="134" t="s">
        <v>10680</v>
      </c>
      <c r="C245" s="134" t="s">
        <v>10679</v>
      </c>
      <c r="D245" s="134" t="s">
        <v>5626</v>
      </c>
      <c r="E245" s="139">
        <v>11.83</v>
      </c>
      <c r="F245" s="134" t="s">
        <v>5625</v>
      </c>
      <c r="G245" s="134" t="s">
        <v>3007</v>
      </c>
      <c r="H245" s="123">
        <v>7372</v>
      </c>
    </row>
    <row r="246" spans="1:8" x14ac:dyDescent="0.25">
      <c r="A246" s="134" t="s">
        <v>10652</v>
      </c>
      <c r="B246" s="134" t="s">
        <v>10678</v>
      </c>
      <c r="C246" s="134" t="s">
        <v>10677</v>
      </c>
      <c r="D246" s="134" t="s">
        <v>8724</v>
      </c>
      <c r="E246" s="139">
        <v>11.04</v>
      </c>
      <c r="F246" s="134" t="s">
        <v>8723</v>
      </c>
      <c r="G246" s="134" t="s">
        <v>3007</v>
      </c>
      <c r="H246" s="123">
        <v>7373</v>
      </c>
    </row>
    <row r="247" spans="1:8" x14ac:dyDescent="0.25">
      <c r="A247" s="134" t="s">
        <v>10652</v>
      </c>
      <c r="B247" s="134" t="s">
        <v>10676</v>
      </c>
      <c r="C247" s="134" t="s">
        <v>10675</v>
      </c>
      <c r="D247" s="134" t="s">
        <v>4771</v>
      </c>
      <c r="E247" s="139">
        <v>5.01</v>
      </c>
      <c r="F247" s="134" t="s">
        <v>4770</v>
      </c>
      <c r="G247" s="134" t="s">
        <v>3007</v>
      </c>
      <c r="H247" s="123">
        <v>7374</v>
      </c>
    </row>
    <row r="248" spans="1:8" x14ac:dyDescent="0.25">
      <c r="A248" s="134" t="s">
        <v>10652</v>
      </c>
      <c r="B248" s="134" t="s">
        <v>10674</v>
      </c>
      <c r="C248" s="134" t="s">
        <v>10673</v>
      </c>
      <c r="D248" s="134" t="s">
        <v>4540</v>
      </c>
      <c r="E248" s="139">
        <v>17.32</v>
      </c>
      <c r="F248" s="134" t="s">
        <v>4539</v>
      </c>
      <c r="G248" s="134" t="s">
        <v>3007</v>
      </c>
      <c r="H248" s="123">
        <v>7375</v>
      </c>
    </row>
    <row r="249" spans="1:8" x14ac:dyDescent="0.25">
      <c r="A249" s="134" t="s">
        <v>10652</v>
      </c>
      <c r="B249" s="134" t="s">
        <v>10672</v>
      </c>
      <c r="C249" s="134" t="s">
        <v>10671</v>
      </c>
      <c r="D249" s="134" t="s">
        <v>7218</v>
      </c>
      <c r="E249" s="139">
        <v>3.53</v>
      </c>
      <c r="F249" s="134" t="s">
        <v>7217</v>
      </c>
      <c r="G249" s="134" t="s">
        <v>3007</v>
      </c>
      <c r="H249" s="123">
        <v>7376</v>
      </c>
    </row>
    <row r="250" spans="1:8" x14ac:dyDescent="0.25">
      <c r="A250" s="134" t="s">
        <v>10652</v>
      </c>
      <c r="B250" s="134" t="s">
        <v>10670</v>
      </c>
      <c r="C250" s="134" t="s">
        <v>10669</v>
      </c>
      <c r="D250" s="134" t="s">
        <v>10668</v>
      </c>
      <c r="E250" s="139">
        <v>7.86</v>
      </c>
      <c r="F250" s="134" t="s">
        <v>10667</v>
      </c>
      <c r="G250" s="134" t="s">
        <v>3007</v>
      </c>
      <c r="H250" s="123">
        <v>7377</v>
      </c>
    </row>
    <row r="251" spans="1:8" x14ac:dyDescent="0.25">
      <c r="A251" s="134" t="s">
        <v>10652</v>
      </c>
      <c r="B251" s="134" t="s">
        <v>10666</v>
      </c>
      <c r="C251" s="134" t="s">
        <v>10665</v>
      </c>
      <c r="D251" s="134" t="s">
        <v>5558</v>
      </c>
      <c r="E251" s="139">
        <v>5.92</v>
      </c>
      <c r="F251" s="134" t="s">
        <v>5557</v>
      </c>
      <c r="G251" s="134" t="s">
        <v>3007</v>
      </c>
      <c r="H251" s="123">
        <v>7378</v>
      </c>
    </row>
    <row r="252" spans="1:8" x14ac:dyDescent="0.25">
      <c r="A252" s="134" t="s">
        <v>10652</v>
      </c>
      <c r="B252" s="134" t="s">
        <v>10664</v>
      </c>
      <c r="C252" s="134" t="s">
        <v>10663</v>
      </c>
      <c r="D252" s="134" t="s">
        <v>5554</v>
      </c>
      <c r="E252" s="139">
        <v>8.34</v>
      </c>
      <c r="F252" s="134" t="s">
        <v>5553</v>
      </c>
      <c r="G252" s="134" t="s">
        <v>3007</v>
      </c>
      <c r="H252" s="123">
        <v>7379</v>
      </c>
    </row>
    <row r="253" spans="1:8" x14ac:dyDescent="0.25">
      <c r="A253" s="134" t="s">
        <v>10652</v>
      </c>
      <c r="B253" s="134" t="s">
        <v>10662</v>
      </c>
      <c r="C253" s="134" t="s">
        <v>10661</v>
      </c>
      <c r="D253" s="134" t="s">
        <v>8299</v>
      </c>
      <c r="E253" s="139">
        <v>25.14</v>
      </c>
      <c r="F253" s="134" t="s">
        <v>8298</v>
      </c>
      <c r="G253" s="134" t="s">
        <v>3007</v>
      </c>
      <c r="H253" s="123">
        <v>7380</v>
      </c>
    </row>
    <row r="254" spans="1:8" x14ac:dyDescent="0.25">
      <c r="A254" s="134" t="s">
        <v>10652</v>
      </c>
      <c r="B254" s="134" t="s">
        <v>10660</v>
      </c>
      <c r="C254" s="134" t="s">
        <v>10659</v>
      </c>
      <c r="D254" s="134" t="s">
        <v>10658</v>
      </c>
      <c r="E254" s="139">
        <v>5.24</v>
      </c>
      <c r="F254" s="134" t="s">
        <v>10657</v>
      </c>
      <c r="G254" s="134" t="s">
        <v>3007</v>
      </c>
      <c r="H254" s="123">
        <v>7381</v>
      </c>
    </row>
    <row r="255" spans="1:8" x14ac:dyDescent="0.25">
      <c r="A255" s="134" t="s">
        <v>10652</v>
      </c>
      <c r="B255" s="134" t="s">
        <v>10656</v>
      </c>
      <c r="C255" s="134" t="s">
        <v>10655</v>
      </c>
      <c r="D255" s="134" t="s">
        <v>7248</v>
      </c>
      <c r="E255" s="139">
        <v>10.18</v>
      </c>
      <c r="F255" s="134" t="s">
        <v>7247</v>
      </c>
      <c r="G255" s="134" t="s">
        <v>3007</v>
      </c>
      <c r="H255" s="123">
        <v>7382</v>
      </c>
    </row>
    <row r="256" spans="1:8" x14ac:dyDescent="0.25">
      <c r="A256" s="134" t="s">
        <v>10652</v>
      </c>
      <c r="B256" s="134" t="s">
        <v>10654</v>
      </c>
      <c r="C256" s="134" t="s">
        <v>10653</v>
      </c>
      <c r="D256" s="134" t="s">
        <v>3896</v>
      </c>
      <c r="E256" s="139">
        <v>9.0500000000000007</v>
      </c>
      <c r="F256" s="134" t="s">
        <v>3895</v>
      </c>
      <c r="G256" s="134" t="s">
        <v>3007</v>
      </c>
      <c r="H256" s="123">
        <v>7383</v>
      </c>
    </row>
    <row r="257" spans="1:8" x14ac:dyDescent="0.25">
      <c r="A257" s="134" t="s">
        <v>10652</v>
      </c>
      <c r="B257" s="134" t="s">
        <v>10651</v>
      </c>
      <c r="C257" s="134" t="s">
        <v>10650</v>
      </c>
      <c r="D257" s="134" t="s">
        <v>6870</v>
      </c>
      <c r="E257" s="139">
        <v>7.41</v>
      </c>
      <c r="F257" s="134" t="s">
        <v>6869</v>
      </c>
      <c r="G257" s="134" t="s">
        <v>3007</v>
      </c>
      <c r="H257" s="123">
        <v>7384</v>
      </c>
    </row>
    <row r="258" spans="1:8" x14ac:dyDescent="0.25">
      <c r="A258" s="134" t="s">
        <v>10621</v>
      </c>
      <c r="B258" s="134" t="s">
        <v>10649</v>
      </c>
      <c r="C258" s="134" t="s">
        <v>10648</v>
      </c>
      <c r="D258" s="134" t="s">
        <v>7701</v>
      </c>
      <c r="E258" s="139">
        <v>2.93</v>
      </c>
      <c r="F258" s="134" t="s">
        <v>7700</v>
      </c>
      <c r="G258" s="134" t="s">
        <v>3007</v>
      </c>
      <c r="H258" s="123">
        <v>7400</v>
      </c>
    </row>
    <row r="259" spans="1:8" x14ac:dyDescent="0.25">
      <c r="A259" s="134" t="s">
        <v>10621</v>
      </c>
      <c r="B259" s="134" t="s">
        <v>10647</v>
      </c>
      <c r="C259" s="134" t="s">
        <v>10646</v>
      </c>
      <c r="D259" s="134" t="s">
        <v>10645</v>
      </c>
      <c r="E259" s="139">
        <v>5.04</v>
      </c>
      <c r="F259" s="134" t="s">
        <v>10644</v>
      </c>
      <c r="G259" s="134" t="s">
        <v>3007</v>
      </c>
      <c r="H259" s="123">
        <v>7401</v>
      </c>
    </row>
    <row r="260" spans="1:8" x14ac:dyDescent="0.25">
      <c r="A260" s="134" t="s">
        <v>10621</v>
      </c>
      <c r="B260" s="134" t="s">
        <v>10643</v>
      </c>
      <c r="C260" s="134" t="s">
        <v>10642</v>
      </c>
      <c r="D260" s="134" t="s">
        <v>8597</v>
      </c>
      <c r="E260" s="139">
        <v>12.54</v>
      </c>
      <c r="F260" s="134" t="s">
        <v>8596</v>
      </c>
      <c r="G260" s="134" t="s">
        <v>3007</v>
      </c>
      <c r="H260" s="123">
        <v>7402</v>
      </c>
    </row>
    <row r="261" spans="1:8" x14ac:dyDescent="0.25">
      <c r="A261" s="134" t="s">
        <v>10621</v>
      </c>
      <c r="B261" s="134" t="s">
        <v>10641</v>
      </c>
      <c r="C261" s="134" t="s">
        <v>10640</v>
      </c>
      <c r="D261" s="134" t="s">
        <v>4245</v>
      </c>
      <c r="E261" s="139">
        <v>5.8</v>
      </c>
      <c r="F261" s="134" t="s">
        <v>4244</v>
      </c>
      <c r="G261" s="134" t="s">
        <v>3007</v>
      </c>
      <c r="H261" s="123">
        <v>7403</v>
      </c>
    </row>
    <row r="262" spans="1:8" x14ac:dyDescent="0.25">
      <c r="A262" s="134" t="s">
        <v>10621</v>
      </c>
      <c r="B262" s="134" t="s">
        <v>10639</v>
      </c>
      <c r="C262" s="134" t="s">
        <v>10638</v>
      </c>
      <c r="D262" s="134" t="s">
        <v>10637</v>
      </c>
      <c r="E262" s="139">
        <v>5.44</v>
      </c>
      <c r="F262" s="134" t="s">
        <v>10636</v>
      </c>
      <c r="G262" s="134" t="s">
        <v>3007</v>
      </c>
      <c r="H262" s="123">
        <v>7404</v>
      </c>
    </row>
    <row r="263" spans="1:8" x14ac:dyDescent="0.25">
      <c r="A263" s="134" t="s">
        <v>10621</v>
      </c>
      <c r="B263" s="134" t="s">
        <v>10635</v>
      </c>
      <c r="C263" s="134" t="s">
        <v>10634</v>
      </c>
      <c r="D263" s="134" t="s">
        <v>10633</v>
      </c>
      <c r="E263" s="139">
        <v>18.309999999999999</v>
      </c>
      <c r="F263" s="134" t="s">
        <v>10632</v>
      </c>
      <c r="G263" s="134" t="s">
        <v>3007</v>
      </c>
      <c r="H263" s="123">
        <v>7405</v>
      </c>
    </row>
    <row r="264" spans="1:8" x14ac:dyDescent="0.25">
      <c r="A264" s="134" t="s">
        <v>10621</v>
      </c>
      <c r="B264" s="134" t="s">
        <v>10631</v>
      </c>
      <c r="C264" s="134" t="s">
        <v>10630</v>
      </c>
      <c r="D264" s="134" t="s">
        <v>10629</v>
      </c>
      <c r="E264" s="139">
        <v>14.36</v>
      </c>
      <c r="F264" s="134" t="s">
        <v>10628</v>
      </c>
      <c r="G264" s="134" t="s">
        <v>3007</v>
      </c>
      <c r="H264" s="123">
        <v>7406</v>
      </c>
    </row>
    <row r="265" spans="1:8" x14ac:dyDescent="0.25">
      <c r="A265" s="134" t="s">
        <v>10621</v>
      </c>
      <c r="B265" s="134" t="s">
        <v>10627</v>
      </c>
      <c r="C265" s="134" t="s">
        <v>10626</v>
      </c>
      <c r="D265" s="134" t="s">
        <v>4021</v>
      </c>
      <c r="E265" s="139">
        <v>3.12</v>
      </c>
      <c r="F265" s="134" t="s">
        <v>4020</v>
      </c>
      <c r="G265" s="134" t="s">
        <v>3007</v>
      </c>
      <c r="H265" s="123">
        <v>7407</v>
      </c>
    </row>
    <row r="266" spans="1:8" x14ac:dyDescent="0.25">
      <c r="A266" s="134" t="s">
        <v>10621</v>
      </c>
      <c r="B266" s="134" t="s">
        <v>10625</v>
      </c>
      <c r="C266" s="134" t="s">
        <v>10624</v>
      </c>
      <c r="D266" s="134" t="s">
        <v>7979</v>
      </c>
      <c r="E266" s="139">
        <v>11.18</v>
      </c>
      <c r="F266" s="134" t="s">
        <v>7978</v>
      </c>
      <c r="G266" s="134" t="s">
        <v>3007</v>
      </c>
      <c r="H266" s="123">
        <v>7408</v>
      </c>
    </row>
    <row r="267" spans="1:8" x14ac:dyDescent="0.25">
      <c r="A267" s="134" t="s">
        <v>10621</v>
      </c>
      <c r="B267" s="134" t="s">
        <v>10623</v>
      </c>
      <c r="C267" s="134" t="s">
        <v>10622</v>
      </c>
      <c r="D267" s="134" t="s">
        <v>5423</v>
      </c>
      <c r="E267" s="139">
        <v>4.1100000000000003</v>
      </c>
      <c r="F267" s="134" t="s">
        <v>5422</v>
      </c>
      <c r="G267" s="134" t="s">
        <v>3007</v>
      </c>
      <c r="H267" s="123">
        <v>7409</v>
      </c>
    </row>
    <row r="268" spans="1:8" x14ac:dyDescent="0.25">
      <c r="A268" s="134" t="s">
        <v>10621</v>
      </c>
      <c r="B268" s="134" t="s">
        <v>3877</v>
      </c>
      <c r="C268" s="134" t="s">
        <v>10620</v>
      </c>
      <c r="D268" s="134" t="s">
        <v>4132</v>
      </c>
      <c r="E268" s="139">
        <v>37.39</v>
      </c>
      <c r="F268" s="134" t="s">
        <v>4131</v>
      </c>
      <c r="G268" s="134" t="s">
        <v>3007</v>
      </c>
      <c r="H268" s="123">
        <v>7410</v>
      </c>
    </row>
    <row r="269" spans="1:8" x14ac:dyDescent="0.25">
      <c r="A269" s="134" t="s">
        <v>10591</v>
      </c>
      <c r="B269" s="134" t="s">
        <v>10619</v>
      </c>
      <c r="C269" s="134" t="s">
        <v>10618</v>
      </c>
      <c r="D269" s="134" t="s">
        <v>10077</v>
      </c>
      <c r="E269" s="139">
        <v>1.99</v>
      </c>
      <c r="F269" s="134" t="s">
        <v>10076</v>
      </c>
      <c r="G269" s="134" t="s">
        <v>3007</v>
      </c>
      <c r="H269" s="123">
        <v>7436</v>
      </c>
    </row>
    <row r="270" spans="1:8" x14ac:dyDescent="0.25">
      <c r="A270" s="134" t="s">
        <v>10591</v>
      </c>
      <c r="B270" s="134" t="s">
        <v>10617</v>
      </c>
      <c r="C270" s="134" t="s">
        <v>10616</v>
      </c>
      <c r="D270" s="134" t="s">
        <v>10615</v>
      </c>
      <c r="E270" s="139">
        <v>8.3800000000000008</v>
      </c>
      <c r="F270" s="134" t="s">
        <v>10614</v>
      </c>
      <c r="G270" s="134" t="s">
        <v>3007</v>
      </c>
      <c r="H270" s="123">
        <v>7437</v>
      </c>
    </row>
    <row r="271" spans="1:8" x14ac:dyDescent="0.25">
      <c r="A271" s="134" t="s">
        <v>10591</v>
      </c>
      <c r="B271" s="134" t="s">
        <v>10613</v>
      </c>
      <c r="C271" s="134" t="s">
        <v>10612</v>
      </c>
      <c r="D271" s="134" t="s">
        <v>7031</v>
      </c>
      <c r="E271" s="139">
        <v>38.049999999999997</v>
      </c>
      <c r="F271" s="134" t="s">
        <v>7030</v>
      </c>
      <c r="G271" s="134" t="s">
        <v>3007</v>
      </c>
      <c r="H271" s="123">
        <v>7438</v>
      </c>
    </row>
    <row r="272" spans="1:8" x14ac:dyDescent="0.25">
      <c r="A272" s="134" t="s">
        <v>10591</v>
      </c>
      <c r="B272" s="134" t="s">
        <v>10611</v>
      </c>
      <c r="C272" s="134" t="s">
        <v>10610</v>
      </c>
      <c r="D272" s="134" t="s">
        <v>9601</v>
      </c>
      <c r="E272" s="139">
        <v>15.3</v>
      </c>
      <c r="F272" s="134" t="s">
        <v>9600</v>
      </c>
      <c r="G272" s="134" t="s">
        <v>3007</v>
      </c>
      <c r="H272" s="123">
        <v>7439</v>
      </c>
    </row>
    <row r="273" spans="1:8" x14ac:dyDescent="0.25">
      <c r="A273" s="134" t="s">
        <v>10591</v>
      </c>
      <c r="B273" s="134" t="s">
        <v>10609</v>
      </c>
      <c r="C273" s="134" t="s">
        <v>10608</v>
      </c>
      <c r="D273" s="134" t="s">
        <v>5048</v>
      </c>
      <c r="E273" s="139">
        <v>10.44</v>
      </c>
      <c r="F273" s="134" t="s">
        <v>5047</v>
      </c>
      <c r="G273" s="134" t="s">
        <v>3007</v>
      </c>
      <c r="H273" s="123">
        <v>7440</v>
      </c>
    </row>
    <row r="274" spans="1:8" x14ac:dyDescent="0.25">
      <c r="A274" s="134" t="s">
        <v>10591</v>
      </c>
      <c r="B274" s="134" t="s">
        <v>10607</v>
      </c>
      <c r="C274" s="134" t="s">
        <v>10606</v>
      </c>
      <c r="D274" s="134" t="s">
        <v>10605</v>
      </c>
      <c r="E274" s="139">
        <v>12.57</v>
      </c>
      <c r="F274" s="134" t="s">
        <v>10604</v>
      </c>
      <c r="G274" s="134" t="s">
        <v>3007</v>
      </c>
      <c r="H274" s="123">
        <v>7441</v>
      </c>
    </row>
    <row r="275" spans="1:8" x14ac:dyDescent="0.25">
      <c r="A275" s="134" t="s">
        <v>10591</v>
      </c>
      <c r="B275" s="134" t="s">
        <v>10603</v>
      </c>
      <c r="C275" s="134" t="s">
        <v>10602</v>
      </c>
      <c r="D275" s="134" t="s">
        <v>4220</v>
      </c>
      <c r="E275" s="139">
        <v>1.08</v>
      </c>
      <c r="F275" s="134" t="s">
        <v>4219</v>
      </c>
      <c r="G275" s="134" t="s">
        <v>3007</v>
      </c>
      <c r="H275" s="123">
        <v>7442</v>
      </c>
    </row>
    <row r="276" spans="1:8" x14ac:dyDescent="0.25">
      <c r="A276" s="134" t="s">
        <v>10591</v>
      </c>
      <c r="B276" s="134" t="s">
        <v>10601</v>
      </c>
      <c r="C276" s="134" t="s">
        <v>10600</v>
      </c>
      <c r="D276" s="134" t="s">
        <v>7258</v>
      </c>
      <c r="E276" s="139">
        <v>16.079999999999998</v>
      </c>
      <c r="F276" s="134" t="s">
        <v>7257</v>
      </c>
      <c r="G276" s="134" t="s">
        <v>3007</v>
      </c>
      <c r="H276" s="123">
        <v>7443</v>
      </c>
    </row>
    <row r="277" spans="1:8" x14ac:dyDescent="0.25">
      <c r="A277" s="134" t="s">
        <v>10591</v>
      </c>
      <c r="B277" s="134" t="s">
        <v>10599</v>
      </c>
      <c r="C277" s="134" t="s">
        <v>10598</v>
      </c>
      <c r="D277" s="134" t="s">
        <v>5309</v>
      </c>
      <c r="E277" s="139">
        <v>2.5299999999999998</v>
      </c>
      <c r="F277" s="134" t="s">
        <v>5308</v>
      </c>
      <c r="G277" s="134" t="s">
        <v>3007</v>
      </c>
      <c r="H277" s="123">
        <v>7444</v>
      </c>
    </row>
    <row r="278" spans="1:8" x14ac:dyDescent="0.25">
      <c r="A278" s="134" t="s">
        <v>10591</v>
      </c>
      <c r="B278" s="134" t="s">
        <v>10597</v>
      </c>
      <c r="C278" s="134" t="s">
        <v>10596</v>
      </c>
      <c r="D278" s="134" t="s">
        <v>8863</v>
      </c>
      <c r="E278" s="139">
        <v>6.43</v>
      </c>
      <c r="F278" s="134" t="s">
        <v>8862</v>
      </c>
      <c r="G278" s="134" t="s">
        <v>3007</v>
      </c>
      <c r="H278" s="123">
        <v>7445</v>
      </c>
    </row>
    <row r="279" spans="1:8" x14ac:dyDescent="0.25">
      <c r="A279" s="134" t="s">
        <v>10591</v>
      </c>
      <c r="B279" s="134" t="s">
        <v>10595</v>
      </c>
      <c r="C279" s="134" t="s">
        <v>10594</v>
      </c>
      <c r="D279" s="134" t="s">
        <v>7399</v>
      </c>
      <c r="E279" s="139">
        <v>41.95</v>
      </c>
      <c r="F279" s="134" t="s">
        <v>7398</v>
      </c>
      <c r="G279" s="134" t="s">
        <v>3007</v>
      </c>
      <c r="H279" s="123">
        <v>7446</v>
      </c>
    </row>
    <row r="280" spans="1:8" x14ac:dyDescent="0.25">
      <c r="A280" s="134" t="s">
        <v>10591</v>
      </c>
      <c r="B280" s="134" t="s">
        <v>10593</v>
      </c>
      <c r="C280" s="134" t="s">
        <v>10592</v>
      </c>
      <c r="D280" s="134" t="s">
        <v>8803</v>
      </c>
      <c r="E280" s="139">
        <v>5.39</v>
      </c>
      <c r="F280" s="134" t="s">
        <v>8802</v>
      </c>
      <c r="G280" s="134" t="s">
        <v>3007</v>
      </c>
      <c r="H280" s="123">
        <v>7447</v>
      </c>
    </row>
    <row r="281" spans="1:8" x14ac:dyDescent="0.25">
      <c r="A281" s="134" t="s">
        <v>10591</v>
      </c>
      <c r="B281" s="134" t="s">
        <v>10590</v>
      </c>
      <c r="C281" s="134" t="s">
        <v>10589</v>
      </c>
      <c r="D281" s="134" t="s">
        <v>6450</v>
      </c>
      <c r="E281" s="139">
        <v>3.27</v>
      </c>
      <c r="F281" s="134" t="s">
        <v>6449</v>
      </c>
      <c r="G281" s="134" t="s">
        <v>3007</v>
      </c>
      <c r="H281" s="123">
        <v>7448</v>
      </c>
    </row>
    <row r="282" spans="1:8" s="200" customFormat="1" x14ac:dyDescent="0.25">
      <c r="A282" s="198"/>
      <c r="B282" s="198"/>
      <c r="C282" s="198" t="s">
        <v>5691</v>
      </c>
      <c r="D282" s="198" t="s">
        <v>14412</v>
      </c>
      <c r="E282" s="199">
        <f>SUM(E206:E281)</f>
        <v>774.98</v>
      </c>
      <c r="F282" s="198"/>
      <c r="G282" s="198"/>
      <c r="H282" s="172"/>
    </row>
    <row r="283" spans="1:8" s="200" customFormat="1" x14ac:dyDescent="0.25">
      <c r="A283" s="198"/>
      <c r="B283" s="198"/>
      <c r="C283" s="198"/>
      <c r="D283" s="198"/>
      <c r="E283" s="199"/>
      <c r="F283" s="198"/>
      <c r="G283" s="198"/>
      <c r="H283" s="172"/>
    </row>
    <row r="284" spans="1:8" x14ac:dyDescent="0.25">
      <c r="A284" s="134" t="s">
        <v>10563</v>
      </c>
      <c r="B284" s="134" t="s">
        <v>10588</v>
      </c>
      <c r="C284" s="134" t="s">
        <v>10587</v>
      </c>
      <c r="D284" s="134" t="s">
        <v>8099</v>
      </c>
      <c r="E284" s="139">
        <v>27.08</v>
      </c>
      <c r="F284" s="134" t="s">
        <v>8098</v>
      </c>
      <c r="G284" s="134" t="s">
        <v>3007</v>
      </c>
      <c r="H284" s="123">
        <v>7469</v>
      </c>
    </row>
    <row r="285" spans="1:8" x14ac:dyDescent="0.25">
      <c r="A285" s="134" t="s">
        <v>10563</v>
      </c>
      <c r="B285" s="134" t="s">
        <v>10586</v>
      </c>
      <c r="C285" s="134" t="s">
        <v>10585</v>
      </c>
      <c r="D285" s="134" t="s">
        <v>4358</v>
      </c>
      <c r="E285" s="139">
        <v>7.0000000000000007E-2</v>
      </c>
      <c r="F285" s="134" t="s">
        <v>4357</v>
      </c>
      <c r="G285" s="134" t="s">
        <v>3007</v>
      </c>
      <c r="H285" s="123">
        <v>7470</v>
      </c>
    </row>
    <row r="286" spans="1:8" x14ac:dyDescent="0.25">
      <c r="A286" s="134" t="s">
        <v>10563</v>
      </c>
      <c r="B286" s="134" t="s">
        <v>10584</v>
      </c>
      <c r="C286" s="134" t="s">
        <v>10583</v>
      </c>
      <c r="D286" s="134" t="s">
        <v>7929</v>
      </c>
      <c r="E286" s="139">
        <v>3.36</v>
      </c>
      <c r="F286" s="134" t="s">
        <v>7928</v>
      </c>
      <c r="G286" s="134" t="s">
        <v>3007</v>
      </c>
      <c r="H286" s="123">
        <v>7471</v>
      </c>
    </row>
    <row r="287" spans="1:8" x14ac:dyDescent="0.25">
      <c r="A287" s="134" t="s">
        <v>10563</v>
      </c>
      <c r="B287" s="134" t="s">
        <v>10582</v>
      </c>
      <c r="C287" s="134" t="s">
        <v>10581</v>
      </c>
      <c r="D287" s="134" t="s">
        <v>4305</v>
      </c>
      <c r="E287" s="139">
        <v>17.96</v>
      </c>
      <c r="F287" s="134" t="s">
        <v>4304</v>
      </c>
      <c r="G287" s="134" t="s">
        <v>3007</v>
      </c>
      <c r="H287" s="123">
        <v>7472</v>
      </c>
    </row>
    <row r="288" spans="1:8" x14ac:dyDescent="0.25">
      <c r="A288" s="134" t="s">
        <v>10563</v>
      </c>
      <c r="B288" s="134" t="s">
        <v>10580</v>
      </c>
      <c r="C288" s="134" t="s">
        <v>10579</v>
      </c>
      <c r="D288" s="134" t="s">
        <v>10578</v>
      </c>
      <c r="E288" s="139">
        <v>17.64</v>
      </c>
      <c r="F288" s="134" t="s">
        <v>10577</v>
      </c>
      <c r="G288" s="134" t="s">
        <v>3007</v>
      </c>
      <c r="H288" s="123">
        <v>7473</v>
      </c>
    </row>
    <row r="289" spans="1:8" x14ac:dyDescent="0.25">
      <c r="A289" s="134" t="s">
        <v>10563</v>
      </c>
      <c r="B289" s="134" t="s">
        <v>10576</v>
      </c>
      <c r="C289" s="134" t="s">
        <v>10575</v>
      </c>
      <c r="D289" s="134" t="s">
        <v>4873</v>
      </c>
      <c r="E289" s="139">
        <v>5.51</v>
      </c>
      <c r="F289" s="134" t="s">
        <v>4872</v>
      </c>
      <c r="G289" s="134" t="s">
        <v>3007</v>
      </c>
      <c r="H289" s="123">
        <v>7474</v>
      </c>
    </row>
    <row r="290" spans="1:8" x14ac:dyDescent="0.25">
      <c r="A290" s="134" t="s">
        <v>10563</v>
      </c>
      <c r="B290" s="134" t="s">
        <v>10574</v>
      </c>
      <c r="C290" s="134" t="s">
        <v>10573</v>
      </c>
      <c r="D290" s="134" t="s">
        <v>10572</v>
      </c>
      <c r="E290" s="139">
        <v>5.04</v>
      </c>
      <c r="F290" s="134" t="s">
        <v>10571</v>
      </c>
      <c r="G290" s="134" t="s">
        <v>3007</v>
      </c>
      <c r="H290" s="123">
        <v>7475</v>
      </c>
    </row>
    <row r="291" spans="1:8" x14ac:dyDescent="0.25">
      <c r="A291" s="134" t="s">
        <v>10563</v>
      </c>
      <c r="B291" s="134" t="s">
        <v>5360</v>
      </c>
      <c r="C291" s="134" t="s">
        <v>10570</v>
      </c>
      <c r="D291" s="134" t="s">
        <v>3949</v>
      </c>
      <c r="E291" s="139">
        <v>13.52</v>
      </c>
      <c r="F291" s="134" t="s">
        <v>3948</v>
      </c>
      <c r="G291" s="134" t="s">
        <v>3007</v>
      </c>
      <c r="H291" s="123">
        <v>7476</v>
      </c>
    </row>
    <row r="292" spans="1:8" x14ac:dyDescent="0.25">
      <c r="A292" s="134" t="s">
        <v>10563</v>
      </c>
      <c r="B292" s="134" t="s">
        <v>10569</v>
      </c>
      <c r="C292" s="134" t="s">
        <v>10568</v>
      </c>
      <c r="D292" s="134" t="s">
        <v>6949</v>
      </c>
      <c r="E292" s="139">
        <v>5.14</v>
      </c>
      <c r="F292" s="134" t="s">
        <v>6948</v>
      </c>
      <c r="G292" s="134" t="s">
        <v>3007</v>
      </c>
      <c r="H292" s="123">
        <v>7477</v>
      </c>
    </row>
    <row r="293" spans="1:8" x14ac:dyDescent="0.25">
      <c r="A293" s="134" t="s">
        <v>10563</v>
      </c>
      <c r="B293" s="134" t="s">
        <v>10567</v>
      </c>
      <c r="C293" s="134" t="s">
        <v>10566</v>
      </c>
      <c r="D293" s="134" t="s">
        <v>3394</v>
      </c>
      <c r="E293" s="139">
        <v>6.92</v>
      </c>
      <c r="F293" s="134" t="s">
        <v>3393</v>
      </c>
      <c r="G293" s="134" t="s">
        <v>3007</v>
      </c>
      <c r="H293" s="123">
        <v>7478</v>
      </c>
    </row>
    <row r="294" spans="1:8" x14ac:dyDescent="0.25">
      <c r="A294" s="134" t="s">
        <v>10563</v>
      </c>
      <c r="B294" s="134" t="s">
        <v>10565</v>
      </c>
      <c r="C294" s="134" t="s">
        <v>10564</v>
      </c>
      <c r="D294" s="134" t="s">
        <v>3965</v>
      </c>
      <c r="E294" s="139">
        <v>1.68</v>
      </c>
      <c r="F294" s="134" t="s">
        <v>3964</v>
      </c>
      <c r="G294" s="134" t="s">
        <v>3007</v>
      </c>
      <c r="H294" s="123">
        <v>7479</v>
      </c>
    </row>
    <row r="295" spans="1:8" x14ac:dyDescent="0.25">
      <c r="A295" s="134" t="s">
        <v>10563</v>
      </c>
      <c r="B295" s="134" t="s">
        <v>8424</v>
      </c>
      <c r="C295" s="134" t="s">
        <v>10562</v>
      </c>
      <c r="D295" s="134" t="s">
        <v>3961</v>
      </c>
      <c r="E295" s="139">
        <v>17.32</v>
      </c>
      <c r="F295" s="134" t="s">
        <v>3960</v>
      </c>
      <c r="G295" s="134" t="s">
        <v>3007</v>
      </c>
      <c r="H295" s="123">
        <v>7480</v>
      </c>
    </row>
    <row r="296" spans="1:8" x14ac:dyDescent="0.25">
      <c r="A296" s="134" t="s">
        <v>10546</v>
      </c>
      <c r="B296" s="134" t="s">
        <v>10561</v>
      </c>
      <c r="C296" s="134" t="s">
        <v>10560</v>
      </c>
      <c r="D296" s="134" t="s">
        <v>10559</v>
      </c>
      <c r="E296" s="139">
        <v>22.63</v>
      </c>
      <c r="F296" s="134" t="s">
        <v>10558</v>
      </c>
      <c r="G296" s="134" t="s">
        <v>3007</v>
      </c>
      <c r="H296" s="123">
        <v>7487</v>
      </c>
    </row>
    <row r="297" spans="1:8" x14ac:dyDescent="0.25">
      <c r="A297" s="134" t="s">
        <v>10546</v>
      </c>
      <c r="B297" s="134" t="s">
        <v>10557</v>
      </c>
      <c r="C297" s="134" t="s">
        <v>10556</v>
      </c>
      <c r="D297" s="134" t="s">
        <v>7508</v>
      </c>
      <c r="E297" s="139">
        <v>26.96</v>
      </c>
      <c r="F297" s="134" t="s">
        <v>7507</v>
      </c>
      <c r="G297" s="134" t="s">
        <v>3007</v>
      </c>
      <c r="H297" s="123">
        <v>7488</v>
      </c>
    </row>
    <row r="298" spans="1:8" x14ac:dyDescent="0.25">
      <c r="A298" s="134" t="s">
        <v>10546</v>
      </c>
      <c r="B298" s="134" t="s">
        <v>10555</v>
      </c>
      <c r="C298" s="134" t="s">
        <v>10554</v>
      </c>
      <c r="D298" s="134" t="s">
        <v>3276</v>
      </c>
      <c r="E298" s="139">
        <v>3.56</v>
      </c>
      <c r="F298" s="134" t="s">
        <v>3275</v>
      </c>
      <c r="G298" s="134" t="s">
        <v>3007</v>
      </c>
      <c r="H298" s="123" t="s">
        <v>10553</v>
      </c>
    </row>
    <row r="299" spans="1:8" x14ac:dyDescent="0.25">
      <c r="A299" s="134" t="s">
        <v>10546</v>
      </c>
      <c r="B299" s="134" t="s">
        <v>10552</v>
      </c>
      <c r="C299" s="134" t="s">
        <v>10551</v>
      </c>
      <c r="D299" s="134" t="s">
        <v>5329</v>
      </c>
      <c r="E299" s="139">
        <v>20.83</v>
      </c>
      <c r="F299" s="134" t="s">
        <v>5328</v>
      </c>
      <c r="G299" s="134" t="s">
        <v>3007</v>
      </c>
      <c r="H299" s="123">
        <v>7489</v>
      </c>
    </row>
    <row r="300" spans="1:8" x14ac:dyDescent="0.25">
      <c r="A300" s="134" t="s">
        <v>10546</v>
      </c>
      <c r="B300" s="134" t="s">
        <v>10550</v>
      </c>
      <c r="C300" s="134" t="s">
        <v>10549</v>
      </c>
      <c r="D300" s="134" t="s">
        <v>10548</v>
      </c>
      <c r="E300" s="139">
        <v>8.3800000000000008</v>
      </c>
      <c r="F300" s="134" t="s">
        <v>10547</v>
      </c>
      <c r="G300" s="134" t="s">
        <v>3007</v>
      </c>
      <c r="H300" s="123">
        <v>7490</v>
      </c>
    </row>
    <row r="301" spans="1:8" x14ac:dyDescent="0.25">
      <c r="A301" s="134" t="s">
        <v>10546</v>
      </c>
      <c r="B301" s="134" t="s">
        <v>10545</v>
      </c>
      <c r="C301" s="134" t="s">
        <v>10544</v>
      </c>
      <c r="D301" s="134" t="s">
        <v>3022</v>
      </c>
      <c r="E301" s="139">
        <v>16.11</v>
      </c>
      <c r="F301" s="134" t="s">
        <v>3021</v>
      </c>
      <c r="G301" s="134" t="s">
        <v>3007</v>
      </c>
      <c r="H301" s="123">
        <v>7491</v>
      </c>
    </row>
    <row r="302" spans="1:8" x14ac:dyDescent="0.25">
      <c r="A302" s="134" t="s">
        <v>10543</v>
      </c>
      <c r="B302" s="134" t="s">
        <v>10542</v>
      </c>
      <c r="C302" s="134" t="s">
        <v>10541</v>
      </c>
      <c r="D302" s="134" t="s">
        <v>10540</v>
      </c>
      <c r="E302" s="139">
        <v>3.49</v>
      </c>
      <c r="F302" s="134" t="s">
        <v>10539</v>
      </c>
      <c r="G302" s="134" t="s">
        <v>3007</v>
      </c>
      <c r="H302" s="123">
        <v>7499</v>
      </c>
    </row>
    <row r="303" spans="1:8" x14ac:dyDescent="0.25">
      <c r="A303" s="134" t="s">
        <v>10538</v>
      </c>
      <c r="B303" s="134" t="s">
        <v>10537</v>
      </c>
      <c r="C303" s="134" t="s">
        <v>10536</v>
      </c>
      <c r="D303" s="134" t="s">
        <v>10535</v>
      </c>
      <c r="E303" s="139">
        <v>13.03</v>
      </c>
      <c r="F303" s="134" t="s">
        <v>10534</v>
      </c>
      <c r="G303" s="134" t="s">
        <v>3007</v>
      </c>
      <c r="H303" s="123">
        <v>7559</v>
      </c>
    </row>
    <row r="304" spans="1:8" x14ac:dyDescent="0.25">
      <c r="A304" s="134" t="s">
        <v>10487</v>
      </c>
      <c r="B304" s="134" t="s">
        <v>10533</v>
      </c>
      <c r="C304" s="134" t="s">
        <v>10532</v>
      </c>
      <c r="D304" s="134" t="s">
        <v>7181</v>
      </c>
      <c r="E304" s="139">
        <v>18.32</v>
      </c>
      <c r="F304" s="134" t="s">
        <v>7180</v>
      </c>
      <c r="G304" s="134" t="s">
        <v>3007</v>
      </c>
      <c r="H304" s="123">
        <v>7572</v>
      </c>
    </row>
    <row r="305" spans="1:8" x14ac:dyDescent="0.25">
      <c r="A305" s="134" t="s">
        <v>10487</v>
      </c>
      <c r="B305" s="134" t="s">
        <v>10531</v>
      </c>
      <c r="C305" s="134" t="s">
        <v>10530</v>
      </c>
      <c r="D305" s="134" t="s">
        <v>5566</v>
      </c>
      <c r="E305" s="139">
        <v>8.77</v>
      </c>
      <c r="F305" s="134" t="s">
        <v>5565</v>
      </c>
      <c r="G305" s="134" t="s">
        <v>3007</v>
      </c>
      <c r="H305" s="123">
        <v>7573</v>
      </c>
    </row>
    <row r="306" spans="1:8" x14ac:dyDescent="0.25">
      <c r="A306" s="134" t="s">
        <v>10487</v>
      </c>
      <c r="B306" s="134" t="s">
        <v>10529</v>
      </c>
      <c r="C306" s="134" t="s">
        <v>10528</v>
      </c>
      <c r="D306" s="134" t="s">
        <v>10527</v>
      </c>
      <c r="E306" s="139">
        <v>3.88</v>
      </c>
      <c r="F306" s="134" t="s">
        <v>10526</v>
      </c>
      <c r="G306" s="134" t="s">
        <v>3007</v>
      </c>
      <c r="H306" s="123">
        <v>7574</v>
      </c>
    </row>
    <row r="307" spans="1:8" x14ac:dyDescent="0.25">
      <c r="A307" s="134" t="s">
        <v>10487</v>
      </c>
      <c r="B307" s="134" t="s">
        <v>10525</v>
      </c>
      <c r="C307" s="134" t="s">
        <v>10524</v>
      </c>
      <c r="D307" s="134" t="s">
        <v>9280</v>
      </c>
      <c r="E307" s="139">
        <v>0.56000000000000005</v>
      </c>
      <c r="F307" s="134" t="s">
        <v>9279</v>
      </c>
      <c r="G307" s="134" t="s">
        <v>3007</v>
      </c>
      <c r="H307" s="123">
        <v>7575</v>
      </c>
    </row>
    <row r="308" spans="1:8" x14ac:dyDescent="0.25">
      <c r="A308" s="134" t="s">
        <v>10487</v>
      </c>
      <c r="B308" s="134" t="s">
        <v>10523</v>
      </c>
      <c r="C308" s="134" t="s">
        <v>10522</v>
      </c>
      <c r="D308" s="134" t="s">
        <v>10521</v>
      </c>
      <c r="E308" s="139">
        <v>5.04</v>
      </c>
      <c r="F308" s="134" t="s">
        <v>10520</v>
      </c>
      <c r="G308" s="134" t="s">
        <v>3007</v>
      </c>
      <c r="H308" s="123">
        <v>7576</v>
      </c>
    </row>
    <row r="309" spans="1:8" x14ac:dyDescent="0.25">
      <c r="A309" s="134" t="s">
        <v>10487</v>
      </c>
      <c r="B309" s="134" t="s">
        <v>10519</v>
      </c>
      <c r="C309" s="134" t="s">
        <v>10518</v>
      </c>
      <c r="D309" s="134" t="s">
        <v>4669</v>
      </c>
      <c r="E309" s="139">
        <v>2.11</v>
      </c>
      <c r="F309" s="134" t="s">
        <v>4668</v>
      </c>
      <c r="G309" s="134" t="s">
        <v>3007</v>
      </c>
      <c r="H309" s="123">
        <v>7577</v>
      </c>
    </row>
    <row r="310" spans="1:8" x14ac:dyDescent="0.25">
      <c r="A310" s="134" t="s">
        <v>10487</v>
      </c>
      <c r="B310" s="134" t="s">
        <v>10517</v>
      </c>
      <c r="C310" s="134" t="s">
        <v>10516</v>
      </c>
      <c r="D310" s="134" t="s">
        <v>6010</v>
      </c>
      <c r="E310" s="139">
        <v>8.3800000000000008</v>
      </c>
      <c r="F310" s="134" t="s">
        <v>6009</v>
      </c>
      <c r="G310" s="134" t="s">
        <v>3007</v>
      </c>
      <c r="H310" s="123">
        <v>7578</v>
      </c>
    </row>
    <row r="311" spans="1:8" x14ac:dyDescent="0.25">
      <c r="A311" s="134" t="s">
        <v>10487</v>
      </c>
      <c r="B311" s="134" t="s">
        <v>10515</v>
      </c>
      <c r="C311" s="134" t="s">
        <v>10514</v>
      </c>
      <c r="D311" s="134" t="s">
        <v>6996</v>
      </c>
      <c r="E311" s="139">
        <v>16.87</v>
      </c>
      <c r="F311" s="134" t="s">
        <v>6995</v>
      </c>
      <c r="G311" s="134" t="s">
        <v>3007</v>
      </c>
      <c r="H311" s="123">
        <v>7579</v>
      </c>
    </row>
    <row r="312" spans="1:8" x14ac:dyDescent="0.25">
      <c r="A312" s="134" t="s">
        <v>10487</v>
      </c>
      <c r="B312" s="134" t="s">
        <v>10513</v>
      </c>
      <c r="C312" s="134" t="s">
        <v>10512</v>
      </c>
      <c r="D312" s="134" t="s">
        <v>6292</v>
      </c>
      <c r="E312" s="139">
        <v>85.13</v>
      </c>
      <c r="F312" s="134" t="s">
        <v>6291</v>
      </c>
      <c r="G312" s="134" t="s">
        <v>3007</v>
      </c>
      <c r="H312" s="123">
        <v>7580</v>
      </c>
    </row>
    <row r="313" spans="1:8" x14ac:dyDescent="0.25">
      <c r="A313" s="134" t="s">
        <v>10487</v>
      </c>
      <c r="B313" s="134" t="s">
        <v>10511</v>
      </c>
      <c r="C313" s="134" t="s">
        <v>10510</v>
      </c>
      <c r="D313" s="134" t="s">
        <v>10509</v>
      </c>
      <c r="E313" s="139">
        <v>19.64</v>
      </c>
      <c r="F313" s="134" t="s">
        <v>10508</v>
      </c>
      <c r="G313" s="134" t="s">
        <v>3007</v>
      </c>
      <c r="H313" s="124">
        <v>7581</v>
      </c>
    </row>
    <row r="314" spans="1:8" x14ac:dyDescent="0.25">
      <c r="A314" s="134" t="s">
        <v>10487</v>
      </c>
      <c r="B314" s="134" t="s">
        <v>10507</v>
      </c>
      <c r="C314" s="134" t="s">
        <v>10506</v>
      </c>
      <c r="D314" s="134" t="s">
        <v>4791</v>
      </c>
      <c r="E314" s="139">
        <v>10.08</v>
      </c>
      <c r="F314" s="134" t="s">
        <v>4790</v>
      </c>
      <c r="G314" s="134" t="s">
        <v>3007</v>
      </c>
      <c r="H314" s="123">
        <v>7582</v>
      </c>
    </row>
    <row r="315" spans="1:8" x14ac:dyDescent="0.25">
      <c r="A315" s="134" t="s">
        <v>10487</v>
      </c>
      <c r="B315" s="134" t="s">
        <v>10505</v>
      </c>
      <c r="C315" s="134" t="s">
        <v>10504</v>
      </c>
      <c r="D315" s="134" t="s">
        <v>6537</v>
      </c>
      <c r="E315" s="139">
        <v>5.76</v>
      </c>
      <c r="F315" s="134" t="s">
        <v>6536</v>
      </c>
      <c r="G315" s="134" t="s">
        <v>3007</v>
      </c>
      <c r="H315" s="123">
        <v>7583</v>
      </c>
    </row>
    <row r="316" spans="1:8" x14ac:dyDescent="0.25">
      <c r="A316" s="134" t="s">
        <v>10487</v>
      </c>
      <c r="B316" s="134" t="s">
        <v>10503</v>
      </c>
      <c r="C316" s="134" t="s">
        <v>10502</v>
      </c>
      <c r="D316" s="134" t="s">
        <v>10501</v>
      </c>
      <c r="E316" s="139">
        <v>3.1</v>
      </c>
      <c r="F316" s="134" t="s">
        <v>10500</v>
      </c>
      <c r="G316" s="134" t="s">
        <v>3007</v>
      </c>
      <c r="H316" s="123">
        <v>7584</v>
      </c>
    </row>
    <row r="317" spans="1:8" x14ac:dyDescent="0.25">
      <c r="A317" s="134" t="s">
        <v>10487</v>
      </c>
      <c r="B317" s="134" t="s">
        <v>10499</v>
      </c>
      <c r="C317" s="134" t="s">
        <v>10498</v>
      </c>
      <c r="D317" s="134" t="s">
        <v>3953</v>
      </c>
      <c r="E317" s="139">
        <v>1.83</v>
      </c>
      <c r="F317" s="134" t="s">
        <v>3952</v>
      </c>
      <c r="G317" s="134" t="s">
        <v>3007</v>
      </c>
      <c r="H317" s="123">
        <v>7585</v>
      </c>
    </row>
    <row r="318" spans="1:8" x14ac:dyDescent="0.25">
      <c r="A318" s="134" t="s">
        <v>10487</v>
      </c>
      <c r="B318" s="134" t="s">
        <v>7916</v>
      </c>
      <c r="C318" s="134" t="s">
        <v>10497</v>
      </c>
      <c r="D318" s="134" t="s">
        <v>10496</v>
      </c>
      <c r="E318" s="139">
        <v>1.98</v>
      </c>
      <c r="F318" s="134" t="s">
        <v>10495</v>
      </c>
      <c r="G318" s="134" t="s">
        <v>3007</v>
      </c>
      <c r="H318" s="123">
        <v>7586</v>
      </c>
    </row>
    <row r="319" spans="1:8" x14ac:dyDescent="0.25">
      <c r="A319" s="134" t="s">
        <v>10487</v>
      </c>
      <c r="B319" s="134" t="s">
        <v>10494</v>
      </c>
      <c r="C319" s="134" t="s">
        <v>10493</v>
      </c>
      <c r="D319" s="134" t="s">
        <v>10492</v>
      </c>
      <c r="E319" s="139">
        <v>1.94</v>
      </c>
      <c r="F319" s="134" t="s">
        <v>10488</v>
      </c>
      <c r="G319" s="134" t="s">
        <v>3007</v>
      </c>
      <c r="H319" s="123">
        <v>7587</v>
      </c>
    </row>
    <row r="320" spans="1:8" x14ac:dyDescent="0.25">
      <c r="A320" s="134" t="s">
        <v>10487</v>
      </c>
      <c r="B320" s="134" t="s">
        <v>10491</v>
      </c>
      <c r="C320" s="134" t="s">
        <v>10490</v>
      </c>
      <c r="D320" s="134" t="s">
        <v>10489</v>
      </c>
      <c r="E320" s="139">
        <v>1.95</v>
      </c>
      <c r="F320" s="134" t="s">
        <v>10488</v>
      </c>
      <c r="G320" s="134" t="s">
        <v>3007</v>
      </c>
      <c r="H320" s="123">
        <v>7588</v>
      </c>
    </row>
    <row r="321" spans="1:8" x14ac:dyDescent="0.25">
      <c r="A321" s="134" t="s">
        <v>10487</v>
      </c>
      <c r="B321" s="134" t="s">
        <v>10486</v>
      </c>
      <c r="C321" s="134" t="s">
        <v>10485</v>
      </c>
      <c r="D321" s="134" t="s">
        <v>6514</v>
      </c>
      <c r="E321" s="139">
        <v>2.33</v>
      </c>
      <c r="F321" s="134" t="s">
        <v>6513</v>
      </c>
      <c r="G321" s="134" t="s">
        <v>3007</v>
      </c>
      <c r="H321" s="123">
        <v>7589</v>
      </c>
    </row>
    <row r="322" spans="1:8" x14ac:dyDescent="0.25">
      <c r="A322" s="134" t="s">
        <v>10459</v>
      </c>
      <c r="B322" s="134" t="s">
        <v>10484</v>
      </c>
      <c r="C322" s="134" t="s">
        <v>10483</v>
      </c>
      <c r="D322" s="134" t="s">
        <v>5454</v>
      </c>
      <c r="E322" s="139">
        <v>10.15</v>
      </c>
      <c r="F322" s="134" t="s">
        <v>5453</v>
      </c>
      <c r="G322" s="134" t="s">
        <v>3007</v>
      </c>
      <c r="H322" s="123">
        <v>7627</v>
      </c>
    </row>
    <row r="323" spans="1:8" x14ac:dyDescent="0.25">
      <c r="A323" s="134" t="s">
        <v>10459</v>
      </c>
      <c r="B323" s="134" t="s">
        <v>10482</v>
      </c>
      <c r="C323" s="134" t="s">
        <v>10481</v>
      </c>
      <c r="D323" s="134" t="s">
        <v>5325</v>
      </c>
      <c r="E323" s="139">
        <v>8.4</v>
      </c>
      <c r="F323" s="134" t="s">
        <v>5324</v>
      </c>
      <c r="G323" s="134" t="s">
        <v>3007</v>
      </c>
      <c r="H323" s="123">
        <v>7628</v>
      </c>
    </row>
    <row r="324" spans="1:8" x14ac:dyDescent="0.25">
      <c r="A324" s="134" t="s">
        <v>10459</v>
      </c>
      <c r="B324" s="134" t="s">
        <v>10480</v>
      </c>
      <c r="C324" s="134" t="s">
        <v>10479</v>
      </c>
      <c r="D324" s="134" t="s">
        <v>9498</v>
      </c>
      <c r="E324" s="139">
        <v>1.95</v>
      </c>
      <c r="F324" s="134" t="s">
        <v>9497</v>
      </c>
      <c r="G324" s="134" t="s">
        <v>3007</v>
      </c>
      <c r="H324" s="123">
        <v>7629</v>
      </c>
    </row>
    <row r="325" spans="1:8" x14ac:dyDescent="0.25">
      <c r="A325" s="134" t="s">
        <v>10459</v>
      </c>
      <c r="B325" s="134" t="s">
        <v>10478</v>
      </c>
      <c r="C325" s="134" t="s">
        <v>10477</v>
      </c>
      <c r="D325" s="134" t="s">
        <v>8759</v>
      </c>
      <c r="E325" s="139">
        <v>8.8000000000000007</v>
      </c>
      <c r="F325" s="134" t="s">
        <v>8758</v>
      </c>
      <c r="G325" s="134" t="s">
        <v>3007</v>
      </c>
      <c r="H325" s="123">
        <v>7630</v>
      </c>
    </row>
    <row r="326" spans="1:8" x14ac:dyDescent="0.25">
      <c r="A326" s="134" t="s">
        <v>10459</v>
      </c>
      <c r="B326" s="134" t="s">
        <v>10476</v>
      </c>
      <c r="C326" s="134" t="s">
        <v>10475</v>
      </c>
      <c r="D326" s="134" t="s">
        <v>4516</v>
      </c>
      <c r="E326" s="139">
        <v>14.78</v>
      </c>
      <c r="F326" s="134" t="s">
        <v>4515</v>
      </c>
      <c r="G326" s="134" t="s">
        <v>3007</v>
      </c>
      <c r="H326" s="123">
        <v>7631</v>
      </c>
    </row>
    <row r="327" spans="1:8" x14ac:dyDescent="0.25">
      <c r="A327" s="134" t="s">
        <v>10459</v>
      </c>
      <c r="B327" s="134" t="s">
        <v>10474</v>
      </c>
      <c r="C327" s="134" t="s">
        <v>10473</v>
      </c>
      <c r="D327" s="134" t="s">
        <v>6296</v>
      </c>
      <c r="E327" s="139">
        <v>3.25</v>
      </c>
      <c r="F327" s="134" t="s">
        <v>6295</v>
      </c>
      <c r="G327" s="134" t="s">
        <v>3007</v>
      </c>
      <c r="H327" s="123">
        <v>7632</v>
      </c>
    </row>
    <row r="328" spans="1:8" x14ac:dyDescent="0.25">
      <c r="A328" s="134" t="s">
        <v>10459</v>
      </c>
      <c r="B328" s="134" t="s">
        <v>10472</v>
      </c>
      <c r="C328" s="134" t="s">
        <v>10471</v>
      </c>
      <c r="D328" s="134" t="s">
        <v>9822</v>
      </c>
      <c r="E328" s="139">
        <v>16.03</v>
      </c>
      <c r="F328" s="134" t="s">
        <v>9821</v>
      </c>
      <c r="G328" s="134" t="s">
        <v>3007</v>
      </c>
      <c r="H328" s="123">
        <v>7633</v>
      </c>
    </row>
    <row r="329" spans="1:8" x14ac:dyDescent="0.25">
      <c r="A329" s="134" t="s">
        <v>10459</v>
      </c>
      <c r="B329" s="134" t="s">
        <v>10470</v>
      </c>
      <c r="C329" s="134" t="s">
        <v>10469</v>
      </c>
      <c r="D329" s="134" t="s">
        <v>4380</v>
      </c>
      <c r="E329" s="139">
        <v>2.77</v>
      </c>
      <c r="F329" s="134" t="s">
        <v>4379</v>
      </c>
      <c r="G329" s="134" t="s">
        <v>3007</v>
      </c>
      <c r="H329" s="123">
        <v>7634</v>
      </c>
    </row>
    <row r="330" spans="1:8" x14ac:dyDescent="0.25">
      <c r="A330" s="134" t="s">
        <v>10459</v>
      </c>
      <c r="B330" s="134" t="s">
        <v>10468</v>
      </c>
      <c r="C330" s="134" t="s">
        <v>10467</v>
      </c>
      <c r="D330" s="134" t="s">
        <v>4372</v>
      </c>
      <c r="E330" s="139">
        <v>6.55</v>
      </c>
      <c r="F330" s="134" t="s">
        <v>4371</v>
      </c>
      <c r="G330" s="134" t="s">
        <v>3007</v>
      </c>
      <c r="H330" s="123">
        <v>7635</v>
      </c>
    </row>
    <row r="331" spans="1:8" x14ac:dyDescent="0.25">
      <c r="A331" s="134" t="s">
        <v>10459</v>
      </c>
      <c r="B331" s="134" t="s">
        <v>10027</v>
      </c>
      <c r="C331" s="134" t="s">
        <v>10466</v>
      </c>
      <c r="D331" s="134" t="s">
        <v>3434</v>
      </c>
      <c r="E331" s="139">
        <v>8.3800000000000008</v>
      </c>
      <c r="F331" s="134" t="s">
        <v>3433</v>
      </c>
      <c r="G331" s="134" t="s">
        <v>3007</v>
      </c>
      <c r="H331" s="123">
        <v>7636</v>
      </c>
    </row>
    <row r="332" spans="1:8" x14ac:dyDescent="0.25">
      <c r="A332" s="134" t="s">
        <v>10459</v>
      </c>
      <c r="B332" s="134" t="s">
        <v>10465</v>
      </c>
      <c r="C332" s="134" t="s">
        <v>10464</v>
      </c>
      <c r="D332" s="134" t="s">
        <v>4443</v>
      </c>
      <c r="E332" s="139">
        <v>6.68</v>
      </c>
      <c r="F332" s="134" t="s">
        <v>4442</v>
      </c>
      <c r="G332" s="134" t="s">
        <v>3007</v>
      </c>
      <c r="H332" s="123">
        <v>7637</v>
      </c>
    </row>
    <row r="333" spans="1:8" x14ac:dyDescent="0.25">
      <c r="A333" s="134" t="s">
        <v>10459</v>
      </c>
      <c r="B333" s="134" t="s">
        <v>10463</v>
      </c>
      <c r="C333" s="134" t="s">
        <v>10462</v>
      </c>
      <c r="D333" s="134" t="s">
        <v>3271</v>
      </c>
      <c r="E333" s="139">
        <v>1.69</v>
      </c>
      <c r="F333" s="134" t="s">
        <v>3270</v>
      </c>
      <c r="G333" s="134" t="s">
        <v>3007</v>
      </c>
      <c r="H333" s="123">
        <v>7638</v>
      </c>
    </row>
    <row r="334" spans="1:8" x14ac:dyDescent="0.25">
      <c r="A334" s="134" t="s">
        <v>10459</v>
      </c>
      <c r="B334" s="134" t="s">
        <v>10461</v>
      </c>
      <c r="C334" s="134" t="s">
        <v>10460</v>
      </c>
      <c r="D334" s="134" t="s">
        <v>9629</v>
      </c>
      <c r="E334" s="139">
        <v>1.87</v>
      </c>
      <c r="F334" s="134" t="s">
        <v>9628</v>
      </c>
      <c r="G334" s="134" t="s">
        <v>3007</v>
      </c>
      <c r="H334" s="123">
        <v>7639</v>
      </c>
    </row>
    <row r="335" spans="1:8" x14ac:dyDescent="0.25">
      <c r="A335" s="134" t="s">
        <v>10459</v>
      </c>
      <c r="B335" s="134" t="s">
        <v>10458</v>
      </c>
      <c r="C335" s="134" t="s">
        <v>10457</v>
      </c>
      <c r="D335" s="134" t="s">
        <v>6943</v>
      </c>
      <c r="E335" s="139">
        <v>12.94</v>
      </c>
      <c r="F335" s="134" t="s">
        <v>6942</v>
      </c>
      <c r="G335" s="134" t="s">
        <v>3007</v>
      </c>
      <c r="H335" s="123">
        <v>7640</v>
      </c>
    </row>
    <row r="336" spans="1:8" s="200" customFormat="1" x14ac:dyDescent="0.25">
      <c r="A336" s="198"/>
      <c r="B336" s="198"/>
      <c r="C336" s="198" t="s">
        <v>5691</v>
      </c>
      <c r="D336" s="198" t="s">
        <v>14413</v>
      </c>
      <c r="E336" s="199">
        <f>SUM(E284:E335)</f>
        <v>538.1400000000001</v>
      </c>
      <c r="F336" s="198"/>
      <c r="G336" s="198"/>
      <c r="H336" s="172"/>
    </row>
    <row r="337" spans="1:8" s="200" customFormat="1" x14ac:dyDescent="0.25">
      <c r="A337" s="198"/>
      <c r="B337" s="198"/>
      <c r="C337" s="198"/>
      <c r="D337" s="198"/>
      <c r="E337" s="199"/>
      <c r="F337" s="198"/>
      <c r="G337" s="198"/>
      <c r="H337" s="172"/>
    </row>
    <row r="338" spans="1:8" x14ac:dyDescent="0.25">
      <c r="A338" s="134" t="s">
        <v>10428</v>
      </c>
      <c r="B338" s="134" t="s">
        <v>10456</v>
      </c>
      <c r="C338" s="134" t="s">
        <v>10455</v>
      </c>
      <c r="D338" s="134" t="s">
        <v>4309</v>
      </c>
      <c r="E338" s="139">
        <v>4.1900000000000004</v>
      </c>
      <c r="F338" s="134" t="s">
        <v>4308</v>
      </c>
      <c r="G338" s="134" t="s">
        <v>3007</v>
      </c>
      <c r="H338" s="123">
        <v>7681</v>
      </c>
    </row>
    <row r="339" spans="1:8" x14ac:dyDescent="0.25">
      <c r="A339" s="134" t="s">
        <v>10428</v>
      </c>
      <c r="B339" s="134" t="s">
        <v>10454</v>
      </c>
      <c r="C339" s="134" t="s">
        <v>10453</v>
      </c>
      <c r="D339" s="134" t="s">
        <v>9529</v>
      </c>
      <c r="E339" s="139">
        <v>3.74</v>
      </c>
      <c r="F339" s="134" t="s">
        <v>9528</v>
      </c>
      <c r="G339" s="134" t="s">
        <v>3007</v>
      </c>
      <c r="H339" s="123">
        <v>7682</v>
      </c>
    </row>
    <row r="340" spans="1:8" x14ac:dyDescent="0.25">
      <c r="A340" s="134" t="s">
        <v>10428</v>
      </c>
      <c r="B340" s="134" t="s">
        <v>10452</v>
      </c>
      <c r="C340" s="134" t="s">
        <v>10451</v>
      </c>
      <c r="D340" s="134" t="s">
        <v>10450</v>
      </c>
      <c r="E340" s="139">
        <v>23.86</v>
      </c>
      <c r="F340" s="134" t="s">
        <v>10449</v>
      </c>
      <c r="G340" s="134" t="s">
        <v>3007</v>
      </c>
      <c r="H340" s="123">
        <v>7683</v>
      </c>
    </row>
    <row r="341" spans="1:8" x14ac:dyDescent="0.25">
      <c r="A341" s="134" t="s">
        <v>10428</v>
      </c>
      <c r="B341" s="134" t="s">
        <v>10448</v>
      </c>
      <c r="C341" s="134" t="s">
        <v>10447</v>
      </c>
      <c r="D341" s="134" t="s">
        <v>3530</v>
      </c>
      <c r="E341" s="139">
        <v>3.95</v>
      </c>
      <c r="F341" s="134" t="s">
        <v>3526</v>
      </c>
      <c r="G341" s="134" t="s">
        <v>3007</v>
      </c>
      <c r="H341" s="123">
        <v>7684</v>
      </c>
    </row>
    <row r="342" spans="1:8" x14ac:dyDescent="0.25">
      <c r="A342" s="134" t="s">
        <v>10428</v>
      </c>
      <c r="B342" s="134" t="s">
        <v>3617</v>
      </c>
      <c r="C342" s="134" t="s">
        <v>10446</v>
      </c>
      <c r="D342" s="134" t="s">
        <v>3527</v>
      </c>
      <c r="E342" s="139">
        <v>6.38</v>
      </c>
      <c r="F342" s="134" t="s">
        <v>3526</v>
      </c>
      <c r="G342" s="134" t="s">
        <v>3007</v>
      </c>
      <c r="H342" s="123">
        <v>7685</v>
      </c>
    </row>
    <row r="343" spans="1:8" x14ac:dyDescent="0.25">
      <c r="A343" s="134" t="s">
        <v>10428</v>
      </c>
      <c r="B343" s="134" t="s">
        <v>10445</v>
      </c>
      <c r="C343" s="134" t="s">
        <v>10444</v>
      </c>
      <c r="D343" s="134" t="s">
        <v>10443</v>
      </c>
      <c r="E343" s="139">
        <v>20.75</v>
      </c>
      <c r="F343" s="134" t="s">
        <v>10442</v>
      </c>
      <c r="G343" s="134" t="s">
        <v>3007</v>
      </c>
      <c r="H343" s="123">
        <v>7686</v>
      </c>
    </row>
    <row r="344" spans="1:8" x14ac:dyDescent="0.25">
      <c r="A344" s="134" t="s">
        <v>10428</v>
      </c>
      <c r="B344" s="134" t="s">
        <v>10441</v>
      </c>
      <c r="C344" s="134" t="s">
        <v>10440</v>
      </c>
      <c r="D344" s="134" t="s">
        <v>5214</v>
      </c>
      <c r="E344" s="139">
        <v>7.02</v>
      </c>
      <c r="F344" s="134" t="s">
        <v>5213</v>
      </c>
      <c r="G344" s="134" t="s">
        <v>3007</v>
      </c>
      <c r="H344" s="123">
        <v>7687</v>
      </c>
    </row>
    <row r="345" spans="1:8" x14ac:dyDescent="0.25">
      <c r="A345" s="134" t="s">
        <v>10428</v>
      </c>
      <c r="B345" s="134" t="s">
        <v>10439</v>
      </c>
      <c r="C345" s="134" t="s">
        <v>10438</v>
      </c>
      <c r="D345" s="134" t="s">
        <v>3430</v>
      </c>
      <c r="E345" s="139">
        <v>5.99</v>
      </c>
      <c r="F345" s="134" t="s">
        <v>3429</v>
      </c>
      <c r="G345" s="134" t="s">
        <v>3007</v>
      </c>
      <c r="H345" s="123">
        <v>7688</v>
      </c>
    </row>
    <row r="346" spans="1:8" x14ac:dyDescent="0.25">
      <c r="A346" s="134" t="s">
        <v>10428</v>
      </c>
      <c r="B346" s="134" t="s">
        <v>10437</v>
      </c>
      <c r="C346" s="134" t="s">
        <v>10436</v>
      </c>
      <c r="D346" s="134" t="s">
        <v>3418</v>
      </c>
      <c r="E346" s="139">
        <v>12.02</v>
      </c>
      <c r="F346" s="134" t="s">
        <v>3417</v>
      </c>
      <c r="G346" s="134" t="s">
        <v>3007</v>
      </c>
      <c r="H346" s="123">
        <v>7689</v>
      </c>
    </row>
    <row r="347" spans="1:8" x14ac:dyDescent="0.25">
      <c r="A347" s="134" t="s">
        <v>10428</v>
      </c>
      <c r="B347" s="134" t="s">
        <v>10435</v>
      </c>
      <c r="C347" s="134" t="s">
        <v>10434</v>
      </c>
      <c r="D347" s="134" t="s">
        <v>3390</v>
      </c>
      <c r="E347" s="139">
        <v>8.3800000000000008</v>
      </c>
      <c r="F347" s="134" t="s">
        <v>3389</v>
      </c>
      <c r="G347" s="134" t="s">
        <v>3007</v>
      </c>
      <c r="H347" s="123">
        <v>7690</v>
      </c>
    </row>
    <row r="348" spans="1:8" x14ac:dyDescent="0.25">
      <c r="A348" s="134" t="s">
        <v>10428</v>
      </c>
      <c r="B348" s="134" t="s">
        <v>10433</v>
      </c>
      <c r="C348" s="134" t="s">
        <v>10432</v>
      </c>
      <c r="D348" s="134" t="s">
        <v>9880</v>
      </c>
      <c r="E348" s="139">
        <v>5.27</v>
      </c>
      <c r="F348" s="134" t="s">
        <v>9879</v>
      </c>
      <c r="G348" s="134" t="s">
        <v>3007</v>
      </c>
      <c r="H348" s="123">
        <v>7691</v>
      </c>
    </row>
    <row r="349" spans="1:8" x14ac:dyDescent="0.25">
      <c r="A349" s="134" t="s">
        <v>10428</v>
      </c>
      <c r="B349" s="134" t="s">
        <v>10431</v>
      </c>
      <c r="C349" s="134" t="s">
        <v>10430</v>
      </c>
      <c r="D349" s="134" t="s">
        <v>5313</v>
      </c>
      <c r="E349" s="139">
        <v>1.74</v>
      </c>
      <c r="F349" s="134" t="s">
        <v>5312</v>
      </c>
      <c r="G349" s="134" t="s">
        <v>3007</v>
      </c>
      <c r="H349" s="123">
        <v>7692</v>
      </c>
    </row>
    <row r="350" spans="1:8" x14ac:dyDescent="0.25">
      <c r="A350" s="134" t="s">
        <v>10428</v>
      </c>
      <c r="B350" s="134" t="s">
        <v>6855</v>
      </c>
      <c r="C350" s="134" t="s">
        <v>10429</v>
      </c>
      <c r="D350" s="134" t="s">
        <v>3086</v>
      </c>
      <c r="E350" s="139">
        <v>6.38</v>
      </c>
      <c r="F350" s="134" t="s">
        <v>3085</v>
      </c>
      <c r="G350" s="134" t="s">
        <v>3007</v>
      </c>
      <c r="H350" s="123">
        <v>7693</v>
      </c>
    </row>
    <row r="351" spans="1:8" x14ac:dyDescent="0.25">
      <c r="A351" s="134" t="s">
        <v>10428</v>
      </c>
      <c r="B351" s="134" t="s">
        <v>10427</v>
      </c>
      <c r="C351" s="134" t="s">
        <v>10426</v>
      </c>
      <c r="D351" s="134" t="s">
        <v>9565</v>
      </c>
      <c r="E351" s="139">
        <v>1.68</v>
      </c>
      <c r="F351" s="134" t="s">
        <v>9564</v>
      </c>
      <c r="G351" s="134" t="s">
        <v>3007</v>
      </c>
      <c r="H351" s="123">
        <v>7694</v>
      </c>
    </row>
    <row r="352" spans="1:8" x14ac:dyDescent="0.25">
      <c r="A352" s="134" t="s">
        <v>10406</v>
      </c>
      <c r="B352" s="134" t="s">
        <v>10425</v>
      </c>
      <c r="C352" s="134" t="s">
        <v>10424</v>
      </c>
      <c r="D352" s="134" t="s">
        <v>9728</v>
      </c>
      <c r="E352" s="139">
        <v>4.83</v>
      </c>
      <c r="F352" s="134" t="s">
        <v>3490</v>
      </c>
      <c r="G352" s="134" t="s">
        <v>3007</v>
      </c>
      <c r="H352" s="123">
        <v>7704</v>
      </c>
    </row>
    <row r="353" spans="1:8" x14ac:dyDescent="0.25">
      <c r="A353" s="134" t="s">
        <v>10406</v>
      </c>
      <c r="B353" s="134" t="s">
        <v>10423</v>
      </c>
      <c r="C353" s="134" t="s">
        <v>10422</v>
      </c>
      <c r="D353" s="134" t="s">
        <v>6580</v>
      </c>
      <c r="E353" s="139">
        <v>25.24</v>
      </c>
      <c r="F353" s="134" t="s">
        <v>6579</v>
      </c>
      <c r="G353" s="134" t="s">
        <v>3007</v>
      </c>
      <c r="H353" s="123">
        <v>7705</v>
      </c>
    </row>
    <row r="354" spans="1:8" x14ac:dyDescent="0.25">
      <c r="A354" s="134" t="s">
        <v>10406</v>
      </c>
      <c r="B354" s="134" t="s">
        <v>10421</v>
      </c>
      <c r="C354" s="134" t="s">
        <v>10420</v>
      </c>
      <c r="D354" s="134" t="s">
        <v>5996</v>
      </c>
      <c r="E354" s="139">
        <v>6.47</v>
      </c>
      <c r="F354" s="134" t="s">
        <v>5995</v>
      </c>
      <c r="G354" s="134" t="s">
        <v>3007</v>
      </c>
      <c r="H354" s="123">
        <v>7706</v>
      </c>
    </row>
    <row r="355" spans="1:8" x14ac:dyDescent="0.25">
      <c r="A355" s="134" t="s">
        <v>10406</v>
      </c>
      <c r="B355" s="134" t="s">
        <v>10419</v>
      </c>
      <c r="C355" s="134" t="s">
        <v>10418</v>
      </c>
      <c r="D355" s="134" t="s">
        <v>7341</v>
      </c>
      <c r="E355" s="139">
        <v>15.64</v>
      </c>
      <c r="F355" s="134" t="s">
        <v>7340</v>
      </c>
      <c r="G355" s="134" t="s">
        <v>3007</v>
      </c>
      <c r="H355" s="123">
        <v>7707</v>
      </c>
    </row>
    <row r="356" spans="1:8" x14ac:dyDescent="0.25">
      <c r="A356" s="134" t="s">
        <v>10406</v>
      </c>
      <c r="B356" s="134" t="s">
        <v>10417</v>
      </c>
      <c r="C356" s="134" t="s">
        <v>10416</v>
      </c>
      <c r="D356" s="134" t="s">
        <v>3462</v>
      </c>
      <c r="E356" s="139">
        <v>2.1800000000000002</v>
      </c>
      <c r="F356" s="134" t="s">
        <v>3461</v>
      </c>
      <c r="G356" s="134" t="s">
        <v>3007</v>
      </c>
      <c r="H356" s="123">
        <v>7708</v>
      </c>
    </row>
    <row r="357" spans="1:8" x14ac:dyDescent="0.25">
      <c r="A357" s="134" t="s">
        <v>10406</v>
      </c>
      <c r="B357" s="134" t="s">
        <v>10415</v>
      </c>
      <c r="C357" s="134" t="s">
        <v>10414</v>
      </c>
      <c r="D357" s="134" t="s">
        <v>7760</v>
      </c>
      <c r="E357" s="139">
        <v>3.67</v>
      </c>
      <c r="F357" s="134" t="s">
        <v>7759</v>
      </c>
      <c r="G357" s="134" t="s">
        <v>3007</v>
      </c>
      <c r="H357" s="123">
        <v>7709</v>
      </c>
    </row>
    <row r="358" spans="1:8" x14ac:dyDescent="0.25">
      <c r="A358" s="134" t="s">
        <v>10406</v>
      </c>
      <c r="B358" s="134" t="s">
        <v>10413</v>
      </c>
      <c r="C358" s="134" t="s">
        <v>10412</v>
      </c>
      <c r="D358" s="134" t="s">
        <v>3551</v>
      </c>
      <c r="E358" s="139">
        <v>5.96</v>
      </c>
      <c r="F358" s="134" t="s">
        <v>3550</v>
      </c>
      <c r="G358" s="134" t="s">
        <v>3007</v>
      </c>
      <c r="H358" s="123">
        <v>7710</v>
      </c>
    </row>
    <row r="359" spans="1:8" x14ac:dyDescent="0.25">
      <c r="A359" s="134" t="s">
        <v>10406</v>
      </c>
      <c r="B359" s="134" t="s">
        <v>10411</v>
      </c>
      <c r="C359" s="134" t="s">
        <v>10410</v>
      </c>
      <c r="D359" s="134" t="s">
        <v>3215</v>
      </c>
      <c r="E359" s="139">
        <v>14.67</v>
      </c>
      <c r="F359" s="134" t="s">
        <v>3214</v>
      </c>
      <c r="G359" s="134" t="s">
        <v>3007</v>
      </c>
      <c r="H359" s="123">
        <v>7711</v>
      </c>
    </row>
    <row r="360" spans="1:8" x14ac:dyDescent="0.25">
      <c r="A360" s="134" t="s">
        <v>10406</v>
      </c>
      <c r="B360" s="134" t="s">
        <v>8183</v>
      </c>
      <c r="C360" s="134" t="s">
        <v>10409</v>
      </c>
      <c r="D360" s="134" t="s">
        <v>10408</v>
      </c>
      <c r="E360" s="139">
        <v>6.99</v>
      </c>
      <c r="F360" s="134" t="s">
        <v>10407</v>
      </c>
      <c r="G360" s="134" t="s">
        <v>3007</v>
      </c>
      <c r="H360" s="123">
        <v>7712</v>
      </c>
    </row>
    <row r="361" spans="1:8" x14ac:dyDescent="0.25">
      <c r="A361" s="134" t="s">
        <v>10406</v>
      </c>
      <c r="B361" s="134" t="s">
        <v>10405</v>
      </c>
      <c r="C361" s="134" t="s">
        <v>10404</v>
      </c>
      <c r="D361" s="134" t="s">
        <v>3880</v>
      </c>
      <c r="E361" s="139">
        <v>13.01</v>
      </c>
      <c r="F361" s="134" t="s">
        <v>3879</v>
      </c>
      <c r="G361" s="134" t="s">
        <v>3007</v>
      </c>
      <c r="H361" s="123">
        <v>7713</v>
      </c>
    </row>
    <row r="362" spans="1:8" x14ac:dyDescent="0.25">
      <c r="A362" s="134" t="s">
        <v>10399</v>
      </c>
      <c r="B362" s="134" t="s">
        <v>10403</v>
      </c>
      <c r="C362" s="134" t="s">
        <v>10402</v>
      </c>
      <c r="D362" s="134" t="s">
        <v>4416</v>
      </c>
      <c r="E362" s="139">
        <v>5.38</v>
      </c>
      <c r="F362" s="134" t="s">
        <v>4415</v>
      </c>
      <c r="G362" s="134" t="s">
        <v>3007</v>
      </c>
      <c r="H362" s="123">
        <v>7714</v>
      </c>
    </row>
    <row r="363" spans="1:8" x14ac:dyDescent="0.25">
      <c r="A363" s="134" t="s">
        <v>10399</v>
      </c>
      <c r="B363" s="134" t="s">
        <v>10401</v>
      </c>
      <c r="C363" s="134" t="s">
        <v>10400</v>
      </c>
      <c r="D363" s="134" t="s">
        <v>6250</v>
      </c>
      <c r="E363" s="139">
        <v>13.06</v>
      </c>
      <c r="F363" s="134" t="s">
        <v>6249</v>
      </c>
      <c r="G363" s="134" t="s">
        <v>3007</v>
      </c>
      <c r="H363" s="123">
        <v>7715</v>
      </c>
    </row>
    <row r="364" spans="1:8" x14ac:dyDescent="0.25">
      <c r="A364" s="134" t="s">
        <v>10399</v>
      </c>
      <c r="B364" s="134" t="s">
        <v>10398</v>
      </c>
      <c r="C364" s="134" t="s">
        <v>10397</v>
      </c>
      <c r="D364" s="134" t="s">
        <v>3759</v>
      </c>
      <c r="E364" s="139">
        <v>10.91</v>
      </c>
      <c r="F364" s="134" t="s">
        <v>3758</v>
      </c>
      <c r="G364" s="134" t="s">
        <v>3007</v>
      </c>
      <c r="H364" s="123">
        <v>7716</v>
      </c>
    </row>
    <row r="365" spans="1:8" x14ac:dyDescent="0.25">
      <c r="A365" s="134" t="s">
        <v>10366</v>
      </c>
      <c r="B365" s="134" t="s">
        <v>10396</v>
      </c>
      <c r="C365" s="134" t="s">
        <v>10395</v>
      </c>
      <c r="D365" s="134" t="s">
        <v>10394</v>
      </c>
      <c r="E365" s="139">
        <v>5.04</v>
      </c>
      <c r="F365" s="134" t="s">
        <v>10393</v>
      </c>
      <c r="G365" s="134" t="s">
        <v>3007</v>
      </c>
      <c r="H365" s="123">
        <v>7748</v>
      </c>
    </row>
    <row r="366" spans="1:8" x14ac:dyDescent="0.25">
      <c r="A366" s="134" t="s">
        <v>10366</v>
      </c>
      <c r="B366" s="134" t="s">
        <v>10392</v>
      </c>
      <c r="C366" s="134" t="s">
        <v>10391</v>
      </c>
      <c r="D366" s="134" t="s">
        <v>3466</v>
      </c>
      <c r="E366" s="139">
        <v>14.86</v>
      </c>
      <c r="F366" s="134" t="s">
        <v>3465</v>
      </c>
      <c r="G366" s="134" t="s">
        <v>3007</v>
      </c>
      <c r="H366" s="123">
        <v>7749</v>
      </c>
    </row>
    <row r="367" spans="1:8" x14ac:dyDescent="0.25">
      <c r="A367" s="134" t="s">
        <v>10366</v>
      </c>
      <c r="B367" s="134" t="s">
        <v>10390</v>
      </c>
      <c r="C367" s="134" t="s">
        <v>10389</v>
      </c>
      <c r="D367" s="134" t="s">
        <v>4354</v>
      </c>
      <c r="E367" s="139">
        <v>2.72</v>
      </c>
      <c r="F367" s="134" t="s">
        <v>4353</v>
      </c>
      <c r="G367" s="134" t="s">
        <v>3007</v>
      </c>
      <c r="H367" s="123">
        <v>7750</v>
      </c>
    </row>
    <row r="368" spans="1:8" x14ac:dyDescent="0.25">
      <c r="A368" s="134" t="s">
        <v>10366</v>
      </c>
      <c r="B368" s="134" t="s">
        <v>10388</v>
      </c>
      <c r="C368" s="134" t="s">
        <v>10387</v>
      </c>
      <c r="D368" s="134" t="s">
        <v>6123</v>
      </c>
      <c r="E368" s="139">
        <v>9.23</v>
      </c>
      <c r="F368" s="134" t="s">
        <v>6122</v>
      </c>
      <c r="G368" s="134" t="s">
        <v>3007</v>
      </c>
      <c r="H368" s="123">
        <v>7751</v>
      </c>
    </row>
    <row r="369" spans="1:8" x14ac:dyDescent="0.25">
      <c r="A369" s="134" t="s">
        <v>10366</v>
      </c>
      <c r="B369" s="134" t="s">
        <v>10386</v>
      </c>
      <c r="C369" s="134" t="s">
        <v>10385</v>
      </c>
      <c r="D369" s="134" t="s">
        <v>3611</v>
      </c>
      <c r="E369" s="139">
        <v>7.03</v>
      </c>
      <c r="F369" s="134" t="s">
        <v>3610</v>
      </c>
      <c r="G369" s="134" t="s">
        <v>3007</v>
      </c>
      <c r="H369" s="123">
        <v>7752</v>
      </c>
    </row>
    <row r="370" spans="1:8" x14ac:dyDescent="0.25">
      <c r="A370" s="134" t="s">
        <v>10366</v>
      </c>
      <c r="B370" s="134" t="s">
        <v>10384</v>
      </c>
      <c r="C370" s="134" t="s">
        <v>10383</v>
      </c>
      <c r="D370" s="134" t="s">
        <v>3542</v>
      </c>
      <c r="E370" s="139">
        <v>2.0499999999999998</v>
      </c>
      <c r="F370" s="134" t="s">
        <v>3541</v>
      </c>
      <c r="G370" s="134" t="s">
        <v>3007</v>
      </c>
      <c r="H370" s="123">
        <v>7753</v>
      </c>
    </row>
    <row r="371" spans="1:8" x14ac:dyDescent="0.25">
      <c r="A371" s="134" t="s">
        <v>10366</v>
      </c>
      <c r="B371" s="134" t="s">
        <v>10382</v>
      </c>
      <c r="C371" s="134" t="s">
        <v>10381</v>
      </c>
      <c r="D371" s="134" t="s">
        <v>9792</v>
      </c>
      <c r="E371" s="139">
        <v>22.76</v>
      </c>
      <c r="F371" s="134" t="s">
        <v>9791</v>
      </c>
      <c r="G371" s="134" t="s">
        <v>3007</v>
      </c>
      <c r="H371" s="123">
        <v>7754</v>
      </c>
    </row>
    <row r="372" spans="1:8" x14ac:dyDescent="0.25">
      <c r="A372" s="134" t="s">
        <v>10366</v>
      </c>
      <c r="B372" s="134" t="s">
        <v>10380</v>
      </c>
      <c r="C372" s="134" t="s">
        <v>10379</v>
      </c>
      <c r="D372" s="134" t="s">
        <v>3538</v>
      </c>
      <c r="E372" s="139">
        <v>8.4700000000000006</v>
      </c>
      <c r="F372" s="134" t="s">
        <v>3537</v>
      </c>
      <c r="G372" s="134" t="s">
        <v>3007</v>
      </c>
      <c r="H372" s="123">
        <v>7755</v>
      </c>
    </row>
    <row r="373" spans="1:8" x14ac:dyDescent="0.25">
      <c r="A373" s="134" t="s">
        <v>10366</v>
      </c>
      <c r="B373" s="134" t="s">
        <v>10378</v>
      </c>
      <c r="C373" s="134" t="s">
        <v>10377</v>
      </c>
      <c r="D373" s="134" t="s">
        <v>3591</v>
      </c>
      <c r="E373" s="139">
        <v>3.88</v>
      </c>
      <c r="F373" s="134" t="s">
        <v>3590</v>
      </c>
      <c r="G373" s="134" t="s">
        <v>3007</v>
      </c>
      <c r="H373" s="123">
        <v>7756</v>
      </c>
    </row>
    <row r="374" spans="1:8" x14ac:dyDescent="0.25">
      <c r="A374" s="134" t="s">
        <v>10366</v>
      </c>
      <c r="B374" s="134" t="s">
        <v>10376</v>
      </c>
      <c r="C374" s="134" t="s">
        <v>10375</v>
      </c>
      <c r="D374" s="134" t="s">
        <v>3317</v>
      </c>
      <c r="E374" s="139">
        <v>0.94</v>
      </c>
      <c r="F374" s="134" t="s">
        <v>3316</v>
      </c>
      <c r="G374" s="134" t="s">
        <v>3007</v>
      </c>
      <c r="H374" s="123">
        <v>7757</v>
      </c>
    </row>
    <row r="375" spans="1:8" x14ac:dyDescent="0.25">
      <c r="A375" s="134" t="s">
        <v>10366</v>
      </c>
      <c r="B375" s="134" t="s">
        <v>10374</v>
      </c>
      <c r="C375" s="134" t="s">
        <v>10373</v>
      </c>
      <c r="D375" s="134" t="s">
        <v>3098</v>
      </c>
      <c r="E375" s="139">
        <v>46.04</v>
      </c>
      <c r="F375" s="134" t="s">
        <v>3097</v>
      </c>
      <c r="G375" s="134" t="s">
        <v>3007</v>
      </c>
      <c r="H375" s="123">
        <v>7758</v>
      </c>
    </row>
    <row r="376" spans="1:8" x14ac:dyDescent="0.25">
      <c r="A376" s="134" t="s">
        <v>10366</v>
      </c>
      <c r="B376" s="134" t="s">
        <v>10372</v>
      </c>
      <c r="C376" s="134" t="s">
        <v>10371</v>
      </c>
      <c r="D376" s="134" t="s">
        <v>3993</v>
      </c>
      <c r="E376" s="139">
        <v>8.3800000000000008</v>
      </c>
      <c r="F376" s="134" t="s">
        <v>3992</v>
      </c>
      <c r="G376" s="134" t="s">
        <v>3007</v>
      </c>
      <c r="H376" s="123">
        <v>7759</v>
      </c>
    </row>
    <row r="377" spans="1:8" x14ac:dyDescent="0.25">
      <c r="A377" s="134" t="s">
        <v>10366</v>
      </c>
      <c r="B377" s="134" t="s">
        <v>10370</v>
      </c>
      <c r="C377" s="134" t="s">
        <v>10369</v>
      </c>
      <c r="D377" s="134" t="s">
        <v>9643</v>
      </c>
      <c r="E377" s="139">
        <v>1.68</v>
      </c>
      <c r="F377" s="134" t="s">
        <v>9642</v>
      </c>
      <c r="G377" s="134" t="s">
        <v>3007</v>
      </c>
      <c r="H377" s="123">
        <v>7760</v>
      </c>
    </row>
    <row r="378" spans="1:8" x14ac:dyDescent="0.25">
      <c r="A378" s="134" t="s">
        <v>10366</v>
      </c>
      <c r="B378" s="134" t="s">
        <v>10368</v>
      </c>
      <c r="C378" s="134" t="s">
        <v>10367</v>
      </c>
      <c r="D378" s="134" t="s">
        <v>3361</v>
      </c>
      <c r="E378" s="139">
        <v>1.84</v>
      </c>
      <c r="F378" s="134" t="s">
        <v>3360</v>
      </c>
      <c r="G378" s="134" t="s">
        <v>3007</v>
      </c>
      <c r="H378" s="123">
        <v>7761</v>
      </c>
    </row>
    <row r="379" spans="1:8" x14ac:dyDescent="0.25">
      <c r="A379" s="134" t="s">
        <v>10366</v>
      </c>
      <c r="B379" s="134" t="s">
        <v>10365</v>
      </c>
      <c r="C379" s="134" t="s">
        <v>10364</v>
      </c>
      <c r="D379" s="134" t="s">
        <v>3285</v>
      </c>
      <c r="E379" s="139">
        <v>5.72</v>
      </c>
      <c r="F379" s="134" t="s">
        <v>3284</v>
      </c>
      <c r="G379" s="134" t="s">
        <v>3007</v>
      </c>
      <c r="H379" s="123">
        <v>7762</v>
      </c>
    </row>
    <row r="380" spans="1:8" x14ac:dyDescent="0.25">
      <c r="A380" s="134" t="s">
        <v>10317</v>
      </c>
      <c r="B380" s="134" t="s">
        <v>10363</v>
      </c>
      <c r="C380" s="134" t="s">
        <v>10362</v>
      </c>
      <c r="D380" s="134" t="s">
        <v>6489</v>
      </c>
      <c r="E380" s="139">
        <v>23.21</v>
      </c>
      <c r="F380" s="134" t="s">
        <v>6488</v>
      </c>
      <c r="G380" s="134" t="s">
        <v>3007</v>
      </c>
      <c r="H380" s="123">
        <v>7815</v>
      </c>
    </row>
    <row r="381" spans="1:8" x14ac:dyDescent="0.25">
      <c r="A381" s="134" t="s">
        <v>10317</v>
      </c>
      <c r="B381" s="134" t="s">
        <v>10361</v>
      </c>
      <c r="C381" s="134" t="s">
        <v>10360</v>
      </c>
      <c r="D381" s="134" t="s">
        <v>9831</v>
      </c>
      <c r="E381" s="139">
        <v>7.5</v>
      </c>
      <c r="F381" s="134" t="s">
        <v>9830</v>
      </c>
      <c r="G381" s="134" t="s">
        <v>3007</v>
      </c>
      <c r="H381" s="123">
        <v>7816</v>
      </c>
    </row>
    <row r="382" spans="1:8" x14ac:dyDescent="0.25">
      <c r="A382" s="134" t="s">
        <v>10317</v>
      </c>
      <c r="B382" s="134" t="s">
        <v>10359</v>
      </c>
      <c r="C382" s="134" t="s">
        <v>10358</v>
      </c>
      <c r="D382" s="134" t="s">
        <v>8769</v>
      </c>
      <c r="E382" s="139">
        <v>5.71</v>
      </c>
      <c r="F382" s="134" t="s">
        <v>8768</v>
      </c>
      <c r="G382" s="134" t="s">
        <v>3007</v>
      </c>
      <c r="H382" s="123">
        <v>7818</v>
      </c>
    </row>
    <row r="383" spans="1:8" x14ac:dyDescent="0.25">
      <c r="A383" s="134" t="s">
        <v>10317</v>
      </c>
      <c r="B383" s="134" t="s">
        <v>10357</v>
      </c>
      <c r="C383" s="134" t="s">
        <v>10356</v>
      </c>
      <c r="D383" s="134" t="s">
        <v>6683</v>
      </c>
      <c r="E383" s="139">
        <v>1.68</v>
      </c>
      <c r="F383" s="134" t="s">
        <v>6682</v>
      </c>
      <c r="G383" s="134" t="s">
        <v>3007</v>
      </c>
      <c r="H383" s="123">
        <v>7819</v>
      </c>
    </row>
    <row r="384" spans="1:8" x14ac:dyDescent="0.25">
      <c r="A384" s="134" t="s">
        <v>10317</v>
      </c>
      <c r="B384" s="134" t="s">
        <v>10355</v>
      </c>
      <c r="C384" s="134" t="s">
        <v>10354</v>
      </c>
      <c r="D384" s="134" t="s">
        <v>8089</v>
      </c>
      <c r="E384" s="139">
        <v>3.71</v>
      </c>
      <c r="F384" s="134" t="s">
        <v>8088</v>
      </c>
      <c r="G384" s="134" t="s">
        <v>3007</v>
      </c>
      <c r="H384" s="123">
        <v>7820</v>
      </c>
    </row>
    <row r="385" spans="1:8" x14ac:dyDescent="0.25">
      <c r="A385" s="134" t="s">
        <v>10317</v>
      </c>
      <c r="B385" s="134" t="s">
        <v>10353</v>
      </c>
      <c r="C385" s="134" t="s">
        <v>10352</v>
      </c>
      <c r="D385" s="134" t="s">
        <v>9174</v>
      </c>
      <c r="E385" s="139">
        <v>27.89</v>
      </c>
      <c r="F385" s="134" t="s">
        <v>9173</v>
      </c>
      <c r="G385" s="134" t="s">
        <v>3007</v>
      </c>
      <c r="H385" s="123">
        <v>7821</v>
      </c>
    </row>
    <row r="386" spans="1:8" x14ac:dyDescent="0.25">
      <c r="A386" s="134" t="s">
        <v>10317</v>
      </c>
      <c r="B386" s="134" t="s">
        <v>10351</v>
      </c>
      <c r="C386" s="134" t="s">
        <v>10350</v>
      </c>
      <c r="D386" s="134" t="s">
        <v>6691</v>
      </c>
      <c r="E386" s="139">
        <v>5.35</v>
      </c>
      <c r="F386" s="134" t="s">
        <v>6690</v>
      </c>
      <c r="G386" s="134" t="s">
        <v>3007</v>
      </c>
      <c r="H386" s="123">
        <v>7825</v>
      </c>
    </row>
    <row r="387" spans="1:8" x14ac:dyDescent="0.25">
      <c r="A387" s="134" t="s">
        <v>10317</v>
      </c>
      <c r="B387" s="134" t="s">
        <v>10349</v>
      </c>
      <c r="C387" s="134" t="s">
        <v>10348</v>
      </c>
      <c r="D387" s="134" t="s">
        <v>3571</v>
      </c>
      <c r="E387" s="139">
        <v>11.7</v>
      </c>
      <c r="F387" s="134" t="s">
        <v>3570</v>
      </c>
      <c r="G387" s="134" t="s">
        <v>3007</v>
      </c>
      <c r="H387" s="123">
        <v>7827</v>
      </c>
    </row>
    <row r="388" spans="1:8" x14ac:dyDescent="0.25">
      <c r="A388" s="134" t="s">
        <v>10317</v>
      </c>
      <c r="B388" s="134" t="s">
        <v>10347</v>
      </c>
      <c r="C388" s="134" t="s">
        <v>10346</v>
      </c>
      <c r="D388" s="134" t="s">
        <v>10345</v>
      </c>
      <c r="E388" s="139">
        <v>6.94</v>
      </c>
      <c r="F388" s="134" t="s">
        <v>10344</v>
      </c>
      <c r="G388" s="134" t="s">
        <v>3007</v>
      </c>
      <c r="H388" s="123">
        <v>7829</v>
      </c>
    </row>
    <row r="389" spans="1:8" x14ac:dyDescent="0.25">
      <c r="A389" s="134" t="s">
        <v>10317</v>
      </c>
      <c r="B389" s="134" t="s">
        <v>10343</v>
      </c>
      <c r="C389" s="134" t="s">
        <v>10342</v>
      </c>
      <c r="D389" s="134" t="s">
        <v>3026</v>
      </c>
      <c r="E389" s="139">
        <v>2.34</v>
      </c>
      <c r="F389" s="134" t="s">
        <v>3025</v>
      </c>
      <c r="G389" s="134" t="s">
        <v>3007</v>
      </c>
      <c r="H389" s="123">
        <v>7830</v>
      </c>
    </row>
    <row r="390" spans="1:8" x14ac:dyDescent="0.25">
      <c r="A390" s="134" t="s">
        <v>10317</v>
      </c>
      <c r="B390" s="134" t="s">
        <v>10341</v>
      </c>
      <c r="C390" s="134" t="s">
        <v>10340</v>
      </c>
      <c r="D390" s="134" t="s">
        <v>4961</v>
      </c>
      <c r="E390" s="139">
        <v>4.05</v>
      </c>
      <c r="F390" s="134" t="s">
        <v>4960</v>
      </c>
      <c r="G390" s="134" t="s">
        <v>3007</v>
      </c>
      <c r="H390" s="123">
        <v>7831</v>
      </c>
    </row>
    <row r="391" spans="1:8" x14ac:dyDescent="0.25">
      <c r="A391" s="134" t="s">
        <v>10317</v>
      </c>
      <c r="B391" s="134" t="s">
        <v>10339</v>
      </c>
      <c r="C391" s="134" t="s">
        <v>10338</v>
      </c>
      <c r="D391" s="134" t="s">
        <v>8211</v>
      </c>
      <c r="E391" s="139">
        <v>3.52</v>
      </c>
      <c r="F391" s="134" t="s">
        <v>8210</v>
      </c>
      <c r="G391" s="134" t="s">
        <v>3007</v>
      </c>
      <c r="H391" s="123">
        <v>7832</v>
      </c>
    </row>
    <row r="392" spans="1:8" x14ac:dyDescent="0.25">
      <c r="A392" s="134" t="s">
        <v>10317</v>
      </c>
      <c r="B392" s="134" t="s">
        <v>10337</v>
      </c>
      <c r="C392" s="134" t="s">
        <v>10336</v>
      </c>
      <c r="D392" s="134" t="s">
        <v>5646</v>
      </c>
      <c r="E392" s="139">
        <v>3.47</v>
      </c>
      <c r="F392" s="134" t="s">
        <v>5645</v>
      </c>
      <c r="G392" s="134" t="s">
        <v>3007</v>
      </c>
      <c r="H392" s="123">
        <v>7833</v>
      </c>
    </row>
    <row r="393" spans="1:8" x14ac:dyDescent="0.25">
      <c r="A393" s="134" t="s">
        <v>10317</v>
      </c>
      <c r="B393" s="134" t="s">
        <v>10335</v>
      </c>
      <c r="C393" s="134" t="s">
        <v>10334</v>
      </c>
      <c r="D393" s="134" t="s">
        <v>6467</v>
      </c>
      <c r="E393" s="139">
        <v>8.3800000000000008</v>
      </c>
      <c r="F393" s="134" t="s">
        <v>6466</v>
      </c>
      <c r="G393" s="134" t="s">
        <v>3007</v>
      </c>
      <c r="H393" s="123">
        <v>7834</v>
      </c>
    </row>
    <row r="394" spans="1:8" x14ac:dyDescent="0.25">
      <c r="A394" s="134" t="s">
        <v>10317</v>
      </c>
      <c r="B394" s="134" t="s">
        <v>10333</v>
      </c>
      <c r="C394" s="134" t="s">
        <v>10332</v>
      </c>
      <c r="D394" s="134" t="s">
        <v>4803</v>
      </c>
      <c r="E394" s="139">
        <v>16.760000000000002</v>
      </c>
      <c r="F394" s="134" t="s">
        <v>4802</v>
      </c>
      <c r="G394" s="134" t="s">
        <v>3007</v>
      </c>
      <c r="H394" s="123">
        <v>7835</v>
      </c>
    </row>
    <row r="395" spans="1:8" x14ac:dyDescent="0.25">
      <c r="A395" s="134" t="s">
        <v>10317</v>
      </c>
      <c r="B395" s="134" t="s">
        <v>10331</v>
      </c>
      <c r="C395" s="134" t="s">
        <v>10330</v>
      </c>
      <c r="D395" s="134" t="s">
        <v>9686</v>
      </c>
      <c r="E395" s="139">
        <v>4.58</v>
      </c>
      <c r="F395" s="134" t="s">
        <v>9685</v>
      </c>
      <c r="G395" s="134" t="s">
        <v>3007</v>
      </c>
      <c r="H395" s="123">
        <v>7836</v>
      </c>
    </row>
    <row r="396" spans="1:8" x14ac:dyDescent="0.25">
      <c r="A396" s="134" t="s">
        <v>10317</v>
      </c>
      <c r="B396" s="134" t="s">
        <v>10329</v>
      </c>
      <c r="C396" s="134" t="s">
        <v>10328</v>
      </c>
      <c r="D396" s="134" t="s">
        <v>3583</v>
      </c>
      <c r="E396" s="139">
        <v>19.45</v>
      </c>
      <c r="F396" s="134" t="s">
        <v>3582</v>
      </c>
      <c r="G396" s="134" t="s">
        <v>3007</v>
      </c>
      <c r="H396" s="123">
        <v>7837</v>
      </c>
    </row>
    <row r="397" spans="1:8" x14ac:dyDescent="0.25">
      <c r="A397" s="134" t="s">
        <v>10317</v>
      </c>
      <c r="B397" s="134" t="s">
        <v>10327</v>
      </c>
      <c r="C397" s="134" t="s">
        <v>10326</v>
      </c>
      <c r="D397" s="134" t="s">
        <v>4839</v>
      </c>
      <c r="E397" s="139">
        <v>1.68</v>
      </c>
      <c r="F397" s="134" t="s">
        <v>4838</v>
      </c>
      <c r="G397" s="134" t="s">
        <v>3007</v>
      </c>
      <c r="H397" s="123">
        <v>7838</v>
      </c>
    </row>
    <row r="398" spans="1:8" x14ac:dyDescent="0.25">
      <c r="A398" s="134" t="s">
        <v>10317</v>
      </c>
      <c r="B398" s="134" t="s">
        <v>10325</v>
      </c>
      <c r="C398" s="134" t="s">
        <v>10324</v>
      </c>
      <c r="D398" s="134" t="s">
        <v>3127</v>
      </c>
      <c r="E398" s="139">
        <v>11.95</v>
      </c>
      <c r="F398" s="134" t="s">
        <v>3126</v>
      </c>
      <c r="G398" s="134" t="s">
        <v>3007</v>
      </c>
      <c r="H398" s="123">
        <v>7839</v>
      </c>
    </row>
    <row r="399" spans="1:8" x14ac:dyDescent="0.25">
      <c r="A399" s="134" t="s">
        <v>10317</v>
      </c>
      <c r="B399" s="134" t="s">
        <v>10323</v>
      </c>
      <c r="C399" s="134" t="s">
        <v>10322</v>
      </c>
      <c r="D399" s="134" t="s">
        <v>3506</v>
      </c>
      <c r="E399" s="139">
        <v>3.36</v>
      </c>
      <c r="F399" s="134" t="s">
        <v>3505</v>
      </c>
      <c r="G399" s="134" t="s">
        <v>3007</v>
      </c>
      <c r="H399" s="123">
        <v>7840</v>
      </c>
    </row>
    <row r="400" spans="1:8" x14ac:dyDescent="0.25">
      <c r="A400" s="134" t="s">
        <v>10317</v>
      </c>
      <c r="B400" s="134" t="s">
        <v>10321</v>
      </c>
      <c r="C400" s="134" t="s">
        <v>10320</v>
      </c>
      <c r="D400" s="134" t="s">
        <v>4412</v>
      </c>
      <c r="E400" s="139">
        <v>3.36</v>
      </c>
      <c r="F400" s="134" t="s">
        <v>4411</v>
      </c>
      <c r="G400" s="134" t="s">
        <v>3007</v>
      </c>
      <c r="H400" s="123">
        <v>7841</v>
      </c>
    </row>
    <row r="401" spans="1:8" x14ac:dyDescent="0.25">
      <c r="A401" s="134" t="s">
        <v>10317</v>
      </c>
      <c r="B401" s="134" t="s">
        <v>10319</v>
      </c>
      <c r="C401" s="134" t="s">
        <v>10318</v>
      </c>
      <c r="D401" s="134" t="s">
        <v>4755</v>
      </c>
      <c r="E401" s="139">
        <v>10.08</v>
      </c>
      <c r="F401" s="134" t="s">
        <v>4754</v>
      </c>
      <c r="G401" s="134" t="s">
        <v>3007</v>
      </c>
      <c r="H401" s="123">
        <v>7842</v>
      </c>
    </row>
    <row r="402" spans="1:8" x14ac:dyDescent="0.25">
      <c r="A402" s="134" t="s">
        <v>10317</v>
      </c>
      <c r="B402" s="134" t="s">
        <v>9153</v>
      </c>
      <c r="C402" s="134" t="s">
        <v>10316</v>
      </c>
      <c r="D402" s="134" t="s">
        <v>5584</v>
      </c>
      <c r="E402" s="139">
        <v>3.45</v>
      </c>
      <c r="F402" s="134" t="s">
        <v>5583</v>
      </c>
      <c r="G402" s="134" t="s">
        <v>3007</v>
      </c>
      <c r="H402" s="123">
        <v>7843</v>
      </c>
    </row>
    <row r="403" spans="1:8" s="200" customFormat="1" x14ac:dyDescent="0.25">
      <c r="A403" s="198"/>
      <c r="B403" s="198"/>
      <c r="C403" s="198" t="s">
        <v>5691</v>
      </c>
      <c r="D403" s="198" t="s">
        <v>14414</v>
      </c>
      <c r="E403" s="199">
        <f>SUM(E338:E402)</f>
        <v>570.12000000000012</v>
      </c>
      <c r="F403" s="198"/>
      <c r="G403" s="198"/>
      <c r="H403" s="172"/>
    </row>
    <row r="404" spans="1:8" s="200" customFormat="1" x14ac:dyDescent="0.25">
      <c r="A404" s="198"/>
      <c r="B404" s="198"/>
      <c r="C404" s="198"/>
      <c r="D404" s="198"/>
      <c r="E404" s="199"/>
      <c r="F404" s="198"/>
      <c r="G404" s="198"/>
      <c r="H404" s="172"/>
    </row>
    <row r="405" spans="1:8" x14ac:dyDescent="0.25">
      <c r="A405" s="134"/>
      <c r="B405" s="134"/>
      <c r="C405" s="134"/>
      <c r="D405" s="134"/>
      <c r="E405" s="139"/>
      <c r="F405" s="134"/>
      <c r="G405" s="134"/>
      <c r="H405" s="123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0" fitToHeight="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6FCB1-DFAC-475D-A6FE-06DAAB869A4F}">
  <sheetPr>
    <pageSetUpPr fitToPage="1"/>
  </sheetPr>
  <dimension ref="A1:L117"/>
  <sheetViews>
    <sheetView topLeftCell="A91" zoomScaleNormal="100" workbookViewId="0">
      <selection activeCell="F52" sqref="F52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8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8" x14ac:dyDescent="0.2">
      <c r="A2" s="1"/>
      <c r="B2" s="2"/>
      <c r="C2" s="3"/>
      <c r="D2" s="3"/>
      <c r="E2" s="3"/>
      <c r="F2" s="4"/>
      <c r="G2" s="3"/>
      <c r="H2" s="5"/>
    </row>
    <row r="3" spans="1:8" x14ac:dyDescent="0.2">
      <c r="A3" s="1"/>
      <c r="B3" s="2"/>
      <c r="C3" s="3"/>
      <c r="D3" s="3"/>
      <c r="E3" s="3"/>
      <c r="F3" s="4"/>
      <c r="G3" s="3"/>
      <c r="H3" s="5"/>
    </row>
    <row r="4" spans="1:8" x14ac:dyDescent="0.2">
      <c r="A4" s="1" t="s">
        <v>1</v>
      </c>
      <c r="B4" s="1"/>
      <c r="D4" s="6"/>
      <c r="E4" s="6"/>
      <c r="G4" s="6"/>
    </row>
    <row r="5" spans="1:8" x14ac:dyDescent="0.2">
      <c r="A5" s="8"/>
      <c r="B5" s="2"/>
      <c r="C5" s="3"/>
      <c r="D5" s="3"/>
      <c r="E5" s="3"/>
      <c r="F5" s="4"/>
      <c r="G5" s="3"/>
      <c r="H5" s="5"/>
    </row>
    <row r="6" spans="1:8" x14ac:dyDescent="0.2">
      <c r="A6" s="8"/>
      <c r="B6" s="2"/>
      <c r="C6" s="3"/>
      <c r="D6" s="3"/>
      <c r="E6" s="3"/>
      <c r="F6" s="4"/>
      <c r="G6" s="3"/>
      <c r="H6" s="5"/>
    </row>
    <row r="7" spans="1:8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8" x14ac:dyDescent="0.2">
      <c r="A8" s="8"/>
      <c r="B8" s="2"/>
      <c r="C8" s="3"/>
      <c r="D8" s="3"/>
      <c r="E8" s="3"/>
      <c r="F8" s="4"/>
      <c r="G8" s="3"/>
      <c r="H8" s="5"/>
    </row>
    <row r="9" spans="1:8" ht="13.5" customHeight="1" x14ac:dyDescent="0.2">
      <c r="A9" s="10" t="s">
        <v>21298</v>
      </c>
      <c r="B9" s="10"/>
      <c r="C9" s="11"/>
      <c r="D9" s="3"/>
      <c r="E9" s="3"/>
      <c r="F9" s="4"/>
      <c r="G9" s="12" t="s">
        <v>4</v>
      </c>
      <c r="H9" s="13">
        <v>62656.32</v>
      </c>
    </row>
    <row r="10" spans="1:8" x14ac:dyDescent="0.2">
      <c r="A10" s="3"/>
      <c r="B10" s="9"/>
      <c r="C10" s="3"/>
      <c r="D10" s="3"/>
      <c r="E10" s="3"/>
      <c r="F10" s="4"/>
      <c r="G10" s="3"/>
      <c r="H10" s="5"/>
    </row>
    <row r="11" spans="1:8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8" ht="12.75" customHeight="1" x14ac:dyDescent="0.2">
      <c r="A12" s="14"/>
      <c r="B12" s="18" t="s">
        <v>19988</v>
      </c>
      <c r="C12" s="3"/>
      <c r="D12" s="16"/>
      <c r="E12" s="16"/>
      <c r="F12" s="17"/>
      <c r="G12" s="3"/>
      <c r="H12" s="5"/>
    </row>
    <row r="13" spans="1:8" x14ac:dyDescent="0.2">
      <c r="A13" s="14"/>
      <c r="B13" s="9"/>
      <c r="C13" s="3"/>
      <c r="D13" s="16"/>
      <c r="E13" s="16"/>
      <c r="F13" s="17"/>
      <c r="G13" s="3"/>
      <c r="H13" s="5"/>
    </row>
    <row r="14" spans="1:8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8" x14ac:dyDescent="0.2">
      <c r="A15" s="23"/>
      <c r="B15" s="24"/>
      <c r="C15" s="34"/>
      <c r="D15" s="35"/>
      <c r="E15" s="26"/>
      <c r="F15" s="36"/>
      <c r="G15" s="3"/>
      <c r="H15" s="5"/>
    </row>
    <row r="16" spans="1:8" x14ac:dyDescent="0.2">
      <c r="A16" s="37"/>
      <c r="B16" s="38"/>
      <c r="C16" s="39"/>
      <c r="D16" s="40"/>
      <c r="E16" s="22"/>
      <c r="F16" s="41"/>
      <c r="G16" s="3"/>
      <c r="H16" s="13">
        <f>SUM(F15:F15)</f>
        <v>0</v>
      </c>
    </row>
    <row r="17" spans="1:9" x14ac:dyDescent="0.2">
      <c r="A17" s="19"/>
      <c r="B17" s="42"/>
      <c r="C17" s="3"/>
      <c r="D17" s="22"/>
      <c r="E17" s="22"/>
      <c r="F17" s="43"/>
      <c r="G17" s="12"/>
      <c r="H17" s="5"/>
    </row>
    <row r="18" spans="1:9" x14ac:dyDescent="0.2">
      <c r="A18" s="3"/>
      <c r="B18" s="44" t="s">
        <v>5</v>
      </c>
      <c r="C18" s="3"/>
      <c r="D18" s="16"/>
      <c r="E18" s="16"/>
      <c r="F18" s="22" t="s">
        <v>11</v>
      </c>
      <c r="G18" s="3"/>
      <c r="H18" s="5"/>
    </row>
    <row r="19" spans="1:9" ht="13.5" customHeight="1" x14ac:dyDescent="0.2">
      <c r="A19" s="21" t="s">
        <v>7</v>
      </c>
      <c r="B19" s="18" t="s">
        <v>14</v>
      </c>
      <c r="C19" s="3"/>
      <c r="D19" s="16"/>
      <c r="E19" s="16"/>
      <c r="F19" s="43"/>
      <c r="G19" s="3"/>
      <c r="H19" s="5"/>
    </row>
    <row r="20" spans="1:9" ht="13.5" customHeight="1" x14ac:dyDescent="0.2">
      <c r="A20" s="54"/>
      <c r="B20" s="55"/>
      <c r="D20" s="51"/>
      <c r="E20" s="51"/>
      <c r="F20" s="56"/>
      <c r="H20" s="57"/>
    </row>
    <row r="21" spans="1:9" x14ac:dyDescent="0.2">
      <c r="A21" s="58"/>
      <c r="D21" s="51"/>
      <c r="E21" s="51"/>
      <c r="F21" s="57"/>
      <c r="H21" s="60">
        <f>SUM(F20:F20)</f>
        <v>0</v>
      </c>
    </row>
    <row r="22" spans="1:9" s="64" customFormat="1" x14ac:dyDescent="0.2">
      <c r="A22" s="61"/>
      <c r="B22" s="62" t="s">
        <v>29</v>
      </c>
      <c r="C22" s="63"/>
      <c r="D22" s="63"/>
      <c r="E22" s="63"/>
      <c r="G22" s="65"/>
    </row>
    <row r="23" spans="1:9" s="64" customFormat="1" x14ac:dyDescent="0.2">
      <c r="A23" s="21" t="s">
        <v>7</v>
      </c>
      <c r="B23" s="62" t="s">
        <v>30</v>
      </c>
      <c r="C23" s="63"/>
      <c r="D23" s="63"/>
      <c r="E23" s="63"/>
      <c r="F23" s="22" t="s">
        <v>11</v>
      </c>
      <c r="G23" s="65"/>
    </row>
    <row r="24" spans="1:9" s="69" customFormat="1" x14ac:dyDescent="0.2">
      <c r="A24" s="45"/>
      <c r="B24" s="66"/>
      <c r="C24" s="67"/>
      <c r="D24" s="68"/>
      <c r="E24" s="51"/>
      <c r="F24" s="32"/>
      <c r="G24" s="3"/>
      <c r="I24" s="33"/>
    </row>
    <row r="25" spans="1:9" x14ac:dyDescent="0.2">
      <c r="A25" s="45"/>
      <c r="B25" s="66"/>
      <c r="D25" s="51"/>
      <c r="E25" s="51"/>
      <c r="F25" s="56"/>
      <c r="G25" s="3"/>
      <c r="H25" s="5"/>
    </row>
    <row r="26" spans="1:9" x14ac:dyDescent="0.2">
      <c r="A26" s="75"/>
      <c r="B26" s="2"/>
      <c r="C26" s="3"/>
      <c r="D26" s="16"/>
      <c r="E26" s="16"/>
      <c r="F26" s="76"/>
      <c r="G26" s="3"/>
      <c r="H26" s="60">
        <f>SUM(F24:F25)</f>
        <v>0</v>
      </c>
    </row>
    <row r="27" spans="1:9" x14ac:dyDescent="0.2">
      <c r="C27" s="3"/>
      <c r="D27" s="16"/>
      <c r="E27" s="16"/>
      <c r="F27" s="76"/>
      <c r="G27" s="3"/>
      <c r="H27" s="5"/>
    </row>
    <row r="28" spans="1:9" x14ac:dyDescent="0.2">
      <c r="B28" s="62" t="s">
        <v>29</v>
      </c>
      <c r="C28" s="3"/>
      <c r="D28" s="16"/>
      <c r="E28" s="16"/>
      <c r="F28" s="22" t="s">
        <v>11</v>
      </c>
      <c r="G28" s="3"/>
      <c r="H28" s="5"/>
    </row>
    <row r="29" spans="1:9" x14ac:dyDescent="0.2">
      <c r="A29" s="21" t="s">
        <v>7</v>
      </c>
      <c r="B29" s="18" t="s">
        <v>44</v>
      </c>
      <c r="C29" s="3"/>
      <c r="D29" s="16"/>
      <c r="E29" s="16"/>
      <c r="F29" s="12"/>
      <c r="G29" s="3"/>
      <c r="H29" s="5"/>
    </row>
    <row r="30" spans="1:9" ht="15" x14ac:dyDescent="0.2">
      <c r="A30" s="150">
        <v>43902</v>
      </c>
      <c r="B30" s="113" t="s">
        <v>16923</v>
      </c>
      <c r="C30" s="148" t="s">
        <v>16924</v>
      </c>
      <c r="D30" s="68"/>
      <c r="E30" s="25"/>
      <c r="F30" s="160">
        <v>8.3800000000000008</v>
      </c>
      <c r="G30" s="3"/>
      <c r="I30" s="33"/>
    </row>
    <row r="31" spans="1:9" ht="15" x14ac:dyDescent="0.2">
      <c r="A31" s="150">
        <v>43902</v>
      </c>
      <c r="B31" s="113" t="s">
        <v>16921</v>
      </c>
      <c r="C31" s="148" t="s">
        <v>16922</v>
      </c>
      <c r="D31" s="68"/>
      <c r="E31" s="25"/>
      <c r="F31" s="160">
        <v>15.32</v>
      </c>
      <c r="G31" s="3"/>
      <c r="I31" s="33"/>
    </row>
    <row r="32" spans="1:9" ht="15" x14ac:dyDescent="0.2">
      <c r="A32" s="150">
        <v>43902</v>
      </c>
      <c r="B32" s="113" t="s">
        <v>16919</v>
      </c>
      <c r="C32" s="148" t="s">
        <v>16920</v>
      </c>
      <c r="D32" s="68"/>
      <c r="E32" s="25"/>
      <c r="F32" s="160">
        <v>15.3</v>
      </c>
      <c r="G32" s="3"/>
      <c r="I32" s="33"/>
    </row>
    <row r="33" spans="1:9" ht="15" x14ac:dyDescent="0.2">
      <c r="A33" s="150">
        <v>43902</v>
      </c>
      <c r="B33" s="113" t="s">
        <v>16917</v>
      </c>
      <c r="C33" s="148" t="s">
        <v>16918</v>
      </c>
      <c r="D33" s="68"/>
      <c r="E33" s="25"/>
      <c r="F33" s="160">
        <v>1</v>
      </c>
      <c r="G33" s="3"/>
      <c r="I33" s="33"/>
    </row>
    <row r="34" spans="1:9" ht="15" x14ac:dyDescent="0.2">
      <c r="A34" s="150">
        <v>43902</v>
      </c>
      <c r="B34" s="113" t="s">
        <v>16915</v>
      </c>
      <c r="C34" s="148" t="s">
        <v>16916</v>
      </c>
      <c r="D34" s="68"/>
      <c r="E34" s="25"/>
      <c r="F34" s="160">
        <v>30.16</v>
      </c>
      <c r="G34" s="3"/>
      <c r="I34" s="33"/>
    </row>
    <row r="35" spans="1:9" ht="19.5" x14ac:dyDescent="0.2">
      <c r="A35" s="150">
        <v>43902</v>
      </c>
      <c r="B35" s="113" t="s">
        <v>16913</v>
      </c>
      <c r="C35" s="148" t="s">
        <v>16914</v>
      </c>
      <c r="D35" s="68"/>
      <c r="E35" s="25"/>
      <c r="F35" s="160">
        <v>9.82</v>
      </c>
      <c r="G35" s="3"/>
      <c r="I35" s="33"/>
    </row>
    <row r="36" spans="1:9" ht="19.5" x14ac:dyDescent="0.2">
      <c r="A36" s="150">
        <v>43903</v>
      </c>
      <c r="B36" s="113" t="s">
        <v>16785</v>
      </c>
      <c r="C36" s="148" t="s">
        <v>16786</v>
      </c>
      <c r="D36" s="68"/>
      <c r="E36" s="25"/>
      <c r="F36" s="160">
        <v>47.67</v>
      </c>
      <c r="G36" s="3"/>
      <c r="I36" s="33"/>
    </row>
    <row r="37" spans="1:9" ht="15" x14ac:dyDescent="0.2">
      <c r="A37" s="150">
        <v>43903</v>
      </c>
      <c r="B37" s="113" t="s">
        <v>16783</v>
      </c>
      <c r="C37" s="148" t="s">
        <v>16784</v>
      </c>
      <c r="D37" s="68"/>
      <c r="E37" s="25"/>
      <c r="F37" s="160">
        <v>44.13</v>
      </c>
      <c r="G37" s="3"/>
      <c r="I37" s="33"/>
    </row>
    <row r="38" spans="1:9" ht="15" x14ac:dyDescent="0.2">
      <c r="A38" s="150">
        <v>43903</v>
      </c>
      <c r="B38" s="113" t="s">
        <v>16777</v>
      </c>
      <c r="C38" s="148" t="s">
        <v>16778</v>
      </c>
      <c r="D38" s="68"/>
      <c r="E38" s="25"/>
      <c r="F38" s="160">
        <v>15.3</v>
      </c>
      <c r="G38" s="3"/>
      <c r="I38" s="33"/>
    </row>
    <row r="39" spans="1:9" ht="15" x14ac:dyDescent="0.2">
      <c r="A39" s="150">
        <v>43903</v>
      </c>
      <c r="B39" s="113" t="s">
        <v>16775</v>
      </c>
      <c r="C39" s="148" t="s">
        <v>16776</v>
      </c>
      <c r="D39" s="68"/>
      <c r="E39" s="25"/>
      <c r="F39" s="160">
        <v>75.319999999999993</v>
      </c>
      <c r="G39" s="3"/>
      <c r="I39" s="33"/>
    </row>
    <row r="40" spans="1:9" ht="15" x14ac:dyDescent="0.2">
      <c r="A40" s="150">
        <v>44008</v>
      </c>
      <c r="B40" s="113" t="s">
        <v>20187</v>
      </c>
      <c r="C40" s="148" t="s">
        <v>20188</v>
      </c>
      <c r="D40" s="68"/>
      <c r="E40" s="25"/>
      <c r="F40" s="258">
        <v>4.1900000000000004</v>
      </c>
      <c r="G40" s="3"/>
      <c r="I40" s="33"/>
    </row>
    <row r="41" spans="1:9" ht="15" x14ac:dyDescent="0.2">
      <c r="A41" s="150">
        <v>44008</v>
      </c>
      <c r="B41" s="113" t="s">
        <v>20185</v>
      </c>
      <c r="C41" s="148" t="s">
        <v>20186</v>
      </c>
      <c r="D41" s="68"/>
      <c r="E41" s="25"/>
      <c r="F41" s="258">
        <v>3.74</v>
      </c>
      <c r="G41" s="3"/>
      <c r="I41" s="33"/>
    </row>
    <row r="42" spans="1:9" ht="19.5" x14ac:dyDescent="0.2">
      <c r="A42" s="150">
        <v>44008</v>
      </c>
      <c r="B42" s="113" t="s">
        <v>20183</v>
      </c>
      <c r="C42" s="148" t="s">
        <v>20184</v>
      </c>
      <c r="D42" s="68"/>
      <c r="E42" s="25"/>
      <c r="F42" s="258">
        <v>23.86</v>
      </c>
      <c r="G42" s="3"/>
      <c r="I42" s="33"/>
    </row>
    <row r="43" spans="1:9" ht="15" x14ac:dyDescent="0.2">
      <c r="A43" s="150">
        <v>44008</v>
      </c>
      <c r="B43" s="113" t="s">
        <v>20181</v>
      </c>
      <c r="C43" s="148" t="s">
        <v>20182</v>
      </c>
      <c r="D43" s="68"/>
      <c r="E43" s="25"/>
      <c r="F43" s="258">
        <v>3.95</v>
      </c>
      <c r="G43" s="3"/>
      <c r="I43" s="33"/>
    </row>
    <row r="44" spans="1:9" ht="15" x14ac:dyDescent="0.2">
      <c r="A44" s="150">
        <v>44008</v>
      </c>
      <c r="B44" s="113" t="s">
        <v>20179</v>
      </c>
      <c r="C44" s="148" t="s">
        <v>20180</v>
      </c>
      <c r="D44" s="68"/>
      <c r="E44" s="25"/>
      <c r="F44" s="258">
        <v>6.38</v>
      </c>
      <c r="G44" s="3"/>
      <c r="I44" s="33"/>
    </row>
    <row r="45" spans="1:9" ht="19.5" x14ac:dyDescent="0.2">
      <c r="A45" s="150">
        <v>44008</v>
      </c>
      <c r="B45" s="113" t="s">
        <v>20177</v>
      </c>
      <c r="C45" s="148" t="s">
        <v>20178</v>
      </c>
      <c r="D45" s="68"/>
      <c r="E45" s="25"/>
      <c r="F45" s="258">
        <v>20.75</v>
      </c>
      <c r="G45" s="3"/>
      <c r="I45" s="33"/>
    </row>
    <row r="46" spans="1:9" ht="15" x14ac:dyDescent="0.2">
      <c r="A46" s="150">
        <v>44008</v>
      </c>
      <c r="B46" s="113" t="s">
        <v>20175</v>
      </c>
      <c r="C46" s="148" t="s">
        <v>20176</v>
      </c>
      <c r="D46" s="68"/>
      <c r="E46" s="25"/>
      <c r="F46" s="258">
        <v>7.02</v>
      </c>
      <c r="G46" s="3"/>
      <c r="I46" s="33"/>
    </row>
    <row r="47" spans="1:9" ht="15" x14ac:dyDescent="0.2">
      <c r="A47" s="150">
        <v>44008</v>
      </c>
      <c r="B47" s="113" t="s">
        <v>20173</v>
      </c>
      <c r="C47" s="148" t="s">
        <v>20174</v>
      </c>
      <c r="D47" s="68"/>
      <c r="E47" s="25"/>
      <c r="F47" s="258">
        <v>5.99</v>
      </c>
      <c r="G47" s="3"/>
      <c r="I47" s="33"/>
    </row>
    <row r="48" spans="1:9" ht="15" x14ac:dyDescent="0.2">
      <c r="A48" s="150">
        <v>44008</v>
      </c>
      <c r="B48" s="113" t="s">
        <v>20171</v>
      </c>
      <c r="C48" s="148" t="s">
        <v>20172</v>
      </c>
      <c r="D48" s="68"/>
      <c r="E48" s="25"/>
      <c r="F48" s="258">
        <v>12.02</v>
      </c>
      <c r="G48" s="3"/>
      <c r="I48" s="33"/>
    </row>
    <row r="49" spans="1:9" ht="15" x14ac:dyDescent="0.2">
      <c r="A49" s="150">
        <v>44008</v>
      </c>
      <c r="B49" s="113" t="s">
        <v>20169</v>
      </c>
      <c r="C49" s="148" t="s">
        <v>20170</v>
      </c>
      <c r="D49" s="68"/>
      <c r="E49" s="25"/>
      <c r="F49" s="258">
        <v>8.3800000000000008</v>
      </c>
      <c r="G49" s="3"/>
      <c r="I49" s="33"/>
    </row>
    <row r="50" spans="1:9" ht="15" x14ac:dyDescent="0.2">
      <c r="A50" s="150">
        <v>44008</v>
      </c>
      <c r="B50" s="113" t="s">
        <v>20167</v>
      </c>
      <c r="C50" s="148" t="s">
        <v>20168</v>
      </c>
      <c r="D50" s="68"/>
      <c r="E50" s="25"/>
      <c r="F50" s="258">
        <v>5.27</v>
      </c>
      <c r="G50" s="3"/>
      <c r="I50" s="33"/>
    </row>
    <row r="51" spans="1:9" ht="15" x14ac:dyDescent="0.2">
      <c r="A51" s="150">
        <v>44008</v>
      </c>
      <c r="B51" s="113" t="s">
        <v>20165</v>
      </c>
      <c r="C51" s="148" t="s">
        <v>20166</v>
      </c>
      <c r="D51" s="68"/>
      <c r="E51" s="25"/>
      <c r="F51" s="258">
        <v>1.74</v>
      </c>
      <c r="G51" s="3"/>
      <c r="I51" s="33"/>
    </row>
    <row r="52" spans="1:9" ht="15" x14ac:dyDescent="0.2">
      <c r="A52" s="150">
        <v>44008</v>
      </c>
      <c r="B52" s="113" t="s">
        <v>20163</v>
      </c>
      <c r="C52" s="148" t="s">
        <v>20164</v>
      </c>
      <c r="D52" s="68"/>
      <c r="E52" s="25"/>
      <c r="F52" s="258">
        <v>6.38</v>
      </c>
      <c r="G52" s="3"/>
      <c r="I52" s="33"/>
    </row>
    <row r="53" spans="1:9" ht="15" x14ac:dyDescent="0.2">
      <c r="A53" s="150">
        <v>44008</v>
      </c>
      <c r="B53" s="113" t="s">
        <v>20161</v>
      </c>
      <c r="C53" s="148" t="s">
        <v>20162</v>
      </c>
      <c r="D53" s="68"/>
      <c r="E53" s="25"/>
      <c r="F53" s="258">
        <v>1.68</v>
      </c>
      <c r="G53" s="3"/>
      <c r="I53" s="33"/>
    </row>
    <row r="54" spans="1:9" ht="15" x14ac:dyDescent="0.2">
      <c r="A54" s="150">
        <v>44009</v>
      </c>
      <c r="B54" s="113" t="s">
        <v>20139</v>
      </c>
      <c r="C54" s="148" t="s">
        <v>20140</v>
      </c>
      <c r="D54" s="68"/>
      <c r="E54" s="25"/>
      <c r="F54" s="258">
        <v>4.83</v>
      </c>
      <c r="G54" s="3"/>
      <c r="I54" s="33"/>
    </row>
    <row r="55" spans="1:9" ht="19.5" x14ac:dyDescent="0.2">
      <c r="A55" s="150">
        <v>44009</v>
      </c>
      <c r="B55" s="113" t="s">
        <v>20137</v>
      </c>
      <c r="C55" s="148" t="s">
        <v>20138</v>
      </c>
      <c r="D55" s="68"/>
      <c r="E55" s="25"/>
      <c r="F55" s="258">
        <v>25.24</v>
      </c>
      <c r="G55" s="3"/>
      <c r="I55" s="33"/>
    </row>
    <row r="56" spans="1:9" ht="15" x14ac:dyDescent="0.2">
      <c r="A56" s="150">
        <v>44009</v>
      </c>
      <c r="B56" s="113" t="s">
        <v>20135</v>
      </c>
      <c r="C56" s="148" t="s">
        <v>20136</v>
      </c>
      <c r="D56" s="68"/>
      <c r="E56" s="25"/>
      <c r="F56" s="258">
        <v>6.47</v>
      </c>
      <c r="G56" s="3"/>
      <c r="I56" s="33"/>
    </row>
    <row r="57" spans="1:9" ht="15" x14ac:dyDescent="0.2">
      <c r="A57" s="150">
        <v>44009</v>
      </c>
      <c r="B57" s="113" t="s">
        <v>20133</v>
      </c>
      <c r="C57" s="148" t="s">
        <v>20134</v>
      </c>
      <c r="D57" s="68"/>
      <c r="E57" s="25"/>
      <c r="F57" s="258">
        <v>15.64</v>
      </c>
      <c r="G57" s="3"/>
      <c r="I57" s="33"/>
    </row>
    <row r="58" spans="1:9" ht="15" x14ac:dyDescent="0.2">
      <c r="A58" s="150">
        <v>44009</v>
      </c>
      <c r="B58" s="113" t="s">
        <v>20131</v>
      </c>
      <c r="C58" s="148" t="s">
        <v>20132</v>
      </c>
      <c r="D58" s="68"/>
      <c r="E58" s="25"/>
      <c r="F58" s="258">
        <v>2.1800000000000002</v>
      </c>
      <c r="G58" s="3"/>
      <c r="I58" s="33"/>
    </row>
    <row r="59" spans="1:9" ht="15" x14ac:dyDescent="0.2">
      <c r="A59" s="150">
        <v>44009</v>
      </c>
      <c r="B59" s="113" t="s">
        <v>20129</v>
      </c>
      <c r="C59" s="148" t="s">
        <v>20130</v>
      </c>
      <c r="D59" s="68"/>
      <c r="E59" s="25"/>
      <c r="F59" s="258">
        <v>3.67</v>
      </c>
      <c r="G59" s="3"/>
      <c r="I59" s="33"/>
    </row>
    <row r="60" spans="1:9" ht="15" x14ac:dyDescent="0.2">
      <c r="A60" s="150">
        <v>44009</v>
      </c>
      <c r="B60" s="113" t="s">
        <v>20127</v>
      </c>
      <c r="C60" s="148" t="s">
        <v>20128</v>
      </c>
      <c r="D60" s="68"/>
      <c r="E60" s="25"/>
      <c r="F60" s="258">
        <v>5.96</v>
      </c>
      <c r="G60" s="3"/>
      <c r="I60" s="33"/>
    </row>
    <row r="61" spans="1:9" ht="19.5" x14ac:dyDescent="0.2">
      <c r="A61" s="150">
        <v>44009</v>
      </c>
      <c r="B61" s="113" t="s">
        <v>20125</v>
      </c>
      <c r="C61" s="148" t="s">
        <v>20126</v>
      </c>
      <c r="D61" s="68"/>
      <c r="E61" s="25"/>
      <c r="F61" s="258">
        <v>14.67</v>
      </c>
      <c r="G61" s="3"/>
      <c r="I61" s="33"/>
    </row>
    <row r="62" spans="1:9" ht="19.5" x14ac:dyDescent="0.2">
      <c r="A62" s="150">
        <v>44009</v>
      </c>
      <c r="B62" s="113" t="s">
        <v>20123</v>
      </c>
      <c r="C62" s="148" t="s">
        <v>20124</v>
      </c>
      <c r="D62" s="68"/>
      <c r="E62" s="25"/>
      <c r="F62" s="258">
        <v>6.99</v>
      </c>
      <c r="G62" s="3"/>
      <c r="I62" s="33"/>
    </row>
    <row r="63" spans="1:9" ht="15" x14ac:dyDescent="0.2">
      <c r="A63" s="150">
        <v>44009</v>
      </c>
      <c r="B63" s="113" t="s">
        <v>20121</v>
      </c>
      <c r="C63" s="148" t="s">
        <v>20122</v>
      </c>
      <c r="D63" s="68"/>
      <c r="E63" s="25"/>
      <c r="F63" s="258">
        <v>13.01</v>
      </c>
      <c r="G63" s="3"/>
      <c r="I63" s="33"/>
    </row>
    <row r="64" spans="1:9" ht="15" x14ac:dyDescent="0.2">
      <c r="A64" s="150">
        <v>44010</v>
      </c>
      <c r="B64" s="113" t="s">
        <v>20117</v>
      </c>
      <c r="C64" s="148" t="s">
        <v>20118</v>
      </c>
      <c r="D64" s="68"/>
      <c r="E64" s="25"/>
      <c r="F64" s="258">
        <v>5.38</v>
      </c>
      <c r="G64" s="3"/>
      <c r="I64" s="33"/>
    </row>
    <row r="65" spans="1:9" ht="15" x14ac:dyDescent="0.2">
      <c r="A65" s="150">
        <v>44010</v>
      </c>
      <c r="B65" s="113" t="s">
        <v>20115</v>
      </c>
      <c r="C65" s="148" t="s">
        <v>20116</v>
      </c>
      <c r="D65" s="68"/>
      <c r="E65" s="25"/>
      <c r="F65" s="258">
        <v>13.06</v>
      </c>
      <c r="G65" s="3"/>
      <c r="I65" s="33"/>
    </row>
    <row r="66" spans="1:9" ht="15" x14ac:dyDescent="0.2">
      <c r="A66" s="150">
        <v>44010</v>
      </c>
      <c r="B66" s="113" t="s">
        <v>20113</v>
      </c>
      <c r="C66" s="148" t="s">
        <v>20114</v>
      </c>
      <c r="D66" s="68"/>
      <c r="E66" s="25"/>
      <c r="F66" s="258">
        <v>10.91</v>
      </c>
      <c r="G66" s="3"/>
      <c r="I66" s="33"/>
    </row>
    <row r="67" spans="1:9" ht="19.5" x14ac:dyDescent="0.2">
      <c r="A67" s="150">
        <v>44011</v>
      </c>
      <c r="B67" s="113" t="s">
        <v>20103</v>
      </c>
      <c r="C67" s="148" t="s">
        <v>20104</v>
      </c>
      <c r="D67" s="68"/>
      <c r="E67" s="25"/>
      <c r="F67" s="258">
        <v>5.04</v>
      </c>
      <c r="G67" s="3"/>
      <c r="I67" s="33"/>
    </row>
    <row r="68" spans="1:9" ht="15" x14ac:dyDescent="0.2">
      <c r="A68" s="150">
        <v>44011</v>
      </c>
      <c r="B68" s="113" t="s">
        <v>20101</v>
      </c>
      <c r="C68" s="148" t="s">
        <v>20102</v>
      </c>
      <c r="D68" s="68"/>
      <c r="E68" s="25"/>
      <c r="F68" s="258">
        <v>14.86</v>
      </c>
      <c r="G68" s="3"/>
      <c r="I68" s="33"/>
    </row>
    <row r="69" spans="1:9" ht="15" x14ac:dyDescent="0.2">
      <c r="A69" s="150">
        <v>44011</v>
      </c>
      <c r="B69" s="113" t="s">
        <v>20099</v>
      </c>
      <c r="C69" s="148" t="s">
        <v>20100</v>
      </c>
      <c r="D69" s="68"/>
      <c r="E69" s="25"/>
      <c r="F69" s="258">
        <v>2.72</v>
      </c>
      <c r="G69" s="3"/>
      <c r="I69" s="33"/>
    </row>
    <row r="70" spans="1:9" ht="19.5" x14ac:dyDescent="0.2">
      <c r="A70" s="150">
        <v>44011</v>
      </c>
      <c r="B70" s="113" t="s">
        <v>20097</v>
      </c>
      <c r="C70" s="148" t="s">
        <v>20098</v>
      </c>
      <c r="D70" s="68"/>
      <c r="E70" s="25"/>
      <c r="F70" s="258">
        <v>9.23</v>
      </c>
      <c r="G70" s="3"/>
      <c r="I70" s="33"/>
    </row>
    <row r="71" spans="1:9" ht="15" x14ac:dyDescent="0.2">
      <c r="A71" s="150">
        <v>44011</v>
      </c>
      <c r="B71" s="113" t="s">
        <v>20095</v>
      </c>
      <c r="C71" s="148" t="s">
        <v>20096</v>
      </c>
      <c r="D71" s="68"/>
      <c r="E71" s="25"/>
      <c r="F71" s="258">
        <v>7.03</v>
      </c>
      <c r="G71" s="3"/>
      <c r="I71" s="33"/>
    </row>
    <row r="72" spans="1:9" ht="15" x14ac:dyDescent="0.2">
      <c r="A72" s="150">
        <v>44011</v>
      </c>
      <c r="B72" s="113" t="s">
        <v>20093</v>
      </c>
      <c r="C72" s="148" t="s">
        <v>20094</v>
      </c>
      <c r="D72" s="68"/>
      <c r="E72" s="25"/>
      <c r="F72" s="258">
        <v>2.0499999999999998</v>
      </c>
      <c r="G72" s="3"/>
      <c r="I72" s="33"/>
    </row>
    <row r="73" spans="1:9" ht="15" x14ac:dyDescent="0.2">
      <c r="A73" s="150">
        <v>44011</v>
      </c>
      <c r="B73" s="113" t="s">
        <v>20091</v>
      </c>
      <c r="C73" s="148" t="s">
        <v>20092</v>
      </c>
      <c r="D73" s="68"/>
      <c r="E73" s="25"/>
      <c r="F73" s="258">
        <v>22.76</v>
      </c>
      <c r="G73" s="3"/>
      <c r="I73" s="33"/>
    </row>
    <row r="74" spans="1:9" ht="19.5" x14ac:dyDescent="0.2">
      <c r="A74" s="150">
        <v>44011</v>
      </c>
      <c r="B74" s="113" t="s">
        <v>20089</v>
      </c>
      <c r="C74" s="148" t="s">
        <v>20090</v>
      </c>
      <c r="D74" s="68"/>
      <c r="E74" s="25"/>
      <c r="F74" s="258">
        <v>8.4700000000000006</v>
      </c>
      <c r="G74" s="3"/>
      <c r="I74" s="33"/>
    </row>
    <row r="75" spans="1:9" ht="15" x14ac:dyDescent="0.2">
      <c r="A75" s="150">
        <v>44011</v>
      </c>
      <c r="B75" s="113" t="s">
        <v>20087</v>
      </c>
      <c r="C75" s="148" t="s">
        <v>20088</v>
      </c>
      <c r="D75" s="68"/>
      <c r="E75" s="25"/>
      <c r="F75" s="258">
        <v>3.88</v>
      </c>
      <c r="G75" s="3"/>
      <c r="I75" s="33"/>
    </row>
    <row r="76" spans="1:9" ht="15" x14ac:dyDescent="0.2">
      <c r="A76" s="150">
        <v>44011</v>
      </c>
      <c r="B76" s="113" t="s">
        <v>20085</v>
      </c>
      <c r="C76" s="148" t="s">
        <v>20086</v>
      </c>
      <c r="D76" s="68"/>
      <c r="E76" s="25"/>
      <c r="F76" s="258">
        <v>0.94</v>
      </c>
      <c r="G76" s="3"/>
      <c r="I76" s="33"/>
    </row>
    <row r="77" spans="1:9" ht="19.5" x14ac:dyDescent="0.2">
      <c r="A77" s="150">
        <v>44011</v>
      </c>
      <c r="B77" s="113" t="s">
        <v>20083</v>
      </c>
      <c r="C77" s="148" t="s">
        <v>20084</v>
      </c>
      <c r="D77" s="68"/>
      <c r="E77" s="25"/>
      <c r="F77" s="258">
        <v>46.04</v>
      </c>
      <c r="G77" s="3"/>
      <c r="I77" s="33"/>
    </row>
    <row r="78" spans="1:9" ht="15" x14ac:dyDescent="0.2">
      <c r="A78" s="150">
        <v>44011</v>
      </c>
      <c r="B78" s="113" t="s">
        <v>20081</v>
      </c>
      <c r="C78" s="148" t="s">
        <v>20082</v>
      </c>
      <c r="D78" s="68"/>
      <c r="E78" s="25"/>
      <c r="F78" s="258">
        <v>8.3800000000000008</v>
      </c>
      <c r="G78" s="3"/>
      <c r="I78" s="33"/>
    </row>
    <row r="79" spans="1:9" ht="15" x14ac:dyDescent="0.2">
      <c r="A79" s="150">
        <v>44011</v>
      </c>
      <c r="B79" s="113" t="s">
        <v>20079</v>
      </c>
      <c r="C79" s="148" t="s">
        <v>20080</v>
      </c>
      <c r="D79" s="68"/>
      <c r="E79" s="25"/>
      <c r="F79" s="258">
        <v>1.68</v>
      </c>
      <c r="G79" s="3"/>
      <c r="I79" s="33"/>
    </row>
    <row r="80" spans="1:9" ht="15" x14ac:dyDescent="0.2">
      <c r="A80" s="150">
        <v>44011</v>
      </c>
      <c r="B80" s="113" t="s">
        <v>20077</v>
      </c>
      <c r="C80" s="148" t="s">
        <v>20078</v>
      </c>
      <c r="D80" s="68"/>
      <c r="E80" s="25"/>
      <c r="F80" s="258">
        <v>1.84</v>
      </c>
      <c r="G80" s="3"/>
      <c r="I80" s="33"/>
    </row>
    <row r="81" spans="1:9" ht="15" x14ac:dyDescent="0.2">
      <c r="A81" s="150">
        <v>44011</v>
      </c>
      <c r="B81" s="113" t="s">
        <v>20075</v>
      </c>
      <c r="C81" s="148" t="s">
        <v>20076</v>
      </c>
      <c r="D81" s="68"/>
      <c r="E81" s="25"/>
      <c r="F81" s="258">
        <v>5.72</v>
      </c>
      <c r="G81" s="3"/>
      <c r="I81" s="33"/>
    </row>
    <row r="82" spans="1:9" ht="15" x14ac:dyDescent="0.2">
      <c r="A82" s="150">
        <v>44012</v>
      </c>
      <c r="B82" s="113" t="s">
        <v>20055</v>
      </c>
      <c r="C82" s="148" t="s">
        <v>20056</v>
      </c>
      <c r="D82" s="68"/>
      <c r="E82" s="25"/>
      <c r="F82" s="258">
        <v>23.21</v>
      </c>
      <c r="G82" s="3"/>
      <c r="I82" s="33"/>
    </row>
    <row r="83" spans="1:9" ht="15" x14ac:dyDescent="0.2">
      <c r="A83" s="150">
        <v>44012</v>
      </c>
      <c r="B83" s="113" t="s">
        <v>20053</v>
      </c>
      <c r="C83" s="148" t="s">
        <v>20054</v>
      </c>
      <c r="D83" s="68"/>
      <c r="E83" s="25"/>
      <c r="F83" s="258">
        <v>7.5</v>
      </c>
      <c r="G83" s="3"/>
      <c r="I83" s="33"/>
    </row>
    <row r="84" spans="1:9" ht="15" x14ac:dyDescent="0.2">
      <c r="A84" s="150">
        <v>44012</v>
      </c>
      <c r="B84" s="113" t="s">
        <v>20051</v>
      </c>
      <c r="C84" s="148" t="s">
        <v>20052</v>
      </c>
      <c r="D84" s="68"/>
      <c r="E84" s="25"/>
      <c r="F84" s="258">
        <v>5.71</v>
      </c>
      <c r="G84" s="3"/>
      <c r="I84" s="33"/>
    </row>
    <row r="85" spans="1:9" ht="15" x14ac:dyDescent="0.2">
      <c r="A85" s="150">
        <v>44012</v>
      </c>
      <c r="B85" s="113" t="s">
        <v>20049</v>
      </c>
      <c r="C85" s="148" t="s">
        <v>20050</v>
      </c>
      <c r="D85" s="68"/>
      <c r="E85" s="25"/>
      <c r="F85" s="258">
        <v>1.68</v>
      </c>
      <c r="G85" s="3"/>
      <c r="I85" s="33"/>
    </row>
    <row r="86" spans="1:9" ht="15" x14ac:dyDescent="0.2">
      <c r="A86" s="150">
        <v>44012</v>
      </c>
      <c r="B86" s="113" t="s">
        <v>20047</v>
      </c>
      <c r="C86" s="148" t="s">
        <v>20048</v>
      </c>
      <c r="D86" s="68"/>
      <c r="E86" s="25"/>
      <c r="F86" s="258">
        <v>3.71</v>
      </c>
      <c r="G86" s="3"/>
      <c r="I86" s="33"/>
    </row>
    <row r="87" spans="1:9" ht="15" x14ac:dyDescent="0.2">
      <c r="A87" s="150">
        <v>44012</v>
      </c>
      <c r="B87" s="113" t="s">
        <v>20045</v>
      </c>
      <c r="C87" s="148" t="s">
        <v>20046</v>
      </c>
      <c r="D87" s="68"/>
      <c r="E87" s="25"/>
      <c r="F87" s="258">
        <v>27.89</v>
      </c>
      <c r="G87" s="3"/>
      <c r="I87" s="33"/>
    </row>
    <row r="88" spans="1:9" ht="19.5" x14ac:dyDescent="0.2">
      <c r="A88" s="150">
        <v>44012</v>
      </c>
      <c r="B88" s="113" t="s">
        <v>20043</v>
      </c>
      <c r="C88" s="148" t="s">
        <v>20044</v>
      </c>
      <c r="D88" s="68"/>
      <c r="E88" s="25"/>
      <c r="F88" s="258">
        <v>5.35</v>
      </c>
      <c r="G88" s="3"/>
      <c r="I88" s="33"/>
    </row>
    <row r="89" spans="1:9" ht="19.5" x14ac:dyDescent="0.2">
      <c r="A89" s="150">
        <v>44012</v>
      </c>
      <c r="B89" s="113" t="s">
        <v>20041</v>
      </c>
      <c r="C89" s="148" t="s">
        <v>20042</v>
      </c>
      <c r="D89" s="68"/>
      <c r="E89" s="25"/>
      <c r="F89" s="258">
        <v>11.7</v>
      </c>
      <c r="G89" s="3"/>
      <c r="I89" s="33"/>
    </row>
    <row r="90" spans="1:9" ht="15" x14ac:dyDescent="0.2">
      <c r="A90" s="150">
        <v>44012</v>
      </c>
      <c r="B90" s="113" t="s">
        <v>20039</v>
      </c>
      <c r="C90" s="148" t="s">
        <v>20040</v>
      </c>
      <c r="D90" s="68"/>
      <c r="E90" s="25"/>
      <c r="F90" s="258">
        <v>6.94</v>
      </c>
      <c r="G90" s="3"/>
      <c r="I90" s="33"/>
    </row>
    <row r="91" spans="1:9" ht="15" x14ac:dyDescent="0.2">
      <c r="A91" s="150">
        <v>44012</v>
      </c>
      <c r="B91" s="113" t="s">
        <v>20037</v>
      </c>
      <c r="C91" s="148" t="s">
        <v>20038</v>
      </c>
      <c r="D91" s="68"/>
      <c r="E91" s="25"/>
      <c r="F91" s="258">
        <v>2.34</v>
      </c>
      <c r="G91" s="3"/>
      <c r="I91" s="33"/>
    </row>
    <row r="92" spans="1:9" ht="15" x14ac:dyDescent="0.2">
      <c r="A92" s="150">
        <v>44012</v>
      </c>
      <c r="B92" s="113" t="s">
        <v>20035</v>
      </c>
      <c r="C92" s="148" t="s">
        <v>20036</v>
      </c>
      <c r="D92" s="68"/>
      <c r="E92" s="25"/>
      <c r="F92" s="258">
        <v>4.05</v>
      </c>
      <c r="G92" s="3"/>
      <c r="I92" s="33"/>
    </row>
    <row r="93" spans="1:9" ht="15" x14ac:dyDescent="0.2">
      <c r="A93" s="150">
        <v>44012</v>
      </c>
      <c r="B93" s="113" t="s">
        <v>20033</v>
      </c>
      <c r="C93" s="148" t="s">
        <v>20034</v>
      </c>
      <c r="D93" s="68"/>
      <c r="E93" s="25"/>
      <c r="F93" s="258">
        <v>3.52</v>
      </c>
      <c r="G93" s="3"/>
      <c r="I93" s="33"/>
    </row>
    <row r="94" spans="1:9" ht="15" x14ac:dyDescent="0.2">
      <c r="A94" s="150">
        <v>44012</v>
      </c>
      <c r="B94" s="113" t="s">
        <v>20031</v>
      </c>
      <c r="C94" s="148" t="s">
        <v>20032</v>
      </c>
      <c r="D94" s="68"/>
      <c r="E94" s="25"/>
      <c r="F94" s="258">
        <v>3.47</v>
      </c>
      <c r="G94" s="3"/>
      <c r="I94" s="33"/>
    </row>
    <row r="95" spans="1:9" ht="15" x14ac:dyDescent="0.2">
      <c r="A95" s="150">
        <v>44012</v>
      </c>
      <c r="B95" s="113" t="s">
        <v>20029</v>
      </c>
      <c r="C95" s="148" t="s">
        <v>20030</v>
      </c>
      <c r="D95" s="68"/>
      <c r="E95" s="25"/>
      <c r="F95" s="258">
        <v>8.3800000000000008</v>
      </c>
      <c r="G95" s="3"/>
      <c r="I95" s="33"/>
    </row>
    <row r="96" spans="1:9" ht="15" x14ac:dyDescent="0.2">
      <c r="A96" s="150">
        <v>44012</v>
      </c>
      <c r="B96" s="113" t="s">
        <v>20027</v>
      </c>
      <c r="C96" s="148" t="s">
        <v>20028</v>
      </c>
      <c r="D96" s="68"/>
      <c r="E96" s="25"/>
      <c r="F96" s="258">
        <v>16.760000000000002</v>
      </c>
      <c r="G96" s="3"/>
      <c r="I96" s="33"/>
    </row>
    <row r="97" spans="1:12" ht="15" x14ac:dyDescent="0.2">
      <c r="A97" s="150">
        <v>44012</v>
      </c>
      <c r="B97" s="113" t="s">
        <v>20025</v>
      </c>
      <c r="C97" s="148" t="s">
        <v>20026</v>
      </c>
      <c r="D97" s="68"/>
      <c r="E97" s="25"/>
      <c r="F97" s="258">
        <v>4.58</v>
      </c>
      <c r="G97" s="3"/>
      <c r="I97" s="33"/>
    </row>
    <row r="98" spans="1:12" ht="15" x14ac:dyDescent="0.2">
      <c r="A98" s="150">
        <v>44012</v>
      </c>
      <c r="B98" s="113" t="s">
        <v>20023</v>
      </c>
      <c r="C98" s="148" t="s">
        <v>20024</v>
      </c>
      <c r="D98" s="68"/>
      <c r="E98" s="25"/>
      <c r="F98" s="258">
        <v>19.45</v>
      </c>
      <c r="G98" s="3"/>
      <c r="I98" s="33"/>
    </row>
    <row r="99" spans="1:12" ht="15" x14ac:dyDescent="0.2">
      <c r="A99" s="150">
        <v>44012</v>
      </c>
      <c r="B99" s="113" t="s">
        <v>20021</v>
      </c>
      <c r="C99" s="148" t="s">
        <v>20022</v>
      </c>
      <c r="D99" s="68"/>
      <c r="E99" s="25"/>
      <c r="F99" s="258">
        <v>1.68</v>
      </c>
      <c r="G99" s="3"/>
      <c r="I99" s="33"/>
    </row>
    <row r="100" spans="1:12" ht="15" x14ac:dyDescent="0.2">
      <c r="A100" s="150">
        <v>44012</v>
      </c>
      <c r="B100" s="113" t="s">
        <v>20019</v>
      </c>
      <c r="C100" s="148" t="s">
        <v>20020</v>
      </c>
      <c r="D100" s="68"/>
      <c r="E100" s="25"/>
      <c r="F100" s="258">
        <v>11.95</v>
      </c>
      <c r="G100" s="3"/>
      <c r="I100" s="33"/>
    </row>
    <row r="101" spans="1:12" ht="19.5" x14ac:dyDescent="0.2">
      <c r="A101" s="150">
        <v>44012</v>
      </c>
      <c r="B101" s="113" t="s">
        <v>20017</v>
      </c>
      <c r="C101" s="148" t="s">
        <v>20018</v>
      </c>
      <c r="D101" s="68"/>
      <c r="E101" s="25"/>
      <c r="F101" s="258">
        <v>3.36</v>
      </c>
      <c r="G101" s="3"/>
      <c r="I101" s="33"/>
    </row>
    <row r="102" spans="1:12" ht="15" x14ac:dyDescent="0.2">
      <c r="A102" s="150">
        <v>44012</v>
      </c>
      <c r="B102" s="113" t="s">
        <v>20015</v>
      </c>
      <c r="C102" s="148" t="s">
        <v>20016</v>
      </c>
      <c r="D102" s="68"/>
      <c r="E102" s="25"/>
      <c r="F102" s="258">
        <v>3.36</v>
      </c>
      <c r="G102" s="3"/>
      <c r="I102" s="33"/>
    </row>
    <row r="103" spans="1:12" ht="19.5" x14ac:dyDescent="0.2">
      <c r="A103" s="150">
        <v>44012</v>
      </c>
      <c r="B103" s="113" t="s">
        <v>20013</v>
      </c>
      <c r="C103" s="148" t="s">
        <v>20014</v>
      </c>
      <c r="D103" s="68"/>
      <c r="E103" s="25"/>
      <c r="F103" s="258">
        <v>10.08</v>
      </c>
      <c r="G103" s="3"/>
      <c r="I103" s="33"/>
    </row>
    <row r="104" spans="1:12" ht="15" x14ac:dyDescent="0.2">
      <c r="A104" s="150">
        <v>44012</v>
      </c>
      <c r="B104" s="113" t="s">
        <v>20011</v>
      </c>
      <c r="C104" s="148" t="s">
        <v>20012</v>
      </c>
      <c r="D104" s="68"/>
      <c r="E104" s="25"/>
      <c r="F104" s="258">
        <v>3.45</v>
      </c>
      <c r="G104" s="3"/>
      <c r="I104" s="33"/>
    </row>
    <row r="105" spans="1:12" ht="12.75" x14ac:dyDescent="0.2">
      <c r="A105" s="37"/>
      <c r="B105" s="91"/>
      <c r="C105" s="39"/>
      <c r="D105" s="16"/>
      <c r="E105" s="16"/>
      <c r="F105" s="92"/>
      <c r="G105" s="3"/>
      <c r="H105" s="301">
        <f>SUM(F30:F105)</f>
        <v>832.52000000000032</v>
      </c>
    </row>
    <row r="106" spans="1:12" x14ac:dyDescent="0.2">
      <c r="A106" s="3"/>
      <c r="B106" s="2"/>
      <c r="C106" s="3"/>
      <c r="D106" s="3"/>
      <c r="E106" s="3"/>
      <c r="F106" s="5"/>
      <c r="G106" s="3"/>
      <c r="H106" s="5"/>
    </row>
    <row r="107" spans="1:12" s="99" customFormat="1" ht="20.25" customHeight="1" thickBot="1" x14ac:dyDescent="0.3">
      <c r="A107" s="93"/>
      <c r="B107" s="94" t="s">
        <v>21297</v>
      </c>
      <c r="C107" s="95"/>
      <c r="D107" s="93"/>
      <c r="E107" s="93"/>
      <c r="F107" s="96"/>
      <c r="G107" s="97" t="s">
        <v>4</v>
      </c>
      <c r="H107" s="302">
        <f>+H9-H16-H21+H26+H105</f>
        <v>63488.84</v>
      </c>
      <c r="I107" s="303"/>
      <c r="J107" s="303"/>
    </row>
    <row r="108" spans="1:12" ht="13.5" thickTop="1" x14ac:dyDescent="0.2">
      <c r="A108" s="3"/>
      <c r="B108" s="2"/>
      <c r="C108" s="3"/>
      <c r="D108" s="3"/>
      <c r="E108" s="3"/>
      <c r="F108" s="5"/>
      <c r="G108" s="3"/>
      <c r="H108" s="304"/>
      <c r="I108" s="305"/>
      <c r="J108" s="306">
        <f>+'BP JUN-20'!I687</f>
        <v>64905.810000000012</v>
      </c>
    </row>
    <row r="109" spans="1:12" ht="12.75" x14ac:dyDescent="0.2">
      <c r="A109" s="3"/>
      <c r="B109" s="2"/>
      <c r="C109" s="3"/>
      <c r="D109" s="3"/>
      <c r="E109" s="3"/>
      <c r="F109" s="5"/>
      <c r="G109" s="3"/>
      <c r="H109" s="305"/>
      <c r="I109" s="305"/>
      <c r="J109" s="304"/>
    </row>
    <row r="110" spans="1:12" ht="12.75" x14ac:dyDescent="0.2">
      <c r="A110" s="3"/>
      <c r="B110" s="2"/>
      <c r="C110" s="3"/>
      <c r="D110" s="3"/>
      <c r="E110" s="3"/>
      <c r="G110" s="3"/>
      <c r="H110" s="305"/>
      <c r="I110" s="305"/>
      <c r="J110" s="304"/>
    </row>
    <row r="111" spans="1:12" ht="23.25" customHeight="1" thickBot="1" x14ac:dyDescent="0.25">
      <c r="A111" s="3"/>
      <c r="C111" s="100"/>
      <c r="D111" s="101"/>
      <c r="E111" s="3"/>
      <c r="F111" s="102"/>
      <c r="G111" s="3"/>
      <c r="H111" s="304"/>
      <c r="I111" s="305"/>
      <c r="J111" s="302">
        <f>+H107-J108</f>
        <v>-1416.9700000000157</v>
      </c>
      <c r="L111" s="57"/>
    </row>
    <row r="112" spans="1:12" ht="26.25" customHeight="1" thickTop="1" x14ac:dyDescent="0.2">
      <c r="A112" s="3"/>
      <c r="C112" s="378" t="s">
        <v>314</v>
      </c>
      <c r="D112" s="378"/>
      <c r="E112" s="3"/>
      <c r="F112" s="378" t="s">
        <v>315</v>
      </c>
      <c r="G112" s="378"/>
      <c r="H112" s="304"/>
      <c r="I112" s="305"/>
      <c r="J112" s="305"/>
    </row>
    <row r="113" spans="1:12" ht="23.25" customHeight="1" thickBot="1" x14ac:dyDescent="0.25">
      <c r="H113" s="305"/>
      <c r="I113" s="305"/>
      <c r="J113" s="302">
        <f>+H107-J111</f>
        <v>64905.810000000012</v>
      </c>
    </row>
    <row r="114" spans="1:12" ht="13.5" thickTop="1" x14ac:dyDescent="0.2">
      <c r="H114" s="305"/>
      <c r="I114" s="305"/>
      <c r="J114" s="305"/>
      <c r="L114" s="57"/>
    </row>
    <row r="116" spans="1:12" x14ac:dyDescent="0.2">
      <c r="L116" s="57"/>
    </row>
    <row r="117" spans="1:12" x14ac:dyDescent="0.2">
      <c r="A117" s="6"/>
      <c r="B117" s="6"/>
      <c r="C117" s="6"/>
      <c r="D117" s="6"/>
      <c r="E117" s="6"/>
      <c r="G117" s="6"/>
      <c r="J117" s="57"/>
    </row>
  </sheetData>
  <mergeCells count="2">
    <mergeCell ref="C112:D112"/>
    <mergeCell ref="F112:G112"/>
  </mergeCells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63994-C750-4ADC-B912-3532954F95F2}">
  <dimension ref="A2:J692"/>
  <sheetViews>
    <sheetView topLeftCell="A16" workbookViewId="0">
      <pane xSplit="5" ySplit="2" topLeftCell="F291" activePane="bottomRight" state="frozen"/>
      <selection activeCell="A16" sqref="A16"/>
      <selection pane="topRight" activeCell="F16" sqref="F16"/>
      <selection pane="bottomLeft" activeCell="A18" sqref="A18"/>
      <selection pane="bottomRight" activeCell="G291" sqref="G291"/>
    </sheetView>
  </sheetViews>
  <sheetFormatPr baseColWidth="10" defaultColWidth="11.5703125" defaultRowHeight="12.75" x14ac:dyDescent="0.2"/>
  <cols>
    <col min="1" max="1" width="11.5703125" style="103"/>
    <col min="2" max="4" width="11.5703125" style="145"/>
    <col min="5" max="5" width="47.42578125" style="111" customWidth="1"/>
    <col min="6" max="6" width="8.7109375" style="290" customWidth="1"/>
    <col min="7" max="7" width="13.85546875" style="103" bestFit="1" customWidth="1"/>
    <col min="8" max="8" width="16.85546875" style="103" bestFit="1" customWidth="1"/>
    <col min="9" max="9" width="17.140625" style="103" bestFit="1" customWidth="1"/>
    <col min="10" max="10" width="35.28515625" style="103" customWidth="1"/>
    <col min="11" max="16384" width="11.5703125" style="103"/>
  </cols>
  <sheetData>
    <row r="2" spans="1:9" ht="19.5" x14ac:dyDescent="0.2">
      <c r="E2" s="110" t="s">
        <v>2771</v>
      </c>
      <c r="H2" s="104" t="s">
        <v>2770</v>
      </c>
      <c r="I2" s="312">
        <v>1</v>
      </c>
    </row>
    <row r="3" spans="1:9" x14ac:dyDescent="0.2">
      <c r="H3" s="104" t="s">
        <v>2769</v>
      </c>
      <c r="I3" s="311">
        <v>44170</v>
      </c>
    </row>
    <row r="5" spans="1:9" x14ac:dyDescent="0.2">
      <c r="A5" s="112" t="s">
        <v>2768</v>
      </c>
      <c r="B5" s="146" t="s">
        <v>22610</v>
      </c>
      <c r="C5" s="146" t="s">
        <v>2767</v>
      </c>
      <c r="D5" s="146" t="s">
        <v>22610</v>
      </c>
      <c r="E5" s="103"/>
      <c r="H5" s="309">
        <v>0.64085648148148144</v>
      </c>
    </row>
    <row r="7" spans="1:9" x14ac:dyDescent="0.2">
      <c r="H7" s="104" t="s">
        <v>2765</v>
      </c>
      <c r="I7" s="106" t="s">
        <v>2764</v>
      </c>
    </row>
    <row r="8" spans="1:9" x14ac:dyDescent="0.2">
      <c r="B8" s="147"/>
      <c r="C8" s="147" t="s">
        <v>2763</v>
      </c>
      <c r="D8" s="322" t="s">
        <v>2762</v>
      </c>
      <c r="G8" s="308" t="s">
        <v>2760</v>
      </c>
      <c r="H8" s="307" t="s">
        <v>2759</v>
      </c>
    </row>
    <row r="9" spans="1:9" x14ac:dyDescent="0.2">
      <c r="G9" s="308" t="s">
        <v>2761</v>
      </c>
      <c r="H9" s="307" t="s">
        <v>2759</v>
      </c>
    </row>
    <row r="11" spans="1:9" x14ac:dyDescent="0.2">
      <c r="A11" s="108" t="s">
        <v>2758</v>
      </c>
      <c r="B11" s="109"/>
      <c r="C11" s="109" t="s">
        <v>2757</v>
      </c>
      <c r="D11" s="109" t="s">
        <v>2756</v>
      </c>
      <c r="E11" s="109" t="s">
        <v>2755</v>
      </c>
      <c r="G11" s="104" t="s">
        <v>322</v>
      </c>
      <c r="H11" s="104" t="s">
        <v>321</v>
      </c>
      <c r="I11" s="104" t="s">
        <v>2754</v>
      </c>
    </row>
    <row r="14" spans="1:9" x14ac:dyDescent="0.2">
      <c r="A14" s="108" t="s">
        <v>2753</v>
      </c>
      <c r="B14" s="108" t="s">
        <v>2752</v>
      </c>
    </row>
    <row r="15" spans="1:9" x14ac:dyDescent="0.2">
      <c r="B15" s="108"/>
    </row>
    <row r="16" spans="1:9" ht="15.75" x14ac:dyDescent="0.25">
      <c r="A16" s="107" t="s">
        <v>2751</v>
      </c>
      <c r="B16" s="108" t="s">
        <v>2750</v>
      </c>
      <c r="F16" s="257"/>
      <c r="G16" s="152"/>
      <c r="H16" s="153" t="s">
        <v>323</v>
      </c>
      <c r="I16" s="160">
        <v>64905.81</v>
      </c>
    </row>
    <row r="17" spans="2:9" ht="15.75" x14ac:dyDescent="0.25">
      <c r="F17" s="257"/>
      <c r="G17" s="152"/>
      <c r="H17" s="152"/>
      <c r="I17" s="152"/>
    </row>
    <row r="18" spans="2:9" ht="19.5" x14ac:dyDescent="0.25">
      <c r="B18" s="148"/>
      <c r="C18" s="148" t="s">
        <v>22609</v>
      </c>
      <c r="D18" s="150">
        <v>44013</v>
      </c>
      <c r="E18" s="113" t="s">
        <v>22608</v>
      </c>
      <c r="F18" s="257" t="s">
        <v>14436</v>
      </c>
      <c r="G18" s="160">
        <v>3.36</v>
      </c>
      <c r="H18" s="152"/>
      <c r="I18" s="160">
        <f>+I16+G18-H18</f>
        <v>64909.17</v>
      </c>
    </row>
    <row r="19" spans="2:9" ht="15.75" x14ac:dyDescent="0.25">
      <c r="B19" s="148"/>
      <c r="C19" s="148" t="s">
        <v>22607</v>
      </c>
      <c r="D19" s="150">
        <v>44013</v>
      </c>
      <c r="E19" s="113" t="s">
        <v>22606</v>
      </c>
      <c r="F19" s="257" t="s">
        <v>14408</v>
      </c>
      <c r="G19" s="258">
        <v>1.68</v>
      </c>
      <c r="H19" s="152"/>
      <c r="I19" s="160">
        <f>+I18+G19-H19</f>
        <v>64910.85</v>
      </c>
    </row>
    <row r="20" spans="2:9" ht="15.75" x14ac:dyDescent="0.25">
      <c r="B20" s="148"/>
      <c r="C20" s="148" t="s">
        <v>22605</v>
      </c>
      <c r="D20" s="150">
        <v>44013</v>
      </c>
      <c r="E20" s="113" t="s">
        <v>22604</v>
      </c>
      <c r="F20" s="257" t="s">
        <v>14408</v>
      </c>
      <c r="G20" s="258">
        <v>8.3800000000000008</v>
      </c>
      <c r="H20" s="152"/>
      <c r="I20" s="160">
        <f t="shared" ref="I20:I83" si="0">+I19+G20-H20</f>
        <v>64919.229999999996</v>
      </c>
    </row>
    <row r="21" spans="2:9" ht="19.5" x14ac:dyDescent="0.25">
      <c r="B21" s="148"/>
      <c r="C21" s="148" t="s">
        <v>22603</v>
      </c>
      <c r="D21" s="150">
        <v>44013</v>
      </c>
      <c r="E21" s="113" t="s">
        <v>22602</v>
      </c>
      <c r="F21" s="257" t="s">
        <v>14408</v>
      </c>
      <c r="G21" s="258">
        <v>3.9</v>
      </c>
      <c r="H21" s="152"/>
      <c r="I21" s="160">
        <f t="shared" si="0"/>
        <v>64923.13</v>
      </c>
    </row>
    <row r="22" spans="2:9" ht="15.75" x14ac:dyDescent="0.25">
      <c r="B22" s="148"/>
      <c r="C22" s="148" t="s">
        <v>22601</v>
      </c>
      <c r="D22" s="150">
        <v>44013</v>
      </c>
      <c r="E22" s="113" t="s">
        <v>22600</v>
      </c>
      <c r="F22" s="257" t="s">
        <v>14408</v>
      </c>
      <c r="G22" s="258">
        <v>1.68</v>
      </c>
      <c r="H22" s="152"/>
      <c r="I22" s="160">
        <f t="shared" si="0"/>
        <v>64924.81</v>
      </c>
    </row>
    <row r="23" spans="2:9" ht="19.5" x14ac:dyDescent="0.25">
      <c r="B23" s="148"/>
      <c r="C23" s="148" t="s">
        <v>22599</v>
      </c>
      <c r="D23" s="150">
        <v>44013</v>
      </c>
      <c r="E23" s="113" t="s">
        <v>22598</v>
      </c>
      <c r="F23" s="257" t="s">
        <v>14408</v>
      </c>
      <c r="G23" s="258">
        <v>2.76</v>
      </c>
      <c r="H23" s="152"/>
      <c r="I23" s="160">
        <f t="shared" si="0"/>
        <v>64927.57</v>
      </c>
    </row>
    <row r="24" spans="2:9" ht="15.75" x14ac:dyDescent="0.25">
      <c r="B24" s="148"/>
      <c r="C24" s="148" t="s">
        <v>22597</v>
      </c>
      <c r="D24" s="150">
        <v>44013</v>
      </c>
      <c r="E24" s="113" t="s">
        <v>22596</v>
      </c>
      <c r="F24" s="257" t="s">
        <v>14408</v>
      </c>
      <c r="G24" s="258">
        <v>19.86</v>
      </c>
      <c r="H24" s="152"/>
      <c r="I24" s="160">
        <f t="shared" si="0"/>
        <v>64947.43</v>
      </c>
    </row>
    <row r="25" spans="2:9" ht="19.5" x14ac:dyDescent="0.25">
      <c r="B25" s="148"/>
      <c r="C25" s="148" t="s">
        <v>22595</v>
      </c>
      <c r="D25" s="150">
        <v>44013</v>
      </c>
      <c r="E25" s="113" t="s">
        <v>22594</v>
      </c>
      <c r="F25" s="257" t="s">
        <v>14408</v>
      </c>
      <c r="G25" s="258">
        <v>39.619999999999997</v>
      </c>
      <c r="H25" s="152"/>
      <c r="I25" s="160">
        <f t="shared" si="0"/>
        <v>64987.05</v>
      </c>
    </row>
    <row r="26" spans="2:9" ht="19.5" x14ac:dyDescent="0.25">
      <c r="B26" s="148"/>
      <c r="C26" s="148" t="s">
        <v>22593</v>
      </c>
      <c r="D26" s="150">
        <v>44013</v>
      </c>
      <c r="E26" s="113" t="s">
        <v>22592</v>
      </c>
      <c r="F26" s="257" t="s">
        <v>14408</v>
      </c>
      <c r="G26" s="258">
        <v>1.95</v>
      </c>
      <c r="H26" s="152"/>
      <c r="I26" s="160">
        <f t="shared" si="0"/>
        <v>64989</v>
      </c>
    </row>
    <row r="27" spans="2:9" ht="15.75" x14ac:dyDescent="0.25">
      <c r="B27" s="148"/>
      <c r="C27" s="148" t="s">
        <v>22591</v>
      </c>
      <c r="D27" s="150">
        <v>44013</v>
      </c>
      <c r="E27" s="113" t="s">
        <v>22590</v>
      </c>
      <c r="F27" s="257" t="s">
        <v>14408</v>
      </c>
      <c r="G27" s="258">
        <v>4.8</v>
      </c>
      <c r="H27" s="152"/>
      <c r="I27" s="160">
        <f t="shared" si="0"/>
        <v>64993.8</v>
      </c>
    </row>
    <row r="28" spans="2:9" ht="19.5" x14ac:dyDescent="0.25">
      <c r="B28" s="148"/>
      <c r="C28" s="148" t="s">
        <v>22589</v>
      </c>
      <c r="D28" s="150">
        <v>44013</v>
      </c>
      <c r="E28" s="113" t="s">
        <v>22588</v>
      </c>
      <c r="F28" s="257" t="s">
        <v>14408</v>
      </c>
      <c r="G28" s="258">
        <v>8.3800000000000008</v>
      </c>
      <c r="H28" s="152"/>
      <c r="I28" s="160">
        <f t="shared" si="0"/>
        <v>65002.18</v>
      </c>
    </row>
    <row r="29" spans="2:9" ht="19.5" x14ac:dyDescent="0.25">
      <c r="B29" s="148"/>
      <c r="C29" s="148" t="s">
        <v>22587</v>
      </c>
      <c r="D29" s="150">
        <v>44013</v>
      </c>
      <c r="E29" s="113" t="s">
        <v>22586</v>
      </c>
      <c r="F29" s="257">
        <v>1</v>
      </c>
      <c r="G29" s="255">
        <v>8.94</v>
      </c>
      <c r="H29" s="152"/>
      <c r="I29" s="160">
        <f t="shared" si="0"/>
        <v>65011.12</v>
      </c>
    </row>
    <row r="30" spans="2:9" ht="19.5" x14ac:dyDescent="0.25">
      <c r="B30" s="148"/>
      <c r="C30" s="148" t="s">
        <v>22585</v>
      </c>
      <c r="D30" s="150">
        <v>44013</v>
      </c>
      <c r="E30" s="113" t="s">
        <v>22584</v>
      </c>
      <c r="F30" s="257">
        <v>1</v>
      </c>
      <c r="G30" s="255">
        <v>4.3</v>
      </c>
      <c r="H30" s="152"/>
      <c r="I30" s="160">
        <f t="shared" si="0"/>
        <v>65015.420000000006</v>
      </c>
    </row>
    <row r="31" spans="2:9" ht="19.5" x14ac:dyDescent="0.25">
      <c r="B31" s="148"/>
      <c r="C31" s="148" t="s">
        <v>22583</v>
      </c>
      <c r="D31" s="150">
        <v>44013</v>
      </c>
      <c r="E31" s="113" t="s">
        <v>22582</v>
      </c>
      <c r="F31" s="257">
        <v>1</v>
      </c>
      <c r="G31" s="255">
        <v>24.82</v>
      </c>
      <c r="H31" s="152"/>
      <c r="I31" s="160">
        <f t="shared" si="0"/>
        <v>65040.240000000005</v>
      </c>
    </row>
    <row r="32" spans="2:9" ht="19.5" x14ac:dyDescent="0.25">
      <c r="B32" s="148"/>
      <c r="C32" s="148" t="s">
        <v>22581</v>
      </c>
      <c r="D32" s="150">
        <v>44013</v>
      </c>
      <c r="E32" s="113" t="s">
        <v>22580</v>
      </c>
      <c r="F32" s="257">
        <v>1</v>
      </c>
      <c r="G32" s="255">
        <v>2.74</v>
      </c>
      <c r="H32" s="152"/>
      <c r="I32" s="160">
        <f t="shared" si="0"/>
        <v>65042.98</v>
      </c>
    </row>
    <row r="33" spans="2:9" ht="15.75" x14ac:dyDescent="0.25">
      <c r="B33" s="148"/>
      <c r="C33" s="148" t="s">
        <v>22579</v>
      </c>
      <c r="D33" s="150">
        <v>44013</v>
      </c>
      <c r="E33" s="113" t="s">
        <v>22578</v>
      </c>
      <c r="F33" s="257">
        <v>1</v>
      </c>
      <c r="G33" s="255">
        <v>4.76</v>
      </c>
      <c r="H33" s="152"/>
      <c r="I33" s="160">
        <f t="shared" si="0"/>
        <v>65047.740000000005</v>
      </c>
    </row>
    <row r="34" spans="2:9" ht="19.5" x14ac:dyDescent="0.25">
      <c r="B34" s="148"/>
      <c r="C34" s="148" t="s">
        <v>22577</v>
      </c>
      <c r="D34" s="150">
        <v>44013</v>
      </c>
      <c r="E34" s="113" t="s">
        <v>22576</v>
      </c>
      <c r="F34" s="257">
        <v>1</v>
      </c>
      <c r="G34" s="255">
        <v>31.76</v>
      </c>
      <c r="H34" s="152"/>
      <c r="I34" s="160">
        <f t="shared" si="0"/>
        <v>65079.500000000007</v>
      </c>
    </row>
    <row r="35" spans="2:9" ht="19.5" x14ac:dyDescent="0.25">
      <c r="B35" s="148"/>
      <c r="C35" s="148" t="s">
        <v>22575</v>
      </c>
      <c r="D35" s="150">
        <v>44013</v>
      </c>
      <c r="E35" s="113" t="s">
        <v>22574</v>
      </c>
      <c r="F35" s="257" t="s">
        <v>14436</v>
      </c>
      <c r="G35" s="160">
        <v>35.82</v>
      </c>
      <c r="H35" s="152"/>
      <c r="I35" s="160">
        <f t="shared" si="0"/>
        <v>65115.320000000007</v>
      </c>
    </row>
    <row r="36" spans="2:9" ht="19.5" x14ac:dyDescent="0.25">
      <c r="B36" s="148"/>
      <c r="C36" s="148" t="s">
        <v>22573</v>
      </c>
      <c r="D36" s="150">
        <v>44014</v>
      </c>
      <c r="E36" s="113" t="s">
        <v>22572</v>
      </c>
      <c r="F36" s="257" t="s">
        <v>14436</v>
      </c>
      <c r="G36" s="160">
        <v>9.2899999999999991</v>
      </c>
      <c r="H36" s="152"/>
      <c r="I36" s="160">
        <f t="shared" si="0"/>
        <v>65124.610000000008</v>
      </c>
    </row>
    <row r="37" spans="2:9" ht="19.5" x14ac:dyDescent="0.25">
      <c r="B37" s="148"/>
      <c r="C37" s="148" t="s">
        <v>22571</v>
      </c>
      <c r="D37" s="150">
        <v>44014</v>
      </c>
      <c r="E37" s="113" t="s">
        <v>22570</v>
      </c>
      <c r="F37" s="257" t="s">
        <v>14408</v>
      </c>
      <c r="G37" s="258">
        <v>5.04</v>
      </c>
      <c r="H37" s="152"/>
      <c r="I37" s="160">
        <f t="shared" si="0"/>
        <v>65129.650000000009</v>
      </c>
    </row>
    <row r="38" spans="2:9" ht="15.75" x14ac:dyDescent="0.25">
      <c r="B38" s="148"/>
      <c r="C38" s="148" t="s">
        <v>22569</v>
      </c>
      <c r="D38" s="150">
        <v>44014</v>
      </c>
      <c r="E38" s="113" t="s">
        <v>22568</v>
      </c>
      <c r="F38" s="257" t="s">
        <v>14408</v>
      </c>
      <c r="G38" s="258">
        <v>4.41</v>
      </c>
      <c r="H38" s="152"/>
      <c r="I38" s="160">
        <f t="shared" si="0"/>
        <v>65134.060000000012</v>
      </c>
    </row>
    <row r="39" spans="2:9" ht="15.75" x14ac:dyDescent="0.25">
      <c r="B39" s="148"/>
      <c r="C39" s="148" t="s">
        <v>22567</v>
      </c>
      <c r="D39" s="150">
        <v>44014</v>
      </c>
      <c r="E39" s="113" t="s">
        <v>22566</v>
      </c>
      <c r="F39" s="257" t="s">
        <v>14408</v>
      </c>
      <c r="G39" s="258">
        <v>1.68</v>
      </c>
      <c r="H39" s="152"/>
      <c r="I39" s="160">
        <f t="shared" si="0"/>
        <v>65135.740000000013</v>
      </c>
    </row>
    <row r="40" spans="2:9" ht="19.5" x14ac:dyDescent="0.25">
      <c r="B40" s="148"/>
      <c r="C40" s="148" t="s">
        <v>22565</v>
      </c>
      <c r="D40" s="150">
        <v>44014</v>
      </c>
      <c r="E40" s="113" t="s">
        <v>22564</v>
      </c>
      <c r="F40" s="257" t="s">
        <v>14408</v>
      </c>
      <c r="G40" s="258">
        <v>10.08</v>
      </c>
      <c r="H40" s="152"/>
      <c r="I40" s="160">
        <f t="shared" si="0"/>
        <v>65145.820000000014</v>
      </c>
    </row>
    <row r="41" spans="2:9" ht="15.75" x14ac:dyDescent="0.25">
      <c r="B41" s="148"/>
      <c r="C41" s="148" t="s">
        <v>22563</v>
      </c>
      <c r="D41" s="150">
        <v>44014</v>
      </c>
      <c r="E41" s="113" t="s">
        <v>22562</v>
      </c>
      <c r="F41" s="257" t="s">
        <v>14408</v>
      </c>
      <c r="G41" s="258">
        <v>1.68</v>
      </c>
      <c r="H41" s="152"/>
      <c r="I41" s="160">
        <f t="shared" si="0"/>
        <v>65147.500000000015</v>
      </c>
    </row>
    <row r="42" spans="2:9" ht="19.5" x14ac:dyDescent="0.25">
      <c r="B42" s="148"/>
      <c r="C42" s="148" t="s">
        <v>22561</v>
      </c>
      <c r="D42" s="150">
        <v>44014</v>
      </c>
      <c r="E42" s="113" t="s">
        <v>22560</v>
      </c>
      <c r="F42" s="257" t="s">
        <v>14408</v>
      </c>
      <c r="G42" s="258">
        <v>7.54</v>
      </c>
      <c r="H42" s="152"/>
      <c r="I42" s="160">
        <f t="shared" si="0"/>
        <v>65155.040000000015</v>
      </c>
    </row>
    <row r="43" spans="2:9" ht="19.5" x14ac:dyDescent="0.25">
      <c r="B43" s="148"/>
      <c r="C43" s="148" t="s">
        <v>22559</v>
      </c>
      <c r="D43" s="150">
        <v>44014</v>
      </c>
      <c r="E43" s="113" t="s">
        <v>22558</v>
      </c>
      <c r="F43" s="257" t="s">
        <v>14408</v>
      </c>
      <c r="G43" s="258">
        <v>24.6</v>
      </c>
      <c r="H43" s="152"/>
      <c r="I43" s="160">
        <f t="shared" si="0"/>
        <v>65179.640000000014</v>
      </c>
    </row>
    <row r="44" spans="2:9" ht="15.75" x14ac:dyDescent="0.25">
      <c r="B44" s="148"/>
      <c r="C44" s="148" t="s">
        <v>22557</v>
      </c>
      <c r="D44" s="150">
        <v>44014</v>
      </c>
      <c r="E44" s="113" t="s">
        <v>22556</v>
      </c>
      <c r="F44" s="257" t="s">
        <v>14408</v>
      </c>
      <c r="G44" s="258">
        <v>4.55</v>
      </c>
      <c r="H44" s="152"/>
      <c r="I44" s="160">
        <f t="shared" si="0"/>
        <v>65184.190000000017</v>
      </c>
    </row>
    <row r="45" spans="2:9" ht="19.5" x14ac:dyDescent="0.25">
      <c r="B45" s="148"/>
      <c r="C45" s="148" t="s">
        <v>22555</v>
      </c>
      <c r="D45" s="150">
        <v>44014</v>
      </c>
      <c r="E45" s="113" t="s">
        <v>22554</v>
      </c>
      <c r="F45" s="257" t="s">
        <v>14408</v>
      </c>
      <c r="G45" s="258">
        <v>8.4</v>
      </c>
      <c r="H45" s="152"/>
      <c r="I45" s="160">
        <f t="shared" si="0"/>
        <v>65192.590000000018</v>
      </c>
    </row>
    <row r="46" spans="2:9" ht="19.5" x14ac:dyDescent="0.25">
      <c r="B46" s="148"/>
      <c r="C46" s="148" t="s">
        <v>22553</v>
      </c>
      <c r="D46" s="150">
        <v>44014</v>
      </c>
      <c r="E46" s="113" t="s">
        <v>22552</v>
      </c>
      <c r="F46" s="257" t="s">
        <v>14408</v>
      </c>
      <c r="G46" s="258">
        <v>8.3800000000000008</v>
      </c>
      <c r="H46" s="152"/>
      <c r="I46" s="160">
        <f t="shared" si="0"/>
        <v>65200.970000000016</v>
      </c>
    </row>
    <row r="47" spans="2:9" ht="19.5" x14ac:dyDescent="0.25">
      <c r="B47" s="148"/>
      <c r="C47" s="148" t="s">
        <v>22551</v>
      </c>
      <c r="D47" s="150">
        <v>44014</v>
      </c>
      <c r="E47" s="113" t="s">
        <v>22550</v>
      </c>
      <c r="F47" s="257" t="s">
        <v>14408</v>
      </c>
      <c r="G47" s="258">
        <v>11.42</v>
      </c>
      <c r="H47" s="152"/>
      <c r="I47" s="160">
        <f t="shared" si="0"/>
        <v>65212.390000000014</v>
      </c>
    </row>
    <row r="48" spans="2:9" ht="19.5" x14ac:dyDescent="0.25">
      <c r="B48" s="148"/>
      <c r="C48" s="148" t="s">
        <v>22549</v>
      </c>
      <c r="D48" s="150">
        <v>44014</v>
      </c>
      <c r="E48" s="113" t="s">
        <v>22548</v>
      </c>
      <c r="F48" s="257" t="s">
        <v>14408</v>
      </c>
      <c r="G48" s="258">
        <v>49.2</v>
      </c>
      <c r="H48" s="152"/>
      <c r="I48" s="160">
        <f t="shared" si="0"/>
        <v>65261.590000000011</v>
      </c>
    </row>
    <row r="49" spans="2:9" ht="19.5" x14ac:dyDescent="0.25">
      <c r="B49" s="148"/>
      <c r="C49" s="148" t="s">
        <v>22547</v>
      </c>
      <c r="D49" s="150">
        <v>44014</v>
      </c>
      <c r="E49" s="113" t="s">
        <v>22546</v>
      </c>
      <c r="F49" s="257" t="s">
        <v>14408</v>
      </c>
      <c r="G49" s="258">
        <v>6.01</v>
      </c>
      <c r="H49" s="152"/>
      <c r="I49" s="160">
        <f t="shared" si="0"/>
        <v>65267.600000000013</v>
      </c>
    </row>
    <row r="50" spans="2:9" ht="19.5" x14ac:dyDescent="0.25">
      <c r="B50" s="148"/>
      <c r="C50" s="148" t="s">
        <v>22545</v>
      </c>
      <c r="D50" s="150">
        <v>44014</v>
      </c>
      <c r="E50" s="113" t="s">
        <v>22544</v>
      </c>
      <c r="F50" s="257" t="s">
        <v>14408</v>
      </c>
      <c r="G50" s="258">
        <v>5.59</v>
      </c>
      <c r="H50" s="152"/>
      <c r="I50" s="160">
        <f t="shared" si="0"/>
        <v>65273.19000000001</v>
      </c>
    </row>
    <row r="51" spans="2:9" ht="15.75" x14ac:dyDescent="0.25">
      <c r="B51" s="148"/>
      <c r="C51" s="148" t="s">
        <v>22543</v>
      </c>
      <c r="D51" s="150">
        <v>44014</v>
      </c>
      <c r="E51" s="113" t="s">
        <v>22542</v>
      </c>
      <c r="F51" s="257" t="s">
        <v>14408</v>
      </c>
      <c r="G51" s="258">
        <v>5.5</v>
      </c>
      <c r="H51" s="152"/>
      <c r="I51" s="160">
        <f t="shared" si="0"/>
        <v>65278.69000000001</v>
      </c>
    </row>
    <row r="52" spans="2:9" ht="19.5" x14ac:dyDescent="0.25">
      <c r="B52" s="148"/>
      <c r="C52" s="148" t="s">
        <v>22541</v>
      </c>
      <c r="D52" s="150">
        <v>44014</v>
      </c>
      <c r="E52" s="113" t="s">
        <v>22540</v>
      </c>
      <c r="F52" s="257" t="s">
        <v>14408</v>
      </c>
      <c r="G52" s="258">
        <v>4.09</v>
      </c>
      <c r="H52" s="152"/>
      <c r="I52" s="160">
        <f t="shared" si="0"/>
        <v>65282.780000000006</v>
      </c>
    </row>
    <row r="53" spans="2:9" ht="19.5" x14ac:dyDescent="0.25">
      <c r="B53" s="148"/>
      <c r="C53" s="148" t="s">
        <v>22539</v>
      </c>
      <c r="D53" s="150">
        <v>44014</v>
      </c>
      <c r="E53" s="113" t="s">
        <v>22538</v>
      </c>
      <c r="F53" s="257" t="s">
        <v>14408</v>
      </c>
      <c r="G53" s="258">
        <v>8.0500000000000007</v>
      </c>
      <c r="H53" s="152"/>
      <c r="I53" s="160">
        <f t="shared" si="0"/>
        <v>65290.830000000009</v>
      </c>
    </row>
    <row r="54" spans="2:9" ht="15.75" x14ac:dyDescent="0.25">
      <c r="B54" s="148"/>
      <c r="C54" s="148" t="s">
        <v>22537</v>
      </c>
      <c r="D54" s="150">
        <v>44014</v>
      </c>
      <c r="E54" s="113" t="s">
        <v>22536</v>
      </c>
      <c r="F54" s="257" t="s">
        <v>14408</v>
      </c>
      <c r="G54" s="258">
        <v>0.01</v>
      </c>
      <c r="H54" s="152"/>
      <c r="I54" s="160">
        <f t="shared" si="0"/>
        <v>65290.840000000011</v>
      </c>
    </row>
    <row r="55" spans="2:9" ht="15.75" x14ac:dyDescent="0.25">
      <c r="B55" s="148"/>
      <c r="C55" s="148" t="s">
        <v>22535</v>
      </c>
      <c r="D55" s="150">
        <v>44014</v>
      </c>
      <c r="E55" s="113" t="s">
        <v>22534</v>
      </c>
      <c r="F55" s="257" t="s">
        <v>14408</v>
      </c>
      <c r="G55" s="258">
        <v>2.4900000000000002</v>
      </c>
      <c r="H55" s="152"/>
      <c r="I55" s="160">
        <f t="shared" si="0"/>
        <v>65293.330000000009</v>
      </c>
    </row>
    <row r="56" spans="2:9" ht="19.5" x14ac:dyDescent="0.25">
      <c r="B56" s="148"/>
      <c r="C56" s="148" t="s">
        <v>22533</v>
      </c>
      <c r="D56" s="150">
        <v>44014</v>
      </c>
      <c r="E56" s="113" t="s">
        <v>22532</v>
      </c>
      <c r="F56" s="257" t="s">
        <v>14408</v>
      </c>
      <c r="G56" s="258">
        <v>13.04</v>
      </c>
      <c r="H56" s="152"/>
      <c r="I56" s="160">
        <f t="shared" si="0"/>
        <v>65306.37000000001</v>
      </c>
    </row>
    <row r="57" spans="2:9" ht="15.75" x14ac:dyDescent="0.25">
      <c r="B57" s="148"/>
      <c r="C57" s="148" t="s">
        <v>22531</v>
      </c>
      <c r="D57" s="150">
        <v>44014</v>
      </c>
      <c r="E57" s="113" t="s">
        <v>22530</v>
      </c>
      <c r="F57" s="257" t="s">
        <v>14408</v>
      </c>
      <c r="G57" s="258">
        <v>6</v>
      </c>
      <c r="H57" s="152"/>
      <c r="I57" s="160">
        <f t="shared" si="0"/>
        <v>65312.37000000001</v>
      </c>
    </row>
    <row r="58" spans="2:9" ht="15.75" x14ac:dyDescent="0.25">
      <c r="B58" s="148"/>
      <c r="C58" s="148" t="s">
        <v>22529</v>
      </c>
      <c r="D58" s="150">
        <v>44014</v>
      </c>
      <c r="E58" s="113" t="s">
        <v>22528</v>
      </c>
      <c r="F58" s="257" t="s">
        <v>14408</v>
      </c>
      <c r="G58" s="258">
        <v>3.91</v>
      </c>
      <c r="H58" s="152"/>
      <c r="I58" s="160">
        <f t="shared" si="0"/>
        <v>65316.280000000013</v>
      </c>
    </row>
    <row r="59" spans="2:9" ht="19.5" x14ac:dyDescent="0.25">
      <c r="B59" s="148"/>
      <c r="C59" s="148" t="s">
        <v>22527</v>
      </c>
      <c r="D59" s="150">
        <v>44014</v>
      </c>
      <c r="E59" s="113" t="s">
        <v>22526</v>
      </c>
      <c r="F59" s="257" t="s">
        <v>14408</v>
      </c>
      <c r="G59" s="258">
        <v>16</v>
      </c>
      <c r="H59" s="152"/>
      <c r="I59" s="160">
        <f t="shared" si="0"/>
        <v>65332.280000000013</v>
      </c>
    </row>
    <row r="60" spans="2:9" ht="19.5" x14ac:dyDescent="0.25">
      <c r="B60" s="148"/>
      <c r="C60" s="148" t="s">
        <v>22525</v>
      </c>
      <c r="D60" s="150">
        <v>44014</v>
      </c>
      <c r="E60" s="113" t="s">
        <v>22524</v>
      </c>
      <c r="F60" s="257" t="s">
        <v>14408</v>
      </c>
      <c r="G60" s="258">
        <v>25.82</v>
      </c>
      <c r="H60" s="152"/>
      <c r="I60" s="160">
        <f t="shared" si="0"/>
        <v>65358.100000000013</v>
      </c>
    </row>
    <row r="61" spans="2:9" ht="19.5" x14ac:dyDescent="0.25">
      <c r="B61" s="148"/>
      <c r="C61" s="148" t="s">
        <v>22523</v>
      </c>
      <c r="D61" s="150">
        <v>44014</v>
      </c>
      <c r="E61" s="113" t="s">
        <v>22522</v>
      </c>
      <c r="F61" s="257" t="s">
        <v>14408</v>
      </c>
      <c r="G61" s="258">
        <v>33.520000000000003</v>
      </c>
      <c r="H61" s="152"/>
      <c r="I61" s="160">
        <f t="shared" si="0"/>
        <v>65391.62000000001</v>
      </c>
    </row>
    <row r="62" spans="2:9" ht="19.5" x14ac:dyDescent="0.25">
      <c r="B62" s="148"/>
      <c r="C62" s="148" t="s">
        <v>22521</v>
      </c>
      <c r="D62" s="150">
        <v>44014</v>
      </c>
      <c r="E62" s="113" t="s">
        <v>22520</v>
      </c>
      <c r="F62" s="257" t="s">
        <v>14408</v>
      </c>
      <c r="G62" s="258">
        <v>11.48</v>
      </c>
      <c r="H62" s="152"/>
      <c r="I62" s="160">
        <f t="shared" si="0"/>
        <v>65403.100000000013</v>
      </c>
    </row>
    <row r="63" spans="2:9" ht="19.5" x14ac:dyDescent="0.25">
      <c r="B63" s="148"/>
      <c r="C63" s="148" t="s">
        <v>22519</v>
      </c>
      <c r="D63" s="150">
        <v>44014</v>
      </c>
      <c r="E63" s="113" t="s">
        <v>22518</v>
      </c>
      <c r="F63" s="257" t="s">
        <v>14408</v>
      </c>
      <c r="G63" s="258">
        <v>4.2</v>
      </c>
      <c r="H63" s="152"/>
      <c r="I63" s="160">
        <f t="shared" si="0"/>
        <v>65407.30000000001</v>
      </c>
    </row>
    <row r="64" spans="2:9" ht="15.75" x14ac:dyDescent="0.25">
      <c r="B64" s="148"/>
      <c r="C64" s="148" t="s">
        <v>22517</v>
      </c>
      <c r="D64" s="150">
        <v>44014</v>
      </c>
      <c r="E64" s="113" t="s">
        <v>22516</v>
      </c>
      <c r="F64" s="257" t="s">
        <v>14408</v>
      </c>
      <c r="G64" s="258">
        <v>11</v>
      </c>
      <c r="H64" s="152"/>
      <c r="I64" s="160">
        <f t="shared" si="0"/>
        <v>65418.30000000001</v>
      </c>
    </row>
    <row r="65" spans="2:9" ht="15.75" x14ac:dyDescent="0.25">
      <c r="B65" s="148"/>
      <c r="C65" s="148" t="s">
        <v>22515</v>
      </c>
      <c r="D65" s="150">
        <v>44014</v>
      </c>
      <c r="E65" s="113" t="s">
        <v>22514</v>
      </c>
      <c r="F65" s="257" t="s">
        <v>14408</v>
      </c>
      <c r="G65" s="258">
        <v>4.37</v>
      </c>
      <c r="H65" s="152"/>
      <c r="I65" s="160">
        <f t="shared" si="0"/>
        <v>65422.670000000013</v>
      </c>
    </row>
    <row r="66" spans="2:9" ht="15.75" x14ac:dyDescent="0.25">
      <c r="B66" s="148"/>
      <c r="C66" s="148" t="s">
        <v>22513</v>
      </c>
      <c r="D66" s="150">
        <v>44014</v>
      </c>
      <c r="E66" s="113" t="s">
        <v>22512</v>
      </c>
      <c r="F66" s="257">
        <v>2</v>
      </c>
      <c r="G66" s="255">
        <v>2.08</v>
      </c>
      <c r="H66" s="152"/>
      <c r="I66" s="160">
        <f t="shared" si="0"/>
        <v>65424.750000000015</v>
      </c>
    </row>
    <row r="67" spans="2:9" ht="15.75" x14ac:dyDescent="0.25">
      <c r="B67" s="148"/>
      <c r="C67" s="148" t="s">
        <v>22511</v>
      </c>
      <c r="D67" s="150">
        <v>44014</v>
      </c>
      <c r="E67" s="113" t="s">
        <v>22510</v>
      </c>
      <c r="F67" s="257">
        <v>2</v>
      </c>
      <c r="G67" s="255">
        <v>12.3</v>
      </c>
      <c r="H67" s="152"/>
      <c r="I67" s="160">
        <f t="shared" si="0"/>
        <v>65437.050000000017</v>
      </c>
    </row>
    <row r="68" spans="2:9" ht="15.75" x14ac:dyDescent="0.25">
      <c r="B68" s="148"/>
      <c r="C68" s="148" t="s">
        <v>22509</v>
      </c>
      <c r="D68" s="150">
        <v>44014</v>
      </c>
      <c r="E68" s="113" t="s">
        <v>22508</v>
      </c>
      <c r="F68" s="257">
        <v>2</v>
      </c>
      <c r="G68" s="255">
        <v>3.49</v>
      </c>
      <c r="H68" s="152"/>
      <c r="I68" s="160">
        <f t="shared" si="0"/>
        <v>65440.540000000015</v>
      </c>
    </row>
    <row r="69" spans="2:9" ht="15.75" x14ac:dyDescent="0.25">
      <c r="B69" s="148"/>
      <c r="C69" s="148" t="s">
        <v>22507</v>
      </c>
      <c r="D69" s="150">
        <v>44014</v>
      </c>
      <c r="E69" s="113" t="s">
        <v>22506</v>
      </c>
      <c r="F69" s="257">
        <v>2</v>
      </c>
      <c r="G69" s="255">
        <v>3.36</v>
      </c>
      <c r="H69" s="152"/>
      <c r="I69" s="160">
        <f t="shared" si="0"/>
        <v>65443.900000000016</v>
      </c>
    </row>
    <row r="70" spans="2:9" ht="15.75" x14ac:dyDescent="0.25">
      <c r="B70" s="148"/>
      <c r="C70" s="148" t="s">
        <v>22505</v>
      </c>
      <c r="D70" s="150">
        <v>44014</v>
      </c>
      <c r="E70" s="113" t="s">
        <v>22504</v>
      </c>
      <c r="F70" s="257">
        <v>2</v>
      </c>
      <c r="G70" s="255">
        <v>17.899999999999999</v>
      </c>
      <c r="H70" s="152"/>
      <c r="I70" s="160">
        <f t="shared" si="0"/>
        <v>65461.800000000017</v>
      </c>
    </row>
    <row r="71" spans="2:9" ht="15.75" x14ac:dyDescent="0.25">
      <c r="B71" s="148"/>
      <c r="C71" s="148" t="s">
        <v>22503</v>
      </c>
      <c r="D71" s="150">
        <v>44014</v>
      </c>
      <c r="E71" s="113" t="s">
        <v>22502</v>
      </c>
      <c r="F71" s="257">
        <v>2</v>
      </c>
      <c r="G71" s="255">
        <v>8.3800000000000008</v>
      </c>
      <c r="H71" s="152"/>
      <c r="I71" s="160">
        <f t="shared" si="0"/>
        <v>65470.180000000015</v>
      </c>
    </row>
    <row r="72" spans="2:9" ht="15.75" x14ac:dyDescent="0.25">
      <c r="B72" s="148"/>
      <c r="C72" s="148" t="s">
        <v>22501</v>
      </c>
      <c r="D72" s="150">
        <v>44014</v>
      </c>
      <c r="E72" s="113" t="s">
        <v>22500</v>
      </c>
      <c r="F72" s="257">
        <v>2</v>
      </c>
      <c r="G72" s="255">
        <v>4.1900000000000004</v>
      </c>
      <c r="H72" s="152"/>
      <c r="I72" s="160">
        <f t="shared" si="0"/>
        <v>65474.370000000017</v>
      </c>
    </row>
    <row r="73" spans="2:9" ht="15.75" x14ac:dyDescent="0.25">
      <c r="B73" s="148"/>
      <c r="C73" s="148" t="s">
        <v>22499</v>
      </c>
      <c r="D73" s="150">
        <v>44014</v>
      </c>
      <c r="E73" s="113" t="s">
        <v>22498</v>
      </c>
      <c r="F73" s="257">
        <v>2</v>
      </c>
      <c r="G73" s="255">
        <v>3.16</v>
      </c>
      <c r="H73" s="152"/>
      <c r="I73" s="160">
        <f t="shared" si="0"/>
        <v>65477.530000000021</v>
      </c>
    </row>
    <row r="74" spans="2:9" ht="19.5" x14ac:dyDescent="0.25">
      <c r="B74" s="148"/>
      <c r="C74" s="148" t="s">
        <v>22497</v>
      </c>
      <c r="D74" s="150">
        <v>44014</v>
      </c>
      <c r="E74" s="113" t="s">
        <v>22496</v>
      </c>
      <c r="F74" s="257">
        <v>2</v>
      </c>
      <c r="G74" s="255">
        <v>1.68</v>
      </c>
      <c r="H74" s="152"/>
      <c r="I74" s="160">
        <f t="shared" si="0"/>
        <v>65479.210000000021</v>
      </c>
    </row>
    <row r="75" spans="2:9" ht="15.75" x14ac:dyDescent="0.25">
      <c r="B75" s="148"/>
      <c r="C75" s="148" t="s">
        <v>22495</v>
      </c>
      <c r="D75" s="150">
        <v>44014</v>
      </c>
      <c r="E75" s="113" t="s">
        <v>22494</v>
      </c>
      <c r="F75" s="257">
        <v>2</v>
      </c>
      <c r="G75" s="255">
        <v>1.68</v>
      </c>
      <c r="H75" s="152"/>
      <c r="I75" s="160">
        <f t="shared" si="0"/>
        <v>65480.890000000021</v>
      </c>
    </row>
    <row r="76" spans="2:9" ht="15.75" x14ac:dyDescent="0.25">
      <c r="B76" s="148"/>
      <c r="C76" s="148" t="s">
        <v>22493</v>
      </c>
      <c r="D76" s="150">
        <v>44014</v>
      </c>
      <c r="E76" s="113" t="s">
        <v>22492</v>
      </c>
      <c r="F76" s="257">
        <v>2</v>
      </c>
      <c r="G76" s="255">
        <v>1.79</v>
      </c>
      <c r="H76" s="152"/>
      <c r="I76" s="160">
        <f t="shared" si="0"/>
        <v>65482.680000000022</v>
      </c>
    </row>
    <row r="77" spans="2:9" ht="19.5" x14ac:dyDescent="0.25">
      <c r="B77" s="148"/>
      <c r="C77" s="148" t="s">
        <v>22491</v>
      </c>
      <c r="D77" s="150">
        <v>44014</v>
      </c>
      <c r="E77" s="113" t="s">
        <v>22490</v>
      </c>
      <c r="F77" s="257">
        <v>2</v>
      </c>
      <c r="G77" s="255">
        <v>8.3800000000000008</v>
      </c>
      <c r="H77" s="152"/>
      <c r="I77" s="160">
        <f t="shared" si="0"/>
        <v>65491.060000000019</v>
      </c>
    </row>
    <row r="78" spans="2:9" ht="15.75" x14ac:dyDescent="0.25">
      <c r="B78" s="148"/>
      <c r="C78" s="148" t="s">
        <v>22489</v>
      </c>
      <c r="D78" s="150">
        <v>44014</v>
      </c>
      <c r="E78" s="113" t="s">
        <v>22488</v>
      </c>
      <c r="F78" s="257">
        <v>2</v>
      </c>
      <c r="G78" s="255">
        <v>3.48</v>
      </c>
      <c r="H78" s="152"/>
      <c r="I78" s="160">
        <f t="shared" si="0"/>
        <v>65494.540000000023</v>
      </c>
    </row>
    <row r="79" spans="2:9" ht="15.75" x14ac:dyDescent="0.25">
      <c r="B79" s="148"/>
      <c r="C79" s="148" t="s">
        <v>22487</v>
      </c>
      <c r="D79" s="150">
        <v>44014</v>
      </c>
      <c r="E79" s="113" t="s">
        <v>22486</v>
      </c>
      <c r="F79" s="257">
        <v>2</v>
      </c>
      <c r="G79" s="255">
        <v>3.47</v>
      </c>
      <c r="H79" s="152"/>
      <c r="I79" s="160">
        <f t="shared" si="0"/>
        <v>65498.010000000024</v>
      </c>
    </row>
    <row r="80" spans="2:9" ht="15.75" x14ac:dyDescent="0.25">
      <c r="B80" s="148"/>
      <c r="C80" s="148" t="s">
        <v>22485</v>
      </c>
      <c r="D80" s="150">
        <v>44014</v>
      </c>
      <c r="E80" s="113" t="s">
        <v>22484</v>
      </c>
      <c r="F80" s="257">
        <v>2</v>
      </c>
      <c r="G80" s="255">
        <v>4.1900000000000004</v>
      </c>
      <c r="H80" s="152"/>
      <c r="I80" s="160">
        <f t="shared" si="0"/>
        <v>65502.200000000026</v>
      </c>
    </row>
    <row r="81" spans="2:9" ht="15.75" x14ac:dyDescent="0.25">
      <c r="B81" s="148"/>
      <c r="C81" s="148" t="s">
        <v>22483</v>
      </c>
      <c r="D81" s="150">
        <v>44014</v>
      </c>
      <c r="E81" s="113" t="s">
        <v>22482</v>
      </c>
      <c r="F81" s="257">
        <v>2</v>
      </c>
      <c r="G81" s="255">
        <v>7.82</v>
      </c>
      <c r="H81" s="152"/>
      <c r="I81" s="160">
        <f t="shared" si="0"/>
        <v>65510.020000000026</v>
      </c>
    </row>
    <row r="82" spans="2:9" ht="15.75" x14ac:dyDescent="0.25">
      <c r="B82" s="148"/>
      <c r="C82" s="148" t="s">
        <v>22481</v>
      </c>
      <c r="D82" s="150">
        <v>44014</v>
      </c>
      <c r="E82" s="113" t="s">
        <v>22480</v>
      </c>
      <c r="F82" s="257">
        <v>2</v>
      </c>
      <c r="G82" s="255">
        <v>2.35</v>
      </c>
      <c r="H82" s="152"/>
      <c r="I82" s="160">
        <f t="shared" si="0"/>
        <v>65512.370000000024</v>
      </c>
    </row>
    <row r="83" spans="2:9" ht="15.75" x14ac:dyDescent="0.25">
      <c r="B83" s="148"/>
      <c r="C83" s="148" t="s">
        <v>22479</v>
      </c>
      <c r="D83" s="150">
        <v>44014</v>
      </c>
      <c r="E83" s="113" t="s">
        <v>22478</v>
      </c>
      <c r="F83" s="257">
        <v>2</v>
      </c>
      <c r="G83" s="255">
        <v>4.1900000000000004</v>
      </c>
      <c r="H83" s="152"/>
      <c r="I83" s="160">
        <f t="shared" si="0"/>
        <v>65516.560000000027</v>
      </c>
    </row>
    <row r="84" spans="2:9" ht="15.75" x14ac:dyDescent="0.25">
      <c r="B84" s="148"/>
      <c r="C84" s="148" t="s">
        <v>22477</v>
      </c>
      <c r="D84" s="150">
        <v>44014</v>
      </c>
      <c r="E84" s="113" t="s">
        <v>22476</v>
      </c>
      <c r="F84" s="257">
        <v>2</v>
      </c>
      <c r="G84" s="255">
        <v>8.3800000000000008</v>
      </c>
      <c r="H84" s="152"/>
      <c r="I84" s="160">
        <f t="shared" ref="I84:I147" si="1">+I83+G84-H84</f>
        <v>65524.940000000024</v>
      </c>
    </row>
    <row r="85" spans="2:9" ht="15.75" x14ac:dyDescent="0.25">
      <c r="B85" s="148"/>
      <c r="C85" s="148" t="s">
        <v>22475</v>
      </c>
      <c r="D85" s="150">
        <v>44014</v>
      </c>
      <c r="E85" s="113" t="s">
        <v>22474</v>
      </c>
      <c r="F85" s="257">
        <v>2</v>
      </c>
      <c r="G85" s="255">
        <v>8.61</v>
      </c>
      <c r="H85" s="152"/>
      <c r="I85" s="160">
        <f t="shared" si="1"/>
        <v>65533.550000000025</v>
      </c>
    </row>
    <row r="86" spans="2:9" ht="15.75" x14ac:dyDescent="0.25">
      <c r="B86" s="148"/>
      <c r="C86" s="148" t="s">
        <v>22473</v>
      </c>
      <c r="D86" s="150">
        <v>44014</v>
      </c>
      <c r="E86" s="113" t="s">
        <v>22472</v>
      </c>
      <c r="F86" s="257">
        <v>2</v>
      </c>
      <c r="G86" s="255">
        <v>8.5</v>
      </c>
      <c r="H86" s="152"/>
      <c r="I86" s="160">
        <f t="shared" si="1"/>
        <v>65542.050000000017</v>
      </c>
    </row>
    <row r="87" spans="2:9" ht="15.75" x14ac:dyDescent="0.25">
      <c r="B87" s="148"/>
      <c r="C87" s="148" t="s">
        <v>22471</v>
      </c>
      <c r="D87" s="150">
        <v>44014</v>
      </c>
      <c r="E87" s="113" t="s">
        <v>22470</v>
      </c>
      <c r="F87" s="257">
        <v>2</v>
      </c>
      <c r="G87" s="255">
        <v>9.0500000000000007</v>
      </c>
      <c r="H87" s="152"/>
      <c r="I87" s="160">
        <f t="shared" si="1"/>
        <v>65551.10000000002</v>
      </c>
    </row>
    <row r="88" spans="2:9" ht="19.5" x14ac:dyDescent="0.25">
      <c r="B88" s="148"/>
      <c r="C88" s="148" t="s">
        <v>22469</v>
      </c>
      <c r="D88" s="150">
        <v>44014</v>
      </c>
      <c r="E88" s="113" t="s">
        <v>22468</v>
      </c>
      <c r="F88" s="257">
        <v>2</v>
      </c>
      <c r="G88" s="255">
        <v>3.75</v>
      </c>
      <c r="H88" s="152"/>
      <c r="I88" s="160">
        <f t="shared" si="1"/>
        <v>65554.85000000002</v>
      </c>
    </row>
    <row r="89" spans="2:9" ht="15.75" x14ac:dyDescent="0.25">
      <c r="B89" s="148"/>
      <c r="C89" s="148" t="s">
        <v>22467</v>
      </c>
      <c r="D89" s="150">
        <v>44014</v>
      </c>
      <c r="E89" s="113" t="s">
        <v>22466</v>
      </c>
      <c r="F89" s="257">
        <v>2</v>
      </c>
      <c r="G89" s="255">
        <v>6.94</v>
      </c>
      <c r="H89" s="152"/>
      <c r="I89" s="160">
        <f t="shared" si="1"/>
        <v>65561.790000000023</v>
      </c>
    </row>
    <row r="90" spans="2:9" ht="15.75" x14ac:dyDescent="0.25">
      <c r="B90" s="148"/>
      <c r="C90" s="148" t="s">
        <v>22465</v>
      </c>
      <c r="D90" s="150">
        <v>44014</v>
      </c>
      <c r="E90" s="113" t="s">
        <v>22464</v>
      </c>
      <c r="F90" s="257">
        <v>2</v>
      </c>
      <c r="G90" s="255">
        <v>2.2999999999999998</v>
      </c>
      <c r="H90" s="152"/>
      <c r="I90" s="160">
        <f t="shared" si="1"/>
        <v>65564.090000000026</v>
      </c>
    </row>
    <row r="91" spans="2:9" ht="19.5" x14ac:dyDescent="0.25">
      <c r="B91" s="148"/>
      <c r="C91" s="148" t="s">
        <v>22463</v>
      </c>
      <c r="D91" s="150">
        <v>44014</v>
      </c>
      <c r="E91" s="113" t="s">
        <v>22462</v>
      </c>
      <c r="F91" s="257">
        <v>2</v>
      </c>
      <c r="G91" s="255">
        <v>6.9</v>
      </c>
      <c r="H91" s="152"/>
      <c r="I91" s="160">
        <f t="shared" si="1"/>
        <v>65570.99000000002</v>
      </c>
    </row>
    <row r="92" spans="2:9" ht="15.75" x14ac:dyDescent="0.25">
      <c r="B92" s="148"/>
      <c r="C92" s="148" t="s">
        <v>22461</v>
      </c>
      <c r="D92" s="150">
        <v>44014</v>
      </c>
      <c r="E92" s="113" t="s">
        <v>22460</v>
      </c>
      <c r="F92" s="257">
        <v>2</v>
      </c>
      <c r="G92" s="255">
        <v>4.1900000000000004</v>
      </c>
      <c r="H92" s="152"/>
      <c r="I92" s="160">
        <f t="shared" si="1"/>
        <v>65575.180000000022</v>
      </c>
    </row>
    <row r="93" spans="2:9" ht="15.75" x14ac:dyDescent="0.25">
      <c r="B93" s="148"/>
      <c r="C93" s="148" t="s">
        <v>22459</v>
      </c>
      <c r="D93" s="150">
        <v>44014</v>
      </c>
      <c r="E93" s="113" t="s">
        <v>22458</v>
      </c>
      <c r="F93" s="257">
        <v>2</v>
      </c>
      <c r="G93" s="255">
        <v>4.1100000000000003</v>
      </c>
      <c r="H93" s="152"/>
      <c r="I93" s="160">
        <f t="shared" si="1"/>
        <v>65579.290000000023</v>
      </c>
    </row>
    <row r="94" spans="2:9" ht="15.75" x14ac:dyDescent="0.25">
      <c r="B94" s="148"/>
      <c r="C94" s="148" t="s">
        <v>22457</v>
      </c>
      <c r="D94" s="150">
        <v>44014</v>
      </c>
      <c r="E94" s="113" t="s">
        <v>22456</v>
      </c>
      <c r="F94" s="257">
        <v>2</v>
      </c>
      <c r="G94" s="255">
        <v>3.29</v>
      </c>
      <c r="H94" s="152"/>
      <c r="I94" s="160">
        <f t="shared" si="1"/>
        <v>65582.580000000016</v>
      </c>
    </row>
    <row r="95" spans="2:9" ht="15.75" x14ac:dyDescent="0.25">
      <c r="B95" s="148"/>
      <c r="C95" s="148" t="s">
        <v>22455</v>
      </c>
      <c r="D95" s="150">
        <v>44014</v>
      </c>
      <c r="E95" s="113" t="s">
        <v>22454</v>
      </c>
      <c r="F95" s="257">
        <v>2</v>
      </c>
      <c r="G95" s="255">
        <v>1.68</v>
      </c>
      <c r="H95" s="152"/>
      <c r="I95" s="160">
        <f t="shared" si="1"/>
        <v>65584.260000000009</v>
      </c>
    </row>
    <row r="96" spans="2:9" ht="15.75" x14ac:dyDescent="0.25">
      <c r="B96" s="148"/>
      <c r="C96" s="148" t="s">
        <v>22453</v>
      </c>
      <c r="D96" s="150">
        <v>44014</v>
      </c>
      <c r="E96" s="113" t="s">
        <v>22452</v>
      </c>
      <c r="F96" s="257">
        <v>2</v>
      </c>
      <c r="G96" s="255">
        <v>8.3800000000000008</v>
      </c>
      <c r="H96" s="152"/>
      <c r="I96" s="160">
        <f t="shared" si="1"/>
        <v>65592.640000000014</v>
      </c>
    </row>
    <row r="97" spans="2:9" ht="15.75" x14ac:dyDescent="0.25">
      <c r="B97" s="148"/>
      <c r="C97" s="148" t="s">
        <v>22451</v>
      </c>
      <c r="D97" s="150">
        <v>44014</v>
      </c>
      <c r="E97" s="113" t="s">
        <v>22450</v>
      </c>
      <c r="F97" s="257">
        <v>2</v>
      </c>
      <c r="G97" s="255">
        <v>15.79</v>
      </c>
      <c r="H97" s="152"/>
      <c r="I97" s="160">
        <f t="shared" si="1"/>
        <v>65608.430000000008</v>
      </c>
    </row>
    <row r="98" spans="2:9" ht="15.75" x14ac:dyDescent="0.25">
      <c r="B98" s="148"/>
      <c r="C98" s="148" t="s">
        <v>22449</v>
      </c>
      <c r="D98" s="150">
        <v>44014</v>
      </c>
      <c r="E98" s="113" t="s">
        <v>22448</v>
      </c>
      <c r="F98" s="257">
        <v>2</v>
      </c>
      <c r="G98" s="255">
        <v>8.3800000000000008</v>
      </c>
      <c r="H98" s="152"/>
      <c r="I98" s="160">
        <f t="shared" si="1"/>
        <v>65616.810000000012</v>
      </c>
    </row>
    <row r="99" spans="2:9" ht="15.75" x14ac:dyDescent="0.25">
      <c r="B99" s="148"/>
      <c r="C99" s="148" t="s">
        <v>22447</v>
      </c>
      <c r="D99" s="150">
        <v>44014</v>
      </c>
      <c r="E99" s="113" t="s">
        <v>22446</v>
      </c>
      <c r="F99" s="257">
        <v>2</v>
      </c>
      <c r="G99" s="255">
        <v>2.06</v>
      </c>
      <c r="H99" s="152"/>
      <c r="I99" s="160">
        <f t="shared" si="1"/>
        <v>65618.87000000001</v>
      </c>
    </row>
    <row r="100" spans="2:9" ht="19.5" x14ac:dyDescent="0.25">
      <c r="B100" s="148"/>
      <c r="C100" s="148" t="s">
        <v>22445</v>
      </c>
      <c r="D100" s="150">
        <v>44014</v>
      </c>
      <c r="E100" s="113" t="s">
        <v>22444</v>
      </c>
      <c r="F100" s="257">
        <v>2</v>
      </c>
      <c r="G100" s="255">
        <v>6.64</v>
      </c>
      <c r="H100" s="152"/>
      <c r="I100" s="160">
        <f t="shared" si="1"/>
        <v>65625.510000000009</v>
      </c>
    </row>
    <row r="101" spans="2:9" ht="15.75" x14ac:dyDescent="0.25">
      <c r="B101" s="148"/>
      <c r="C101" s="148" t="s">
        <v>22443</v>
      </c>
      <c r="D101" s="150">
        <v>44014</v>
      </c>
      <c r="E101" s="113" t="s">
        <v>22442</v>
      </c>
      <c r="F101" s="257">
        <v>2</v>
      </c>
      <c r="G101" s="255">
        <v>1.79</v>
      </c>
      <c r="H101" s="152"/>
      <c r="I101" s="160">
        <f t="shared" si="1"/>
        <v>65627.3</v>
      </c>
    </row>
    <row r="102" spans="2:9" ht="15.75" x14ac:dyDescent="0.25">
      <c r="B102" s="148"/>
      <c r="C102" s="148" t="s">
        <v>22441</v>
      </c>
      <c r="D102" s="150">
        <v>44014</v>
      </c>
      <c r="E102" s="113" t="s">
        <v>22440</v>
      </c>
      <c r="F102" s="257">
        <v>2</v>
      </c>
      <c r="G102" s="255">
        <v>2.2799999999999998</v>
      </c>
      <c r="H102" s="152"/>
      <c r="I102" s="160">
        <f t="shared" si="1"/>
        <v>65629.58</v>
      </c>
    </row>
    <row r="103" spans="2:9" ht="15.75" x14ac:dyDescent="0.25">
      <c r="B103" s="148"/>
      <c r="C103" s="148" t="s">
        <v>22439</v>
      </c>
      <c r="D103" s="150">
        <v>44014</v>
      </c>
      <c r="E103" s="113" t="s">
        <v>22438</v>
      </c>
      <c r="F103" s="257">
        <v>2</v>
      </c>
      <c r="G103" s="255">
        <v>8.3800000000000008</v>
      </c>
      <c r="H103" s="152"/>
      <c r="I103" s="160">
        <f t="shared" si="1"/>
        <v>65637.960000000006</v>
      </c>
    </row>
    <row r="104" spans="2:9" ht="15.75" x14ac:dyDescent="0.25">
      <c r="B104" s="148"/>
      <c r="C104" s="148" t="s">
        <v>22437</v>
      </c>
      <c r="D104" s="150">
        <v>44014</v>
      </c>
      <c r="E104" s="113" t="s">
        <v>22436</v>
      </c>
      <c r="F104" s="257">
        <v>2</v>
      </c>
      <c r="G104" s="255">
        <v>7.82</v>
      </c>
      <c r="H104" s="152"/>
      <c r="I104" s="160">
        <f t="shared" si="1"/>
        <v>65645.780000000013</v>
      </c>
    </row>
    <row r="105" spans="2:9" ht="15.75" x14ac:dyDescent="0.25">
      <c r="B105" s="148"/>
      <c r="C105" s="148" t="s">
        <v>22435</v>
      </c>
      <c r="D105" s="150">
        <v>44014</v>
      </c>
      <c r="E105" s="113" t="s">
        <v>22434</v>
      </c>
      <c r="F105" s="257">
        <v>2</v>
      </c>
      <c r="G105" s="255">
        <v>8.3800000000000008</v>
      </c>
      <c r="H105" s="152"/>
      <c r="I105" s="160">
        <f t="shared" si="1"/>
        <v>65654.160000000018</v>
      </c>
    </row>
    <row r="106" spans="2:9" ht="19.5" x14ac:dyDescent="0.25">
      <c r="B106" s="148"/>
      <c r="C106" s="148" t="s">
        <v>22433</v>
      </c>
      <c r="D106" s="150">
        <v>44014</v>
      </c>
      <c r="E106" s="113" t="s">
        <v>22432</v>
      </c>
      <c r="F106" s="257">
        <v>2</v>
      </c>
      <c r="G106" s="255">
        <v>3.36</v>
      </c>
      <c r="H106" s="152"/>
      <c r="I106" s="160">
        <f t="shared" si="1"/>
        <v>65657.520000000019</v>
      </c>
    </row>
    <row r="107" spans="2:9" ht="15.75" x14ac:dyDescent="0.25">
      <c r="B107" s="148"/>
      <c r="C107" s="148" t="s">
        <v>22431</v>
      </c>
      <c r="D107" s="150">
        <v>44014</v>
      </c>
      <c r="E107" s="113" t="s">
        <v>22430</v>
      </c>
      <c r="F107" s="257">
        <v>2</v>
      </c>
      <c r="G107" s="255">
        <v>2.21</v>
      </c>
      <c r="H107" s="152"/>
      <c r="I107" s="160">
        <f t="shared" si="1"/>
        <v>65659.730000000025</v>
      </c>
    </row>
    <row r="108" spans="2:9" ht="19.5" x14ac:dyDescent="0.25">
      <c r="B108" s="148"/>
      <c r="C108" s="148" t="s">
        <v>22429</v>
      </c>
      <c r="D108" s="150">
        <v>44014</v>
      </c>
      <c r="E108" s="113" t="s">
        <v>22428</v>
      </c>
      <c r="F108" s="257">
        <v>2</v>
      </c>
      <c r="G108" s="255">
        <v>15.3</v>
      </c>
      <c r="H108" s="152"/>
      <c r="I108" s="160">
        <f t="shared" si="1"/>
        <v>65675.030000000028</v>
      </c>
    </row>
    <row r="109" spans="2:9" ht="15.75" x14ac:dyDescent="0.25">
      <c r="B109" s="148"/>
      <c r="C109" s="148" t="s">
        <v>22427</v>
      </c>
      <c r="D109" s="150">
        <v>44014</v>
      </c>
      <c r="E109" s="113" t="s">
        <v>22426</v>
      </c>
      <c r="F109" s="257">
        <v>2</v>
      </c>
      <c r="G109" s="255">
        <v>30.6</v>
      </c>
      <c r="H109" s="152"/>
      <c r="I109" s="160">
        <f t="shared" si="1"/>
        <v>65705.630000000034</v>
      </c>
    </row>
    <row r="110" spans="2:9" ht="15.75" x14ac:dyDescent="0.25">
      <c r="B110" s="148"/>
      <c r="C110" s="148" t="s">
        <v>22425</v>
      </c>
      <c r="D110" s="150">
        <v>44014</v>
      </c>
      <c r="E110" s="113" t="s">
        <v>22424</v>
      </c>
      <c r="F110" s="257">
        <v>2</v>
      </c>
      <c r="G110" s="255">
        <v>15.3</v>
      </c>
      <c r="H110" s="152"/>
      <c r="I110" s="160">
        <f t="shared" si="1"/>
        <v>65720.930000000037</v>
      </c>
    </row>
    <row r="111" spans="2:9" ht="15.75" x14ac:dyDescent="0.25">
      <c r="B111" s="148"/>
      <c r="C111" s="148" t="s">
        <v>22423</v>
      </c>
      <c r="D111" s="150">
        <v>44014</v>
      </c>
      <c r="E111" s="113" t="s">
        <v>22422</v>
      </c>
      <c r="F111" s="257">
        <v>2</v>
      </c>
      <c r="G111" s="255">
        <v>15.3</v>
      </c>
      <c r="H111" s="152"/>
      <c r="I111" s="160">
        <f t="shared" si="1"/>
        <v>65736.23000000004</v>
      </c>
    </row>
    <row r="112" spans="2:9" ht="15.75" x14ac:dyDescent="0.25">
      <c r="B112" s="148"/>
      <c r="C112" s="148" t="s">
        <v>22421</v>
      </c>
      <c r="D112" s="150">
        <v>44014</v>
      </c>
      <c r="E112" s="113" t="s">
        <v>22420</v>
      </c>
      <c r="F112" s="257">
        <v>2</v>
      </c>
      <c r="G112" s="255">
        <v>15.3</v>
      </c>
      <c r="H112" s="152"/>
      <c r="I112" s="160">
        <f t="shared" si="1"/>
        <v>65751.530000000042</v>
      </c>
    </row>
    <row r="113" spans="2:9" ht="15.75" x14ac:dyDescent="0.25">
      <c r="B113" s="148"/>
      <c r="C113" s="148" t="s">
        <v>22419</v>
      </c>
      <c r="D113" s="150">
        <v>44014</v>
      </c>
      <c r="E113" s="113" t="s">
        <v>22418</v>
      </c>
      <c r="F113" s="257">
        <v>2</v>
      </c>
      <c r="G113" s="255">
        <v>4.8</v>
      </c>
      <c r="H113" s="152"/>
      <c r="I113" s="160">
        <f t="shared" si="1"/>
        <v>65756.330000000045</v>
      </c>
    </row>
    <row r="114" spans="2:9" ht="15.75" x14ac:dyDescent="0.25">
      <c r="B114" s="148"/>
      <c r="C114" s="148" t="s">
        <v>22417</v>
      </c>
      <c r="D114" s="150">
        <v>44014</v>
      </c>
      <c r="E114" s="113" t="s">
        <v>22416</v>
      </c>
      <c r="F114" s="257">
        <v>2</v>
      </c>
      <c r="G114" s="255">
        <v>1.97</v>
      </c>
      <c r="H114" s="152"/>
      <c r="I114" s="160">
        <f t="shared" si="1"/>
        <v>65758.300000000047</v>
      </c>
    </row>
    <row r="115" spans="2:9" ht="15.75" x14ac:dyDescent="0.25">
      <c r="B115" s="148"/>
      <c r="C115" s="148" t="s">
        <v>22415</v>
      </c>
      <c r="D115" s="150">
        <v>44014</v>
      </c>
      <c r="E115" s="113" t="s">
        <v>22414</v>
      </c>
      <c r="F115" s="257">
        <v>2</v>
      </c>
      <c r="G115" s="255">
        <v>1.68</v>
      </c>
      <c r="H115" s="152"/>
      <c r="I115" s="160">
        <f t="shared" si="1"/>
        <v>65759.98000000004</v>
      </c>
    </row>
    <row r="116" spans="2:9" ht="15.75" x14ac:dyDescent="0.25">
      <c r="B116" s="148"/>
      <c r="C116" s="148" t="s">
        <v>22413</v>
      </c>
      <c r="D116" s="150">
        <v>44014</v>
      </c>
      <c r="E116" s="113" t="s">
        <v>22412</v>
      </c>
      <c r="F116" s="257">
        <v>2</v>
      </c>
      <c r="G116" s="255">
        <v>2.04</v>
      </c>
      <c r="H116" s="152"/>
      <c r="I116" s="160">
        <f t="shared" si="1"/>
        <v>65762.020000000033</v>
      </c>
    </row>
    <row r="117" spans="2:9" ht="19.5" x14ac:dyDescent="0.25">
      <c r="B117" s="148"/>
      <c r="C117" s="148" t="s">
        <v>22411</v>
      </c>
      <c r="D117" s="150">
        <v>44014</v>
      </c>
      <c r="E117" s="113" t="s">
        <v>22410</v>
      </c>
      <c r="F117" s="257">
        <v>2</v>
      </c>
      <c r="G117" s="255">
        <v>4.0199999999999996</v>
      </c>
      <c r="H117" s="152"/>
      <c r="I117" s="160">
        <f t="shared" si="1"/>
        <v>65766.040000000037</v>
      </c>
    </row>
    <row r="118" spans="2:9" ht="19.5" x14ac:dyDescent="0.25">
      <c r="B118" s="148"/>
      <c r="C118" s="148" t="s">
        <v>22409</v>
      </c>
      <c r="D118" s="150">
        <v>44014</v>
      </c>
      <c r="E118" s="113" t="s">
        <v>22408</v>
      </c>
      <c r="F118" s="257">
        <v>2</v>
      </c>
      <c r="G118" s="255">
        <v>1.68</v>
      </c>
      <c r="H118" s="152"/>
      <c r="I118" s="160">
        <f t="shared" si="1"/>
        <v>65767.72000000003</v>
      </c>
    </row>
    <row r="119" spans="2:9" ht="15.75" x14ac:dyDescent="0.25">
      <c r="B119" s="148"/>
      <c r="C119" s="148" t="s">
        <v>22407</v>
      </c>
      <c r="D119" s="150">
        <v>44014</v>
      </c>
      <c r="E119" s="113" t="s">
        <v>22406</v>
      </c>
      <c r="F119" s="257" t="s">
        <v>14436</v>
      </c>
      <c r="G119" s="160">
        <v>3.43</v>
      </c>
      <c r="H119" s="152"/>
      <c r="I119" s="160">
        <f t="shared" si="1"/>
        <v>65771.150000000023</v>
      </c>
    </row>
    <row r="120" spans="2:9" ht="19.5" x14ac:dyDescent="0.25">
      <c r="B120" s="148"/>
      <c r="C120" s="148" t="s">
        <v>22405</v>
      </c>
      <c r="D120" s="150">
        <v>44014</v>
      </c>
      <c r="E120" s="113" t="s">
        <v>22404</v>
      </c>
      <c r="F120" s="257" t="s">
        <v>14436</v>
      </c>
      <c r="G120" s="160">
        <v>3.65</v>
      </c>
      <c r="H120" s="152"/>
      <c r="I120" s="160">
        <f t="shared" si="1"/>
        <v>65774.800000000017</v>
      </c>
    </row>
    <row r="121" spans="2:9" ht="19.5" x14ac:dyDescent="0.25">
      <c r="B121" s="148"/>
      <c r="C121" s="148" t="s">
        <v>22403</v>
      </c>
      <c r="D121" s="150">
        <v>44014</v>
      </c>
      <c r="E121" s="113" t="s">
        <v>22402</v>
      </c>
      <c r="F121" s="257" t="s">
        <v>14436</v>
      </c>
      <c r="G121" s="160">
        <v>36.86</v>
      </c>
      <c r="H121" s="152"/>
      <c r="I121" s="160">
        <f t="shared" si="1"/>
        <v>65811.660000000018</v>
      </c>
    </row>
    <row r="122" spans="2:9" ht="19.5" x14ac:dyDescent="0.25">
      <c r="B122" s="148"/>
      <c r="C122" s="148" t="s">
        <v>22401</v>
      </c>
      <c r="D122" s="150">
        <v>44014</v>
      </c>
      <c r="E122" s="113" t="s">
        <v>22400</v>
      </c>
      <c r="F122" s="257" t="s">
        <v>18712</v>
      </c>
      <c r="G122" s="160">
        <v>88.99</v>
      </c>
      <c r="H122" s="152"/>
      <c r="I122" s="160">
        <f t="shared" si="1"/>
        <v>65900.650000000023</v>
      </c>
    </row>
    <row r="123" spans="2:9" ht="19.5" x14ac:dyDescent="0.25">
      <c r="B123" s="148"/>
      <c r="C123" s="148" t="s">
        <v>22399</v>
      </c>
      <c r="D123" s="150">
        <v>44015</v>
      </c>
      <c r="E123" s="113" t="s">
        <v>22398</v>
      </c>
      <c r="F123" s="257" t="s">
        <v>14436</v>
      </c>
      <c r="G123" s="160">
        <v>219.97</v>
      </c>
      <c r="H123" s="152"/>
      <c r="I123" s="160">
        <f t="shared" si="1"/>
        <v>66120.620000000024</v>
      </c>
    </row>
    <row r="124" spans="2:9" ht="15.75" x14ac:dyDescent="0.25">
      <c r="B124" s="148"/>
      <c r="C124" s="148" t="s">
        <v>22397</v>
      </c>
      <c r="D124" s="150">
        <v>44015</v>
      </c>
      <c r="E124" s="113" t="s">
        <v>22396</v>
      </c>
      <c r="F124" s="257" t="s">
        <v>14408</v>
      </c>
      <c r="G124" s="258">
        <v>1.68</v>
      </c>
      <c r="H124" s="152"/>
      <c r="I124" s="160">
        <f t="shared" si="1"/>
        <v>66122.300000000017</v>
      </c>
    </row>
    <row r="125" spans="2:9" ht="15.75" x14ac:dyDescent="0.25">
      <c r="B125" s="148"/>
      <c r="C125" s="148" t="s">
        <v>22395</v>
      </c>
      <c r="D125" s="150">
        <v>44015</v>
      </c>
      <c r="E125" s="113" t="s">
        <v>22394</v>
      </c>
      <c r="F125" s="257" t="s">
        <v>14408</v>
      </c>
      <c r="G125" s="258">
        <v>6.98</v>
      </c>
      <c r="H125" s="152"/>
      <c r="I125" s="160">
        <f t="shared" si="1"/>
        <v>66129.280000000013</v>
      </c>
    </row>
    <row r="126" spans="2:9" ht="15.75" x14ac:dyDescent="0.25">
      <c r="B126" s="148"/>
      <c r="C126" s="148" t="s">
        <v>22393</v>
      </c>
      <c r="D126" s="150">
        <v>44015</v>
      </c>
      <c r="E126" s="113" t="s">
        <v>22392</v>
      </c>
      <c r="F126" s="257" t="s">
        <v>14408</v>
      </c>
      <c r="G126" s="258">
        <v>8.3800000000000008</v>
      </c>
      <c r="H126" s="152"/>
      <c r="I126" s="160">
        <f t="shared" si="1"/>
        <v>66137.660000000018</v>
      </c>
    </row>
    <row r="127" spans="2:9" ht="19.5" x14ac:dyDescent="0.25">
      <c r="B127" s="148"/>
      <c r="C127" s="148" t="s">
        <v>22391</v>
      </c>
      <c r="D127" s="150">
        <v>44015</v>
      </c>
      <c r="E127" s="113" t="s">
        <v>22390</v>
      </c>
      <c r="F127" s="257" t="s">
        <v>14408</v>
      </c>
      <c r="G127" s="258">
        <v>4.08</v>
      </c>
      <c r="H127" s="152"/>
      <c r="I127" s="160">
        <f t="shared" si="1"/>
        <v>66141.74000000002</v>
      </c>
    </row>
    <row r="128" spans="2:9" ht="19.5" x14ac:dyDescent="0.25">
      <c r="B128" s="148"/>
      <c r="C128" s="148" t="s">
        <v>22389</v>
      </c>
      <c r="D128" s="150">
        <v>44015</v>
      </c>
      <c r="E128" s="113" t="s">
        <v>22388</v>
      </c>
      <c r="F128" s="257" t="s">
        <v>14408</v>
      </c>
      <c r="G128" s="258">
        <v>10.16</v>
      </c>
      <c r="H128" s="152"/>
      <c r="I128" s="160">
        <f t="shared" si="1"/>
        <v>66151.900000000023</v>
      </c>
    </row>
    <row r="129" spans="2:9" ht="15.75" x14ac:dyDescent="0.25">
      <c r="B129" s="148"/>
      <c r="C129" s="148" t="s">
        <v>22387</v>
      </c>
      <c r="D129" s="150">
        <v>44015</v>
      </c>
      <c r="E129" s="113" t="s">
        <v>22386</v>
      </c>
      <c r="F129" s="257" t="s">
        <v>14408</v>
      </c>
      <c r="G129" s="258">
        <v>1.68</v>
      </c>
      <c r="H129" s="152"/>
      <c r="I129" s="160">
        <f t="shared" si="1"/>
        <v>66153.580000000016</v>
      </c>
    </row>
    <row r="130" spans="2:9" ht="19.5" x14ac:dyDescent="0.25">
      <c r="B130" s="148"/>
      <c r="C130" s="148" t="s">
        <v>22385</v>
      </c>
      <c r="D130" s="150">
        <v>44015</v>
      </c>
      <c r="E130" s="113" t="s">
        <v>22384</v>
      </c>
      <c r="F130" s="257" t="s">
        <v>14408</v>
      </c>
      <c r="G130" s="258">
        <v>3.12</v>
      </c>
      <c r="H130" s="152"/>
      <c r="I130" s="160">
        <f t="shared" si="1"/>
        <v>66156.700000000012</v>
      </c>
    </row>
    <row r="131" spans="2:9" ht="19.5" x14ac:dyDescent="0.25">
      <c r="B131" s="148"/>
      <c r="C131" s="148" t="s">
        <v>22383</v>
      </c>
      <c r="D131" s="150">
        <v>44015</v>
      </c>
      <c r="E131" s="113" t="s">
        <v>22382</v>
      </c>
      <c r="F131" s="257" t="s">
        <v>14408</v>
      </c>
      <c r="G131" s="258">
        <v>9.17</v>
      </c>
      <c r="H131" s="152"/>
      <c r="I131" s="160">
        <f t="shared" si="1"/>
        <v>66165.87000000001</v>
      </c>
    </row>
    <row r="132" spans="2:9" ht="19.5" x14ac:dyDescent="0.25">
      <c r="B132" s="148"/>
      <c r="C132" s="148" t="s">
        <v>22381</v>
      </c>
      <c r="D132" s="150">
        <v>44015</v>
      </c>
      <c r="E132" s="113" t="s">
        <v>22380</v>
      </c>
      <c r="F132" s="257" t="s">
        <v>14408</v>
      </c>
      <c r="G132" s="258">
        <v>13.5</v>
      </c>
      <c r="H132" s="152"/>
      <c r="I132" s="160">
        <f t="shared" si="1"/>
        <v>66179.37000000001</v>
      </c>
    </row>
    <row r="133" spans="2:9" ht="15.75" x14ac:dyDescent="0.25">
      <c r="B133" s="148"/>
      <c r="C133" s="148" t="s">
        <v>22379</v>
      </c>
      <c r="D133" s="150">
        <v>44015</v>
      </c>
      <c r="E133" s="113" t="s">
        <v>22378</v>
      </c>
      <c r="F133" s="257" t="s">
        <v>14408</v>
      </c>
      <c r="G133" s="258">
        <v>14.29</v>
      </c>
      <c r="H133" s="152"/>
      <c r="I133" s="160">
        <f t="shared" si="1"/>
        <v>66193.66</v>
      </c>
    </row>
    <row r="134" spans="2:9" ht="15.75" x14ac:dyDescent="0.25">
      <c r="B134" s="148"/>
      <c r="C134" s="148" t="s">
        <v>22377</v>
      </c>
      <c r="D134" s="150">
        <v>44015</v>
      </c>
      <c r="E134" s="113" t="s">
        <v>22376</v>
      </c>
      <c r="F134" s="257" t="s">
        <v>14408</v>
      </c>
      <c r="G134" s="258">
        <v>14.15</v>
      </c>
      <c r="H134" s="152"/>
      <c r="I134" s="160">
        <f t="shared" si="1"/>
        <v>66207.81</v>
      </c>
    </row>
    <row r="135" spans="2:9" ht="19.5" x14ac:dyDescent="0.25">
      <c r="B135" s="148"/>
      <c r="C135" s="148" t="s">
        <v>22375</v>
      </c>
      <c r="D135" s="150">
        <v>44015</v>
      </c>
      <c r="E135" s="113" t="s">
        <v>22374</v>
      </c>
      <c r="F135" s="257" t="s">
        <v>14408</v>
      </c>
      <c r="G135" s="258">
        <v>22.4</v>
      </c>
      <c r="H135" s="152"/>
      <c r="I135" s="160">
        <f t="shared" si="1"/>
        <v>66230.209999999992</v>
      </c>
    </row>
    <row r="136" spans="2:9" ht="19.5" x14ac:dyDescent="0.25">
      <c r="B136" s="148"/>
      <c r="C136" s="148" t="s">
        <v>22373</v>
      </c>
      <c r="D136" s="150">
        <v>44015</v>
      </c>
      <c r="E136" s="113" t="s">
        <v>22372</v>
      </c>
      <c r="F136" s="257" t="s">
        <v>14408</v>
      </c>
      <c r="G136" s="258">
        <v>10.3</v>
      </c>
      <c r="H136" s="152"/>
      <c r="I136" s="160">
        <f t="shared" si="1"/>
        <v>66240.509999999995</v>
      </c>
    </row>
    <row r="137" spans="2:9" ht="15.75" x14ac:dyDescent="0.25">
      <c r="B137" s="148"/>
      <c r="C137" s="148" t="s">
        <v>22371</v>
      </c>
      <c r="D137" s="150">
        <v>44015</v>
      </c>
      <c r="E137" s="113" t="s">
        <v>22370</v>
      </c>
      <c r="F137" s="257" t="s">
        <v>14408</v>
      </c>
      <c r="G137" s="258">
        <v>1.92</v>
      </c>
      <c r="H137" s="152"/>
      <c r="I137" s="160">
        <f t="shared" si="1"/>
        <v>66242.429999999993</v>
      </c>
    </row>
    <row r="138" spans="2:9" ht="19.5" x14ac:dyDescent="0.25">
      <c r="B138" s="148"/>
      <c r="C138" s="148" t="s">
        <v>22369</v>
      </c>
      <c r="D138" s="150">
        <v>44015</v>
      </c>
      <c r="E138" s="113" t="s">
        <v>22368</v>
      </c>
      <c r="F138" s="257" t="s">
        <v>14408</v>
      </c>
      <c r="G138" s="258">
        <v>3.36</v>
      </c>
      <c r="H138" s="152"/>
      <c r="I138" s="160">
        <f t="shared" si="1"/>
        <v>66245.789999999994</v>
      </c>
    </row>
    <row r="139" spans="2:9" ht="19.5" x14ac:dyDescent="0.25">
      <c r="B139" s="148"/>
      <c r="C139" s="148" t="s">
        <v>22367</v>
      </c>
      <c r="D139" s="150">
        <v>44015</v>
      </c>
      <c r="E139" s="113" t="s">
        <v>22366</v>
      </c>
      <c r="F139" s="257" t="s">
        <v>14408</v>
      </c>
      <c r="G139" s="258">
        <v>10</v>
      </c>
      <c r="H139" s="152"/>
      <c r="I139" s="160">
        <f t="shared" si="1"/>
        <v>66255.789999999994</v>
      </c>
    </row>
    <row r="140" spans="2:9" ht="19.5" x14ac:dyDescent="0.25">
      <c r="B140" s="148"/>
      <c r="C140" s="148" t="s">
        <v>22365</v>
      </c>
      <c r="D140" s="150">
        <v>44015</v>
      </c>
      <c r="E140" s="113" t="s">
        <v>22364</v>
      </c>
      <c r="F140" s="257" t="s">
        <v>14408</v>
      </c>
      <c r="G140" s="258">
        <v>5.26</v>
      </c>
      <c r="H140" s="152"/>
      <c r="I140" s="160">
        <f t="shared" si="1"/>
        <v>66261.049999999988</v>
      </c>
    </row>
    <row r="141" spans="2:9" ht="15.75" x14ac:dyDescent="0.25">
      <c r="B141" s="148"/>
      <c r="C141" s="148" t="s">
        <v>22363</v>
      </c>
      <c r="D141" s="150">
        <v>44015</v>
      </c>
      <c r="E141" s="113" t="s">
        <v>22362</v>
      </c>
      <c r="F141" s="257" t="s">
        <v>14408</v>
      </c>
      <c r="G141" s="258">
        <v>16.55</v>
      </c>
      <c r="H141" s="152"/>
      <c r="I141" s="160">
        <f t="shared" si="1"/>
        <v>66277.599999999991</v>
      </c>
    </row>
    <row r="142" spans="2:9" ht="15.75" x14ac:dyDescent="0.25">
      <c r="B142" s="148"/>
      <c r="C142" s="148" t="s">
        <v>22361</v>
      </c>
      <c r="D142" s="150">
        <v>44015</v>
      </c>
      <c r="E142" s="113" t="s">
        <v>22360</v>
      </c>
      <c r="F142" s="257" t="s">
        <v>14408</v>
      </c>
      <c r="G142" s="258">
        <v>4.1900000000000004</v>
      </c>
      <c r="H142" s="152"/>
      <c r="I142" s="160">
        <f t="shared" si="1"/>
        <v>66281.789999999994</v>
      </c>
    </row>
    <row r="143" spans="2:9" ht="19.5" x14ac:dyDescent="0.25">
      <c r="B143" s="148"/>
      <c r="C143" s="148" t="s">
        <v>22359</v>
      </c>
      <c r="D143" s="150">
        <v>44015</v>
      </c>
      <c r="E143" s="113" t="s">
        <v>22358</v>
      </c>
      <c r="F143" s="257" t="s">
        <v>14408</v>
      </c>
      <c r="G143" s="258">
        <v>16.38</v>
      </c>
      <c r="H143" s="152"/>
      <c r="I143" s="160">
        <f t="shared" si="1"/>
        <v>66298.17</v>
      </c>
    </row>
    <row r="144" spans="2:9" ht="15.75" x14ac:dyDescent="0.25">
      <c r="B144" s="148"/>
      <c r="C144" s="148" t="s">
        <v>22357</v>
      </c>
      <c r="D144" s="150">
        <v>44015</v>
      </c>
      <c r="E144" s="113" t="s">
        <v>22356</v>
      </c>
      <c r="F144" s="257" t="s">
        <v>14408</v>
      </c>
      <c r="G144" s="258">
        <v>3.74</v>
      </c>
      <c r="H144" s="152"/>
      <c r="I144" s="160">
        <f t="shared" si="1"/>
        <v>66301.91</v>
      </c>
    </row>
    <row r="145" spans="2:9" ht="15.75" x14ac:dyDescent="0.25">
      <c r="B145" s="148"/>
      <c r="C145" s="148" t="s">
        <v>22355</v>
      </c>
      <c r="D145" s="150">
        <v>44015</v>
      </c>
      <c r="E145" s="113" t="s">
        <v>22354</v>
      </c>
      <c r="F145" s="257" t="s">
        <v>14408</v>
      </c>
      <c r="G145" s="258">
        <v>4.5199999999999996</v>
      </c>
      <c r="H145" s="152"/>
      <c r="I145" s="160">
        <f t="shared" si="1"/>
        <v>66306.430000000008</v>
      </c>
    </row>
    <row r="146" spans="2:9" ht="15.75" x14ac:dyDescent="0.25">
      <c r="B146" s="148"/>
      <c r="C146" s="148" t="s">
        <v>22353</v>
      </c>
      <c r="D146" s="150">
        <v>44015</v>
      </c>
      <c r="E146" s="113" t="s">
        <v>22352</v>
      </c>
      <c r="F146" s="257" t="s">
        <v>14408</v>
      </c>
      <c r="G146" s="258">
        <v>2.5099999999999998</v>
      </c>
      <c r="H146" s="152"/>
      <c r="I146" s="160">
        <f t="shared" si="1"/>
        <v>66308.94</v>
      </c>
    </row>
    <row r="147" spans="2:9" ht="15.75" x14ac:dyDescent="0.25">
      <c r="B147" s="148"/>
      <c r="C147" s="148" t="s">
        <v>22351</v>
      </c>
      <c r="D147" s="150">
        <v>44015</v>
      </c>
      <c r="E147" s="113" t="s">
        <v>22350</v>
      </c>
      <c r="F147" s="257" t="s">
        <v>14408</v>
      </c>
      <c r="G147" s="258">
        <v>2.33</v>
      </c>
      <c r="H147" s="152"/>
      <c r="I147" s="160">
        <f t="shared" si="1"/>
        <v>66311.27</v>
      </c>
    </row>
    <row r="148" spans="2:9" ht="19.5" x14ac:dyDescent="0.25">
      <c r="B148" s="148"/>
      <c r="C148" s="148" t="s">
        <v>22349</v>
      </c>
      <c r="D148" s="150">
        <v>44015</v>
      </c>
      <c r="E148" s="113" t="s">
        <v>22348</v>
      </c>
      <c r="F148" s="257" t="s">
        <v>14408</v>
      </c>
      <c r="G148" s="258">
        <v>20.16</v>
      </c>
      <c r="H148" s="152"/>
      <c r="I148" s="160">
        <f t="shared" ref="I148:I211" si="2">+I147+G148-H148</f>
        <v>66331.430000000008</v>
      </c>
    </row>
    <row r="149" spans="2:9" ht="19.5" x14ac:dyDescent="0.25">
      <c r="B149" s="148"/>
      <c r="C149" s="148" t="s">
        <v>22347</v>
      </c>
      <c r="D149" s="150">
        <v>44015</v>
      </c>
      <c r="E149" s="113" t="s">
        <v>22346</v>
      </c>
      <c r="F149" s="257">
        <v>3</v>
      </c>
      <c r="G149" s="255">
        <v>146.38999999999999</v>
      </c>
      <c r="H149" s="152"/>
      <c r="I149" s="160">
        <f t="shared" si="2"/>
        <v>66477.820000000007</v>
      </c>
    </row>
    <row r="150" spans="2:9" ht="15.75" x14ac:dyDescent="0.25">
      <c r="B150" s="148"/>
      <c r="C150" s="148" t="s">
        <v>22345</v>
      </c>
      <c r="D150" s="150">
        <v>44015</v>
      </c>
      <c r="E150" s="113" t="s">
        <v>22344</v>
      </c>
      <c r="F150" s="257">
        <v>3</v>
      </c>
      <c r="G150" s="255">
        <v>1.7</v>
      </c>
      <c r="H150" s="152"/>
      <c r="I150" s="160">
        <f t="shared" si="2"/>
        <v>66479.520000000004</v>
      </c>
    </row>
    <row r="151" spans="2:9" ht="15.75" x14ac:dyDescent="0.25">
      <c r="B151" s="148"/>
      <c r="C151" s="148" t="s">
        <v>22343</v>
      </c>
      <c r="D151" s="150">
        <v>44015</v>
      </c>
      <c r="E151" s="113" t="s">
        <v>22342</v>
      </c>
      <c r="F151" s="257">
        <v>3</v>
      </c>
      <c r="G151" s="255">
        <v>8.3800000000000008</v>
      </c>
      <c r="H151" s="152"/>
      <c r="I151" s="160">
        <f t="shared" si="2"/>
        <v>66487.900000000009</v>
      </c>
    </row>
    <row r="152" spans="2:9" ht="15.75" x14ac:dyDescent="0.25">
      <c r="B152" s="148"/>
      <c r="C152" s="148" t="s">
        <v>22341</v>
      </c>
      <c r="D152" s="150">
        <v>44015</v>
      </c>
      <c r="E152" s="113" t="s">
        <v>22340</v>
      </c>
      <c r="F152" s="257">
        <v>3</v>
      </c>
      <c r="G152" s="255">
        <v>2.4300000000000002</v>
      </c>
      <c r="H152" s="152"/>
      <c r="I152" s="160">
        <f t="shared" si="2"/>
        <v>66490.33</v>
      </c>
    </row>
    <row r="153" spans="2:9" ht="15.75" x14ac:dyDescent="0.25">
      <c r="B153" s="148"/>
      <c r="C153" s="148" t="s">
        <v>22339</v>
      </c>
      <c r="D153" s="150">
        <v>44015</v>
      </c>
      <c r="E153" s="113" t="s">
        <v>22338</v>
      </c>
      <c r="F153" s="257">
        <v>3</v>
      </c>
      <c r="G153" s="255">
        <v>6.71</v>
      </c>
      <c r="H153" s="152"/>
      <c r="I153" s="160">
        <f t="shared" si="2"/>
        <v>66497.040000000008</v>
      </c>
    </row>
    <row r="154" spans="2:9" ht="19.5" x14ac:dyDescent="0.25">
      <c r="B154" s="148"/>
      <c r="C154" s="148" t="s">
        <v>22337</v>
      </c>
      <c r="D154" s="150">
        <v>44015</v>
      </c>
      <c r="E154" s="113" t="s">
        <v>22336</v>
      </c>
      <c r="F154" s="257">
        <v>3</v>
      </c>
      <c r="G154" s="255">
        <v>15.3</v>
      </c>
      <c r="H154" s="152"/>
      <c r="I154" s="160">
        <f t="shared" si="2"/>
        <v>66512.340000000011</v>
      </c>
    </row>
    <row r="155" spans="2:9" ht="19.5" x14ac:dyDescent="0.25">
      <c r="B155" s="148"/>
      <c r="C155" s="148" t="s">
        <v>22335</v>
      </c>
      <c r="D155" s="150">
        <v>44015</v>
      </c>
      <c r="E155" s="113" t="s">
        <v>22334</v>
      </c>
      <c r="F155" s="257">
        <v>3</v>
      </c>
      <c r="G155" s="255">
        <v>20.12</v>
      </c>
      <c r="H155" s="152"/>
      <c r="I155" s="160">
        <f t="shared" si="2"/>
        <v>66532.460000000006</v>
      </c>
    </row>
    <row r="156" spans="2:9" ht="19.5" x14ac:dyDescent="0.25">
      <c r="B156" s="148"/>
      <c r="C156" s="148" t="s">
        <v>22333</v>
      </c>
      <c r="D156" s="150">
        <v>44015</v>
      </c>
      <c r="E156" s="113" t="s">
        <v>22332</v>
      </c>
      <c r="F156" s="257">
        <v>3</v>
      </c>
      <c r="G156" s="255">
        <v>5.78</v>
      </c>
      <c r="H156" s="152"/>
      <c r="I156" s="160">
        <f t="shared" si="2"/>
        <v>66538.240000000005</v>
      </c>
    </row>
    <row r="157" spans="2:9" ht="19.5" x14ac:dyDescent="0.25">
      <c r="B157" s="148"/>
      <c r="C157" s="148" t="s">
        <v>22331</v>
      </c>
      <c r="D157" s="150">
        <v>44015</v>
      </c>
      <c r="E157" s="113" t="s">
        <v>22330</v>
      </c>
      <c r="F157" s="257">
        <v>3</v>
      </c>
      <c r="G157" s="255">
        <v>5.63</v>
      </c>
      <c r="H157" s="152"/>
      <c r="I157" s="160">
        <f t="shared" si="2"/>
        <v>66543.87000000001</v>
      </c>
    </row>
    <row r="158" spans="2:9" ht="19.5" x14ac:dyDescent="0.25">
      <c r="B158" s="148"/>
      <c r="C158" s="148" t="s">
        <v>22329</v>
      </c>
      <c r="D158" s="150">
        <v>44015</v>
      </c>
      <c r="E158" s="113" t="s">
        <v>22328</v>
      </c>
      <c r="F158" s="257">
        <v>3</v>
      </c>
      <c r="G158" s="255">
        <v>10.15</v>
      </c>
      <c r="H158" s="152"/>
      <c r="I158" s="160">
        <f t="shared" si="2"/>
        <v>66554.02</v>
      </c>
    </row>
    <row r="159" spans="2:9" ht="15.75" x14ac:dyDescent="0.25">
      <c r="B159" s="148"/>
      <c r="C159" s="148" t="s">
        <v>22327</v>
      </c>
      <c r="D159" s="150">
        <v>44015</v>
      </c>
      <c r="E159" s="113" t="s">
        <v>22326</v>
      </c>
      <c r="F159" s="257" t="s">
        <v>14436</v>
      </c>
      <c r="G159" s="160">
        <v>19.239999999999998</v>
      </c>
      <c r="H159" s="152"/>
      <c r="I159" s="160">
        <f t="shared" si="2"/>
        <v>66573.260000000009</v>
      </c>
    </row>
    <row r="160" spans="2:9" ht="15.75" x14ac:dyDescent="0.25">
      <c r="B160" s="148"/>
      <c r="C160" s="148" t="s">
        <v>22325</v>
      </c>
      <c r="D160" s="150">
        <v>44015</v>
      </c>
      <c r="E160" s="113" t="s">
        <v>22324</v>
      </c>
      <c r="F160" s="257" t="s">
        <v>18712</v>
      </c>
      <c r="G160" s="160">
        <v>1.92</v>
      </c>
      <c r="H160" s="152"/>
      <c r="I160" s="160">
        <f t="shared" si="2"/>
        <v>66575.180000000008</v>
      </c>
    </row>
    <row r="161" spans="2:9" ht="15.75" x14ac:dyDescent="0.25">
      <c r="B161" s="148"/>
      <c r="C161" s="148" t="s">
        <v>22323</v>
      </c>
      <c r="D161" s="150">
        <v>44016</v>
      </c>
      <c r="E161" s="113" t="s">
        <v>22322</v>
      </c>
      <c r="F161" s="257" t="s">
        <v>14408</v>
      </c>
      <c r="G161" s="258">
        <v>2.42</v>
      </c>
      <c r="H161" s="152"/>
      <c r="I161" s="160">
        <f t="shared" si="2"/>
        <v>66577.600000000006</v>
      </c>
    </row>
    <row r="162" spans="2:9" ht="15.75" x14ac:dyDescent="0.25">
      <c r="B162" s="148"/>
      <c r="C162" s="148" t="s">
        <v>22321</v>
      </c>
      <c r="D162" s="150">
        <v>44016</v>
      </c>
      <c r="E162" s="113" t="s">
        <v>22320</v>
      </c>
      <c r="F162" s="257" t="s">
        <v>14408</v>
      </c>
      <c r="G162" s="258">
        <v>31.15</v>
      </c>
      <c r="H162" s="152"/>
      <c r="I162" s="160">
        <f t="shared" si="2"/>
        <v>66608.75</v>
      </c>
    </row>
    <row r="163" spans="2:9" ht="19.5" x14ac:dyDescent="0.25">
      <c r="B163" s="148"/>
      <c r="C163" s="148" t="s">
        <v>22319</v>
      </c>
      <c r="D163" s="150">
        <v>44016</v>
      </c>
      <c r="E163" s="113" t="s">
        <v>22318</v>
      </c>
      <c r="F163" s="257" t="s">
        <v>14408</v>
      </c>
      <c r="G163" s="258">
        <v>15.87</v>
      </c>
      <c r="H163" s="152"/>
      <c r="I163" s="160">
        <f t="shared" si="2"/>
        <v>66624.62</v>
      </c>
    </row>
    <row r="164" spans="2:9" ht="15.75" x14ac:dyDescent="0.25">
      <c r="B164" s="148"/>
      <c r="C164" s="148" t="s">
        <v>22317</v>
      </c>
      <c r="D164" s="150">
        <v>44016</v>
      </c>
      <c r="E164" s="113" t="s">
        <v>22316</v>
      </c>
      <c r="F164" s="257" t="s">
        <v>14408</v>
      </c>
      <c r="G164" s="258">
        <v>1.68</v>
      </c>
      <c r="H164" s="152"/>
      <c r="I164" s="160">
        <f t="shared" si="2"/>
        <v>66626.299999999988</v>
      </c>
    </row>
    <row r="165" spans="2:9" ht="15.75" x14ac:dyDescent="0.25">
      <c r="B165" s="148"/>
      <c r="C165" s="148" t="s">
        <v>22315</v>
      </c>
      <c r="D165" s="150">
        <v>44016</v>
      </c>
      <c r="E165" s="113" t="s">
        <v>22314</v>
      </c>
      <c r="F165" s="257" t="s">
        <v>14408</v>
      </c>
      <c r="G165" s="258">
        <v>3.17</v>
      </c>
      <c r="H165" s="152"/>
      <c r="I165" s="160">
        <f t="shared" si="2"/>
        <v>66629.469999999987</v>
      </c>
    </row>
    <row r="166" spans="2:9" ht="19.5" x14ac:dyDescent="0.25">
      <c r="B166" s="148"/>
      <c r="C166" s="148" t="s">
        <v>22313</v>
      </c>
      <c r="D166" s="150">
        <v>44016</v>
      </c>
      <c r="E166" s="113" t="s">
        <v>22312</v>
      </c>
      <c r="F166" s="257" t="s">
        <v>14408</v>
      </c>
      <c r="G166" s="258">
        <v>11.69</v>
      </c>
      <c r="H166" s="152"/>
      <c r="I166" s="160">
        <f t="shared" si="2"/>
        <v>66641.159999999989</v>
      </c>
    </row>
    <row r="167" spans="2:9" ht="19.5" x14ac:dyDescent="0.25">
      <c r="B167" s="148"/>
      <c r="C167" s="148" t="s">
        <v>22311</v>
      </c>
      <c r="D167" s="150">
        <v>44016</v>
      </c>
      <c r="E167" s="113" t="s">
        <v>22310</v>
      </c>
      <c r="F167" s="257" t="s">
        <v>14408</v>
      </c>
      <c r="G167" s="258">
        <v>9.6</v>
      </c>
      <c r="H167" s="152"/>
      <c r="I167" s="160">
        <f t="shared" si="2"/>
        <v>66650.759999999995</v>
      </c>
    </row>
    <row r="168" spans="2:9" ht="15.75" x14ac:dyDescent="0.25">
      <c r="B168" s="148"/>
      <c r="C168" s="148" t="s">
        <v>22309</v>
      </c>
      <c r="D168" s="150">
        <v>44016</v>
      </c>
      <c r="E168" s="113" t="s">
        <v>22308</v>
      </c>
      <c r="F168" s="257" t="s">
        <v>14408</v>
      </c>
      <c r="G168" s="258">
        <v>3.96</v>
      </c>
      <c r="H168" s="152"/>
      <c r="I168" s="160">
        <f t="shared" si="2"/>
        <v>66654.720000000001</v>
      </c>
    </row>
    <row r="169" spans="2:9" ht="15.75" x14ac:dyDescent="0.25">
      <c r="B169" s="148"/>
      <c r="C169" s="148" t="s">
        <v>22307</v>
      </c>
      <c r="D169" s="150">
        <v>44016</v>
      </c>
      <c r="E169" s="113" t="s">
        <v>22306</v>
      </c>
      <c r="F169" s="257" t="s">
        <v>14408</v>
      </c>
      <c r="G169" s="258">
        <v>2.16</v>
      </c>
      <c r="H169" s="152"/>
      <c r="I169" s="160">
        <f t="shared" si="2"/>
        <v>66656.88</v>
      </c>
    </row>
    <row r="170" spans="2:9" ht="15.75" x14ac:dyDescent="0.25">
      <c r="B170" s="148"/>
      <c r="C170" s="148" t="s">
        <v>22305</v>
      </c>
      <c r="D170" s="150">
        <v>44016</v>
      </c>
      <c r="E170" s="113" t="s">
        <v>22304</v>
      </c>
      <c r="F170" s="257" t="s">
        <v>14408</v>
      </c>
      <c r="G170" s="258">
        <v>12.73</v>
      </c>
      <c r="H170" s="152"/>
      <c r="I170" s="160">
        <f t="shared" si="2"/>
        <v>66669.61</v>
      </c>
    </row>
    <row r="171" spans="2:9" ht="15.75" x14ac:dyDescent="0.25">
      <c r="B171" s="148"/>
      <c r="C171" s="148" t="s">
        <v>22303</v>
      </c>
      <c r="D171" s="150">
        <v>44016</v>
      </c>
      <c r="E171" s="113" t="s">
        <v>22302</v>
      </c>
      <c r="F171" s="257" t="s">
        <v>14408</v>
      </c>
      <c r="G171" s="258">
        <v>7.64</v>
      </c>
      <c r="H171" s="152"/>
      <c r="I171" s="160">
        <f t="shared" si="2"/>
        <v>66677.25</v>
      </c>
    </row>
    <row r="172" spans="2:9" ht="19.5" x14ac:dyDescent="0.25">
      <c r="B172" s="148"/>
      <c r="C172" s="148" t="s">
        <v>22301</v>
      </c>
      <c r="D172" s="150">
        <v>44016</v>
      </c>
      <c r="E172" s="113" t="s">
        <v>22300</v>
      </c>
      <c r="F172" s="257" t="s">
        <v>14408</v>
      </c>
      <c r="G172" s="258">
        <v>3.86</v>
      </c>
      <c r="H172" s="152"/>
      <c r="I172" s="160">
        <f t="shared" si="2"/>
        <v>66681.11</v>
      </c>
    </row>
    <row r="173" spans="2:9" ht="19.5" x14ac:dyDescent="0.25">
      <c r="B173" s="148"/>
      <c r="C173" s="148" t="s">
        <v>22299</v>
      </c>
      <c r="D173" s="150">
        <v>44016</v>
      </c>
      <c r="E173" s="113" t="s">
        <v>22298</v>
      </c>
      <c r="F173" s="257" t="s">
        <v>14408</v>
      </c>
      <c r="G173" s="258">
        <v>7.66</v>
      </c>
      <c r="H173" s="152"/>
      <c r="I173" s="160">
        <f t="shared" si="2"/>
        <v>66688.77</v>
      </c>
    </row>
    <row r="174" spans="2:9" ht="15.75" x14ac:dyDescent="0.25">
      <c r="B174" s="148"/>
      <c r="C174" s="148" t="s">
        <v>22297</v>
      </c>
      <c r="D174" s="150">
        <v>44016</v>
      </c>
      <c r="E174" s="113" t="s">
        <v>22296</v>
      </c>
      <c r="F174" s="257" t="s">
        <v>14408</v>
      </c>
      <c r="G174" s="258">
        <v>2.48</v>
      </c>
      <c r="H174" s="152"/>
      <c r="I174" s="160">
        <f t="shared" si="2"/>
        <v>66691.25</v>
      </c>
    </row>
    <row r="175" spans="2:9" ht="15.75" x14ac:dyDescent="0.25">
      <c r="B175" s="148"/>
      <c r="C175" s="148" t="s">
        <v>22295</v>
      </c>
      <c r="D175" s="150">
        <v>44016</v>
      </c>
      <c r="E175" s="113" t="s">
        <v>22294</v>
      </c>
      <c r="F175" s="257" t="s">
        <v>14408</v>
      </c>
      <c r="G175" s="258">
        <v>1.68</v>
      </c>
      <c r="H175" s="152"/>
      <c r="I175" s="160">
        <f t="shared" si="2"/>
        <v>66692.929999999993</v>
      </c>
    </row>
    <row r="176" spans="2:9" ht="15.75" x14ac:dyDescent="0.25">
      <c r="B176" s="148"/>
      <c r="C176" s="148" t="s">
        <v>22293</v>
      </c>
      <c r="D176" s="150">
        <v>44016</v>
      </c>
      <c r="E176" s="113" t="s">
        <v>22292</v>
      </c>
      <c r="F176" s="257" t="s">
        <v>14408</v>
      </c>
      <c r="G176" s="258">
        <v>6.1</v>
      </c>
      <c r="H176" s="152"/>
      <c r="I176" s="160">
        <f t="shared" si="2"/>
        <v>66699.03</v>
      </c>
    </row>
    <row r="177" spans="2:9" ht="15.75" x14ac:dyDescent="0.25">
      <c r="B177" s="148"/>
      <c r="C177" s="148" t="s">
        <v>22291</v>
      </c>
      <c r="D177" s="150">
        <v>44016</v>
      </c>
      <c r="E177" s="113" t="s">
        <v>22290</v>
      </c>
      <c r="F177" s="257" t="s">
        <v>14408</v>
      </c>
      <c r="G177" s="258">
        <v>11.69</v>
      </c>
      <c r="H177" s="152"/>
      <c r="I177" s="160">
        <f t="shared" si="2"/>
        <v>66710.720000000001</v>
      </c>
    </row>
    <row r="178" spans="2:9" ht="15.75" x14ac:dyDescent="0.25">
      <c r="B178" s="148"/>
      <c r="C178" s="148" t="s">
        <v>22289</v>
      </c>
      <c r="D178" s="150">
        <v>44016</v>
      </c>
      <c r="E178" s="113" t="s">
        <v>22288</v>
      </c>
      <c r="F178" s="257" t="s">
        <v>14408</v>
      </c>
      <c r="G178" s="258">
        <v>4.75</v>
      </c>
      <c r="H178" s="152"/>
      <c r="I178" s="160">
        <f t="shared" si="2"/>
        <v>66715.47</v>
      </c>
    </row>
    <row r="179" spans="2:9" ht="15.75" x14ac:dyDescent="0.25">
      <c r="B179" s="148"/>
      <c r="C179" s="148" t="s">
        <v>22287</v>
      </c>
      <c r="D179" s="150">
        <v>44016</v>
      </c>
      <c r="E179" s="113" t="s">
        <v>22286</v>
      </c>
      <c r="F179" s="257" t="s">
        <v>14408</v>
      </c>
      <c r="G179" s="258">
        <v>9.34</v>
      </c>
      <c r="H179" s="152"/>
      <c r="I179" s="160">
        <f t="shared" si="2"/>
        <v>66724.81</v>
      </c>
    </row>
    <row r="180" spans="2:9" ht="15.75" x14ac:dyDescent="0.25">
      <c r="B180" s="148"/>
      <c r="C180" s="148" t="s">
        <v>22285</v>
      </c>
      <c r="D180" s="150">
        <v>44016</v>
      </c>
      <c r="E180" s="113" t="s">
        <v>22284</v>
      </c>
      <c r="F180" s="257" t="s">
        <v>14408</v>
      </c>
      <c r="G180" s="258">
        <v>8.9</v>
      </c>
      <c r="H180" s="152"/>
      <c r="I180" s="160">
        <f t="shared" si="2"/>
        <v>66733.709999999992</v>
      </c>
    </row>
    <row r="181" spans="2:9" ht="15.75" x14ac:dyDescent="0.25">
      <c r="B181" s="148"/>
      <c r="C181" s="148" t="s">
        <v>22283</v>
      </c>
      <c r="D181" s="150">
        <v>44016</v>
      </c>
      <c r="E181" s="113" t="s">
        <v>22282</v>
      </c>
      <c r="F181" s="257" t="s">
        <v>14408</v>
      </c>
      <c r="G181" s="258">
        <v>3.09</v>
      </c>
      <c r="H181" s="152"/>
      <c r="I181" s="160">
        <f t="shared" si="2"/>
        <v>66736.799999999988</v>
      </c>
    </row>
    <row r="182" spans="2:9" ht="19.5" x14ac:dyDescent="0.25">
      <c r="B182" s="148"/>
      <c r="C182" s="148" t="s">
        <v>22281</v>
      </c>
      <c r="D182" s="150">
        <v>44017</v>
      </c>
      <c r="E182" s="113" t="s">
        <v>22280</v>
      </c>
      <c r="F182" s="257" t="s">
        <v>14408</v>
      </c>
      <c r="G182" s="258">
        <v>0.9</v>
      </c>
      <c r="H182" s="152"/>
      <c r="I182" s="160">
        <f t="shared" si="2"/>
        <v>66737.699999999983</v>
      </c>
    </row>
    <row r="183" spans="2:9" ht="15.75" x14ac:dyDescent="0.25">
      <c r="B183" s="148"/>
      <c r="C183" s="148" t="s">
        <v>22279</v>
      </c>
      <c r="D183" s="150">
        <v>44017</v>
      </c>
      <c r="E183" s="113" t="s">
        <v>22278</v>
      </c>
      <c r="F183" s="257" t="s">
        <v>14408</v>
      </c>
      <c r="G183" s="258">
        <v>2.3199999999999998</v>
      </c>
      <c r="H183" s="152"/>
      <c r="I183" s="160">
        <f t="shared" si="2"/>
        <v>66740.01999999999</v>
      </c>
    </row>
    <row r="184" spans="2:9" ht="19.5" x14ac:dyDescent="0.25">
      <c r="B184" s="148"/>
      <c r="C184" s="148" t="s">
        <v>22277</v>
      </c>
      <c r="D184" s="150">
        <v>44017</v>
      </c>
      <c r="E184" s="113" t="s">
        <v>22276</v>
      </c>
      <c r="F184" s="257" t="s">
        <v>14408</v>
      </c>
      <c r="G184" s="258">
        <v>5.04</v>
      </c>
      <c r="H184" s="152"/>
      <c r="I184" s="160">
        <f t="shared" si="2"/>
        <v>66745.059999999983</v>
      </c>
    </row>
    <row r="185" spans="2:9" ht="15.75" x14ac:dyDescent="0.25">
      <c r="B185" s="148"/>
      <c r="C185" s="148" t="s">
        <v>22275</v>
      </c>
      <c r="D185" s="150">
        <v>44017</v>
      </c>
      <c r="E185" s="113" t="s">
        <v>22274</v>
      </c>
      <c r="F185" s="257" t="s">
        <v>14408</v>
      </c>
      <c r="G185" s="258">
        <v>1.94</v>
      </c>
      <c r="H185" s="152"/>
      <c r="I185" s="160">
        <f t="shared" si="2"/>
        <v>66746.999999999985</v>
      </c>
    </row>
    <row r="186" spans="2:9" ht="19.5" x14ac:dyDescent="0.25">
      <c r="B186" s="148"/>
      <c r="C186" s="148" t="s">
        <v>22273</v>
      </c>
      <c r="D186" s="150">
        <v>44018</v>
      </c>
      <c r="E186" s="113" t="s">
        <v>22272</v>
      </c>
      <c r="F186" s="257" t="s">
        <v>14436</v>
      </c>
      <c r="G186" s="160">
        <v>2.02</v>
      </c>
      <c r="H186" s="152"/>
      <c r="I186" s="160">
        <f t="shared" si="2"/>
        <v>66749.01999999999</v>
      </c>
    </row>
    <row r="187" spans="2:9" ht="15.75" x14ac:dyDescent="0.25">
      <c r="B187" s="148"/>
      <c r="C187" s="148" t="s">
        <v>22271</v>
      </c>
      <c r="D187" s="150">
        <v>44018</v>
      </c>
      <c r="E187" s="113" t="s">
        <v>22270</v>
      </c>
      <c r="F187" s="257" t="s">
        <v>14408</v>
      </c>
      <c r="G187" s="258">
        <v>13.36</v>
      </c>
      <c r="H187" s="152"/>
      <c r="I187" s="160">
        <f t="shared" si="2"/>
        <v>66762.37999999999</v>
      </c>
    </row>
    <row r="188" spans="2:9" ht="15.75" x14ac:dyDescent="0.25">
      <c r="B188" s="148"/>
      <c r="C188" s="148" t="s">
        <v>22269</v>
      </c>
      <c r="D188" s="150">
        <v>44018</v>
      </c>
      <c r="E188" s="113" t="s">
        <v>22268</v>
      </c>
      <c r="F188" s="257" t="s">
        <v>14408</v>
      </c>
      <c r="G188" s="258">
        <v>9.27</v>
      </c>
      <c r="H188" s="152"/>
      <c r="I188" s="160">
        <f t="shared" si="2"/>
        <v>66771.649999999994</v>
      </c>
    </row>
    <row r="189" spans="2:9" ht="19.5" x14ac:dyDescent="0.25">
      <c r="B189" s="148"/>
      <c r="C189" s="148" t="s">
        <v>22267</v>
      </c>
      <c r="D189" s="150">
        <v>44018</v>
      </c>
      <c r="E189" s="113" t="s">
        <v>22266</v>
      </c>
      <c r="F189" s="257" t="s">
        <v>14408</v>
      </c>
      <c r="G189" s="258">
        <v>16.559999999999999</v>
      </c>
      <c r="H189" s="152"/>
      <c r="I189" s="160">
        <f t="shared" si="2"/>
        <v>66788.209999999992</v>
      </c>
    </row>
    <row r="190" spans="2:9" ht="19.5" x14ac:dyDescent="0.25">
      <c r="B190" s="148"/>
      <c r="C190" s="148" t="s">
        <v>22265</v>
      </c>
      <c r="D190" s="150">
        <v>44018</v>
      </c>
      <c r="E190" s="113" t="s">
        <v>22264</v>
      </c>
      <c r="F190" s="257" t="s">
        <v>14408</v>
      </c>
      <c r="G190" s="258">
        <v>6.87</v>
      </c>
      <c r="H190" s="152"/>
      <c r="I190" s="160">
        <f t="shared" si="2"/>
        <v>66795.079999999987</v>
      </c>
    </row>
    <row r="191" spans="2:9" ht="15.75" x14ac:dyDescent="0.25">
      <c r="B191" s="148"/>
      <c r="C191" s="148" t="s">
        <v>22263</v>
      </c>
      <c r="D191" s="150">
        <v>44018</v>
      </c>
      <c r="E191" s="113" t="s">
        <v>22262</v>
      </c>
      <c r="F191" s="257" t="s">
        <v>14408</v>
      </c>
      <c r="G191" s="258">
        <v>0.84</v>
      </c>
      <c r="H191" s="152"/>
      <c r="I191" s="160">
        <f t="shared" si="2"/>
        <v>66795.919999999984</v>
      </c>
    </row>
    <row r="192" spans="2:9" ht="15.75" x14ac:dyDescent="0.25">
      <c r="B192" s="148"/>
      <c r="C192" s="148" t="s">
        <v>22261</v>
      </c>
      <c r="D192" s="150">
        <v>44018</v>
      </c>
      <c r="E192" s="113" t="s">
        <v>22260</v>
      </c>
      <c r="F192" s="257" t="s">
        <v>14408</v>
      </c>
      <c r="G192" s="258">
        <v>4.13</v>
      </c>
      <c r="H192" s="152"/>
      <c r="I192" s="160">
        <f t="shared" si="2"/>
        <v>66800.049999999988</v>
      </c>
    </row>
    <row r="193" spans="2:9" ht="19.5" x14ac:dyDescent="0.25">
      <c r="B193" s="148"/>
      <c r="C193" s="148" t="s">
        <v>22259</v>
      </c>
      <c r="D193" s="150">
        <v>44018</v>
      </c>
      <c r="E193" s="113" t="s">
        <v>22258</v>
      </c>
      <c r="F193" s="257" t="s">
        <v>14408</v>
      </c>
      <c r="G193" s="258">
        <v>12.62</v>
      </c>
      <c r="H193" s="152"/>
      <c r="I193" s="160">
        <f t="shared" si="2"/>
        <v>66812.669999999984</v>
      </c>
    </row>
    <row r="194" spans="2:9" ht="19.5" x14ac:dyDescent="0.25">
      <c r="B194" s="148"/>
      <c r="C194" s="148" t="s">
        <v>22257</v>
      </c>
      <c r="D194" s="150">
        <v>44018</v>
      </c>
      <c r="E194" s="113" t="s">
        <v>22256</v>
      </c>
      <c r="F194" s="257" t="s">
        <v>14408</v>
      </c>
      <c r="G194" s="258">
        <v>25.67</v>
      </c>
      <c r="H194" s="152"/>
      <c r="I194" s="160">
        <f t="shared" si="2"/>
        <v>66838.339999999982</v>
      </c>
    </row>
    <row r="195" spans="2:9" ht="19.5" x14ac:dyDescent="0.25">
      <c r="B195" s="148"/>
      <c r="C195" s="148" t="s">
        <v>22255</v>
      </c>
      <c r="D195" s="150">
        <v>44018</v>
      </c>
      <c r="E195" s="113" t="s">
        <v>22254</v>
      </c>
      <c r="F195" s="257" t="s">
        <v>14408</v>
      </c>
      <c r="G195" s="258">
        <v>3.36</v>
      </c>
      <c r="H195" s="152"/>
      <c r="I195" s="160">
        <f t="shared" si="2"/>
        <v>66841.699999999983</v>
      </c>
    </row>
    <row r="196" spans="2:9" ht="19.5" x14ac:dyDescent="0.25">
      <c r="B196" s="148"/>
      <c r="C196" s="148" t="s">
        <v>22253</v>
      </c>
      <c r="D196" s="150">
        <v>44018</v>
      </c>
      <c r="E196" s="113" t="s">
        <v>22252</v>
      </c>
      <c r="F196" s="257" t="s">
        <v>14408</v>
      </c>
      <c r="G196" s="258">
        <v>7.05</v>
      </c>
      <c r="H196" s="152"/>
      <c r="I196" s="160">
        <f t="shared" si="2"/>
        <v>66848.749999999985</v>
      </c>
    </row>
    <row r="197" spans="2:9" ht="19.5" x14ac:dyDescent="0.25">
      <c r="B197" s="148"/>
      <c r="C197" s="148" t="s">
        <v>22251</v>
      </c>
      <c r="D197" s="150">
        <v>44018</v>
      </c>
      <c r="E197" s="113" t="s">
        <v>22250</v>
      </c>
      <c r="F197" s="257" t="s">
        <v>14408</v>
      </c>
      <c r="G197" s="258">
        <v>9.75</v>
      </c>
      <c r="H197" s="152"/>
      <c r="I197" s="160">
        <f t="shared" si="2"/>
        <v>66858.499999999985</v>
      </c>
    </row>
    <row r="198" spans="2:9" ht="19.5" x14ac:dyDescent="0.25">
      <c r="B198" s="148"/>
      <c r="C198" s="148" t="s">
        <v>22249</v>
      </c>
      <c r="D198" s="150">
        <v>44018</v>
      </c>
      <c r="E198" s="113" t="s">
        <v>22248</v>
      </c>
      <c r="F198" s="257" t="s">
        <v>14408</v>
      </c>
      <c r="G198" s="258">
        <v>3.4</v>
      </c>
      <c r="H198" s="152"/>
      <c r="I198" s="160">
        <f t="shared" si="2"/>
        <v>66861.89999999998</v>
      </c>
    </row>
    <row r="199" spans="2:9" ht="19.5" x14ac:dyDescent="0.25">
      <c r="B199" s="148"/>
      <c r="C199" s="148" t="s">
        <v>22247</v>
      </c>
      <c r="D199" s="150">
        <v>44018</v>
      </c>
      <c r="E199" s="113" t="s">
        <v>22246</v>
      </c>
      <c r="F199" s="257" t="s">
        <v>14408</v>
      </c>
      <c r="G199" s="258">
        <v>5.75</v>
      </c>
      <c r="H199" s="152"/>
      <c r="I199" s="160">
        <f t="shared" si="2"/>
        <v>66867.64999999998</v>
      </c>
    </row>
    <row r="200" spans="2:9" ht="19.5" x14ac:dyDescent="0.25">
      <c r="B200" s="148"/>
      <c r="C200" s="148" t="s">
        <v>22245</v>
      </c>
      <c r="D200" s="150">
        <v>44018</v>
      </c>
      <c r="E200" s="113" t="s">
        <v>22244</v>
      </c>
      <c r="F200" s="257" t="s">
        <v>14408</v>
      </c>
      <c r="G200" s="258">
        <v>0.44</v>
      </c>
      <c r="H200" s="152"/>
      <c r="I200" s="160">
        <f t="shared" si="2"/>
        <v>66868.089999999982</v>
      </c>
    </row>
    <row r="201" spans="2:9" ht="19.5" x14ac:dyDescent="0.25">
      <c r="B201" s="148"/>
      <c r="C201" s="148" t="s">
        <v>22243</v>
      </c>
      <c r="D201" s="150">
        <v>44018</v>
      </c>
      <c r="E201" s="113" t="s">
        <v>22242</v>
      </c>
      <c r="F201" s="257" t="s">
        <v>14408</v>
      </c>
      <c r="G201" s="258">
        <v>4.9000000000000004</v>
      </c>
      <c r="H201" s="152"/>
      <c r="I201" s="160">
        <f t="shared" si="2"/>
        <v>66872.989999999976</v>
      </c>
    </row>
    <row r="202" spans="2:9" ht="19.5" x14ac:dyDescent="0.25">
      <c r="B202" s="148"/>
      <c r="C202" s="148" t="s">
        <v>22241</v>
      </c>
      <c r="D202" s="150">
        <v>44018</v>
      </c>
      <c r="E202" s="113" t="s">
        <v>22240</v>
      </c>
      <c r="F202" s="257" t="s">
        <v>14408</v>
      </c>
      <c r="G202" s="258">
        <v>12.84</v>
      </c>
      <c r="H202" s="152"/>
      <c r="I202" s="160">
        <f t="shared" si="2"/>
        <v>66885.829999999973</v>
      </c>
    </row>
    <row r="203" spans="2:9" ht="15.75" x14ac:dyDescent="0.25">
      <c r="B203" s="148"/>
      <c r="C203" s="148" t="s">
        <v>22239</v>
      </c>
      <c r="D203" s="150">
        <v>44018</v>
      </c>
      <c r="E203" s="113" t="s">
        <v>22238</v>
      </c>
      <c r="F203" s="257" t="s">
        <v>14408</v>
      </c>
      <c r="G203" s="258">
        <v>6.81</v>
      </c>
      <c r="H203" s="152"/>
      <c r="I203" s="160">
        <f t="shared" si="2"/>
        <v>66892.63999999997</v>
      </c>
    </row>
    <row r="204" spans="2:9" ht="19.5" x14ac:dyDescent="0.25">
      <c r="B204" s="148"/>
      <c r="C204" s="148" t="s">
        <v>22237</v>
      </c>
      <c r="D204" s="150">
        <v>44018</v>
      </c>
      <c r="E204" s="113" t="s">
        <v>22236</v>
      </c>
      <c r="F204" s="257" t="s">
        <v>14408</v>
      </c>
      <c r="G204" s="258">
        <v>7.39</v>
      </c>
      <c r="H204" s="152"/>
      <c r="I204" s="160">
        <f t="shared" si="2"/>
        <v>66900.02999999997</v>
      </c>
    </row>
    <row r="205" spans="2:9" ht="19.5" x14ac:dyDescent="0.25">
      <c r="B205" s="148"/>
      <c r="C205" s="148" t="s">
        <v>22235</v>
      </c>
      <c r="D205" s="150">
        <v>44018</v>
      </c>
      <c r="E205" s="113" t="s">
        <v>22234</v>
      </c>
      <c r="F205" s="257" t="s">
        <v>14408</v>
      </c>
      <c r="G205" s="258">
        <v>6.47</v>
      </c>
      <c r="H205" s="152"/>
      <c r="I205" s="160">
        <f t="shared" si="2"/>
        <v>66906.499999999971</v>
      </c>
    </row>
    <row r="206" spans="2:9" ht="15.75" x14ac:dyDescent="0.25">
      <c r="B206" s="148"/>
      <c r="C206" s="148" t="s">
        <v>22233</v>
      </c>
      <c r="D206" s="150">
        <v>44018</v>
      </c>
      <c r="E206" s="113" t="s">
        <v>22232</v>
      </c>
      <c r="F206" s="257">
        <v>4</v>
      </c>
      <c r="G206" s="255">
        <v>35.799999999999997</v>
      </c>
      <c r="H206" s="152"/>
      <c r="I206" s="160">
        <f t="shared" si="2"/>
        <v>66942.299999999974</v>
      </c>
    </row>
    <row r="207" spans="2:9" ht="19.5" x14ac:dyDescent="0.25">
      <c r="B207" s="148"/>
      <c r="C207" s="148" t="s">
        <v>22231</v>
      </c>
      <c r="D207" s="150">
        <v>44018</v>
      </c>
      <c r="E207" s="113" t="s">
        <v>22230</v>
      </c>
      <c r="F207" s="257">
        <v>4</v>
      </c>
      <c r="G207" s="255">
        <v>6.13</v>
      </c>
      <c r="H207" s="152"/>
      <c r="I207" s="160">
        <f t="shared" si="2"/>
        <v>66948.429999999978</v>
      </c>
    </row>
    <row r="208" spans="2:9" ht="19.5" x14ac:dyDescent="0.25">
      <c r="B208" s="148"/>
      <c r="C208" s="148" t="s">
        <v>22229</v>
      </c>
      <c r="D208" s="150">
        <v>44018</v>
      </c>
      <c r="E208" s="113" t="s">
        <v>22228</v>
      </c>
      <c r="F208" s="257">
        <v>4</v>
      </c>
      <c r="G208" s="255">
        <v>3.82</v>
      </c>
      <c r="H208" s="152"/>
      <c r="I208" s="160">
        <f t="shared" si="2"/>
        <v>66952.249999999985</v>
      </c>
    </row>
    <row r="209" spans="2:9" ht="19.5" x14ac:dyDescent="0.25">
      <c r="B209" s="148"/>
      <c r="C209" s="148" t="s">
        <v>22227</v>
      </c>
      <c r="D209" s="150">
        <v>44018</v>
      </c>
      <c r="E209" s="113" t="s">
        <v>22226</v>
      </c>
      <c r="F209" s="257">
        <v>4</v>
      </c>
      <c r="G209" s="255">
        <v>2.35</v>
      </c>
      <c r="H209" s="152"/>
      <c r="I209" s="160">
        <f t="shared" si="2"/>
        <v>66954.599999999991</v>
      </c>
    </row>
    <row r="210" spans="2:9" ht="15.75" x14ac:dyDescent="0.25">
      <c r="B210" s="148"/>
      <c r="C210" s="148" t="s">
        <v>22225</v>
      </c>
      <c r="D210" s="150">
        <v>44018</v>
      </c>
      <c r="E210" s="113" t="s">
        <v>22224</v>
      </c>
      <c r="F210" s="257">
        <v>4</v>
      </c>
      <c r="G210" s="255">
        <v>12.28</v>
      </c>
      <c r="H210" s="152"/>
      <c r="I210" s="160">
        <f t="shared" si="2"/>
        <v>66966.87999999999</v>
      </c>
    </row>
    <row r="211" spans="2:9" ht="19.5" x14ac:dyDescent="0.25">
      <c r="B211" s="148"/>
      <c r="C211" s="148" t="s">
        <v>22223</v>
      </c>
      <c r="D211" s="150">
        <v>44018</v>
      </c>
      <c r="E211" s="113" t="s">
        <v>22222</v>
      </c>
      <c r="F211" s="257">
        <v>4</v>
      </c>
      <c r="G211" s="255">
        <v>6.6</v>
      </c>
      <c r="H211" s="152"/>
      <c r="I211" s="160">
        <f t="shared" si="2"/>
        <v>66973.48</v>
      </c>
    </row>
    <row r="212" spans="2:9" ht="19.5" x14ac:dyDescent="0.25">
      <c r="B212" s="148"/>
      <c r="C212" s="148" t="s">
        <v>22221</v>
      </c>
      <c r="D212" s="150">
        <v>44018</v>
      </c>
      <c r="E212" s="113" t="s">
        <v>22220</v>
      </c>
      <c r="F212" s="257">
        <v>4</v>
      </c>
      <c r="G212" s="255">
        <v>15.3</v>
      </c>
      <c r="H212" s="152"/>
      <c r="I212" s="160">
        <f t="shared" ref="I212:I275" si="3">+I211+G212-H212</f>
        <v>66988.78</v>
      </c>
    </row>
    <row r="213" spans="2:9" ht="19.5" x14ac:dyDescent="0.25">
      <c r="B213" s="148"/>
      <c r="C213" s="148" t="s">
        <v>22219</v>
      </c>
      <c r="D213" s="150">
        <v>44018</v>
      </c>
      <c r="E213" s="113" t="s">
        <v>22218</v>
      </c>
      <c r="F213" s="257">
        <v>4</v>
      </c>
      <c r="G213" s="255">
        <v>14.46</v>
      </c>
      <c r="H213" s="152"/>
      <c r="I213" s="160">
        <f t="shared" si="3"/>
        <v>67003.240000000005</v>
      </c>
    </row>
    <row r="214" spans="2:9" ht="15.75" x14ac:dyDescent="0.25">
      <c r="B214" s="148"/>
      <c r="C214" s="148" t="s">
        <v>22217</v>
      </c>
      <c r="D214" s="150">
        <v>44018</v>
      </c>
      <c r="E214" s="113" t="s">
        <v>22216</v>
      </c>
      <c r="F214" s="257">
        <v>4</v>
      </c>
      <c r="G214" s="255">
        <v>1.88</v>
      </c>
      <c r="H214" s="152"/>
      <c r="I214" s="160">
        <f t="shared" si="3"/>
        <v>67005.12000000001</v>
      </c>
    </row>
    <row r="215" spans="2:9" ht="15.75" x14ac:dyDescent="0.25">
      <c r="B215" s="148"/>
      <c r="C215" s="148" t="s">
        <v>22215</v>
      </c>
      <c r="D215" s="150">
        <v>44018</v>
      </c>
      <c r="E215" s="113" t="s">
        <v>22214</v>
      </c>
      <c r="F215" s="257">
        <v>4</v>
      </c>
      <c r="G215" s="255">
        <v>15.61</v>
      </c>
      <c r="H215" s="152"/>
      <c r="I215" s="160">
        <f t="shared" si="3"/>
        <v>67020.73000000001</v>
      </c>
    </row>
    <row r="216" spans="2:9" ht="19.5" x14ac:dyDescent="0.25">
      <c r="B216" s="148"/>
      <c r="C216" s="148" t="s">
        <v>22213</v>
      </c>
      <c r="D216" s="150">
        <v>44018</v>
      </c>
      <c r="E216" s="113" t="s">
        <v>22212</v>
      </c>
      <c r="F216" s="257">
        <v>4</v>
      </c>
      <c r="G216" s="255">
        <v>8.4</v>
      </c>
      <c r="H216" s="152"/>
      <c r="I216" s="160">
        <f t="shared" si="3"/>
        <v>67029.13</v>
      </c>
    </row>
    <row r="217" spans="2:9" ht="15.75" x14ac:dyDescent="0.25">
      <c r="B217" s="148"/>
      <c r="C217" s="148" t="s">
        <v>22211</v>
      </c>
      <c r="D217" s="150">
        <v>44018</v>
      </c>
      <c r="E217" s="113" t="s">
        <v>22210</v>
      </c>
      <c r="F217" s="257">
        <v>4</v>
      </c>
      <c r="G217" s="255">
        <v>1.48</v>
      </c>
      <c r="H217" s="152"/>
      <c r="I217" s="160">
        <f t="shared" si="3"/>
        <v>67030.61</v>
      </c>
    </row>
    <row r="218" spans="2:9" ht="19.5" x14ac:dyDescent="0.25">
      <c r="B218" s="148"/>
      <c r="C218" s="148" t="s">
        <v>22209</v>
      </c>
      <c r="D218" s="150">
        <v>44018</v>
      </c>
      <c r="E218" s="113" t="s">
        <v>22208</v>
      </c>
      <c r="F218" s="257" t="s">
        <v>14436</v>
      </c>
      <c r="G218" s="160">
        <v>4.42</v>
      </c>
      <c r="H218" s="152"/>
      <c r="I218" s="160">
        <f t="shared" si="3"/>
        <v>67035.03</v>
      </c>
    </row>
    <row r="219" spans="2:9" ht="19.5" x14ac:dyDescent="0.25">
      <c r="B219" s="148"/>
      <c r="C219" s="148" t="s">
        <v>22207</v>
      </c>
      <c r="D219" s="150">
        <v>44019</v>
      </c>
      <c r="E219" s="113" t="s">
        <v>22206</v>
      </c>
      <c r="F219" s="257" t="s">
        <v>14436</v>
      </c>
      <c r="G219" s="160">
        <v>24.39</v>
      </c>
      <c r="H219" s="152"/>
      <c r="I219" s="160">
        <f t="shared" si="3"/>
        <v>67059.42</v>
      </c>
    </row>
    <row r="220" spans="2:9" ht="19.5" x14ac:dyDescent="0.25">
      <c r="B220" s="148"/>
      <c r="C220" s="148" t="s">
        <v>22205</v>
      </c>
      <c r="D220" s="150">
        <v>44019</v>
      </c>
      <c r="E220" s="113" t="s">
        <v>22204</v>
      </c>
      <c r="F220" s="257" t="s">
        <v>14408</v>
      </c>
      <c r="G220" s="258">
        <v>20.81</v>
      </c>
      <c r="H220" s="152"/>
      <c r="I220" s="160">
        <f t="shared" si="3"/>
        <v>67080.23</v>
      </c>
    </row>
    <row r="221" spans="2:9" ht="15.75" x14ac:dyDescent="0.25">
      <c r="B221" s="148"/>
      <c r="C221" s="148" t="s">
        <v>22203</v>
      </c>
      <c r="D221" s="150">
        <v>44019</v>
      </c>
      <c r="E221" s="113" t="s">
        <v>22202</v>
      </c>
      <c r="F221" s="257" t="s">
        <v>14408</v>
      </c>
      <c r="G221" s="258">
        <v>2.4300000000000002</v>
      </c>
      <c r="H221" s="152"/>
      <c r="I221" s="160">
        <f t="shared" si="3"/>
        <v>67082.659999999989</v>
      </c>
    </row>
    <row r="222" spans="2:9" ht="19.5" x14ac:dyDescent="0.25">
      <c r="B222" s="148"/>
      <c r="C222" s="148" t="s">
        <v>22201</v>
      </c>
      <c r="D222" s="150">
        <v>44019</v>
      </c>
      <c r="E222" s="113" t="s">
        <v>22200</v>
      </c>
      <c r="F222" s="257" t="s">
        <v>14408</v>
      </c>
      <c r="G222" s="258">
        <v>25.72</v>
      </c>
      <c r="H222" s="152"/>
      <c r="I222" s="160">
        <f t="shared" si="3"/>
        <v>67108.37999999999</v>
      </c>
    </row>
    <row r="223" spans="2:9" ht="19.5" x14ac:dyDescent="0.25">
      <c r="B223" s="148"/>
      <c r="C223" s="148" t="s">
        <v>22199</v>
      </c>
      <c r="D223" s="150">
        <v>44019</v>
      </c>
      <c r="E223" s="113" t="s">
        <v>22198</v>
      </c>
      <c r="F223" s="257" t="s">
        <v>14408</v>
      </c>
      <c r="G223" s="258">
        <v>25.14</v>
      </c>
      <c r="H223" s="152"/>
      <c r="I223" s="160">
        <f t="shared" si="3"/>
        <v>67133.51999999999</v>
      </c>
    </row>
    <row r="224" spans="2:9" ht="15.75" x14ac:dyDescent="0.25">
      <c r="B224" s="148"/>
      <c r="C224" s="148" t="s">
        <v>22197</v>
      </c>
      <c r="D224" s="150">
        <v>44019</v>
      </c>
      <c r="E224" s="113" t="s">
        <v>22196</v>
      </c>
      <c r="F224" s="257" t="s">
        <v>14408</v>
      </c>
      <c r="G224" s="258">
        <v>1.68</v>
      </c>
      <c r="H224" s="152"/>
      <c r="I224" s="160">
        <f t="shared" si="3"/>
        <v>67135.199999999983</v>
      </c>
    </row>
    <row r="225" spans="2:9" ht="19.5" x14ac:dyDescent="0.25">
      <c r="B225" s="148"/>
      <c r="C225" s="148" t="s">
        <v>22195</v>
      </c>
      <c r="D225" s="150">
        <v>44019</v>
      </c>
      <c r="E225" s="113" t="s">
        <v>22194</v>
      </c>
      <c r="F225" s="257" t="s">
        <v>14408</v>
      </c>
      <c r="G225" s="258">
        <v>50.28</v>
      </c>
      <c r="H225" s="152"/>
      <c r="I225" s="160">
        <f t="shared" si="3"/>
        <v>67185.479999999981</v>
      </c>
    </row>
    <row r="226" spans="2:9" ht="15.75" x14ac:dyDescent="0.25">
      <c r="B226" s="148"/>
      <c r="C226" s="148" t="s">
        <v>22193</v>
      </c>
      <c r="D226" s="150">
        <v>44019</v>
      </c>
      <c r="E226" s="113" t="s">
        <v>22192</v>
      </c>
      <c r="F226" s="257" t="s">
        <v>14408</v>
      </c>
      <c r="G226" s="258">
        <v>1.68</v>
      </c>
      <c r="H226" s="152"/>
      <c r="I226" s="160">
        <f t="shared" si="3"/>
        <v>67187.159999999974</v>
      </c>
    </row>
    <row r="227" spans="2:9" ht="19.5" x14ac:dyDescent="0.25">
      <c r="B227" s="148"/>
      <c r="C227" s="148" t="s">
        <v>22191</v>
      </c>
      <c r="D227" s="150">
        <v>44019</v>
      </c>
      <c r="E227" s="113" t="s">
        <v>22190</v>
      </c>
      <c r="F227" s="257" t="s">
        <v>14408</v>
      </c>
      <c r="G227" s="258">
        <v>15.83</v>
      </c>
      <c r="H227" s="152"/>
      <c r="I227" s="160">
        <f t="shared" si="3"/>
        <v>67202.989999999976</v>
      </c>
    </row>
    <row r="228" spans="2:9" ht="15.75" x14ac:dyDescent="0.25">
      <c r="B228" s="148"/>
      <c r="C228" s="148" t="s">
        <v>22189</v>
      </c>
      <c r="D228" s="150">
        <v>44019</v>
      </c>
      <c r="E228" s="113" t="s">
        <v>22188</v>
      </c>
      <c r="F228" s="257" t="s">
        <v>14408</v>
      </c>
      <c r="G228" s="258">
        <v>2.62</v>
      </c>
      <c r="H228" s="152"/>
      <c r="I228" s="160">
        <f t="shared" si="3"/>
        <v>67205.609999999971</v>
      </c>
    </row>
    <row r="229" spans="2:9" ht="19.5" x14ac:dyDescent="0.25">
      <c r="B229" s="148"/>
      <c r="C229" s="148" t="s">
        <v>22187</v>
      </c>
      <c r="D229" s="150">
        <v>44019</v>
      </c>
      <c r="E229" s="113" t="s">
        <v>22186</v>
      </c>
      <c r="F229" s="257" t="s">
        <v>14408</v>
      </c>
      <c r="G229" s="258">
        <v>9.17</v>
      </c>
      <c r="H229" s="152"/>
      <c r="I229" s="160">
        <f t="shared" si="3"/>
        <v>67214.77999999997</v>
      </c>
    </row>
    <row r="230" spans="2:9" ht="15.75" x14ac:dyDescent="0.25">
      <c r="B230" s="148"/>
      <c r="C230" s="148" t="s">
        <v>22185</v>
      </c>
      <c r="D230" s="150">
        <v>44019</v>
      </c>
      <c r="E230" s="113" t="s">
        <v>22184</v>
      </c>
      <c r="F230" s="257" t="s">
        <v>14408</v>
      </c>
      <c r="G230" s="258">
        <v>2.37</v>
      </c>
      <c r="H230" s="152"/>
      <c r="I230" s="160">
        <f t="shared" si="3"/>
        <v>67217.149999999965</v>
      </c>
    </row>
    <row r="231" spans="2:9" ht="15.75" x14ac:dyDescent="0.25">
      <c r="B231" s="148"/>
      <c r="C231" s="148" t="s">
        <v>22183</v>
      </c>
      <c r="D231" s="150">
        <v>44019</v>
      </c>
      <c r="E231" s="113" t="s">
        <v>22182</v>
      </c>
      <c r="F231" s="257" t="s">
        <v>14408</v>
      </c>
      <c r="G231" s="258">
        <v>2.93</v>
      </c>
      <c r="H231" s="152"/>
      <c r="I231" s="160">
        <f t="shared" si="3"/>
        <v>67220.079999999958</v>
      </c>
    </row>
    <row r="232" spans="2:9" ht="19.5" x14ac:dyDescent="0.25">
      <c r="B232" s="148"/>
      <c r="C232" s="148" t="s">
        <v>22181</v>
      </c>
      <c r="D232" s="150">
        <v>44019</v>
      </c>
      <c r="E232" s="113" t="s">
        <v>22180</v>
      </c>
      <c r="F232" s="257" t="s">
        <v>14408</v>
      </c>
      <c r="G232" s="258">
        <v>16.760000000000002</v>
      </c>
      <c r="H232" s="152"/>
      <c r="I232" s="160">
        <f t="shared" si="3"/>
        <v>67236.839999999953</v>
      </c>
    </row>
    <row r="233" spans="2:9" ht="15.75" x14ac:dyDescent="0.25">
      <c r="B233" s="148"/>
      <c r="C233" s="148" t="s">
        <v>22179</v>
      </c>
      <c r="D233" s="150">
        <v>44019</v>
      </c>
      <c r="E233" s="113" t="s">
        <v>22178</v>
      </c>
      <c r="F233" s="257" t="s">
        <v>14408</v>
      </c>
      <c r="G233" s="258">
        <v>8.33</v>
      </c>
      <c r="H233" s="152"/>
      <c r="I233" s="160">
        <f t="shared" si="3"/>
        <v>67245.169999999955</v>
      </c>
    </row>
    <row r="234" spans="2:9" ht="15.75" x14ac:dyDescent="0.25">
      <c r="B234" s="148"/>
      <c r="C234" s="148" t="s">
        <v>22177</v>
      </c>
      <c r="D234" s="150">
        <v>44019</v>
      </c>
      <c r="E234" s="113" t="s">
        <v>22176</v>
      </c>
      <c r="F234" s="257" t="s">
        <v>14408</v>
      </c>
      <c r="G234" s="258">
        <v>7.39</v>
      </c>
      <c r="H234" s="152"/>
      <c r="I234" s="160">
        <f t="shared" si="3"/>
        <v>67252.559999999954</v>
      </c>
    </row>
    <row r="235" spans="2:9" ht="19.5" x14ac:dyDescent="0.25">
      <c r="B235" s="148"/>
      <c r="C235" s="148" t="s">
        <v>22175</v>
      </c>
      <c r="D235" s="150">
        <v>44019</v>
      </c>
      <c r="E235" s="113" t="s">
        <v>22174</v>
      </c>
      <c r="F235" s="257" t="s">
        <v>14408</v>
      </c>
      <c r="G235" s="258">
        <v>17.440000000000001</v>
      </c>
      <c r="H235" s="152"/>
      <c r="I235" s="160">
        <f t="shared" si="3"/>
        <v>67269.999999999956</v>
      </c>
    </row>
    <row r="236" spans="2:9" ht="19.5" x14ac:dyDescent="0.25">
      <c r="B236" s="148"/>
      <c r="C236" s="148" t="s">
        <v>22173</v>
      </c>
      <c r="D236" s="150">
        <v>44019</v>
      </c>
      <c r="E236" s="113" t="s">
        <v>22172</v>
      </c>
      <c r="F236" s="257" t="s">
        <v>14408</v>
      </c>
      <c r="G236" s="258">
        <v>5.08</v>
      </c>
      <c r="H236" s="152"/>
      <c r="I236" s="160">
        <f t="shared" si="3"/>
        <v>67275.079999999958</v>
      </c>
    </row>
    <row r="237" spans="2:9" ht="15.75" x14ac:dyDescent="0.25">
      <c r="B237" s="148"/>
      <c r="C237" s="148" t="s">
        <v>22171</v>
      </c>
      <c r="D237" s="150">
        <v>44019</v>
      </c>
      <c r="E237" s="113" t="s">
        <v>22170</v>
      </c>
      <c r="F237" s="257" t="s">
        <v>14408</v>
      </c>
      <c r="G237" s="258">
        <v>2.4900000000000002</v>
      </c>
      <c r="H237" s="152"/>
      <c r="I237" s="160">
        <f t="shared" si="3"/>
        <v>67277.569999999963</v>
      </c>
    </row>
    <row r="238" spans="2:9" ht="19.5" x14ac:dyDescent="0.25">
      <c r="B238" s="148"/>
      <c r="C238" s="148" t="s">
        <v>22169</v>
      </c>
      <c r="D238" s="150">
        <v>44019</v>
      </c>
      <c r="E238" s="113" t="s">
        <v>22168</v>
      </c>
      <c r="F238" s="257" t="s">
        <v>14408</v>
      </c>
      <c r="G238" s="258">
        <v>15.89</v>
      </c>
      <c r="H238" s="152"/>
      <c r="I238" s="160">
        <f t="shared" si="3"/>
        <v>67293.459999999963</v>
      </c>
    </row>
    <row r="239" spans="2:9" ht="19.5" x14ac:dyDescent="0.25">
      <c r="B239" s="148"/>
      <c r="C239" s="148" t="s">
        <v>22167</v>
      </c>
      <c r="D239" s="150">
        <v>44019</v>
      </c>
      <c r="E239" s="113" t="s">
        <v>22166</v>
      </c>
      <c r="F239" s="257" t="s">
        <v>14408</v>
      </c>
      <c r="G239" s="258">
        <v>14.89</v>
      </c>
      <c r="H239" s="152"/>
      <c r="I239" s="160">
        <f t="shared" si="3"/>
        <v>67308.349999999962</v>
      </c>
    </row>
    <row r="240" spans="2:9" ht="15.75" x14ac:dyDescent="0.25">
      <c r="B240" s="148"/>
      <c r="C240" s="148" t="s">
        <v>22165</v>
      </c>
      <c r="D240" s="150">
        <v>44019</v>
      </c>
      <c r="E240" s="113" t="s">
        <v>22164</v>
      </c>
      <c r="F240" s="257" t="s">
        <v>14408</v>
      </c>
      <c r="G240" s="258">
        <v>6.62</v>
      </c>
      <c r="H240" s="152"/>
      <c r="I240" s="160">
        <f t="shared" si="3"/>
        <v>67314.969999999958</v>
      </c>
    </row>
    <row r="241" spans="2:9" ht="15.75" x14ac:dyDescent="0.25">
      <c r="B241" s="148"/>
      <c r="C241" s="148" t="s">
        <v>22163</v>
      </c>
      <c r="D241" s="150">
        <v>44019</v>
      </c>
      <c r="E241" s="113" t="s">
        <v>22162</v>
      </c>
      <c r="F241" s="257" t="s">
        <v>14408</v>
      </c>
      <c r="G241" s="258">
        <v>4.9800000000000004</v>
      </c>
      <c r="H241" s="152"/>
      <c r="I241" s="160">
        <f t="shared" si="3"/>
        <v>67319.949999999953</v>
      </c>
    </row>
    <row r="242" spans="2:9" ht="19.5" x14ac:dyDescent="0.25">
      <c r="B242" s="148"/>
      <c r="C242" s="148" t="s">
        <v>22161</v>
      </c>
      <c r="D242" s="150">
        <v>44019</v>
      </c>
      <c r="E242" s="113" t="s">
        <v>22160</v>
      </c>
      <c r="F242" s="257" t="s">
        <v>14408</v>
      </c>
      <c r="G242" s="258">
        <v>36.21</v>
      </c>
      <c r="H242" s="152"/>
      <c r="I242" s="160">
        <f t="shared" si="3"/>
        <v>67356.15999999996</v>
      </c>
    </row>
    <row r="243" spans="2:9" ht="15.75" x14ac:dyDescent="0.25">
      <c r="B243" s="148"/>
      <c r="C243" s="148" t="s">
        <v>22159</v>
      </c>
      <c r="D243" s="150">
        <v>44019</v>
      </c>
      <c r="E243" s="113" t="s">
        <v>22158</v>
      </c>
      <c r="F243" s="257">
        <v>5</v>
      </c>
      <c r="G243" s="255">
        <v>5.57</v>
      </c>
      <c r="H243" s="152"/>
      <c r="I243" s="160">
        <f t="shared" si="3"/>
        <v>67361.729999999967</v>
      </c>
    </row>
    <row r="244" spans="2:9" ht="15.75" x14ac:dyDescent="0.25">
      <c r="B244" s="148"/>
      <c r="C244" s="148" t="s">
        <v>22157</v>
      </c>
      <c r="D244" s="150">
        <v>44019</v>
      </c>
      <c r="E244" s="113" t="s">
        <v>22156</v>
      </c>
      <c r="F244" s="257">
        <v>5</v>
      </c>
      <c r="G244" s="255">
        <v>2.72</v>
      </c>
      <c r="H244" s="152"/>
      <c r="I244" s="160">
        <f t="shared" si="3"/>
        <v>67364.449999999968</v>
      </c>
    </row>
    <row r="245" spans="2:9" ht="19.5" x14ac:dyDescent="0.25">
      <c r="B245" s="148"/>
      <c r="C245" s="148" t="s">
        <v>22155</v>
      </c>
      <c r="D245" s="150">
        <v>44019</v>
      </c>
      <c r="E245" s="113" t="s">
        <v>22154</v>
      </c>
      <c r="F245" s="257">
        <v>5</v>
      </c>
      <c r="G245" s="255">
        <v>8.93</v>
      </c>
      <c r="H245" s="152"/>
      <c r="I245" s="160">
        <f t="shared" si="3"/>
        <v>67373.379999999961</v>
      </c>
    </row>
    <row r="246" spans="2:9" ht="19.5" x14ac:dyDescent="0.25">
      <c r="B246" s="148"/>
      <c r="C246" s="148" t="s">
        <v>22153</v>
      </c>
      <c r="D246" s="150">
        <v>44019</v>
      </c>
      <c r="E246" s="113" t="s">
        <v>22152</v>
      </c>
      <c r="F246" s="257">
        <v>5</v>
      </c>
      <c r="G246" s="255">
        <v>15.64</v>
      </c>
      <c r="H246" s="152"/>
      <c r="I246" s="160">
        <f t="shared" si="3"/>
        <v>67389.01999999996</v>
      </c>
    </row>
    <row r="247" spans="2:9" ht="15.75" x14ac:dyDescent="0.25">
      <c r="B247" s="148"/>
      <c r="C247" s="148" t="s">
        <v>22151</v>
      </c>
      <c r="D247" s="150">
        <v>44020</v>
      </c>
      <c r="E247" s="113" t="s">
        <v>22150</v>
      </c>
      <c r="F247" s="257" t="s">
        <v>14408</v>
      </c>
      <c r="G247" s="258">
        <v>2.62</v>
      </c>
      <c r="H247" s="152"/>
      <c r="I247" s="160">
        <f t="shared" si="3"/>
        <v>67391.639999999956</v>
      </c>
    </row>
    <row r="248" spans="2:9" ht="19.5" x14ac:dyDescent="0.25">
      <c r="B248" s="148"/>
      <c r="C248" s="148" t="s">
        <v>22149</v>
      </c>
      <c r="D248" s="150">
        <v>44020</v>
      </c>
      <c r="E248" s="113" t="s">
        <v>22148</v>
      </c>
      <c r="F248" s="257" t="s">
        <v>14408</v>
      </c>
      <c r="G248" s="258">
        <v>2.46</v>
      </c>
      <c r="H248" s="152"/>
      <c r="I248" s="160">
        <f t="shared" si="3"/>
        <v>67394.099999999962</v>
      </c>
    </row>
    <row r="249" spans="2:9" ht="15.75" x14ac:dyDescent="0.25">
      <c r="B249" s="148"/>
      <c r="C249" s="148" t="s">
        <v>22147</v>
      </c>
      <c r="D249" s="150">
        <v>44020</v>
      </c>
      <c r="E249" s="113" t="s">
        <v>22146</v>
      </c>
      <c r="F249" s="257" t="s">
        <v>14408</v>
      </c>
      <c r="G249" s="258">
        <v>4.7</v>
      </c>
      <c r="H249" s="152"/>
      <c r="I249" s="160">
        <f t="shared" si="3"/>
        <v>67398.799999999959</v>
      </c>
    </row>
    <row r="250" spans="2:9" ht="15.75" x14ac:dyDescent="0.25">
      <c r="B250" s="148"/>
      <c r="C250" s="148" t="s">
        <v>22145</v>
      </c>
      <c r="D250" s="150">
        <v>44020</v>
      </c>
      <c r="E250" s="113" t="s">
        <v>22144</v>
      </c>
      <c r="F250" s="257" t="s">
        <v>14408</v>
      </c>
      <c r="G250" s="258">
        <v>2.98</v>
      </c>
      <c r="H250" s="152"/>
      <c r="I250" s="160">
        <f t="shared" si="3"/>
        <v>67401.779999999955</v>
      </c>
    </row>
    <row r="251" spans="2:9" ht="15.75" x14ac:dyDescent="0.25">
      <c r="B251" s="148"/>
      <c r="C251" s="148" t="s">
        <v>22143</v>
      </c>
      <c r="D251" s="150">
        <v>44020</v>
      </c>
      <c r="E251" s="113" t="s">
        <v>22142</v>
      </c>
      <c r="F251" s="257" t="s">
        <v>14408</v>
      </c>
      <c r="G251" s="258">
        <v>3.01</v>
      </c>
      <c r="H251" s="152"/>
      <c r="I251" s="160">
        <f t="shared" si="3"/>
        <v>67404.78999999995</v>
      </c>
    </row>
    <row r="252" spans="2:9" ht="15.75" x14ac:dyDescent="0.25">
      <c r="B252" s="148"/>
      <c r="C252" s="148" t="s">
        <v>22141</v>
      </c>
      <c r="D252" s="150">
        <v>44020</v>
      </c>
      <c r="E252" s="113" t="s">
        <v>22140</v>
      </c>
      <c r="F252" s="257" t="s">
        <v>14408</v>
      </c>
      <c r="G252" s="258">
        <v>5.15</v>
      </c>
      <c r="H252" s="152"/>
      <c r="I252" s="160">
        <f t="shared" si="3"/>
        <v>67409.939999999944</v>
      </c>
    </row>
    <row r="253" spans="2:9" ht="15.75" x14ac:dyDescent="0.25">
      <c r="B253" s="148"/>
      <c r="C253" s="148" t="s">
        <v>22139</v>
      </c>
      <c r="D253" s="150">
        <v>44020</v>
      </c>
      <c r="E253" s="113" t="s">
        <v>22138</v>
      </c>
      <c r="F253" s="257" t="s">
        <v>14408</v>
      </c>
      <c r="G253" s="258">
        <v>8.42</v>
      </c>
      <c r="H253" s="152"/>
      <c r="I253" s="160">
        <f t="shared" si="3"/>
        <v>67418.359999999942</v>
      </c>
    </row>
    <row r="254" spans="2:9" ht="19.5" x14ac:dyDescent="0.25">
      <c r="B254" s="148"/>
      <c r="C254" s="148" t="s">
        <v>22137</v>
      </c>
      <c r="D254" s="150">
        <v>44020</v>
      </c>
      <c r="E254" s="113" t="s">
        <v>22136</v>
      </c>
      <c r="F254" s="257" t="s">
        <v>14408</v>
      </c>
      <c r="G254" s="258">
        <v>9.57</v>
      </c>
      <c r="H254" s="152"/>
      <c r="I254" s="160">
        <f t="shared" si="3"/>
        <v>67427.929999999949</v>
      </c>
    </row>
    <row r="255" spans="2:9" ht="15.75" x14ac:dyDescent="0.25">
      <c r="B255" s="148"/>
      <c r="C255" s="148" t="s">
        <v>22135</v>
      </c>
      <c r="D255" s="150">
        <v>44020</v>
      </c>
      <c r="E255" s="113" t="s">
        <v>22134</v>
      </c>
      <c r="F255" s="257" t="s">
        <v>14408</v>
      </c>
      <c r="G255" s="258">
        <v>4.1900000000000004</v>
      </c>
      <c r="H255" s="152"/>
      <c r="I255" s="160">
        <f t="shared" si="3"/>
        <v>67432.119999999952</v>
      </c>
    </row>
    <row r="256" spans="2:9" ht="19.5" x14ac:dyDescent="0.25">
      <c r="B256" s="148"/>
      <c r="C256" s="148" t="s">
        <v>22133</v>
      </c>
      <c r="D256" s="150">
        <v>44020</v>
      </c>
      <c r="E256" s="113" t="s">
        <v>22132</v>
      </c>
      <c r="F256" s="257" t="s">
        <v>14408</v>
      </c>
      <c r="G256" s="258">
        <v>6.1</v>
      </c>
      <c r="H256" s="152"/>
      <c r="I256" s="160">
        <f t="shared" si="3"/>
        <v>67438.219999999958</v>
      </c>
    </row>
    <row r="257" spans="2:9" ht="15.75" x14ac:dyDescent="0.25">
      <c r="B257" s="148"/>
      <c r="C257" s="148" t="s">
        <v>22131</v>
      </c>
      <c r="D257" s="150">
        <v>44020</v>
      </c>
      <c r="E257" s="113" t="s">
        <v>22130</v>
      </c>
      <c r="F257" s="257" t="s">
        <v>14408</v>
      </c>
      <c r="G257" s="258">
        <v>3.66</v>
      </c>
      <c r="H257" s="152"/>
      <c r="I257" s="160">
        <f t="shared" si="3"/>
        <v>67441.879999999961</v>
      </c>
    </row>
    <row r="258" spans="2:9" ht="19.5" x14ac:dyDescent="0.25">
      <c r="B258" s="148"/>
      <c r="C258" s="148" t="s">
        <v>22129</v>
      </c>
      <c r="D258" s="150">
        <v>44020</v>
      </c>
      <c r="E258" s="113" t="s">
        <v>22128</v>
      </c>
      <c r="F258" s="257" t="s">
        <v>14408</v>
      </c>
      <c r="G258" s="258">
        <v>15.69</v>
      </c>
      <c r="H258" s="152"/>
      <c r="I258" s="160">
        <f t="shared" si="3"/>
        <v>67457.569999999963</v>
      </c>
    </row>
    <row r="259" spans="2:9" ht="19.5" x14ac:dyDescent="0.25">
      <c r="B259" s="148"/>
      <c r="C259" s="148" t="s">
        <v>22127</v>
      </c>
      <c r="D259" s="150">
        <v>44020</v>
      </c>
      <c r="E259" s="113" t="s">
        <v>22126</v>
      </c>
      <c r="F259" s="257" t="s">
        <v>14408</v>
      </c>
      <c r="G259" s="258">
        <v>43.73</v>
      </c>
      <c r="H259" s="152"/>
      <c r="I259" s="160">
        <f t="shared" si="3"/>
        <v>67501.299999999959</v>
      </c>
    </row>
    <row r="260" spans="2:9" ht="19.5" x14ac:dyDescent="0.25">
      <c r="B260" s="148"/>
      <c r="C260" s="148" t="s">
        <v>22125</v>
      </c>
      <c r="D260" s="150">
        <v>44020</v>
      </c>
      <c r="E260" s="113" t="s">
        <v>22124</v>
      </c>
      <c r="F260" s="257" t="s">
        <v>14408</v>
      </c>
      <c r="G260" s="258">
        <v>14.54</v>
      </c>
      <c r="H260" s="152"/>
      <c r="I260" s="160">
        <f t="shared" si="3"/>
        <v>67515.839999999953</v>
      </c>
    </row>
    <row r="261" spans="2:9" ht="15.75" x14ac:dyDescent="0.25">
      <c r="B261" s="148"/>
      <c r="C261" s="148" t="s">
        <v>22123</v>
      </c>
      <c r="D261" s="150">
        <v>44020</v>
      </c>
      <c r="E261" s="113" t="s">
        <v>22122</v>
      </c>
      <c r="F261" s="257" t="s">
        <v>14408</v>
      </c>
      <c r="G261" s="258">
        <v>2.12</v>
      </c>
      <c r="H261" s="152"/>
      <c r="I261" s="160">
        <f t="shared" si="3"/>
        <v>67517.959999999948</v>
      </c>
    </row>
    <row r="262" spans="2:9" ht="15.75" x14ac:dyDescent="0.25">
      <c r="B262" s="148"/>
      <c r="C262" s="148" t="s">
        <v>22121</v>
      </c>
      <c r="D262" s="150">
        <v>44020</v>
      </c>
      <c r="E262" s="113" t="s">
        <v>22120</v>
      </c>
      <c r="F262" s="257" t="s">
        <v>14408</v>
      </c>
      <c r="G262" s="258">
        <v>4.08</v>
      </c>
      <c r="H262" s="152"/>
      <c r="I262" s="160">
        <f t="shared" si="3"/>
        <v>67522.03999999995</v>
      </c>
    </row>
    <row r="263" spans="2:9" ht="15.75" x14ac:dyDescent="0.25">
      <c r="B263" s="148"/>
      <c r="C263" s="148" t="s">
        <v>22119</v>
      </c>
      <c r="D263" s="150">
        <v>44020</v>
      </c>
      <c r="E263" s="113" t="s">
        <v>22118</v>
      </c>
      <c r="F263" s="257">
        <v>6</v>
      </c>
      <c r="G263" s="255">
        <v>1.68</v>
      </c>
      <c r="H263" s="152"/>
      <c r="I263" s="160">
        <f t="shared" si="3"/>
        <v>67523.719999999943</v>
      </c>
    </row>
    <row r="264" spans="2:9" ht="15.75" x14ac:dyDescent="0.25">
      <c r="B264" s="148"/>
      <c r="C264" s="148" t="s">
        <v>22117</v>
      </c>
      <c r="D264" s="150">
        <v>44020</v>
      </c>
      <c r="E264" s="113" t="s">
        <v>22116</v>
      </c>
      <c r="F264" s="257">
        <v>6</v>
      </c>
      <c r="G264" s="255">
        <v>17.54</v>
      </c>
      <c r="H264" s="152"/>
      <c r="I264" s="160">
        <f t="shared" si="3"/>
        <v>67541.259999999937</v>
      </c>
    </row>
    <row r="265" spans="2:9" ht="19.5" x14ac:dyDescent="0.25">
      <c r="B265" s="148"/>
      <c r="C265" s="148" t="s">
        <v>22115</v>
      </c>
      <c r="D265" s="150">
        <v>44020</v>
      </c>
      <c r="E265" s="113" t="s">
        <v>22114</v>
      </c>
      <c r="F265" s="257">
        <v>6</v>
      </c>
      <c r="G265" s="255">
        <v>1.71</v>
      </c>
      <c r="H265" s="152"/>
      <c r="I265" s="160">
        <f t="shared" si="3"/>
        <v>67542.969999999943</v>
      </c>
    </row>
    <row r="266" spans="2:9" ht="15.75" x14ac:dyDescent="0.25">
      <c r="B266" s="148"/>
      <c r="C266" s="148" t="s">
        <v>22113</v>
      </c>
      <c r="D266" s="150">
        <v>44020</v>
      </c>
      <c r="E266" s="113" t="s">
        <v>22112</v>
      </c>
      <c r="F266" s="257" t="s">
        <v>18712</v>
      </c>
      <c r="G266" s="160">
        <v>29.3</v>
      </c>
      <c r="H266" s="152"/>
      <c r="I266" s="160">
        <f t="shared" si="3"/>
        <v>67572.269999999946</v>
      </c>
    </row>
    <row r="267" spans="2:9" ht="39" x14ac:dyDescent="0.25">
      <c r="B267" s="148"/>
      <c r="C267" s="148" t="s">
        <v>18486</v>
      </c>
      <c r="D267" s="150">
        <v>44020</v>
      </c>
      <c r="E267" s="113" t="s">
        <v>22111</v>
      </c>
      <c r="F267" s="257" t="s">
        <v>14439</v>
      </c>
      <c r="G267" s="160">
        <v>560.91</v>
      </c>
      <c r="H267" s="152"/>
      <c r="I267" s="160">
        <f t="shared" si="3"/>
        <v>68133.179999999949</v>
      </c>
    </row>
    <row r="268" spans="2:9" ht="39" x14ac:dyDescent="0.25">
      <c r="B268" s="148"/>
      <c r="C268" s="148" t="s">
        <v>18484</v>
      </c>
      <c r="D268" s="150">
        <v>44020</v>
      </c>
      <c r="E268" s="113" t="s">
        <v>22110</v>
      </c>
      <c r="F268" s="257" t="s">
        <v>14439</v>
      </c>
      <c r="G268" s="160">
        <v>68.59</v>
      </c>
      <c r="H268" s="152"/>
      <c r="I268" s="160">
        <f t="shared" si="3"/>
        <v>68201.769999999946</v>
      </c>
    </row>
    <row r="269" spans="2:9" ht="15.75" x14ac:dyDescent="0.25">
      <c r="B269" s="148"/>
      <c r="C269" s="148" t="s">
        <v>22109</v>
      </c>
      <c r="D269" s="150">
        <v>44021</v>
      </c>
      <c r="E269" s="113" t="s">
        <v>22108</v>
      </c>
      <c r="F269" s="257" t="s">
        <v>14408</v>
      </c>
      <c r="G269" s="258">
        <v>1.71</v>
      </c>
      <c r="H269" s="152"/>
      <c r="I269" s="160">
        <f t="shared" si="3"/>
        <v>68203.479999999952</v>
      </c>
    </row>
    <row r="270" spans="2:9" ht="15.75" x14ac:dyDescent="0.25">
      <c r="B270" s="148"/>
      <c r="C270" s="148" t="s">
        <v>22107</v>
      </c>
      <c r="D270" s="150">
        <v>44021</v>
      </c>
      <c r="E270" s="113" t="s">
        <v>22106</v>
      </c>
      <c r="F270" s="257" t="s">
        <v>14408</v>
      </c>
      <c r="G270" s="258">
        <v>20.69</v>
      </c>
      <c r="H270" s="152"/>
      <c r="I270" s="160">
        <f t="shared" si="3"/>
        <v>68224.169999999955</v>
      </c>
    </row>
    <row r="271" spans="2:9" ht="19.5" x14ac:dyDescent="0.25">
      <c r="B271" s="148"/>
      <c r="C271" s="148" t="s">
        <v>22105</v>
      </c>
      <c r="D271" s="150">
        <v>44021</v>
      </c>
      <c r="E271" s="113" t="s">
        <v>22104</v>
      </c>
      <c r="F271" s="257" t="s">
        <v>14408</v>
      </c>
      <c r="G271" s="258">
        <v>8.8800000000000008</v>
      </c>
      <c r="H271" s="152"/>
      <c r="I271" s="160">
        <f t="shared" si="3"/>
        <v>68233.049999999959</v>
      </c>
    </row>
    <row r="272" spans="2:9" ht="19.5" x14ac:dyDescent="0.25">
      <c r="B272" s="148"/>
      <c r="C272" s="148" t="s">
        <v>22103</v>
      </c>
      <c r="D272" s="150">
        <v>44021</v>
      </c>
      <c r="E272" s="113" t="s">
        <v>22102</v>
      </c>
      <c r="F272" s="257" t="s">
        <v>14408</v>
      </c>
      <c r="G272" s="258">
        <v>40.98</v>
      </c>
      <c r="H272" s="152"/>
      <c r="I272" s="160">
        <f t="shared" si="3"/>
        <v>68274.029999999955</v>
      </c>
    </row>
    <row r="273" spans="2:9" ht="15.75" x14ac:dyDescent="0.25">
      <c r="B273" s="148"/>
      <c r="C273" s="148" t="s">
        <v>22101</v>
      </c>
      <c r="D273" s="150">
        <v>44021</v>
      </c>
      <c r="E273" s="113" t="s">
        <v>22100</v>
      </c>
      <c r="F273" s="257" t="s">
        <v>14408</v>
      </c>
      <c r="G273" s="258">
        <v>8.4600000000000009</v>
      </c>
      <c r="H273" s="152"/>
      <c r="I273" s="160">
        <f t="shared" si="3"/>
        <v>68282.489999999962</v>
      </c>
    </row>
    <row r="274" spans="2:9" ht="15.75" x14ac:dyDescent="0.25">
      <c r="B274" s="148"/>
      <c r="C274" s="148" t="s">
        <v>22099</v>
      </c>
      <c r="D274" s="150">
        <v>44021</v>
      </c>
      <c r="E274" s="113" t="s">
        <v>22098</v>
      </c>
      <c r="F274" s="257" t="s">
        <v>14408</v>
      </c>
      <c r="G274" s="258">
        <v>4.55</v>
      </c>
      <c r="H274" s="152"/>
      <c r="I274" s="160">
        <f t="shared" si="3"/>
        <v>68287.039999999964</v>
      </c>
    </row>
    <row r="275" spans="2:9" ht="19.5" x14ac:dyDescent="0.25">
      <c r="B275" s="148"/>
      <c r="C275" s="148" t="s">
        <v>22097</v>
      </c>
      <c r="D275" s="150">
        <v>44021</v>
      </c>
      <c r="E275" s="113" t="s">
        <v>22096</v>
      </c>
      <c r="F275" s="257" t="s">
        <v>14408</v>
      </c>
      <c r="G275" s="258">
        <v>21.75</v>
      </c>
      <c r="H275" s="152"/>
      <c r="I275" s="160">
        <f t="shared" si="3"/>
        <v>68308.789999999964</v>
      </c>
    </row>
    <row r="276" spans="2:9" ht="19.5" x14ac:dyDescent="0.25">
      <c r="B276" s="148"/>
      <c r="C276" s="148" t="s">
        <v>22095</v>
      </c>
      <c r="D276" s="150">
        <v>44021</v>
      </c>
      <c r="E276" s="113" t="s">
        <v>22094</v>
      </c>
      <c r="F276" s="257" t="s">
        <v>14408</v>
      </c>
      <c r="G276" s="258">
        <v>8.94</v>
      </c>
      <c r="H276" s="152"/>
      <c r="I276" s="160">
        <f t="shared" ref="I276:I339" si="4">+I275+G276-H276</f>
        <v>68317.729999999967</v>
      </c>
    </row>
    <row r="277" spans="2:9" ht="19.5" x14ac:dyDescent="0.25">
      <c r="B277" s="148"/>
      <c r="C277" s="148" t="s">
        <v>22093</v>
      </c>
      <c r="D277" s="150">
        <v>44021</v>
      </c>
      <c r="E277" s="113" t="s">
        <v>22092</v>
      </c>
      <c r="F277" s="257" t="s">
        <v>14408</v>
      </c>
      <c r="G277" s="258">
        <v>12.15</v>
      </c>
      <c r="H277" s="152"/>
      <c r="I277" s="160">
        <f t="shared" si="4"/>
        <v>68329.879999999961</v>
      </c>
    </row>
    <row r="278" spans="2:9" ht="15.75" x14ac:dyDescent="0.25">
      <c r="B278" s="148"/>
      <c r="C278" s="148" t="s">
        <v>22091</v>
      </c>
      <c r="D278" s="150">
        <v>44021</v>
      </c>
      <c r="E278" s="113" t="s">
        <v>22090</v>
      </c>
      <c r="F278" s="257" t="s">
        <v>14408</v>
      </c>
      <c r="G278" s="258">
        <v>2.74</v>
      </c>
      <c r="H278" s="152"/>
      <c r="I278" s="160">
        <f t="shared" si="4"/>
        <v>68332.619999999966</v>
      </c>
    </row>
    <row r="279" spans="2:9" ht="19.5" x14ac:dyDescent="0.25">
      <c r="B279" s="148"/>
      <c r="C279" s="148" t="s">
        <v>22089</v>
      </c>
      <c r="D279" s="150">
        <v>44021</v>
      </c>
      <c r="E279" s="113" t="s">
        <v>22088</v>
      </c>
      <c r="F279" s="257" t="s">
        <v>14408</v>
      </c>
      <c r="G279" s="258">
        <v>4.5</v>
      </c>
      <c r="H279" s="152"/>
      <c r="I279" s="160">
        <f t="shared" si="4"/>
        <v>68337.119999999966</v>
      </c>
    </row>
    <row r="280" spans="2:9" ht="19.5" x14ac:dyDescent="0.25">
      <c r="B280" s="148"/>
      <c r="C280" s="148" t="s">
        <v>22087</v>
      </c>
      <c r="D280" s="150">
        <v>44021</v>
      </c>
      <c r="E280" s="113" t="s">
        <v>22086</v>
      </c>
      <c r="F280" s="257" t="s">
        <v>14408</v>
      </c>
      <c r="G280" s="258">
        <v>44.82</v>
      </c>
      <c r="H280" s="152"/>
      <c r="I280" s="160">
        <f t="shared" si="4"/>
        <v>68381.939999999973</v>
      </c>
    </row>
    <row r="281" spans="2:9" ht="15.75" x14ac:dyDescent="0.25">
      <c r="B281" s="148"/>
      <c r="C281" s="148" t="s">
        <v>22085</v>
      </c>
      <c r="D281" s="150">
        <v>44021</v>
      </c>
      <c r="E281" s="113" t="s">
        <v>22084</v>
      </c>
      <c r="F281" s="257" t="s">
        <v>14408</v>
      </c>
      <c r="G281" s="258">
        <v>2.48</v>
      </c>
      <c r="H281" s="152"/>
      <c r="I281" s="160">
        <f t="shared" si="4"/>
        <v>68384.419999999969</v>
      </c>
    </row>
    <row r="282" spans="2:9" ht="19.5" x14ac:dyDescent="0.25">
      <c r="B282" s="148"/>
      <c r="C282" s="148" t="s">
        <v>22083</v>
      </c>
      <c r="D282" s="150">
        <v>44021</v>
      </c>
      <c r="E282" s="113" t="s">
        <v>22082</v>
      </c>
      <c r="F282" s="257" t="s">
        <v>14408</v>
      </c>
      <c r="G282" s="258">
        <v>3.8</v>
      </c>
      <c r="H282" s="152"/>
      <c r="I282" s="160">
        <f t="shared" si="4"/>
        <v>68388.219999999972</v>
      </c>
    </row>
    <row r="283" spans="2:9" ht="15.75" x14ac:dyDescent="0.25">
      <c r="B283" s="148"/>
      <c r="C283" s="148" t="s">
        <v>22081</v>
      </c>
      <c r="D283" s="150">
        <v>44021</v>
      </c>
      <c r="E283" s="113" t="s">
        <v>22080</v>
      </c>
      <c r="F283" s="257" t="s">
        <v>14408</v>
      </c>
      <c r="G283" s="258">
        <v>24.99</v>
      </c>
      <c r="H283" s="152"/>
      <c r="I283" s="160">
        <f t="shared" si="4"/>
        <v>68413.209999999977</v>
      </c>
    </row>
    <row r="284" spans="2:9" ht="19.5" x14ac:dyDescent="0.25">
      <c r="B284" s="148"/>
      <c r="C284" s="148" t="s">
        <v>22079</v>
      </c>
      <c r="D284" s="150">
        <v>44021</v>
      </c>
      <c r="E284" s="113" t="s">
        <v>22078</v>
      </c>
      <c r="F284" s="257" t="s">
        <v>14408</v>
      </c>
      <c r="G284" s="258">
        <v>6.87</v>
      </c>
      <c r="H284" s="152"/>
      <c r="I284" s="160">
        <f t="shared" si="4"/>
        <v>68420.079999999973</v>
      </c>
    </row>
    <row r="285" spans="2:9" ht="19.5" x14ac:dyDescent="0.25">
      <c r="B285" s="148"/>
      <c r="C285" s="148" t="s">
        <v>22077</v>
      </c>
      <c r="D285" s="150">
        <v>44021</v>
      </c>
      <c r="E285" s="113" t="s">
        <v>22076</v>
      </c>
      <c r="F285" s="257" t="s">
        <v>14408</v>
      </c>
      <c r="G285" s="258">
        <v>24.81</v>
      </c>
      <c r="H285" s="152"/>
      <c r="I285" s="160">
        <f t="shared" si="4"/>
        <v>68444.88999999997</v>
      </c>
    </row>
    <row r="286" spans="2:9" ht="15.75" x14ac:dyDescent="0.25">
      <c r="B286" s="148"/>
      <c r="C286" s="148" t="s">
        <v>22075</v>
      </c>
      <c r="D286" s="150">
        <v>44021</v>
      </c>
      <c r="E286" s="113" t="s">
        <v>22074</v>
      </c>
      <c r="F286" s="257" t="s">
        <v>14408</v>
      </c>
      <c r="G286" s="258">
        <v>7.92</v>
      </c>
      <c r="H286" s="152"/>
      <c r="I286" s="160">
        <f t="shared" si="4"/>
        <v>68452.809999999969</v>
      </c>
    </row>
    <row r="287" spans="2:9" s="329" customFormat="1" ht="15.75" x14ac:dyDescent="0.25">
      <c r="B287" s="324">
        <v>7</v>
      </c>
      <c r="C287" s="324" t="s">
        <v>22073</v>
      </c>
      <c r="D287" s="325">
        <v>44021</v>
      </c>
      <c r="E287" s="326" t="s">
        <v>22072</v>
      </c>
      <c r="F287" s="327"/>
      <c r="G287" s="330">
        <v>4.3</v>
      </c>
      <c r="H287" s="328"/>
      <c r="I287" s="160">
        <f t="shared" si="4"/>
        <v>68457.109999999971</v>
      </c>
    </row>
    <row r="288" spans="2:9" s="329" customFormat="1" ht="15.75" x14ac:dyDescent="0.25">
      <c r="B288" s="324">
        <v>7</v>
      </c>
      <c r="C288" s="324" t="s">
        <v>22071</v>
      </c>
      <c r="D288" s="325">
        <v>44021</v>
      </c>
      <c r="E288" s="326" t="s">
        <v>22069</v>
      </c>
      <c r="F288" s="327"/>
      <c r="G288" s="330">
        <v>5.82</v>
      </c>
      <c r="H288" s="328"/>
      <c r="I288" s="160">
        <f t="shared" si="4"/>
        <v>68462.929999999978</v>
      </c>
    </row>
    <row r="289" spans="2:10" s="337" customFormat="1" ht="15.75" x14ac:dyDescent="0.25">
      <c r="B289" s="333">
        <v>7</v>
      </c>
      <c r="C289" s="333" t="s">
        <v>22070</v>
      </c>
      <c r="D289" s="334">
        <v>44021</v>
      </c>
      <c r="E289" s="335" t="s">
        <v>22069</v>
      </c>
      <c r="F289" s="327"/>
      <c r="G289" s="330">
        <v>5.82</v>
      </c>
      <c r="H289" s="336"/>
      <c r="I289" s="160">
        <f t="shared" si="4"/>
        <v>68468.749999999985</v>
      </c>
      <c r="J289" s="338" t="s">
        <v>22613</v>
      </c>
    </row>
    <row r="290" spans="2:10" s="329" customFormat="1" ht="15.75" x14ac:dyDescent="0.25">
      <c r="B290" s="324">
        <v>7</v>
      </c>
      <c r="C290" s="324" t="s">
        <v>22068</v>
      </c>
      <c r="D290" s="325">
        <v>44021</v>
      </c>
      <c r="E290" s="326" t="s">
        <v>22067</v>
      </c>
      <c r="F290" s="327"/>
      <c r="G290" s="330">
        <v>9.6300000000000008</v>
      </c>
      <c r="H290" s="328"/>
      <c r="I290" s="160">
        <f t="shared" si="4"/>
        <v>68478.37999999999</v>
      </c>
    </row>
    <row r="291" spans="2:10" s="329" customFormat="1" ht="39" x14ac:dyDescent="0.25">
      <c r="B291" s="324">
        <v>7</v>
      </c>
      <c r="C291" s="324" t="s">
        <v>22066</v>
      </c>
      <c r="D291" s="325">
        <v>44021</v>
      </c>
      <c r="E291" s="326" t="s">
        <v>22065</v>
      </c>
      <c r="F291" s="327"/>
      <c r="G291" s="330">
        <v>11.55</v>
      </c>
      <c r="H291" s="328"/>
      <c r="I291" s="160">
        <f t="shared" si="4"/>
        <v>68489.929999999993</v>
      </c>
      <c r="J291" s="332" t="s">
        <v>22615</v>
      </c>
    </row>
    <row r="292" spans="2:10" ht="19.5" x14ac:dyDescent="0.25">
      <c r="B292" s="148"/>
      <c r="C292" s="148" t="s">
        <v>22064</v>
      </c>
      <c r="D292" s="150">
        <v>44021</v>
      </c>
      <c r="E292" s="113" t="s">
        <v>22063</v>
      </c>
      <c r="F292" s="257" t="s">
        <v>18712</v>
      </c>
      <c r="G292" s="160">
        <v>9.61</v>
      </c>
      <c r="H292" s="152"/>
      <c r="I292" s="160">
        <f t="shared" si="4"/>
        <v>68499.539999999994</v>
      </c>
    </row>
    <row r="293" spans="2:10" ht="15.75" x14ac:dyDescent="0.25">
      <c r="B293" s="148"/>
      <c r="C293" s="148" t="s">
        <v>22062</v>
      </c>
      <c r="D293" s="150">
        <v>44021</v>
      </c>
      <c r="E293" s="113" t="s">
        <v>22061</v>
      </c>
      <c r="F293" s="257" t="s">
        <v>14449</v>
      </c>
      <c r="G293" s="160">
        <v>5.95</v>
      </c>
      <c r="H293" s="152"/>
      <c r="I293" s="160">
        <f t="shared" si="4"/>
        <v>68505.489999999991</v>
      </c>
    </row>
    <row r="294" spans="2:10" ht="15.75" x14ac:dyDescent="0.25">
      <c r="B294" s="148"/>
      <c r="C294" s="148" t="s">
        <v>22060</v>
      </c>
      <c r="D294" s="150">
        <v>44021</v>
      </c>
      <c r="E294" s="113" t="s">
        <v>22059</v>
      </c>
      <c r="F294" s="257" t="s">
        <v>14436</v>
      </c>
      <c r="G294" s="160">
        <v>1.68</v>
      </c>
      <c r="H294" s="152"/>
      <c r="I294" s="160">
        <f t="shared" si="4"/>
        <v>68507.169999999984</v>
      </c>
    </row>
    <row r="295" spans="2:10" ht="19.5" x14ac:dyDescent="0.25">
      <c r="B295" s="148"/>
      <c r="C295" s="148" t="s">
        <v>18377</v>
      </c>
      <c r="D295" s="150">
        <v>44021</v>
      </c>
      <c r="E295" s="113" t="s">
        <v>22058</v>
      </c>
      <c r="F295" s="257" t="s">
        <v>14433</v>
      </c>
      <c r="G295" s="152"/>
      <c r="H295" s="161">
        <v>599.80999999999995</v>
      </c>
      <c r="I295" s="160">
        <f t="shared" si="4"/>
        <v>67907.359999999986</v>
      </c>
    </row>
    <row r="296" spans="2:10" ht="19.5" x14ac:dyDescent="0.25">
      <c r="B296" s="148"/>
      <c r="C296" s="148" t="s">
        <v>22057</v>
      </c>
      <c r="D296" s="150">
        <v>44022</v>
      </c>
      <c r="E296" s="113" t="s">
        <v>22056</v>
      </c>
      <c r="F296" s="257" t="s">
        <v>14409</v>
      </c>
      <c r="G296" s="258">
        <v>13.2</v>
      </c>
      <c r="H296" s="152"/>
      <c r="I296" s="160">
        <f t="shared" si="4"/>
        <v>67920.559999999983</v>
      </c>
    </row>
    <row r="297" spans="2:10" ht="19.5" x14ac:dyDescent="0.25">
      <c r="B297" s="148"/>
      <c r="C297" s="148" t="s">
        <v>22055</v>
      </c>
      <c r="D297" s="150">
        <v>44022</v>
      </c>
      <c r="E297" s="113" t="s">
        <v>22054</v>
      </c>
      <c r="F297" s="257" t="s">
        <v>14409</v>
      </c>
      <c r="G297" s="258">
        <v>1.87</v>
      </c>
      <c r="H297" s="152"/>
      <c r="I297" s="160">
        <f t="shared" si="4"/>
        <v>67922.429999999978</v>
      </c>
    </row>
    <row r="298" spans="2:10" ht="15.75" x14ac:dyDescent="0.25">
      <c r="B298" s="148"/>
      <c r="C298" s="148" t="s">
        <v>22053</v>
      </c>
      <c r="D298" s="150">
        <v>44022</v>
      </c>
      <c r="E298" s="113" t="s">
        <v>22052</v>
      </c>
      <c r="F298" s="257" t="s">
        <v>14409</v>
      </c>
      <c r="G298" s="258">
        <v>3.54</v>
      </c>
      <c r="H298" s="152"/>
      <c r="I298" s="160">
        <f t="shared" si="4"/>
        <v>67925.969999999972</v>
      </c>
    </row>
    <row r="299" spans="2:10" ht="15.75" x14ac:dyDescent="0.25">
      <c r="B299" s="148"/>
      <c r="C299" s="148" t="s">
        <v>22051</v>
      </c>
      <c r="D299" s="150">
        <v>44022</v>
      </c>
      <c r="E299" s="113" t="s">
        <v>22050</v>
      </c>
      <c r="F299" s="257" t="s">
        <v>14409</v>
      </c>
      <c r="G299" s="258">
        <v>4.47</v>
      </c>
      <c r="H299" s="152"/>
      <c r="I299" s="160">
        <f t="shared" si="4"/>
        <v>67930.439999999973</v>
      </c>
    </row>
    <row r="300" spans="2:10" ht="19.5" x14ac:dyDescent="0.25">
      <c r="B300" s="148"/>
      <c r="C300" s="148" t="s">
        <v>22049</v>
      </c>
      <c r="D300" s="150">
        <v>44022</v>
      </c>
      <c r="E300" s="113" t="s">
        <v>22048</v>
      </c>
      <c r="F300" s="257" t="s">
        <v>14409</v>
      </c>
      <c r="G300" s="258">
        <v>19.72</v>
      </c>
      <c r="H300" s="152"/>
      <c r="I300" s="160">
        <f t="shared" si="4"/>
        <v>67950.159999999974</v>
      </c>
    </row>
    <row r="301" spans="2:10" ht="19.5" x14ac:dyDescent="0.25">
      <c r="B301" s="148"/>
      <c r="C301" s="148" t="s">
        <v>22047</v>
      </c>
      <c r="D301" s="150">
        <v>44022</v>
      </c>
      <c r="E301" s="113" t="s">
        <v>22046</v>
      </c>
      <c r="F301" s="257" t="s">
        <v>14409</v>
      </c>
      <c r="G301" s="258">
        <v>6.35</v>
      </c>
      <c r="H301" s="152"/>
      <c r="I301" s="160">
        <f t="shared" si="4"/>
        <v>67956.50999999998</v>
      </c>
    </row>
    <row r="302" spans="2:10" ht="19.5" x14ac:dyDescent="0.25">
      <c r="B302" s="148"/>
      <c r="C302" s="148" t="s">
        <v>22045</v>
      </c>
      <c r="D302" s="150">
        <v>44022</v>
      </c>
      <c r="E302" s="113" t="s">
        <v>22044</v>
      </c>
      <c r="F302" s="257" t="s">
        <v>14409</v>
      </c>
      <c r="G302" s="258">
        <v>3.77</v>
      </c>
      <c r="H302" s="152"/>
      <c r="I302" s="160">
        <f t="shared" si="4"/>
        <v>67960.279999999984</v>
      </c>
    </row>
    <row r="303" spans="2:10" ht="19.5" x14ac:dyDescent="0.25">
      <c r="B303" s="148"/>
      <c r="C303" s="148" t="s">
        <v>22043</v>
      </c>
      <c r="D303" s="150">
        <v>44022</v>
      </c>
      <c r="E303" s="113" t="s">
        <v>22042</v>
      </c>
      <c r="F303" s="257" t="s">
        <v>14409</v>
      </c>
      <c r="G303" s="258">
        <v>6.51</v>
      </c>
      <c r="H303" s="152"/>
      <c r="I303" s="160">
        <f t="shared" si="4"/>
        <v>67966.789999999979</v>
      </c>
    </row>
    <row r="304" spans="2:10" ht="15.75" x14ac:dyDescent="0.25">
      <c r="B304" s="148"/>
      <c r="C304" s="148" t="s">
        <v>22041</v>
      </c>
      <c r="D304" s="150">
        <v>44022</v>
      </c>
      <c r="E304" s="113" t="s">
        <v>22040</v>
      </c>
      <c r="F304" s="257" t="s">
        <v>14409</v>
      </c>
      <c r="G304" s="258">
        <v>2.0299999999999998</v>
      </c>
      <c r="H304" s="152"/>
      <c r="I304" s="160">
        <f t="shared" si="4"/>
        <v>67968.819999999978</v>
      </c>
    </row>
    <row r="305" spans="2:9" ht="15.75" x14ac:dyDescent="0.25">
      <c r="B305" s="148"/>
      <c r="C305" s="148" t="s">
        <v>22039</v>
      </c>
      <c r="D305" s="150">
        <v>44022</v>
      </c>
      <c r="E305" s="113" t="s">
        <v>22038</v>
      </c>
      <c r="F305" s="257">
        <v>8</v>
      </c>
      <c r="G305" s="160">
        <v>8.83</v>
      </c>
      <c r="H305" s="152"/>
      <c r="I305" s="160">
        <f t="shared" si="4"/>
        <v>67977.64999999998</v>
      </c>
    </row>
    <row r="306" spans="2:9" ht="15.75" x14ac:dyDescent="0.25">
      <c r="B306" s="148"/>
      <c r="C306" s="148" t="s">
        <v>22037</v>
      </c>
      <c r="D306" s="150">
        <v>44022</v>
      </c>
      <c r="E306" s="113" t="s">
        <v>22036</v>
      </c>
      <c r="F306" s="257" t="s">
        <v>14436</v>
      </c>
      <c r="G306" s="160">
        <v>88.53</v>
      </c>
      <c r="H306" s="152"/>
      <c r="I306" s="160">
        <f t="shared" si="4"/>
        <v>68066.179999999978</v>
      </c>
    </row>
    <row r="307" spans="2:9" ht="15.75" x14ac:dyDescent="0.25">
      <c r="B307" s="148"/>
      <c r="C307" s="148" t="s">
        <v>22035</v>
      </c>
      <c r="D307" s="150">
        <v>44022</v>
      </c>
      <c r="E307" s="113" t="s">
        <v>22034</v>
      </c>
      <c r="F307" s="257" t="s">
        <v>14436</v>
      </c>
      <c r="G307" s="160">
        <v>31.09</v>
      </c>
      <c r="H307" s="152"/>
      <c r="I307" s="160">
        <f t="shared" si="4"/>
        <v>68097.269999999975</v>
      </c>
    </row>
    <row r="308" spans="2:9" ht="15.75" x14ac:dyDescent="0.25">
      <c r="B308" s="148"/>
      <c r="C308" s="148" t="s">
        <v>22033</v>
      </c>
      <c r="D308" s="150">
        <v>44022</v>
      </c>
      <c r="E308" s="113" t="s">
        <v>22032</v>
      </c>
      <c r="F308" s="257" t="s">
        <v>14436</v>
      </c>
      <c r="G308" s="160">
        <v>11.86</v>
      </c>
      <c r="H308" s="152"/>
      <c r="I308" s="160">
        <f t="shared" si="4"/>
        <v>68109.129999999976</v>
      </c>
    </row>
    <row r="309" spans="2:9" ht="19.5" x14ac:dyDescent="0.25">
      <c r="B309" s="148"/>
      <c r="C309" s="148" t="s">
        <v>22031</v>
      </c>
      <c r="D309" s="150">
        <v>44022</v>
      </c>
      <c r="E309" s="113" t="s">
        <v>22030</v>
      </c>
      <c r="F309" s="257" t="s">
        <v>14436</v>
      </c>
      <c r="G309" s="160">
        <v>14.9</v>
      </c>
      <c r="H309" s="152"/>
      <c r="I309" s="160">
        <f t="shared" si="4"/>
        <v>68124.02999999997</v>
      </c>
    </row>
    <row r="310" spans="2:9" ht="19.5" x14ac:dyDescent="0.25">
      <c r="B310" s="148"/>
      <c r="C310" s="148" t="s">
        <v>22029</v>
      </c>
      <c r="D310" s="150">
        <v>44022</v>
      </c>
      <c r="E310" s="113" t="s">
        <v>22028</v>
      </c>
      <c r="F310" s="257" t="s">
        <v>14436</v>
      </c>
      <c r="G310" s="160">
        <v>8528.2999999999993</v>
      </c>
      <c r="H310" s="152"/>
      <c r="I310" s="160">
        <f t="shared" si="4"/>
        <v>76652.329999999973</v>
      </c>
    </row>
    <row r="311" spans="2:9" ht="19.5" x14ac:dyDescent="0.25">
      <c r="B311" s="148"/>
      <c r="C311" s="148" t="s">
        <v>22027</v>
      </c>
      <c r="D311" s="150">
        <v>44022</v>
      </c>
      <c r="E311" s="113" t="s">
        <v>22026</v>
      </c>
      <c r="F311" s="257" t="s">
        <v>14436</v>
      </c>
      <c r="G311" s="160">
        <v>185.16</v>
      </c>
      <c r="H311" s="152"/>
      <c r="I311" s="160">
        <f t="shared" si="4"/>
        <v>76837.489999999976</v>
      </c>
    </row>
    <row r="312" spans="2:9" ht="19.5" x14ac:dyDescent="0.25">
      <c r="B312" s="148"/>
      <c r="C312" s="148" t="s">
        <v>1744</v>
      </c>
      <c r="D312" s="150">
        <v>44022</v>
      </c>
      <c r="E312" s="113" t="s">
        <v>22025</v>
      </c>
      <c r="F312" s="257" t="s">
        <v>14408</v>
      </c>
      <c r="G312" s="152"/>
      <c r="H312" s="319">
        <v>68.17</v>
      </c>
      <c r="I312" s="160">
        <f t="shared" si="4"/>
        <v>76769.319999999978</v>
      </c>
    </row>
    <row r="313" spans="2:9" ht="19.5" x14ac:dyDescent="0.25">
      <c r="B313" s="148"/>
      <c r="C313" s="148" t="s">
        <v>22024</v>
      </c>
      <c r="D313" s="150">
        <v>44023</v>
      </c>
      <c r="E313" s="113" t="s">
        <v>22023</v>
      </c>
      <c r="F313" s="257" t="s">
        <v>14409</v>
      </c>
      <c r="G313" s="258">
        <v>9.06</v>
      </c>
      <c r="H313" s="152"/>
      <c r="I313" s="160">
        <f t="shared" si="4"/>
        <v>76778.379999999976</v>
      </c>
    </row>
    <row r="314" spans="2:9" ht="19.5" x14ac:dyDescent="0.25">
      <c r="B314" s="148"/>
      <c r="C314" s="148" t="s">
        <v>22022</v>
      </c>
      <c r="D314" s="150">
        <v>44023</v>
      </c>
      <c r="E314" s="113" t="s">
        <v>22021</v>
      </c>
      <c r="F314" s="257" t="s">
        <v>14409</v>
      </c>
      <c r="G314" s="258">
        <v>2.08</v>
      </c>
      <c r="H314" s="152"/>
      <c r="I314" s="160">
        <f t="shared" si="4"/>
        <v>76780.459999999977</v>
      </c>
    </row>
    <row r="315" spans="2:9" ht="19.5" x14ac:dyDescent="0.25">
      <c r="B315" s="148"/>
      <c r="C315" s="148" t="s">
        <v>22020</v>
      </c>
      <c r="D315" s="150">
        <v>44023</v>
      </c>
      <c r="E315" s="113" t="s">
        <v>22019</v>
      </c>
      <c r="F315" s="257" t="s">
        <v>14409</v>
      </c>
      <c r="G315" s="258">
        <v>8.1300000000000008</v>
      </c>
      <c r="H315" s="152"/>
      <c r="I315" s="160">
        <f t="shared" si="4"/>
        <v>76788.589999999982</v>
      </c>
    </row>
    <row r="316" spans="2:9" ht="19.5" x14ac:dyDescent="0.25">
      <c r="B316" s="148"/>
      <c r="C316" s="148" t="s">
        <v>22018</v>
      </c>
      <c r="D316" s="150">
        <v>44023</v>
      </c>
      <c r="E316" s="113" t="s">
        <v>22017</v>
      </c>
      <c r="F316" s="257" t="s">
        <v>14409</v>
      </c>
      <c r="G316" s="258">
        <v>3.36</v>
      </c>
      <c r="H316" s="152"/>
      <c r="I316" s="160">
        <f t="shared" si="4"/>
        <v>76791.949999999983</v>
      </c>
    </row>
    <row r="317" spans="2:9" ht="15.75" x14ac:dyDescent="0.25">
      <c r="B317" s="148"/>
      <c r="C317" s="148" t="s">
        <v>22016</v>
      </c>
      <c r="D317" s="150">
        <v>44024</v>
      </c>
      <c r="E317" s="113" t="s">
        <v>22015</v>
      </c>
      <c r="F317" s="257" t="s">
        <v>14409</v>
      </c>
      <c r="G317" s="258">
        <v>5.82</v>
      </c>
      <c r="H317" s="152"/>
      <c r="I317" s="160">
        <f t="shared" si="4"/>
        <v>76797.76999999999</v>
      </c>
    </row>
    <row r="318" spans="2:9" ht="15.75" x14ac:dyDescent="0.25">
      <c r="B318" s="148"/>
      <c r="C318" s="148" t="s">
        <v>22014</v>
      </c>
      <c r="D318" s="150">
        <v>44025</v>
      </c>
      <c r="E318" s="113" t="s">
        <v>22013</v>
      </c>
      <c r="F318" s="257" t="s">
        <v>14436</v>
      </c>
      <c r="G318" s="160">
        <v>2.09</v>
      </c>
      <c r="H318" s="152"/>
      <c r="I318" s="160">
        <f t="shared" si="4"/>
        <v>76799.859999999986</v>
      </c>
    </row>
    <row r="319" spans="2:9" ht="15.75" x14ac:dyDescent="0.25">
      <c r="B319" s="148"/>
      <c r="C319" s="148" t="s">
        <v>22012</v>
      </c>
      <c r="D319" s="150">
        <v>44025</v>
      </c>
      <c r="E319" s="113" t="s">
        <v>22011</v>
      </c>
      <c r="F319" s="257" t="s">
        <v>14409</v>
      </c>
      <c r="G319" s="258">
        <v>2.37</v>
      </c>
      <c r="H319" s="152"/>
      <c r="I319" s="160">
        <f t="shared" si="4"/>
        <v>76802.229999999981</v>
      </c>
    </row>
    <row r="320" spans="2:9" ht="19.5" x14ac:dyDescent="0.25">
      <c r="B320" s="148"/>
      <c r="C320" s="148" t="s">
        <v>22010</v>
      </c>
      <c r="D320" s="150">
        <v>44025</v>
      </c>
      <c r="E320" s="113" t="s">
        <v>22009</v>
      </c>
      <c r="F320" s="257" t="s">
        <v>14409</v>
      </c>
      <c r="G320" s="258">
        <v>10.63</v>
      </c>
      <c r="H320" s="152"/>
      <c r="I320" s="160">
        <f t="shared" si="4"/>
        <v>76812.859999999986</v>
      </c>
    </row>
    <row r="321" spans="2:9" ht="19.5" x14ac:dyDescent="0.25">
      <c r="B321" s="148"/>
      <c r="C321" s="148" t="s">
        <v>22008</v>
      </c>
      <c r="D321" s="150">
        <v>44025</v>
      </c>
      <c r="E321" s="113" t="s">
        <v>22007</v>
      </c>
      <c r="F321" s="257" t="s">
        <v>14409</v>
      </c>
      <c r="G321" s="258">
        <v>7.83</v>
      </c>
      <c r="H321" s="152"/>
      <c r="I321" s="160">
        <f t="shared" si="4"/>
        <v>76820.689999999988</v>
      </c>
    </row>
    <row r="322" spans="2:9" ht="19.5" x14ac:dyDescent="0.25">
      <c r="B322" s="148"/>
      <c r="C322" s="148" t="s">
        <v>22006</v>
      </c>
      <c r="D322" s="150">
        <v>44025</v>
      </c>
      <c r="E322" s="113" t="s">
        <v>22005</v>
      </c>
      <c r="F322" s="257" t="s">
        <v>14409</v>
      </c>
      <c r="G322" s="258">
        <v>6.94</v>
      </c>
      <c r="H322" s="152"/>
      <c r="I322" s="160">
        <f t="shared" si="4"/>
        <v>76827.62999999999</v>
      </c>
    </row>
    <row r="323" spans="2:9" ht="19.5" x14ac:dyDescent="0.25">
      <c r="B323" s="148"/>
      <c r="C323" s="148" t="s">
        <v>22004</v>
      </c>
      <c r="D323" s="150">
        <v>44025</v>
      </c>
      <c r="E323" s="113" t="s">
        <v>22003</v>
      </c>
      <c r="F323" s="257" t="s">
        <v>14409</v>
      </c>
      <c r="G323" s="258">
        <v>11.64</v>
      </c>
      <c r="H323" s="152"/>
      <c r="I323" s="160">
        <f t="shared" si="4"/>
        <v>76839.26999999999</v>
      </c>
    </row>
    <row r="324" spans="2:9" ht="15.75" x14ac:dyDescent="0.25">
      <c r="B324" s="148"/>
      <c r="C324" s="148" t="s">
        <v>22002</v>
      </c>
      <c r="D324" s="150">
        <v>44025</v>
      </c>
      <c r="E324" s="113" t="s">
        <v>22001</v>
      </c>
      <c r="F324" s="257" t="s">
        <v>14409</v>
      </c>
      <c r="G324" s="258">
        <v>2.4900000000000002</v>
      </c>
      <c r="H324" s="152"/>
      <c r="I324" s="160">
        <f t="shared" si="4"/>
        <v>76841.759999999995</v>
      </c>
    </row>
    <row r="325" spans="2:9" ht="15.75" x14ac:dyDescent="0.25">
      <c r="B325" s="148"/>
      <c r="C325" s="148" t="s">
        <v>22000</v>
      </c>
      <c r="D325" s="150">
        <v>44025</v>
      </c>
      <c r="E325" s="113" t="s">
        <v>21999</v>
      </c>
      <c r="F325" s="257" t="s">
        <v>14409</v>
      </c>
      <c r="G325" s="258">
        <v>8.2899999999999991</v>
      </c>
      <c r="H325" s="152"/>
      <c r="I325" s="160">
        <f t="shared" si="4"/>
        <v>76850.049999999988</v>
      </c>
    </row>
    <row r="326" spans="2:9" ht="15.75" x14ac:dyDescent="0.25">
      <c r="B326" s="148"/>
      <c r="C326" s="148" t="s">
        <v>21998</v>
      </c>
      <c r="D326" s="150">
        <v>44025</v>
      </c>
      <c r="E326" s="113" t="s">
        <v>21997</v>
      </c>
      <c r="F326" s="257" t="s">
        <v>14409</v>
      </c>
      <c r="G326" s="258">
        <v>6.84</v>
      </c>
      <c r="H326" s="152"/>
      <c r="I326" s="160">
        <f t="shared" si="4"/>
        <v>76856.889999999985</v>
      </c>
    </row>
    <row r="327" spans="2:9" ht="19.5" x14ac:dyDescent="0.25">
      <c r="B327" s="148"/>
      <c r="C327" s="148" t="s">
        <v>21996</v>
      </c>
      <c r="D327" s="150">
        <v>44025</v>
      </c>
      <c r="E327" s="113" t="s">
        <v>21995</v>
      </c>
      <c r="F327" s="257" t="s">
        <v>14409</v>
      </c>
      <c r="G327" s="258">
        <v>5.96</v>
      </c>
      <c r="H327" s="152"/>
      <c r="I327" s="160">
        <f t="shared" si="4"/>
        <v>76862.849999999991</v>
      </c>
    </row>
    <row r="328" spans="2:9" ht="15.75" x14ac:dyDescent="0.25">
      <c r="B328" s="148"/>
      <c r="C328" s="148" t="s">
        <v>21994</v>
      </c>
      <c r="D328" s="150">
        <v>44025</v>
      </c>
      <c r="E328" s="113" t="s">
        <v>21993</v>
      </c>
      <c r="F328" s="257">
        <v>9</v>
      </c>
      <c r="G328" s="255">
        <v>12.3</v>
      </c>
      <c r="H328" s="152"/>
      <c r="I328" s="160">
        <f t="shared" si="4"/>
        <v>76875.149999999994</v>
      </c>
    </row>
    <row r="329" spans="2:9" ht="15.75" x14ac:dyDescent="0.25">
      <c r="B329" s="148"/>
      <c r="C329" s="148" t="s">
        <v>21992</v>
      </c>
      <c r="D329" s="150">
        <v>44025</v>
      </c>
      <c r="E329" s="113" t="s">
        <v>21991</v>
      </c>
      <c r="F329" s="257">
        <v>9</v>
      </c>
      <c r="G329" s="255">
        <v>10.58</v>
      </c>
      <c r="H329" s="152"/>
      <c r="I329" s="160">
        <f t="shared" si="4"/>
        <v>76885.73</v>
      </c>
    </row>
    <row r="330" spans="2:9" ht="15.75" x14ac:dyDescent="0.25">
      <c r="B330" s="148"/>
      <c r="C330" s="148" t="s">
        <v>21990</v>
      </c>
      <c r="D330" s="150">
        <v>44025</v>
      </c>
      <c r="E330" s="113" t="s">
        <v>21989</v>
      </c>
      <c r="F330" s="257">
        <v>9</v>
      </c>
      <c r="G330" s="255">
        <v>18.96</v>
      </c>
      <c r="H330" s="152"/>
      <c r="I330" s="160">
        <f t="shared" si="4"/>
        <v>76904.69</v>
      </c>
    </row>
    <row r="331" spans="2:9" ht="15.75" x14ac:dyDescent="0.25">
      <c r="B331" s="148"/>
      <c r="C331" s="148" t="s">
        <v>21988</v>
      </c>
      <c r="D331" s="150">
        <v>44025</v>
      </c>
      <c r="E331" s="113" t="s">
        <v>21987</v>
      </c>
      <c r="F331" s="257">
        <v>9</v>
      </c>
      <c r="G331" s="255">
        <v>8.3800000000000008</v>
      </c>
      <c r="H331" s="152"/>
      <c r="I331" s="160">
        <f t="shared" si="4"/>
        <v>76913.070000000007</v>
      </c>
    </row>
    <row r="332" spans="2:9" ht="15.75" x14ac:dyDescent="0.25">
      <c r="B332" s="148"/>
      <c r="C332" s="148" t="s">
        <v>21986</v>
      </c>
      <c r="D332" s="150">
        <v>44025</v>
      </c>
      <c r="E332" s="113" t="s">
        <v>21985</v>
      </c>
      <c r="F332" s="257">
        <v>9</v>
      </c>
      <c r="G332" s="255">
        <v>15.3</v>
      </c>
      <c r="H332" s="152"/>
      <c r="I332" s="160">
        <f t="shared" si="4"/>
        <v>76928.37000000001</v>
      </c>
    </row>
    <row r="333" spans="2:9" ht="15.75" x14ac:dyDescent="0.25">
      <c r="B333" s="148"/>
      <c r="C333" s="148" t="s">
        <v>21984</v>
      </c>
      <c r="D333" s="150">
        <v>44025</v>
      </c>
      <c r="E333" s="113" t="s">
        <v>21983</v>
      </c>
      <c r="F333" s="257">
        <v>9</v>
      </c>
      <c r="G333" s="255">
        <v>8.3800000000000008</v>
      </c>
      <c r="H333" s="152"/>
      <c r="I333" s="160">
        <f t="shared" si="4"/>
        <v>76936.750000000015</v>
      </c>
    </row>
    <row r="334" spans="2:9" ht="15.75" x14ac:dyDescent="0.25">
      <c r="B334" s="148"/>
      <c r="C334" s="148" t="s">
        <v>21982</v>
      </c>
      <c r="D334" s="150">
        <v>44025</v>
      </c>
      <c r="E334" s="113" t="s">
        <v>21981</v>
      </c>
      <c r="F334" s="257">
        <v>9</v>
      </c>
      <c r="G334" s="255">
        <v>8.3800000000000008</v>
      </c>
      <c r="H334" s="152"/>
      <c r="I334" s="160">
        <f t="shared" si="4"/>
        <v>76945.130000000019</v>
      </c>
    </row>
    <row r="335" spans="2:9" ht="29.25" x14ac:dyDescent="0.25">
      <c r="B335" s="148"/>
      <c r="C335" s="148" t="s">
        <v>21980</v>
      </c>
      <c r="D335" s="150">
        <v>44025</v>
      </c>
      <c r="E335" s="113" t="s">
        <v>21979</v>
      </c>
      <c r="F335" s="257" t="s">
        <v>14436</v>
      </c>
      <c r="G335" s="160">
        <v>160.81</v>
      </c>
      <c r="H335" s="152"/>
      <c r="I335" s="160">
        <f t="shared" si="4"/>
        <v>77105.940000000017</v>
      </c>
    </row>
    <row r="336" spans="2:9" ht="15.75" x14ac:dyDescent="0.25">
      <c r="B336" s="148"/>
      <c r="C336" s="148" t="s">
        <v>1428</v>
      </c>
      <c r="D336" s="150">
        <v>44025</v>
      </c>
      <c r="E336" s="113" t="s">
        <v>21978</v>
      </c>
      <c r="F336" s="257" t="s">
        <v>14433</v>
      </c>
      <c r="G336" s="152"/>
      <c r="H336" s="161">
        <v>50.67</v>
      </c>
      <c r="I336" s="160">
        <f t="shared" si="4"/>
        <v>77055.270000000019</v>
      </c>
    </row>
    <row r="337" spans="2:9" ht="19.5" x14ac:dyDescent="0.25">
      <c r="B337" s="148"/>
      <c r="C337" s="148" t="s">
        <v>21977</v>
      </c>
      <c r="D337" s="150">
        <v>44026</v>
      </c>
      <c r="E337" s="113" t="s">
        <v>21976</v>
      </c>
      <c r="F337" s="257" t="s">
        <v>18712</v>
      </c>
      <c r="G337" s="160">
        <v>571.65</v>
      </c>
      <c r="H337" s="152"/>
      <c r="I337" s="160">
        <f t="shared" si="4"/>
        <v>77626.920000000013</v>
      </c>
    </row>
    <row r="338" spans="2:9" ht="15.75" x14ac:dyDescent="0.25">
      <c r="B338" s="148"/>
      <c r="C338" s="148" t="s">
        <v>21975</v>
      </c>
      <c r="D338" s="150">
        <v>44026</v>
      </c>
      <c r="E338" s="113" t="s">
        <v>21974</v>
      </c>
      <c r="F338" s="257" t="s">
        <v>14436</v>
      </c>
      <c r="G338" s="160">
        <v>70.94</v>
      </c>
      <c r="H338" s="152"/>
      <c r="I338" s="160">
        <f t="shared" si="4"/>
        <v>77697.860000000015</v>
      </c>
    </row>
    <row r="339" spans="2:9" ht="15.75" x14ac:dyDescent="0.25">
      <c r="B339" s="148"/>
      <c r="C339" s="148" t="s">
        <v>21973</v>
      </c>
      <c r="D339" s="150">
        <v>44026</v>
      </c>
      <c r="E339" s="113" t="s">
        <v>21972</v>
      </c>
      <c r="F339" s="257" t="s">
        <v>14436</v>
      </c>
      <c r="G339" s="160">
        <v>27.65</v>
      </c>
      <c r="H339" s="152"/>
      <c r="I339" s="160">
        <f t="shared" si="4"/>
        <v>77725.510000000009</v>
      </c>
    </row>
    <row r="340" spans="2:9" ht="19.5" x14ac:dyDescent="0.25">
      <c r="B340" s="148"/>
      <c r="C340" s="148" t="s">
        <v>21971</v>
      </c>
      <c r="D340" s="150">
        <v>44026</v>
      </c>
      <c r="E340" s="113" t="s">
        <v>21970</v>
      </c>
      <c r="F340" s="257" t="s">
        <v>14409</v>
      </c>
      <c r="G340" s="258">
        <v>7.37</v>
      </c>
      <c r="H340" s="152"/>
      <c r="I340" s="160">
        <f t="shared" ref="I340:I403" si="5">+I339+G340-H340</f>
        <v>77732.88</v>
      </c>
    </row>
    <row r="341" spans="2:9" ht="19.5" x14ac:dyDescent="0.25">
      <c r="B341" s="148"/>
      <c r="C341" s="148" t="s">
        <v>21969</v>
      </c>
      <c r="D341" s="150">
        <v>44026</v>
      </c>
      <c r="E341" s="113" t="s">
        <v>21968</v>
      </c>
      <c r="F341" s="257" t="s">
        <v>14409</v>
      </c>
      <c r="G341" s="258">
        <v>26.58</v>
      </c>
      <c r="H341" s="152"/>
      <c r="I341" s="160">
        <f t="shared" si="5"/>
        <v>77759.460000000006</v>
      </c>
    </row>
    <row r="342" spans="2:9" ht="15.75" x14ac:dyDescent="0.25">
      <c r="B342" s="148"/>
      <c r="C342" s="148" t="s">
        <v>21967</v>
      </c>
      <c r="D342" s="150">
        <v>44026</v>
      </c>
      <c r="E342" s="113" t="s">
        <v>21966</v>
      </c>
      <c r="F342" s="257" t="s">
        <v>14409</v>
      </c>
      <c r="G342" s="258">
        <v>16.739999999999998</v>
      </c>
      <c r="H342" s="152"/>
      <c r="I342" s="160">
        <f t="shared" si="5"/>
        <v>77776.200000000012</v>
      </c>
    </row>
    <row r="343" spans="2:9" ht="19.5" x14ac:dyDescent="0.25">
      <c r="B343" s="148"/>
      <c r="C343" s="148" t="s">
        <v>21965</v>
      </c>
      <c r="D343" s="150">
        <v>44026</v>
      </c>
      <c r="E343" s="113" t="s">
        <v>21964</v>
      </c>
      <c r="F343" s="257" t="s">
        <v>14409</v>
      </c>
      <c r="G343" s="258">
        <v>50.21</v>
      </c>
      <c r="H343" s="152"/>
      <c r="I343" s="160">
        <f t="shared" si="5"/>
        <v>77826.410000000018</v>
      </c>
    </row>
    <row r="344" spans="2:9" ht="19.5" x14ac:dyDescent="0.25">
      <c r="B344" s="148"/>
      <c r="C344" s="148" t="s">
        <v>21963</v>
      </c>
      <c r="D344" s="150">
        <v>44026</v>
      </c>
      <c r="E344" s="113" t="s">
        <v>21962</v>
      </c>
      <c r="F344" s="257" t="s">
        <v>14409</v>
      </c>
      <c r="G344" s="258">
        <v>56.73</v>
      </c>
      <c r="H344" s="152"/>
      <c r="I344" s="160">
        <f t="shared" si="5"/>
        <v>77883.140000000014</v>
      </c>
    </row>
    <row r="345" spans="2:9" ht="15.75" x14ac:dyDescent="0.25">
      <c r="B345" s="148"/>
      <c r="C345" s="148" t="s">
        <v>21961</v>
      </c>
      <c r="D345" s="150">
        <v>44026</v>
      </c>
      <c r="E345" s="113" t="s">
        <v>21960</v>
      </c>
      <c r="F345" s="257" t="s">
        <v>14409</v>
      </c>
      <c r="G345" s="258">
        <v>7.12</v>
      </c>
      <c r="H345" s="152"/>
      <c r="I345" s="160">
        <f t="shared" si="5"/>
        <v>77890.260000000009</v>
      </c>
    </row>
    <row r="346" spans="2:9" ht="19.5" x14ac:dyDescent="0.25">
      <c r="B346" s="148"/>
      <c r="C346" s="148" t="s">
        <v>21959</v>
      </c>
      <c r="D346" s="150">
        <v>44026</v>
      </c>
      <c r="E346" s="113" t="s">
        <v>21958</v>
      </c>
      <c r="F346" s="257" t="s">
        <v>14409</v>
      </c>
      <c r="G346" s="258">
        <v>8.58</v>
      </c>
      <c r="H346" s="152"/>
      <c r="I346" s="160">
        <f t="shared" si="5"/>
        <v>77898.840000000011</v>
      </c>
    </row>
    <row r="347" spans="2:9" ht="19.5" x14ac:dyDescent="0.25">
      <c r="B347" s="148"/>
      <c r="C347" s="148" t="s">
        <v>21957</v>
      </c>
      <c r="D347" s="150">
        <v>44026</v>
      </c>
      <c r="E347" s="113" t="s">
        <v>21956</v>
      </c>
      <c r="F347" s="257" t="s">
        <v>14409</v>
      </c>
      <c r="G347" s="258">
        <v>12.42</v>
      </c>
      <c r="H347" s="152"/>
      <c r="I347" s="160">
        <f t="shared" si="5"/>
        <v>77911.260000000009</v>
      </c>
    </row>
    <row r="348" spans="2:9" ht="15.75" x14ac:dyDescent="0.25">
      <c r="B348" s="148"/>
      <c r="C348" s="148" t="s">
        <v>21955</v>
      </c>
      <c r="D348" s="150">
        <v>44026</v>
      </c>
      <c r="E348" s="113" t="s">
        <v>21954</v>
      </c>
      <c r="F348" s="257" t="s">
        <v>14409</v>
      </c>
      <c r="G348" s="258">
        <v>7.96</v>
      </c>
      <c r="H348" s="152"/>
      <c r="I348" s="160">
        <f t="shared" si="5"/>
        <v>77919.220000000016</v>
      </c>
    </row>
    <row r="349" spans="2:9" ht="19.5" x14ac:dyDescent="0.25">
      <c r="B349" s="148"/>
      <c r="C349" s="148" t="s">
        <v>21953</v>
      </c>
      <c r="D349" s="150">
        <v>44026</v>
      </c>
      <c r="E349" s="113" t="s">
        <v>21952</v>
      </c>
      <c r="F349" s="257" t="s">
        <v>14409</v>
      </c>
      <c r="G349" s="258">
        <v>26.63</v>
      </c>
      <c r="H349" s="152"/>
      <c r="I349" s="160">
        <f t="shared" si="5"/>
        <v>77945.85000000002</v>
      </c>
    </row>
    <row r="350" spans="2:9" ht="19.5" x14ac:dyDescent="0.25">
      <c r="B350" s="148"/>
      <c r="C350" s="148" t="s">
        <v>21951</v>
      </c>
      <c r="D350" s="150">
        <v>44026</v>
      </c>
      <c r="E350" s="113" t="s">
        <v>21950</v>
      </c>
      <c r="F350" s="257" t="s">
        <v>14409</v>
      </c>
      <c r="G350" s="258">
        <v>11.59</v>
      </c>
      <c r="H350" s="152"/>
      <c r="I350" s="160">
        <f t="shared" si="5"/>
        <v>77957.440000000017</v>
      </c>
    </row>
    <row r="351" spans="2:9" ht="19.5" x14ac:dyDescent="0.25">
      <c r="B351" s="148"/>
      <c r="C351" s="148" t="s">
        <v>21949</v>
      </c>
      <c r="D351" s="150">
        <v>44026</v>
      </c>
      <c r="E351" s="113" t="s">
        <v>21948</v>
      </c>
      <c r="F351" s="257" t="s">
        <v>14409</v>
      </c>
      <c r="G351" s="258">
        <v>38.71</v>
      </c>
      <c r="H351" s="152"/>
      <c r="I351" s="160">
        <f t="shared" si="5"/>
        <v>77996.150000000023</v>
      </c>
    </row>
    <row r="352" spans="2:9" ht="19.5" x14ac:dyDescent="0.25">
      <c r="B352" s="148"/>
      <c r="C352" s="148" t="s">
        <v>21947</v>
      </c>
      <c r="D352" s="150">
        <v>44026</v>
      </c>
      <c r="E352" s="113" t="s">
        <v>21946</v>
      </c>
      <c r="F352" s="257" t="s">
        <v>14409</v>
      </c>
      <c r="G352" s="258">
        <v>14.53</v>
      </c>
      <c r="H352" s="152"/>
      <c r="I352" s="160">
        <f t="shared" si="5"/>
        <v>78010.680000000022</v>
      </c>
    </row>
    <row r="353" spans="2:9" ht="15.75" x14ac:dyDescent="0.25">
      <c r="B353" s="148"/>
      <c r="C353" s="148" t="s">
        <v>21945</v>
      </c>
      <c r="D353" s="150">
        <v>44026</v>
      </c>
      <c r="E353" s="113" t="s">
        <v>21944</v>
      </c>
      <c r="F353" s="257" t="s">
        <v>14409</v>
      </c>
      <c r="G353" s="258">
        <v>3.72</v>
      </c>
      <c r="H353" s="152"/>
      <c r="I353" s="160">
        <f t="shared" si="5"/>
        <v>78014.400000000023</v>
      </c>
    </row>
    <row r="354" spans="2:9" ht="19.5" x14ac:dyDescent="0.25">
      <c r="B354" s="148"/>
      <c r="C354" s="148" t="s">
        <v>21943</v>
      </c>
      <c r="D354" s="150">
        <v>44026</v>
      </c>
      <c r="E354" s="113" t="s">
        <v>21942</v>
      </c>
      <c r="F354" s="257">
        <v>10</v>
      </c>
      <c r="G354" s="255">
        <v>5.16</v>
      </c>
      <c r="H354" s="152"/>
      <c r="I354" s="160">
        <f t="shared" si="5"/>
        <v>78019.560000000027</v>
      </c>
    </row>
    <row r="355" spans="2:9" ht="15.75" x14ac:dyDescent="0.25">
      <c r="B355" s="148"/>
      <c r="C355" s="148" t="s">
        <v>21941</v>
      </c>
      <c r="D355" s="150">
        <v>44026</v>
      </c>
      <c r="E355" s="113" t="s">
        <v>21940</v>
      </c>
      <c r="F355" s="257">
        <v>10</v>
      </c>
      <c r="G355" s="255">
        <v>5.82</v>
      </c>
      <c r="H355" s="152"/>
      <c r="I355" s="160">
        <f t="shared" si="5"/>
        <v>78025.380000000034</v>
      </c>
    </row>
    <row r="356" spans="2:9" ht="15.75" x14ac:dyDescent="0.25">
      <c r="B356" s="148"/>
      <c r="C356" s="148" t="s">
        <v>21939</v>
      </c>
      <c r="D356" s="150">
        <v>44027</v>
      </c>
      <c r="E356" s="113" t="s">
        <v>21938</v>
      </c>
      <c r="F356" s="257" t="s">
        <v>14409</v>
      </c>
      <c r="G356" s="258">
        <v>1.95</v>
      </c>
      <c r="H356" s="152"/>
      <c r="I356" s="160">
        <f t="shared" si="5"/>
        <v>78027.330000000031</v>
      </c>
    </row>
    <row r="357" spans="2:9" ht="19.5" x14ac:dyDescent="0.25">
      <c r="B357" s="148"/>
      <c r="C357" s="148" t="s">
        <v>21937</v>
      </c>
      <c r="D357" s="150">
        <v>44027</v>
      </c>
      <c r="E357" s="113" t="s">
        <v>21936</v>
      </c>
      <c r="F357" s="257" t="s">
        <v>14409</v>
      </c>
      <c r="G357" s="258">
        <v>16.55</v>
      </c>
      <c r="H357" s="152"/>
      <c r="I357" s="160">
        <f t="shared" si="5"/>
        <v>78043.880000000034</v>
      </c>
    </row>
    <row r="358" spans="2:9" ht="19.5" x14ac:dyDescent="0.25">
      <c r="B358" s="148"/>
      <c r="C358" s="148" t="s">
        <v>21935</v>
      </c>
      <c r="D358" s="150">
        <v>44027</v>
      </c>
      <c r="E358" s="113" t="s">
        <v>21934</v>
      </c>
      <c r="F358" s="257" t="s">
        <v>14409</v>
      </c>
      <c r="G358" s="258">
        <v>26.73</v>
      </c>
      <c r="H358" s="152"/>
      <c r="I358" s="160">
        <f t="shared" si="5"/>
        <v>78070.61000000003</v>
      </c>
    </row>
    <row r="359" spans="2:9" ht="19.5" x14ac:dyDescent="0.25">
      <c r="B359" s="148"/>
      <c r="C359" s="148" t="s">
        <v>21933</v>
      </c>
      <c r="D359" s="150">
        <v>44027</v>
      </c>
      <c r="E359" s="113" t="s">
        <v>21932</v>
      </c>
      <c r="F359" s="257" t="s">
        <v>14409</v>
      </c>
      <c r="G359" s="258">
        <v>4.32</v>
      </c>
      <c r="H359" s="152"/>
      <c r="I359" s="160">
        <f t="shared" si="5"/>
        <v>78074.930000000037</v>
      </c>
    </row>
    <row r="360" spans="2:9" ht="15.75" x14ac:dyDescent="0.25">
      <c r="B360" s="148"/>
      <c r="C360" s="148" t="s">
        <v>21931</v>
      </c>
      <c r="D360" s="150">
        <v>44027</v>
      </c>
      <c r="E360" s="113" t="s">
        <v>21930</v>
      </c>
      <c r="F360" s="257" t="s">
        <v>14409</v>
      </c>
      <c r="G360" s="258">
        <v>1.69</v>
      </c>
      <c r="H360" s="152"/>
      <c r="I360" s="160">
        <f t="shared" si="5"/>
        <v>78076.620000000039</v>
      </c>
    </row>
    <row r="361" spans="2:9" ht="19.5" x14ac:dyDescent="0.25">
      <c r="B361" s="148"/>
      <c r="C361" s="148" t="s">
        <v>21929</v>
      </c>
      <c r="D361" s="150">
        <v>44027</v>
      </c>
      <c r="E361" s="113" t="s">
        <v>21928</v>
      </c>
      <c r="F361" s="257" t="s">
        <v>14409</v>
      </c>
      <c r="G361" s="258">
        <v>11.79</v>
      </c>
      <c r="H361" s="152"/>
      <c r="I361" s="160">
        <f t="shared" si="5"/>
        <v>78088.410000000033</v>
      </c>
    </row>
    <row r="362" spans="2:9" ht="19.5" x14ac:dyDescent="0.25">
      <c r="B362" s="148"/>
      <c r="C362" s="148" t="s">
        <v>21927</v>
      </c>
      <c r="D362" s="150">
        <v>44027</v>
      </c>
      <c r="E362" s="113" t="s">
        <v>21926</v>
      </c>
      <c r="F362" s="257" t="s">
        <v>14409</v>
      </c>
      <c r="G362" s="258">
        <v>9.2100000000000009</v>
      </c>
      <c r="H362" s="152"/>
      <c r="I362" s="160">
        <f t="shared" si="5"/>
        <v>78097.620000000039</v>
      </c>
    </row>
    <row r="363" spans="2:9" ht="15.75" x14ac:dyDescent="0.25">
      <c r="B363" s="148"/>
      <c r="C363" s="148" t="s">
        <v>21925</v>
      </c>
      <c r="D363" s="150">
        <v>44027</v>
      </c>
      <c r="E363" s="113" t="s">
        <v>21924</v>
      </c>
      <c r="F363" s="257" t="s">
        <v>14409</v>
      </c>
      <c r="G363" s="258">
        <v>4.83</v>
      </c>
      <c r="H363" s="152"/>
      <c r="I363" s="160">
        <f t="shared" si="5"/>
        <v>78102.450000000041</v>
      </c>
    </row>
    <row r="364" spans="2:9" ht="15.75" x14ac:dyDescent="0.25">
      <c r="B364" s="148"/>
      <c r="C364" s="148" t="s">
        <v>21923</v>
      </c>
      <c r="D364" s="150">
        <v>44027</v>
      </c>
      <c r="E364" s="113" t="s">
        <v>21922</v>
      </c>
      <c r="F364" s="257" t="s">
        <v>14409</v>
      </c>
      <c r="G364" s="258">
        <v>2</v>
      </c>
      <c r="H364" s="152"/>
      <c r="I364" s="160">
        <f t="shared" si="5"/>
        <v>78104.450000000041</v>
      </c>
    </row>
    <row r="365" spans="2:9" ht="15.75" x14ac:dyDescent="0.25">
      <c r="B365" s="148"/>
      <c r="C365" s="148" t="s">
        <v>21921</v>
      </c>
      <c r="D365" s="150">
        <v>44027</v>
      </c>
      <c r="E365" s="113" t="s">
        <v>21920</v>
      </c>
      <c r="F365" s="257" t="s">
        <v>14409</v>
      </c>
      <c r="G365" s="258">
        <v>6</v>
      </c>
      <c r="H365" s="152"/>
      <c r="I365" s="160">
        <f t="shared" si="5"/>
        <v>78110.450000000041</v>
      </c>
    </row>
    <row r="366" spans="2:9" ht="19.5" x14ac:dyDescent="0.25">
      <c r="B366" s="148"/>
      <c r="C366" s="148" t="s">
        <v>21919</v>
      </c>
      <c r="D366" s="150">
        <v>44027</v>
      </c>
      <c r="E366" s="113" t="s">
        <v>21918</v>
      </c>
      <c r="F366" s="257" t="s">
        <v>14409</v>
      </c>
      <c r="G366" s="258">
        <v>8.4</v>
      </c>
      <c r="H366" s="152"/>
      <c r="I366" s="160">
        <f t="shared" si="5"/>
        <v>78118.850000000035</v>
      </c>
    </row>
    <row r="367" spans="2:9" ht="15.75" x14ac:dyDescent="0.25">
      <c r="B367" s="148"/>
      <c r="C367" s="148" t="s">
        <v>21917</v>
      </c>
      <c r="D367" s="150">
        <v>44027</v>
      </c>
      <c r="E367" s="113" t="s">
        <v>21916</v>
      </c>
      <c r="F367" s="257" t="s">
        <v>14409</v>
      </c>
      <c r="G367" s="258">
        <v>15.76</v>
      </c>
      <c r="H367" s="152"/>
      <c r="I367" s="160">
        <f t="shared" si="5"/>
        <v>78134.61000000003</v>
      </c>
    </row>
    <row r="368" spans="2:9" ht="19.5" x14ac:dyDescent="0.25">
      <c r="B368" s="148"/>
      <c r="C368" s="148" t="s">
        <v>21915</v>
      </c>
      <c r="D368" s="150">
        <v>44027</v>
      </c>
      <c r="E368" s="113" t="s">
        <v>21914</v>
      </c>
      <c r="F368" s="257" t="s">
        <v>14409</v>
      </c>
      <c r="G368" s="258">
        <v>5.67</v>
      </c>
      <c r="H368" s="152"/>
      <c r="I368" s="160">
        <f t="shared" si="5"/>
        <v>78140.280000000028</v>
      </c>
    </row>
    <row r="369" spans="2:9" ht="15.75" x14ac:dyDescent="0.25">
      <c r="B369" s="148"/>
      <c r="C369" s="148" t="s">
        <v>21913</v>
      </c>
      <c r="D369" s="150">
        <v>44027</v>
      </c>
      <c r="E369" s="113" t="s">
        <v>21912</v>
      </c>
      <c r="F369" s="257">
        <v>11</v>
      </c>
      <c r="G369" s="160">
        <v>3.36</v>
      </c>
      <c r="H369" s="152"/>
      <c r="I369" s="160">
        <f t="shared" si="5"/>
        <v>78143.640000000029</v>
      </c>
    </row>
    <row r="370" spans="2:9" ht="19.5" x14ac:dyDescent="0.25">
      <c r="B370" s="148"/>
      <c r="C370" s="148" t="s">
        <v>21911</v>
      </c>
      <c r="D370" s="150">
        <v>44027</v>
      </c>
      <c r="E370" s="113" t="s">
        <v>21910</v>
      </c>
      <c r="F370" s="257" t="s">
        <v>14436</v>
      </c>
      <c r="G370" s="160">
        <v>13.88</v>
      </c>
      <c r="H370" s="152"/>
      <c r="I370" s="160">
        <f t="shared" si="5"/>
        <v>78157.520000000033</v>
      </c>
    </row>
    <row r="371" spans="2:9" ht="15.75" x14ac:dyDescent="0.25">
      <c r="B371" s="148"/>
      <c r="C371" s="148" t="s">
        <v>21909</v>
      </c>
      <c r="D371" s="150">
        <v>44027</v>
      </c>
      <c r="E371" s="113" t="s">
        <v>21908</v>
      </c>
      <c r="F371" s="257" t="s">
        <v>14436</v>
      </c>
      <c r="G371" s="160">
        <v>1.94</v>
      </c>
      <c r="H371" s="152"/>
      <c r="I371" s="160">
        <f t="shared" si="5"/>
        <v>78159.460000000036</v>
      </c>
    </row>
    <row r="372" spans="2:9" ht="19.5" x14ac:dyDescent="0.25">
      <c r="B372" s="148"/>
      <c r="C372" s="148" t="s">
        <v>15202</v>
      </c>
      <c r="D372" s="150">
        <v>44027</v>
      </c>
      <c r="E372" s="113" t="s">
        <v>21907</v>
      </c>
      <c r="F372" s="257" t="s">
        <v>14433</v>
      </c>
      <c r="G372" s="152"/>
      <c r="H372" s="161">
        <v>10.58</v>
      </c>
      <c r="I372" s="160">
        <f t="shared" si="5"/>
        <v>78148.880000000034</v>
      </c>
    </row>
    <row r="373" spans="2:9" ht="19.5" x14ac:dyDescent="0.25">
      <c r="B373" s="148"/>
      <c r="C373" s="148" t="s">
        <v>15200</v>
      </c>
      <c r="D373" s="150">
        <v>44027</v>
      </c>
      <c r="E373" s="113" t="s">
        <v>21906</v>
      </c>
      <c r="F373" s="257" t="s">
        <v>14433</v>
      </c>
      <c r="G373" s="152"/>
      <c r="H373" s="161">
        <v>19.84</v>
      </c>
      <c r="I373" s="160">
        <f t="shared" si="5"/>
        <v>78129.040000000037</v>
      </c>
    </row>
    <row r="374" spans="2:9" ht="19.5" x14ac:dyDescent="0.25">
      <c r="B374" s="148"/>
      <c r="C374" s="148" t="s">
        <v>14518</v>
      </c>
      <c r="D374" s="150">
        <v>44027</v>
      </c>
      <c r="E374" s="113" t="s">
        <v>21905</v>
      </c>
      <c r="F374" s="257" t="s">
        <v>14433</v>
      </c>
      <c r="G374" s="152"/>
      <c r="H374" s="161">
        <v>11.61</v>
      </c>
      <c r="I374" s="160">
        <f t="shared" si="5"/>
        <v>78117.430000000037</v>
      </c>
    </row>
    <row r="375" spans="2:9" ht="19.5" x14ac:dyDescent="0.25">
      <c r="B375" s="148"/>
      <c r="C375" s="148" t="s">
        <v>407</v>
      </c>
      <c r="D375" s="150">
        <v>44027</v>
      </c>
      <c r="E375" s="113" t="s">
        <v>21904</v>
      </c>
      <c r="F375" s="257" t="s">
        <v>14433</v>
      </c>
      <c r="G375" s="152"/>
      <c r="H375" s="161">
        <v>15.04</v>
      </c>
      <c r="I375" s="160">
        <f t="shared" si="5"/>
        <v>78102.390000000043</v>
      </c>
    </row>
    <row r="376" spans="2:9" ht="19.5" x14ac:dyDescent="0.25">
      <c r="B376" s="148"/>
      <c r="C376" s="148" t="s">
        <v>405</v>
      </c>
      <c r="D376" s="150">
        <v>44027</v>
      </c>
      <c r="E376" s="113" t="s">
        <v>21903</v>
      </c>
      <c r="F376" s="257" t="s">
        <v>14433</v>
      </c>
      <c r="G376" s="152"/>
      <c r="H376" s="161">
        <v>7.76</v>
      </c>
      <c r="I376" s="160">
        <f t="shared" si="5"/>
        <v>78094.630000000048</v>
      </c>
    </row>
    <row r="377" spans="2:9" ht="19.5" x14ac:dyDescent="0.25">
      <c r="B377" s="148"/>
      <c r="C377" s="148" t="s">
        <v>19346</v>
      </c>
      <c r="D377" s="150">
        <v>44027</v>
      </c>
      <c r="E377" s="113" t="s">
        <v>21902</v>
      </c>
      <c r="F377" s="257" t="s">
        <v>14433</v>
      </c>
      <c r="G377" s="152"/>
      <c r="H377" s="161">
        <v>8.61</v>
      </c>
      <c r="I377" s="160">
        <f t="shared" si="5"/>
        <v>78086.020000000048</v>
      </c>
    </row>
    <row r="378" spans="2:9" ht="15.75" x14ac:dyDescent="0.25">
      <c r="B378" s="148"/>
      <c r="C378" s="148" t="s">
        <v>18390</v>
      </c>
      <c r="D378" s="150">
        <v>44027</v>
      </c>
      <c r="E378" s="113" t="s">
        <v>21901</v>
      </c>
      <c r="F378" s="257" t="s">
        <v>14433</v>
      </c>
      <c r="G378" s="152"/>
      <c r="H378" s="161">
        <v>15.46</v>
      </c>
      <c r="I378" s="160">
        <f t="shared" si="5"/>
        <v>78070.560000000041</v>
      </c>
    </row>
    <row r="379" spans="2:9" ht="19.5" x14ac:dyDescent="0.25">
      <c r="B379" s="148"/>
      <c r="C379" s="148" t="s">
        <v>18039</v>
      </c>
      <c r="D379" s="150">
        <v>44027</v>
      </c>
      <c r="E379" s="113" t="s">
        <v>21900</v>
      </c>
      <c r="F379" s="257" t="s">
        <v>14433</v>
      </c>
      <c r="G379" s="152"/>
      <c r="H379" s="161">
        <v>594.79</v>
      </c>
      <c r="I379" s="160">
        <f t="shared" si="5"/>
        <v>77475.770000000048</v>
      </c>
    </row>
    <row r="380" spans="2:9" ht="19.5" x14ac:dyDescent="0.25">
      <c r="B380" s="148"/>
      <c r="C380" s="148" t="s">
        <v>16366</v>
      </c>
      <c r="D380" s="150">
        <v>44027</v>
      </c>
      <c r="E380" s="113" t="s">
        <v>21899</v>
      </c>
      <c r="F380" s="257" t="s">
        <v>14433</v>
      </c>
      <c r="G380" s="152"/>
      <c r="H380" s="161">
        <v>166.65</v>
      </c>
      <c r="I380" s="160">
        <f t="shared" si="5"/>
        <v>77309.120000000054</v>
      </c>
    </row>
    <row r="381" spans="2:9" ht="19.5" x14ac:dyDescent="0.25">
      <c r="B381" s="148"/>
      <c r="C381" s="148" t="s">
        <v>16699</v>
      </c>
      <c r="D381" s="150">
        <v>44027</v>
      </c>
      <c r="E381" s="113" t="s">
        <v>21898</v>
      </c>
      <c r="F381" s="257" t="s">
        <v>14433</v>
      </c>
      <c r="G381" s="152"/>
      <c r="H381" s="161">
        <v>116.99</v>
      </c>
      <c r="I381" s="160">
        <f t="shared" si="5"/>
        <v>77192.130000000048</v>
      </c>
    </row>
    <row r="382" spans="2:9" ht="19.5" x14ac:dyDescent="0.25">
      <c r="B382" s="148"/>
      <c r="C382" s="148" t="s">
        <v>16364</v>
      </c>
      <c r="D382" s="150">
        <v>44027</v>
      </c>
      <c r="E382" s="113" t="s">
        <v>21897</v>
      </c>
      <c r="F382" s="257" t="s">
        <v>14433</v>
      </c>
      <c r="G382" s="152"/>
      <c r="H382" s="161">
        <v>21.9</v>
      </c>
      <c r="I382" s="160">
        <f t="shared" si="5"/>
        <v>77170.230000000054</v>
      </c>
    </row>
    <row r="383" spans="2:9" ht="19.5" x14ac:dyDescent="0.25">
      <c r="B383" s="148"/>
      <c r="C383" s="148" t="s">
        <v>16362</v>
      </c>
      <c r="D383" s="150">
        <v>44027</v>
      </c>
      <c r="E383" s="113" t="s">
        <v>21896</v>
      </c>
      <c r="F383" s="257" t="s">
        <v>14433</v>
      </c>
      <c r="G383" s="152"/>
      <c r="H383" s="161">
        <v>1634.38</v>
      </c>
      <c r="I383" s="160">
        <f t="shared" si="5"/>
        <v>75535.850000000049</v>
      </c>
    </row>
    <row r="384" spans="2:9" ht="19.5" x14ac:dyDescent="0.25">
      <c r="B384" s="148"/>
      <c r="C384" s="148" t="s">
        <v>16360</v>
      </c>
      <c r="D384" s="150">
        <v>44027</v>
      </c>
      <c r="E384" s="113" t="s">
        <v>21895</v>
      </c>
      <c r="F384" s="257" t="s">
        <v>14433</v>
      </c>
      <c r="G384" s="152"/>
      <c r="H384" s="161">
        <v>88</v>
      </c>
      <c r="I384" s="160">
        <f t="shared" si="5"/>
        <v>75447.850000000049</v>
      </c>
    </row>
    <row r="385" spans="2:9" ht="19.5" x14ac:dyDescent="0.25">
      <c r="B385" s="148"/>
      <c r="C385" s="148" t="s">
        <v>21894</v>
      </c>
      <c r="D385" s="150">
        <v>44028</v>
      </c>
      <c r="E385" s="113" t="s">
        <v>21893</v>
      </c>
      <c r="F385" s="257">
        <v>12</v>
      </c>
      <c r="G385" s="255">
        <v>20.16</v>
      </c>
      <c r="H385" s="152"/>
      <c r="I385" s="160">
        <f t="shared" si="5"/>
        <v>75468.010000000053</v>
      </c>
    </row>
    <row r="386" spans="2:9" ht="15.75" x14ac:dyDescent="0.25">
      <c r="B386" s="148"/>
      <c r="C386" s="148" t="s">
        <v>21892</v>
      </c>
      <c r="D386" s="150">
        <v>44028</v>
      </c>
      <c r="E386" s="113" t="s">
        <v>21891</v>
      </c>
      <c r="F386" s="257" t="s">
        <v>18712</v>
      </c>
      <c r="G386" s="160">
        <v>1.61</v>
      </c>
      <c r="H386" s="152"/>
      <c r="I386" s="160">
        <f t="shared" si="5"/>
        <v>75469.620000000054</v>
      </c>
    </row>
    <row r="387" spans="2:9" ht="15.75" x14ac:dyDescent="0.25">
      <c r="B387" s="148"/>
      <c r="C387" s="148" t="s">
        <v>21890</v>
      </c>
      <c r="D387" s="150">
        <v>44028</v>
      </c>
      <c r="E387" s="113" t="s">
        <v>21889</v>
      </c>
      <c r="F387" s="257" t="s">
        <v>14409</v>
      </c>
      <c r="G387" s="258">
        <v>3.43</v>
      </c>
      <c r="H387" s="152"/>
      <c r="I387" s="160">
        <f t="shared" si="5"/>
        <v>75473.050000000047</v>
      </c>
    </row>
    <row r="388" spans="2:9" ht="19.5" x14ac:dyDescent="0.25">
      <c r="B388" s="148"/>
      <c r="C388" s="148" t="s">
        <v>21888</v>
      </c>
      <c r="D388" s="150">
        <v>44028</v>
      </c>
      <c r="E388" s="113" t="s">
        <v>21887</v>
      </c>
      <c r="F388" s="257" t="s">
        <v>14409</v>
      </c>
      <c r="G388" s="258">
        <v>4.62</v>
      </c>
      <c r="H388" s="152"/>
      <c r="I388" s="160">
        <f t="shared" si="5"/>
        <v>75477.670000000042</v>
      </c>
    </row>
    <row r="389" spans="2:9" ht="19.5" x14ac:dyDescent="0.25">
      <c r="B389" s="148"/>
      <c r="C389" s="148" t="s">
        <v>21886</v>
      </c>
      <c r="D389" s="150">
        <v>44028</v>
      </c>
      <c r="E389" s="113" t="s">
        <v>21885</v>
      </c>
      <c r="F389" s="257" t="s">
        <v>14409</v>
      </c>
      <c r="G389" s="258">
        <v>30.53</v>
      </c>
      <c r="H389" s="152"/>
      <c r="I389" s="160">
        <f t="shared" si="5"/>
        <v>75508.200000000041</v>
      </c>
    </row>
    <row r="390" spans="2:9" ht="19.5" x14ac:dyDescent="0.25">
      <c r="B390" s="148"/>
      <c r="C390" s="148" t="s">
        <v>21884</v>
      </c>
      <c r="D390" s="150">
        <v>44028</v>
      </c>
      <c r="E390" s="113" t="s">
        <v>21883</v>
      </c>
      <c r="F390" s="257" t="s">
        <v>14409</v>
      </c>
      <c r="G390" s="258">
        <v>3.36</v>
      </c>
      <c r="H390" s="152"/>
      <c r="I390" s="160">
        <f t="shared" si="5"/>
        <v>75511.560000000041</v>
      </c>
    </row>
    <row r="391" spans="2:9" ht="15.75" x14ac:dyDescent="0.25">
      <c r="B391" s="148"/>
      <c r="C391" s="148" t="s">
        <v>21882</v>
      </c>
      <c r="D391" s="150">
        <v>44028</v>
      </c>
      <c r="E391" s="113" t="s">
        <v>21881</v>
      </c>
      <c r="F391" s="257" t="s">
        <v>14409</v>
      </c>
      <c r="G391" s="258">
        <v>6.8</v>
      </c>
      <c r="H391" s="152"/>
      <c r="I391" s="160">
        <f t="shared" si="5"/>
        <v>75518.360000000044</v>
      </c>
    </row>
    <row r="392" spans="2:9" ht="19.5" x14ac:dyDescent="0.25">
      <c r="B392" s="148"/>
      <c r="C392" s="148" t="s">
        <v>21880</v>
      </c>
      <c r="D392" s="150">
        <v>44028</v>
      </c>
      <c r="E392" s="113" t="s">
        <v>21879</v>
      </c>
      <c r="F392" s="257" t="s">
        <v>14409</v>
      </c>
      <c r="G392" s="258">
        <v>11.01</v>
      </c>
      <c r="H392" s="152"/>
      <c r="I392" s="160">
        <f t="shared" si="5"/>
        <v>75529.370000000039</v>
      </c>
    </row>
    <row r="393" spans="2:9" ht="19.5" x14ac:dyDescent="0.25">
      <c r="B393" s="148"/>
      <c r="C393" s="148" t="s">
        <v>21878</v>
      </c>
      <c r="D393" s="150">
        <v>44028</v>
      </c>
      <c r="E393" s="113" t="s">
        <v>21877</v>
      </c>
      <c r="F393" s="257" t="s">
        <v>14409</v>
      </c>
      <c r="G393" s="258">
        <v>10.26</v>
      </c>
      <c r="H393" s="152"/>
      <c r="I393" s="160">
        <f t="shared" si="5"/>
        <v>75539.630000000034</v>
      </c>
    </row>
    <row r="394" spans="2:9" ht="19.5" x14ac:dyDescent="0.25">
      <c r="B394" s="148"/>
      <c r="C394" s="148" t="s">
        <v>21876</v>
      </c>
      <c r="D394" s="150">
        <v>44028</v>
      </c>
      <c r="E394" s="113" t="s">
        <v>21875</v>
      </c>
      <c r="F394" s="257" t="s">
        <v>14409</v>
      </c>
      <c r="G394" s="258">
        <v>3.62</v>
      </c>
      <c r="H394" s="152"/>
      <c r="I394" s="160">
        <f t="shared" si="5"/>
        <v>75543.250000000029</v>
      </c>
    </row>
    <row r="395" spans="2:9" ht="15.75" x14ac:dyDescent="0.25">
      <c r="B395" s="148"/>
      <c r="C395" s="148" t="s">
        <v>21874</v>
      </c>
      <c r="D395" s="150">
        <v>44028</v>
      </c>
      <c r="E395" s="113" t="s">
        <v>21873</v>
      </c>
      <c r="F395" s="257" t="s">
        <v>14409</v>
      </c>
      <c r="G395" s="258">
        <v>0.21</v>
      </c>
      <c r="H395" s="152"/>
      <c r="I395" s="160">
        <f t="shared" si="5"/>
        <v>75543.460000000036</v>
      </c>
    </row>
    <row r="396" spans="2:9" ht="15.75" x14ac:dyDescent="0.25">
      <c r="B396" s="148"/>
      <c r="C396" s="148" t="s">
        <v>21872</v>
      </c>
      <c r="D396" s="150">
        <v>44028</v>
      </c>
      <c r="E396" s="113" t="s">
        <v>21871</v>
      </c>
      <c r="F396" s="257" t="s">
        <v>14409</v>
      </c>
      <c r="G396" s="258">
        <v>1.68</v>
      </c>
      <c r="H396" s="152"/>
      <c r="I396" s="160">
        <f t="shared" si="5"/>
        <v>75545.140000000029</v>
      </c>
    </row>
    <row r="397" spans="2:9" ht="19.5" x14ac:dyDescent="0.25">
      <c r="B397" s="148"/>
      <c r="C397" s="148" t="s">
        <v>21870</v>
      </c>
      <c r="D397" s="150">
        <v>44028</v>
      </c>
      <c r="E397" s="113" t="s">
        <v>21869</v>
      </c>
      <c r="F397" s="257" t="s">
        <v>14409</v>
      </c>
      <c r="G397" s="258">
        <v>16.760000000000002</v>
      </c>
      <c r="H397" s="152"/>
      <c r="I397" s="160">
        <f t="shared" si="5"/>
        <v>75561.900000000023</v>
      </c>
    </row>
    <row r="398" spans="2:9" ht="19.5" x14ac:dyDescent="0.25">
      <c r="B398" s="148"/>
      <c r="C398" s="148" t="s">
        <v>21868</v>
      </c>
      <c r="D398" s="150">
        <v>44028</v>
      </c>
      <c r="E398" s="113" t="s">
        <v>21867</v>
      </c>
      <c r="F398" s="257" t="s">
        <v>14409</v>
      </c>
      <c r="G398" s="258">
        <v>25.14</v>
      </c>
      <c r="H398" s="152"/>
      <c r="I398" s="160">
        <f t="shared" si="5"/>
        <v>75587.040000000023</v>
      </c>
    </row>
    <row r="399" spans="2:9" ht="15.75" x14ac:dyDescent="0.25">
      <c r="B399" s="148"/>
      <c r="C399" s="148" t="s">
        <v>21866</v>
      </c>
      <c r="D399" s="150">
        <v>44028</v>
      </c>
      <c r="E399" s="113" t="s">
        <v>21865</v>
      </c>
      <c r="F399" s="257" t="s">
        <v>14409</v>
      </c>
      <c r="G399" s="258">
        <v>5.42</v>
      </c>
      <c r="H399" s="152"/>
      <c r="I399" s="160">
        <f t="shared" si="5"/>
        <v>75592.460000000021</v>
      </c>
    </row>
    <row r="400" spans="2:9" ht="19.5" x14ac:dyDescent="0.25">
      <c r="B400" s="148"/>
      <c r="C400" s="148" t="s">
        <v>21864</v>
      </c>
      <c r="D400" s="150">
        <v>44028</v>
      </c>
      <c r="E400" s="113" t="s">
        <v>21863</v>
      </c>
      <c r="F400" s="257" t="s">
        <v>14409</v>
      </c>
      <c r="G400" s="258">
        <v>14.11</v>
      </c>
      <c r="H400" s="152"/>
      <c r="I400" s="160">
        <f t="shared" si="5"/>
        <v>75606.570000000022</v>
      </c>
    </row>
    <row r="401" spans="2:9" ht="15.75" x14ac:dyDescent="0.25">
      <c r="B401" s="148"/>
      <c r="C401" s="148" t="s">
        <v>21862</v>
      </c>
      <c r="D401" s="150">
        <v>44028</v>
      </c>
      <c r="E401" s="113" t="s">
        <v>21861</v>
      </c>
      <c r="F401" s="257" t="s">
        <v>14409</v>
      </c>
      <c r="G401" s="258">
        <v>14.53</v>
      </c>
      <c r="H401" s="152"/>
      <c r="I401" s="160">
        <f t="shared" si="5"/>
        <v>75621.10000000002</v>
      </c>
    </row>
    <row r="402" spans="2:9" ht="19.5" x14ac:dyDescent="0.25">
      <c r="B402" s="148"/>
      <c r="C402" s="148" t="s">
        <v>21860</v>
      </c>
      <c r="D402" s="150">
        <v>44028</v>
      </c>
      <c r="E402" s="113" t="s">
        <v>21859</v>
      </c>
      <c r="F402" s="257" t="s">
        <v>14409</v>
      </c>
      <c r="G402" s="258">
        <v>36.9</v>
      </c>
      <c r="H402" s="152"/>
      <c r="I402" s="160">
        <f t="shared" si="5"/>
        <v>75658.000000000015</v>
      </c>
    </row>
    <row r="403" spans="2:9" ht="19.5" x14ac:dyDescent="0.25">
      <c r="B403" s="148"/>
      <c r="C403" s="148" t="s">
        <v>21858</v>
      </c>
      <c r="D403" s="150">
        <v>44028</v>
      </c>
      <c r="E403" s="113" t="s">
        <v>21857</v>
      </c>
      <c r="F403" s="257">
        <v>12</v>
      </c>
      <c r="G403" s="255">
        <v>16.760000000000002</v>
      </c>
      <c r="H403" s="152"/>
      <c r="I403" s="160">
        <f t="shared" si="5"/>
        <v>75674.760000000009</v>
      </c>
    </row>
    <row r="404" spans="2:9" ht="19.5" x14ac:dyDescent="0.25">
      <c r="B404" s="148"/>
      <c r="C404" s="148" t="s">
        <v>21856</v>
      </c>
      <c r="D404" s="150">
        <v>44028</v>
      </c>
      <c r="E404" s="113" t="s">
        <v>21855</v>
      </c>
      <c r="F404" s="257">
        <v>12</v>
      </c>
      <c r="G404" s="255">
        <v>14.97</v>
      </c>
      <c r="H404" s="152"/>
      <c r="I404" s="160">
        <f t="shared" ref="I404:I467" si="6">+I403+G404-H404</f>
        <v>75689.73000000001</v>
      </c>
    </row>
    <row r="405" spans="2:9" ht="19.5" x14ac:dyDescent="0.25">
      <c r="B405" s="148"/>
      <c r="C405" s="148" t="s">
        <v>21854</v>
      </c>
      <c r="D405" s="150">
        <v>44028</v>
      </c>
      <c r="E405" s="113" t="s">
        <v>21853</v>
      </c>
      <c r="F405" s="257">
        <v>12</v>
      </c>
      <c r="G405" s="255">
        <v>13.46</v>
      </c>
      <c r="H405" s="152"/>
      <c r="I405" s="160">
        <f t="shared" si="6"/>
        <v>75703.190000000017</v>
      </c>
    </row>
    <row r="406" spans="2:9" ht="19.5" x14ac:dyDescent="0.25">
      <c r="B406" s="148"/>
      <c r="C406" s="148" t="s">
        <v>21852</v>
      </c>
      <c r="D406" s="150">
        <v>44028</v>
      </c>
      <c r="E406" s="113" t="s">
        <v>21851</v>
      </c>
      <c r="F406" s="257">
        <v>12</v>
      </c>
      <c r="G406" s="255">
        <v>5.48</v>
      </c>
      <c r="H406" s="152"/>
      <c r="I406" s="160">
        <f t="shared" si="6"/>
        <v>75708.670000000013</v>
      </c>
    </row>
    <row r="407" spans="2:9" ht="15.75" x14ac:dyDescent="0.25">
      <c r="B407" s="148"/>
      <c r="C407" s="148" t="s">
        <v>21850</v>
      </c>
      <c r="D407" s="150">
        <v>44028</v>
      </c>
      <c r="E407" s="113" t="s">
        <v>21849</v>
      </c>
      <c r="F407" s="257" t="s">
        <v>18712</v>
      </c>
      <c r="G407" s="160">
        <v>1.99</v>
      </c>
      <c r="H407" s="152"/>
      <c r="I407" s="160">
        <f t="shared" si="6"/>
        <v>75710.660000000018</v>
      </c>
    </row>
    <row r="408" spans="2:9" ht="15.75" x14ac:dyDescent="0.25">
      <c r="B408" s="148"/>
      <c r="C408" s="148" t="s">
        <v>1430</v>
      </c>
      <c r="D408" s="150">
        <v>44028</v>
      </c>
      <c r="E408" s="113" t="s">
        <v>21848</v>
      </c>
      <c r="F408" s="257" t="s">
        <v>14433</v>
      </c>
      <c r="G408" s="152"/>
      <c r="H408" s="161">
        <v>9.86</v>
      </c>
      <c r="I408" s="160">
        <f t="shared" si="6"/>
        <v>75700.800000000017</v>
      </c>
    </row>
    <row r="409" spans="2:9" ht="19.5" x14ac:dyDescent="0.25">
      <c r="B409" s="148"/>
      <c r="C409" s="148" t="s">
        <v>16358</v>
      </c>
      <c r="D409" s="150">
        <v>44028</v>
      </c>
      <c r="E409" s="113" t="s">
        <v>21847</v>
      </c>
      <c r="F409" s="257" t="s">
        <v>14433</v>
      </c>
      <c r="G409" s="152"/>
      <c r="H409" s="161">
        <v>2800</v>
      </c>
      <c r="I409" s="160">
        <f t="shared" si="6"/>
        <v>72900.800000000017</v>
      </c>
    </row>
    <row r="410" spans="2:9" ht="19.5" x14ac:dyDescent="0.25">
      <c r="B410" s="148"/>
      <c r="C410" s="148" t="s">
        <v>16354</v>
      </c>
      <c r="D410" s="150">
        <v>44028</v>
      </c>
      <c r="E410" s="113" t="s">
        <v>21846</v>
      </c>
      <c r="F410" s="257" t="s">
        <v>14433</v>
      </c>
      <c r="G410" s="152"/>
      <c r="H410" s="161">
        <v>1800</v>
      </c>
      <c r="I410" s="160">
        <f t="shared" si="6"/>
        <v>71100.800000000017</v>
      </c>
    </row>
    <row r="411" spans="2:9" ht="19.5" x14ac:dyDescent="0.25">
      <c r="B411" s="148"/>
      <c r="C411" s="148" t="s">
        <v>16</v>
      </c>
      <c r="D411" s="150">
        <v>44028</v>
      </c>
      <c r="E411" s="113" t="s">
        <v>21845</v>
      </c>
      <c r="F411" s="257" t="s">
        <v>14433</v>
      </c>
      <c r="G411" s="152"/>
      <c r="H411" s="161">
        <v>521.77</v>
      </c>
      <c r="I411" s="160">
        <f t="shared" si="6"/>
        <v>70579.030000000013</v>
      </c>
    </row>
    <row r="412" spans="2:9" ht="15.75" x14ac:dyDescent="0.25">
      <c r="B412" s="148"/>
      <c r="C412" s="148" t="s">
        <v>21844</v>
      </c>
      <c r="D412" s="150">
        <v>44029</v>
      </c>
      <c r="E412" s="113" t="s">
        <v>21843</v>
      </c>
      <c r="F412" s="257" t="s">
        <v>14436</v>
      </c>
      <c r="G412" s="160">
        <v>1.83</v>
      </c>
      <c r="H412" s="152"/>
      <c r="I412" s="160">
        <f t="shared" si="6"/>
        <v>70580.860000000015</v>
      </c>
    </row>
    <row r="413" spans="2:9" ht="15.75" x14ac:dyDescent="0.25">
      <c r="B413" s="148"/>
      <c r="C413" s="148" t="s">
        <v>21842</v>
      </c>
      <c r="D413" s="150">
        <v>44029</v>
      </c>
      <c r="E413" s="113" t="s">
        <v>21841</v>
      </c>
      <c r="F413" s="257">
        <v>13</v>
      </c>
      <c r="G413" s="255">
        <v>6.13</v>
      </c>
      <c r="H413" s="152"/>
      <c r="I413" s="160">
        <f t="shared" si="6"/>
        <v>70586.99000000002</v>
      </c>
    </row>
    <row r="414" spans="2:9" ht="15.75" x14ac:dyDescent="0.25">
      <c r="B414" s="148"/>
      <c r="C414" s="148" t="s">
        <v>21840</v>
      </c>
      <c r="D414" s="150">
        <v>44029</v>
      </c>
      <c r="E414" s="113" t="s">
        <v>21839</v>
      </c>
      <c r="F414" s="257">
        <v>13</v>
      </c>
      <c r="G414" s="255">
        <v>2.39</v>
      </c>
      <c r="H414" s="152"/>
      <c r="I414" s="160">
        <f t="shared" si="6"/>
        <v>70589.380000000019</v>
      </c>
    </row>
    <row r="415" spans="2:9" ht="19.5" x14ac:dyDescent="0.25">
      <c r="B415" s="148"/>
      <c r="C415" s="148" t="s">
        <v>21838</v>
      </c>
      <c r="D415" s="150">
        <v>44029</v>
      </c>
      <c r="E415" s="113" t="s">
        <v>21837</v>
      </c>
      <c r="F415" s="257" t="s">
        <v>14412</v>
      </c>
      <c r="G415" s="258">
        <v>5.04</v>
      </c>
      <c r="H415" s="152"/>
      <c r="I415" s="160">
        <f t="shared" si="6"/>
        <v>70594.420000000013</v>
      </c>
    </row>
    <row r="416" spans="2:9" ht="19.5" x14ac:dyDescent="0.25">
      <c r="B416" s="148"/>
      <c r="C416" s="148" t="s">
        <v>21836</v>
      </c>
      <c r="D416" s="150">
        <v>44029</v>
      </c>
      <c r="E416" s="113" t="s">
        <v>21835</v>
      </c>
      <c r="F416" s="257" t="s">
        <v>14412</v>
      </c>
      <c r="G416" s="258">
        <v>6.83</v>
      </c>
      <c r="H416" s="152"/>
      <c r="I416" s="160">
        <f t="shared" si="6"/>
        <v>70601.250000000015</v>
      </c>
    </row>
    <row r="417" spans="2:9" ht="15.75" x14ac:dyDescent="0.25">
      <c r="B417" s="148"/>
      <c r="C417" s="148" t="s">
        <v>21834</v>
      </c>
      <c r="D417" s="150">
        <v>44029</v>
      </c>
      <c r="E417" s="113" t="s">
        <v>21833</v>
      </c>
      <c r="F417" s="257" t="s">
        <v>14412</v>
      </c>
      <c r="G417" s="258">
        <v>9.3699999999999992</v>
      </c>
      <c r="H417" s="152"/>
      <c r="I417" s="160">
        <f t="shared" si="6"/>
        <v>70610.62000000001</v>
      </c>
    </row>
    <row r="418" spans="2:9" ht="15.75" x14ac:dyDescent="0.25">
      <c r="B418" s="148"/>
      <c r="C418" s="148" t="s">
        <v>21832</v>
      </c>
      <c r="D418" s="150">
        <v>44029</v>
      </c>
      <c r="E418" s="113" t="s">
        <v>21831</v>
      </c>
      <c r="F418" s="257" t="s">
        <v>14412</v>
      </c>
      <c r="G418" s="258">
        <v>4.46</v>
      </c>
      <c r="H418" s="152"/>
      <c r="I418" s="160">
        <f t="shared" si="6"/>
        <v>70615.080000000016</v>
      </c>
    </row>
    <row r="419" spans="2:9" ht="15.75" x14ac:dyDescent="0.25">
      <c r="B419" s="148"/>
      <c r="C419" s="148" t="s">
        <v>21830</v>
      </c>
      <c r="D419" s="150">
        <v>44029</v>
      </c>
      <c r="E419" s="113" t="s">
        <v>21829</v>
      </c>
      <c r="F419" s="257" t="s">
        <v>14412</v>
      </c>
      <c r="G419" s="258">
        <v>4.18</v>
      </c>
      <c r="H419" s="152"/>
      <c r="I419" s="160">
        <f t="shared" si="6"/>
        <v>70619.260000000009</v>
      </c>
    </row>
    <row r="420" spans="2:9" ht="15.75" x14ac:dyDescent="0.25">
      <c r="B420" s="148"/>
      <c r="C420" s="148" t="s">
        <v>21828</v>
      </c>
      <c r="D420" s="150">
        <v>44029</v>
      </c>
      <c r="E420" s="113" t="s">
        <v>21827</v>
      </c>
      <c r="F420" s="257" t="s">
        <v>14412</v>
      </c>
      <c r="G420" s="258">
        <v>3.72</v>
      </c>
      <c r="H420" s="152"/>
      <c r="I420" s="160">
        <f t="shared" si="6"/>
        <v>70622.98000000001</v>
      </c>
    </row>
    <row r="421" spans="2:9" ht="15.75" x14ac:dyDescent="0.25">
      <c r="B421" s="148"/>
      <c r="C421" s="148" t="s">
        <v>21826</v>
      </c>
      <c r="D421" s="150">
        <v>44029</v>
      </c>
      <c r="E421" s="113" t="s">
        <v>21825</v>
      </c>
      <c r="F421" s="257" t="s">
        <v>14412</v>
      </c>
      <c r="G421" s="258">
        <v>1.72</v>
      </c>
      <c r="H421" s="152"/>
      <c r="I421" s="160">
        <f t="shared" si="6"/>
        <v>70624.700000000012</v>
      </c>
    </row>
    <row r="422" spans="2:9" ht="19.5" x14ac:dyDescent="0.25">
      <c r="B422" s="148"/>
      <c r="C422" s="148" t="s">
        <v>21824</v>
      </c>
      <c r="D422" s="150">
        <v>44029</v>
      </c>
      <c r="E422" s="113" t="s">
        <v>21823</v>
      </c>
      <c r="F422" s="257" t="s">
        <v>14412</v>
      </c>
      <c r="G422" s="258">
        <v>3.39</v>
      </c>
      <c r="H422" s="152"/>
      <c r="I422" s="160">
        <f t="shared" si="6"/>
        <v>70628.090000000011</v>
      </c>
    </row>
    <row r="423" spans="2:9" ht="15.75" x14ac:dyDescent="0.25">
      <c r="B423" s="148"/>
      <c r="C423" s="148" t="s">
        <v>21822</v>
      </c>
      <c r="D423" s="150">
        <v>44029</v>
      </c>
      <c r="E423" s="113" t="s">
        <v>21821</v>
      </c>
      <c r="F423" s="257" t="s">
        <v>14412</v>
      </c>
      <c r="G423" s="258">
        <v>10.26</v>
      </c>
      <c r="H423" s="152"/>
      <c r="I423" s="160">
        <f t="shared" si="6"/>
        <v>70638.350000000006</v>
      </c>
    </row>
    <row r="424" spans="2:9" ht="19.5" x14ac:dyDescent="0.25">
      <c r="B424" s="148"/>
      <c r="C424" s="148" t="s">
        <v>21820</v>
      </c>
      <c r="D424" s="150">
        <v>44029</v>
      </c>
      <c r="E424" s="113" t="s">
        <v>21819</v>
      </c>
      <c r="F424" s="257" t="s">
        <v>14436</v>
      </c>
      <c r="G424" s="160">
        <v>40.58</v>
      </c>
      <c r="H424" s="152"/>
      <c r="I424" s="160">
        <f t="shared" si="6"/>
        <v>70678.930000000008</v>
      </c>
    </row>
    <row r="425" spans="2:9" ht="19.5" x14ac:dyDescent="0.25">
      <c r="B425" s="148"/>
      <c r="C425" s="148" t="s">
        <v>21818</v>
      </c>
      <c r="D425" s="150">
        <v>44029</v>
      </c>
      <c r="E425" s="113" t="s">
        <v>21817</v>
      </c>
      <c r="F425" s="257" t="s">
        <v>14436</v>
      </c>
      <c r="G425" s="160">
        <v>10.28</v>
      </c>
      <c r="H425" s="152"/>
      <c r="I425" s="160">
        <f t="shared" si="6"/>
        <v>70689.210000000006</v>
      </c>
    </row>
    <row r="426" spans="2:9" ht="15.75" x14ac:dyDescent="0.25">
      <c r="B426" s="148"/>
      <c r="C426" s="148" t="s">
        <v>21816</v>
      </c>
      <c r="D426" s="150">
        <v>44029</v>
      </c>
      <c r="E426" s="113" t="s">
        <v>21815</v>
      </c>
      <c r="F426" s="257" t="s">
        <v>14436</v>
      </c>
      <c r="G426" s="160">
        <v>1.79</v>
      </c>
      <c r="H426" s="152"/>
      <c r="I426" s="160">
        <f t="shared" si="6"/>
        <v>70691</v>
      </c>
    </row>
    <row r="427" spans="2:9" ht="19.5" x14ac:dyDescent="0.25">
      <c r="B427" s="148"/>
      <c r="C427" s="148" t="s">
        <v>18222</v>
      </c>
      <c r="D427" s="150">
        <v>44029</v>
      </c>
      <c r="E427" s="113" t="s">
        <v>21814</v>
      </c>
      <c r="F427" s="257" t="s">
        <v>14433</v>
      </c>
      <c r="G427" s="152"/>
      <c r="H427" s="161">
        <v>571.65</v>
      </c>
      <c r="I427" s="160">
        <f t="shared" si="6"/>
        <v>70119.350000000006</v>
      </c>
    </row>
    <row r="428" spans="2:9" ht="19.5" x14ac:dyDescent="0.25">
      <c r="B428" s="148"/>
      <c r="C428" s="148" t="s">
        <v>20614</v>
      </c>
      <c r="D428" s="150">
        <v>44029</v>
      </c>
      <c r="E428" s="113" t="s">
        <v>21813</v>
      </c>
      <c r="F428" s="257" t="s">
        <v>14433</v>
      </c>
      <c r="G428" s="152"/>
      <c r="H428" s="161">
        <v>571.65</v>
      </c>
      <c r="I428" s="160">
        <f t="shared" si="6"/>
        <v>69547.700000000012</v>
      </c>
    </row>
    <row r="429" spans="2:9" ht="19.5" x14ac:dyDescent="0.25">
      <c r="B429" s="148"/>
      <c r="C429" s="148" t="s">
        <v>21812</v>
      </c>
      <c r="D429" s="150">
        <v>44030</v>
      </c>
      <c r="E429" s="113" t="s">
        <v>21811</v>
      </c>
      <c r="F429" s="257" t="s">
        <v>14412</v>
      </c>
      <c r="G429" s="258">
        <v>12.12</v>
      </c>
      <c r="H429" s="152"/>
      <c r="I429" s="160">
        <f t="shared" si="6"/>
        <v>69559.820000000007</v>
      </c>
    </row>
    <row r="430" spans="2:9" ht="19.5" x14ac:dyDescent="0.25">
      <c r="B430" s="148"/>
      <c r="C430" s="148" t="s">
        <v>21810</v>
      </c>
      <c r="D430" s="150">
        <v>44030</v>
      </c>
      <c r="E430" s="113" t="s">
        <v>21809</v>
      </c>
      <c r="F430" s="257" t="s">
        <v>14412</v>
      </c>
      <c r="G430" s="258">
        <v>27.75</v>
      </c>
      <c r="H430" s="152"/>
      <c r="I430" s="160">
        <f t="shared" si="6"/>
        <v>69587.570000000007</v>
      </c>
    </row>
    <row r="431" spans="2:9" ht="19.5" x14ac:dyDescent="0.25">
      <c r="B431" s="148"/>
      <c r="C431" s="148" t="s">
        <v>21808</v>
      </c>
      <c r="D431" s="150">
        <v>44030</v>
      </c>
      <c r="E431" s="113" t="s">
        <v>21807</v>
      </c>
      <c r="F431" s="257" t="s">
        <v>14412</v>
      </c>
      <c r="G431" s="258">
        <v>27.43</v>
      </c>
      <c r="H431" s="152"/>
      <c r="I431" s="160">
        <f t="shared" si="6"/>
        <v>69615</v>
      </c>
    </row>
    <row r="432" spans="2:9" ht="19.5" x14ac:dyDescent="0.25">
      <c r="B432" s="148"/>
      <c r="C432" s="148" t="s">
        <v>21806</v>
      </c>
      <c r="D432" s="150">
        <v>44030</v>
      </c>
      <c r="E432" s="113" t="s">
        <v>21805</v>
      </c>
      <c r="F432" s="257" t="s">
        <v>14412</v>
      </c>
      <c r="G432" s="258">
        <v>4.18</v>
      </c>
      <c r="H432" s="152"/>
      <c r="I432" s="160">
        <f t="shared" si="6"/>
        <v>69619.179999999993</v>
      </c>
    </row>
    <row r="433" spans="2:9" ht="15.75" x14ac:dyDescent="0.25">
      <c r="B433" s="148"/>
      <c r="C433" s="148" t="s">
        <v>21804</v>
      </c>
      <c r="D433" s="150">
        <v>44030</v>
      </c>
      <c r="E433" s="113" t="s">
        <v>21803</v>
      </c>
      <c r="F433" s="257" t="s">
        <v>14412</v>
      </c>
      <c r="G433" s="258">
        <v>2.36</v>
      </c>
      <c r="H433" s="152"/>
      <c r="I433" s="160">
        <f t="shared" si="6"/>
        <v>69621.539999999994</v>
      </c>
    </row>
    <row r="434" spans="2:9" ht="19.5" x14ac:dyDescent="0.25">
      <c r="B434" s="148"/>
      <c r="C434" s="148" t="s">
        <v>11605</v>
      </c>
      <c r="D434" s="150">
        <v>44031</v>
      </c>
      <c r="E434" s="113" t="s">
        <v>21802</v>
      </c>
      <c r="F434" s="257" t="s">
        <v>14412</v>
      </c>
      <c r="G434" s="258">
        <v>6.98</v>
      </c>
      <c r="H434" s="152"/>
      <c r="I434" s="160">
        <f t="shared" si="6"/>
        <v>69628.51999999999</v>
      </c>
    </row>
    <row r="435" spans="2:9" ht="15.75" x14ac:dyDescent="0.25">
      <c r="B435" s="148"/>
      <c r="C435" s="148" t="s">
        <v>21801</v>
      </c>
      <c r="D435" s="150">
        <v>44031</v>
      </c>
      <c r="E435" s="113" t="s">
        <v>21800</v>
      </c>
      <c r="F435" s="257" t="s">
        <v>14412</v>
      </c>
      <c r="G435" s="258">
        <v>11.42</v>
      </c>
      <c r="H435" s="152"/>
      <c r="I435" s="160">
        <f t="shared" si="6"/>
        <v>69639.939999999988</v>
      </c>
    </row>
    <row r="436" spans="2:9" ht="19.5" x14ac:dyDescent="0.25">
      <c r="B436" s="148"/>
      <c r="C436" s="148" t="s">
        <v>21799</v>
      </c>
      <c r="D436" s="150">
        <v>44031</v>
      </c>
      <c r="E436" s="113" t="s">
        <v>21798</v>
      </c>
      <c r="F436" s="257" t="s">
        <v>14412</v>
      </c>
      <c r="G436" s="258">
        <v>14.36</v>
      </c>
      <c r="H436" s="152"/>
      <c r="I436" s="160">
        <f t="shared" si="6"/>
        <v>69654.299999999988</v>
      </c>
    </row>
    <row r="437" spans="2:9" ht="19.5" x14ac:dyDescent="0.25">
      <c r="B437" s="148"/>
      <c r="C437" s="148" t="s">
        <v>21797</v>
      </c>
      <c r="D437" s="150">
        <v>44031</v>
      </c>
      <c r="E437" s="113" t="s">
        <v>21796</v>
      </c>
      <c r="F437" s="257" t="s">
        <v>14412</v>
      </c>
      <c r="G437" s="258">
        <v>5.04</v>
      </c>
      <c r="H437" s="152"/>
      <c r="I437" s="160">
        <f t="shared" si="6"/>
        <v>69659.339999999982</v>
      </c>
    </row>
    <row r="438" spans="2:9" ht="15.75" x14ac:dyDescent="0.25">
      <c r="B438" s="148"/>
      <c r="C438" s="148" t="s">
        <v>21795</v>
      </c>
      <c r="D438" s="150">
        <v>44031</v>
      </c>
      <c r="E438" s="113" t="s">
        <v>21794</v>
      </c>
      <c r="F438" s="257" t="s">
        <v>14412</v>
      </c>
      <c r="G438" s="258">
        <v>2.76</v>
      </c>
      <c r="H438" s="152"/>
      <c r="I438" s="160">
        <f t="shared" si="6"/>
        <v>69662.099999999977</v>
      </c>
    </row>
    <row r="439" spans="2:9" ht="19.5" x14ac:dyDescent="0.25">
      <c r="B439" s="148"/>
      <c r="C439" s="148" t="s">
        <v>21793</v>
      </c>
      <c r="D439" s="150">
        <v>44031</v>
      </c>
      <c r="E439" s="113" t="s">
        <v>21792</v>
      </c>
      <c r="F439" s="257" t="s">
        <v>14412</v>
      </c>
      <c r="G439" s="258">
        <v>2.2400000000000002</v>
      </c>
      <c r="H439" s="152"/>
      <c r="I439" s="160">
        <f t="shared" si="6"/>
        <v>69664.339999999982</v>
      </c>
    </row>
    <row r="440" spans="2:9" ht="19.5" x14ac:dyDescent="0.25">
      <c r="B440" s="148"/>
      <c r="C440" s="148" t="s">
        <v>21791</v>
      </c>
      <c r="D440" s="150">
        <v>44032</v>
      </c>
      <c r="E440" s="113" t="s">
        <v>21790</v>
      </c>
      <c r="F440" s="257" t="s">
        <v>14436</v>
      </c>
      <c r="G440" s="160">
        <v>69.84</v>
      </c>
      <c r="H440" s="152"/>
      <c r="I440" s="160">
        <f t="shared" si="6"/>
        <v>69734.179999999978</v>
      </c>
    </row>
    <row r="441" spans="2:9" ht="15.75" x14ac:dyDescent="0.25">
      <c r="B441" s="148"/>
      <c r="C441" s="148" t="s">
        <v>21789</v>
      </c>
      <c r="D441" s="150">
        <v>44032</v>
      </c>
      <c r="E441" s="113" t="s">
        <v>21788</v>
      </c>
      <c r="F441" s="257" t="s">
        <v>14412</v>
      </c>
      <c r="G441" s="258">
        <v>3.68</v>
      </c>
      <c r="H441" s="152"/>
      <c r="I441" s="160">
        <f t="shared" si="6"/>
        <v>69737.859999999971</v>
      </c>
    </row>
    <row r="442" spans="2:9" ht="15.75" x14ac:dyDescent="0.25">
      <c r="B442" s="148"/>
      <c r="C442" s="148" t="s">
        <v>21787</v>
      </c>
      <c r="D442" s="150">
        <v>44032</v>
      </c>
      <c r="E442" s="113" t="s">
        <v>21786</v>
      </c>
      <c r="F442" s="257" t="s">
        <v>14412</v>
      </c>
      <c r="G442" s="258">
        <v>9.84</v>
      </c>
      <c r="H442" s="152"/>
      <c r="I442" s="160">
        <f t="shared" si="6"/>
        <v>69747.699999999968</v>
      </c>
    </row>
    <row r="443" spans="2:9" ht="15.75" x14ac:dyDescent="0.25">
      <c r="B443" s="148"/>
      <c r="C443" s="148" t="s">
        <v>21785</v>
      </c>
      <c r="D443" s="150">
        <v>44032</v>
      </c>
      <c r="E443" s="113" t="s">
        <v>21784</v>
      </c>
      <c r="F443" s="257" t="s">
        <v>14412</v>
      </c>
      <c r="G443" s="258">
        <v>0.17</v>
      </c>
      <c r="H443" s="152"/>
      <c r="I443" s="160">
        <f t="shared" si="6"/>
        <v>69747.869999999966</v>
      </c>
    </row>
    <row r="444" spans="2:9" ht="19.5" x14ac:dyDescent="0.25">
      <c r="B444" s="148"/>
      <c r="C444" s="148" t="s">
        <v>21783</v>
      </c>
      <c r="D444" s="150">
        <v>44032</v>
      </c>
      <c r="E444" s="113" t="s">
        <v>21782</v>
      </c>
      <c r="F444" s="257" t="s">
        <v>14412</v>
      </c>
      <c r="G444" s="258">
        <v>9.7200000000000006</v>
      </c>
      <c r="H444" s="152"/>
      <c r="I444" s="160">
        <f t="shared" si="6"/>
        <v>69757.589999999967</v>
      </c>
    </row>
    <row r="445" spans="2:9" ht="15.75" x14ac:dyDescent="0.25">
      <c r="B445" s="148"/>
      <c r="C445" s="148" t="s">
        <v>21781</v>
      </c>
      <c r="D445" s="150">
        <v>44032</v>
      </c>
      <c r="E445" s="113" t="s">
        <v>21780</v>
      </c>
      <c r="F445" s="257" t="s">
        <v>14412</v>
      </c>
      <c r="G445" s="258">
        <v>1.32</v>
      </c>
      <c r="H445" s="152"/>
      <c r="I445" s="160">
        <f t="shared" si="6"/>
        <v>69758.909999999974</v>
      </c>
    </row>
    <row r="446" spans="2:9" ht="19.5" x14ac:dyDescent="0.25">
      <c r="B446" s="148"/>
      <c r="C446" s="148" t="s">
        <v>21779</v>
      </c>
      <c r="D446" s="150">
        <v>44032</v>
      </c>
      <c r="E446" s="113" t="s">
        <v>21778</v>
      </c>
      <c r="F446" s="257" t="s">
        <v>14412</v>
      </c>
      <c r="G446" s="258">
        <v>9.1300000000000008</v>
      </c>
      <c r="H446" s="152"/>
      <c r="I446" s="160">
        <f t="shared" si="6"/>
        <v>69768.039999999979</v>
      </c>
    </row>
    <row r="447" spans="2:9" ht="15.75" x14ac:dyDescent="0.25">
      <c r="B447" s="148"/>
      <c r="C447" s="148" t="s">
        <v>21777</v>
      </c>
      <c r="D447" s="150">
        <v>44032</v>
      </c>
      <c r="E447" s="113" t="s">
        <v>21776</v>
      </c>
      <c r="F447" s="257" t="s">
        <v>14412</v>
      </c>
      <c r="G447" s="258">
        <v>15.3</v>
      </c>
      <c r="H447" s="152"/>
      <c r="I447" s="160">
        <f t="shared" si="6"/>
        <v>69783.339999999982</v>
      </c>
    </row>
    <row r="448" spans="2:9" ht="15.75" x14ac:dyDescent="0.25">
      <c r="B448" s="148"/>
      <c r="C448" s="148" t="s">
        <v>21775</v>
      </c>
      <c r="D448" s="150">
        <v>44032</v>
      </c>
      <c r="E448" s="113" t="s">
        <v>21774</v>
      </c>
      <c r="F448" s="257" t="s">
        <v>14412</v>
      </c>
      <c r="G448" s="258">
        <v>1.72</v>
      </c>
      <c r="H448" s="152"/>
      <c r="I448" s="160">
        <f t="shared" si="6"/>
        <v>69785.059999999983</v>
      </c>
    </row>
    <row r="449" spans="2:9" ht="15.75" x14ac:dyDescent="0.25">
      <c r="B449" s="148"/>
      <c r="C449" s="148" t="s">
        <v>21773</v>
      </c>
      <c r="D449" s="150">
        <v>44032</v>
      </c>
      <c r="E449" s="113" t="s">
        <v>21772</v>
      </c>
      <c r="F449" s="257" t="s">
        <v>14412</v>
      </c>
      <c r="G449" s="258">
        <v>3.86</v>
      </c>
      <c r="H449" s="152"/>
      <c r="I449" s="160">
        <f t="shared" si="6"/>
        <v>69788.919999999984</v>
      </c>
    </row>
    <row r="450" spans="2:9" ht="19.5" x14ac:dyDescent="0.25">
      <c r="B450" s="148"/>
      <c r="C450" s="148" t="s">
        <v>21771</v>
      </c>
      <c r="D450" s="150">
        <v>44032</v>
      </c>
      <c r="E450" s="113" t="s">
        <v>21770</v>
      </c>
      <c r="F450" s="257" t="s">
        <v>14412</v>
      </c>
      <c r="G450" s="258">
        <v>10.63</v>
      </c>
      <c r="H450" s="152"/>
      <c r="I450" s="160">
        <f t="shared" si="6"/>
        <v>69799.549999999988</v>
      </c>
    </row>
    <row r="451" spans="2:9" ht="15.75" x14ac:dyDescent="0.25">
      <c r="B451" s="148"/>
      <c r="C451" s="148" t="s">
        <v>21769</v>
      </c>
      <c r="D451" s="150">
        <v>44032</v>
      </c>
      <c r="E451" s="113" t="s">
        <v>21768</v>
      </c>
      <c r="F451" s="257" t="s">
        <v>14412</v>
      </c>
      <c r="G451" s="258">
        <v>2.15</v>
      </c>
      <c r="H451" s="152"/>
      <c r="I451" s="160">
        <f t="shared" si="6"/>
        <v>69801.699999999983</v>
      </c>
    </row>
    <row r="452" spans="2:9" ht="15.75" x14ac:dyDescent="0.25">
      <c r="B452" s="148"/>
      <c r="C452" s="148" t="s">
        <v>21767</v>
      </c>
      <c r="D452" s="150">
        <v>44032</v>
      </c>
      <c r="E452" s="113" t="s">
        <v>21766</v>
      </c>
      <c r="F452" s="257">
        <v>14</v>
      </c>
      <c r="G452" s="255">
        <v>1.68</v>
      </c>
      <c r="H452" s="152"/>
      <c r="I452" s="160">
        <f t="shared" si="6"/>
        <v>69803.379999999976</v>
      </c>
    </row>
    <row r="453" spans="2:9" ht="15.75" x14ac:dyDescent="0.25">
      <c r="B453" s="148"/>
      <c r="C453" s="148" t="s">
        <v>21765</v>
      </c>
      <c r="D453" s="150">
        <v>44032</v>
      </c>
      <c r="E453" s="113" t="s">
        <v>21764</v>
      </c>
      <c r="F453" s="257">
        <v>14</v>
      </c>
      <c r="G453" s="255">
        <v>8.3800000000000008</v>
      </c>
      <c r="H453" s="152"/>
      <c r="I453" s="160">
        <f t="shared" si="6"/>
        <v>69811.75999999998</v>
      </c>
    </row>
    <row r="454" spans="2:9" ht="15.75" x14ac:dyDescent="0.25">
      <c r="B454" s="148"/>
      <c r="C454" s="148" t="s">
        <v>21763</v>
      </c>
      <c r="D454" s="150">
        <v>44032</v>
      </c>
      <c r="E454" s="113" t="s">
        <v>21762</v>
      </c>
      <c r="F454" s="257">
        <v>14</v>
      </c>
      <c r="G454" s="255">
        <v>2.09</v>
      </c>
      <c r="H454" s="152"/>
      <c r="I454" s="160">
        <f t="shared" si="6"/>
        <v>69813.849999999977</v>
      </c>
    </row>
    <row r="455" spans="2:9" ht="19.5" x14ac:dyDescent="0.25">
      <c r="B455" s="148"/>
      <c r="C455" s="148" t="s">
        <v>21761</v>
      </c>
      <c r="D455" s="150">
        <v>44032</v>
      </c>
      <c r="E455" s="113" t="s">
        <v>21760</v>
      </c>
      <c r="F455" s="257">
        <v>14</v>
      </c>
      <c r="G455" s="255">
        <v>28.32</v>
      </c>
      <c r="H455" s="152"/>
      <c r="I455" s="160">
        <f t="shared" si="6"/>
        <v>69842.169999999984</v>
      </c>
    </row>
    <row r="456" spans="2:9" ht="15.75" x14ac:dyDescent="0.25">
      <c r="B456" s="148"/>
      <c r="C456" s="148" t="s">
        <v>21759</v>
      </c>
      <c r="D456" s="150">
        <v>44032</v>
      </c>
      <c r="E456" s="113" t="s">
        <v>21758</v>
      </c>
      <c r="F456" s="257">
        <v>14</v>
      </c>
      <c r="G456" s="255">
        <v>1.84</v>
      </c>
      <c r="H456" s="152"/>
      <c r="I456" s="160">
        <f t="shared" si="6"/>
        <v>69844.00999999998</v>
      </c>
    </row>
    <row r="457" spans="2:9" ht="19.5" x14ac:dyDescent="0.25">
      <c r="B457" s="148"/>
      <c r="C457" s="148" t="s">
        <v>21757</v>
      </c>
      <c r="D457" s="150">
        <v>44032</v>
      </c>
      <c r="E457" s="113" t="s">
        <v>21756</v>
      </c>
      <c r="F457" s="257">
        <v>14</v>
      </c>
      <c r="G457" s="255">
        <v>12.27</v>
      </c>
      <c r="H457" s="152"/>
      <c r="I457" s="160">
        <f t="shared" si="6"/>
        <v>69856.279999999984</v>
      </c>
    </row>
    <row r="458" spans="2:9" ht="19.5" x14ac:dyDescent="0.25">
      <c r="B458" s="148"/>
      <c r="C458" s="148" t="s">
        <v>21755</v>
      </c>
      <c r="D458" s="150">
        <v>44032</v>
      </c>
      <c r="E458" s="113" t="s">
        <v>21754</v>
      </c>
      <c r="F458" s="257" t="s">
        <v>14436</v>
      </c>
      <c r="G458" s="160">
        <v>12.16</v>
      </c>
      <c r="H458" s="152"/>
      <c r="I458" s="160">
        <f t="shared" si="6"/>
        <v>69868.439999999988</v>
      </c>
    </row>
    <row r="459" spans="2:9" ht="15.75" x14ac:dyDescent="0.25">
      <c r="B459" s="148"/>
      <c r="C459" s="148" t="s">
        <v>20356</v>
      </c>
      <c r="D459" s="150">
        <v>44032</v>
      </c>
      <c r="E459" s="113" t="s">
        <v>21753</v>
      </c>
      <c r="F459" s="257" t="s">
        <v>14433</v>
      </c>
      <c r="G459" s="152"/>
      <c r="H459" s="161">
        <v>103.21</v>
      </c>
      <c r="I459" s="160">
        <f t="shared" si="6"/>
        <v>69765.229999999981</v>
      </c>
    </row>
    <row r="460" spans="2:9" ht="15.75" x14ac:dyDescent="0.25">
      <c r="B460" s="148"/>
      <c r="C460" s="148" t="s">
        <v>21752</v>
      </c>
      <c r="D460" s="150">
        <v>44033</v>
      </c>
      <c r="E460" s="113" t="s">
        <v>21751</v>
      </c>
      <c r="F460" s="257">
        <v>15</v>
      </c>
      <c r="G460" s="255">
        <v>10.09</v>
      </c>
      <c r="H460" s="152"/>
      <c r="I460" s="160">
        <f t="shared" si="6"/>
        <v>69775.319999999978</v>
      </c>
    </row>
    <row r="461" spans="2:9" ht="15.75" x14ac:dyDescent="0.25">
      <c r="B461" s="148"/>
      <c r="C461" s="148" t="s">
        <v>21750</v>
      </c>
      <c r="D461" s="150">
        <v>44033</v>
      </c>
      <c r="E461" s="113" t="s">
        <v>21749</v>
      </c>
      <c r="F461" s="257">
        <v>15</v>
      </c>
      <c r="G461" s="255">
        <v>11.45</v>
      </c>
      <c r="H461" s="152"/>
      <c r="I461" s="160">
        <f t="shared" si="6"/>
        <v>69786.769999999975</v>
      </c>
    </row>
    <row r="462" spans="2:9" ht="15.75" x14ac:dyDescent="0.25">
      <c r="B462" s="148"/>
      <c r="C462" s="148" t="s">
        <v>21748</v>
      </c>
      <c r="D462" s="150">
        <v>44034</v>
      </c>
      <c r="E462" s="113" t="s">
        <v>21747</v>
      </c>
      <c r="F462" s="257" t="s">
        <v>14412</v>
      </c>
      <c r="G462" s="258">
        <v>7.24</v>
      </c>
      <c r="H462" s="152"/>
      <c r="I462" s="160">
        <f t="shared" si="6"/>
        <v>69794.00999999998</v>
      </c>
    </row>
    <row r="463" spans="2:9" ht="15.75" x14ac:dyDescent="0.25">
      <c r="B463" s="148"/>
      <c r="C463" s="148" t="s">
        <v>21746</v>
      </c>
      <c r="D463" s="150">
        <v>44034</v>
      </c>
      <c r="E463" s="113" t="s">
        <v>21745</v>
      </c>
      <c r="F463" s="257" t="s">
        <v>14436</v>
      </c>
      <c r="G463" s="160">
        <v>130.84</v>
      </c>
      <c r="H463" s="152"/>
      <c r="I463" s="160">
        <f t="shared" si="6"/>
        <v>69924.849999999977</v>
      </c>
    </row>
    <row r="464" spans="2:9" ht="19.5" x14ac:dyDescent="0.25">
      <c r="B464" s="148"/>
      <c r="C464" s="148" t="s">
        <v>21744</v>
      </c>
      <c r="D464" s="150">
        <v>44034</v>
      </c>
      <c r="E464" s="113" t="s">
        <v>21743</v>
      </c>
      <c r="F464" s="257" t="s">
        <v>14436</v>
      </c>
      <c r="G464" s="160">
        <v>8.3800000000000008</v>
      </c>
      <c r="H464" s="152"/>
      <c r="I464" s="160">
        <f t="shared" si="6"/>
        <v>69933.229999999981</v>
      </c>
    </row>
    <row r="465" spans="2:9" ht="15.75" x14ac:dyDescent="0.25">
      <c r="B465" s="148"/>
      <c r="C465" s="148" t="s">
        <v>21742</v>
      </c>
      <c r="D465" s="150">
        <v>44034</v>
      </c>
      <c r="E465" s="113" t="s">
        <v>21741</v>
      </c>
      <c r="F465" s="257" t="s">
        <v>14436</v>
      </c>
      <c r="G465" s="160">
        <v>6.94</v>
      </c>
      <c r="H465" s="152"/>
      <c r="I465" s="160">
        <f t="shared" si="6"/>
        <v>69940.169999999984</v>
      </c>
    </row>
    <row r="466" spans="2:9" ht="15.75" x14ac:dyDescent="0.25">
      <c r="B466" s="148"/>
      <c r="C466" s="148" t="s">
        <v>21740</v>
      </c>
      <c r="D466" s="150">
        <v>44034</v>
      </c>
      <c r="E466" s="113" t="s">
        <v>21739</v>
      </c>
      <c r="F466" s="257" t="s">
        <v>14436</v>
      </c>
      <c r="G466" s="160">
        <v>5.79</v>
      </c>
      <c r="H466" s="152"/>
      <c r="I466" s="160">
        <f t="shared" si="6"/>
        <v>69945.959999999977</v>
      </c>
    </row>
    <row r="467" spans="2:9" ht="19.5" x14ac:dyDescent="0.25">
      <c r="B467" s="148"/>
      <c r="C467" s="148" t="s">
        <v>21738</v>
      </c>
      <c r="D467" s="150">
        <v>44034</v>
      </c>
      <c r="E467" s="113" t="s">
        <v>21737</v>
      </c>
      <c r="F467" s="257" t="s">
        <v>14436</v>
      </c>
      <c r="G467" s="160">
        <v>8.3000000000000007</v>
      </c>
      <c r="H467" s="152"/>
      <c r="I467" s="160">
        <f t="shared" si="6"/>
        <v>69954.25999999998</v>
      </c>
    </row>
    <row r="468" spans="2:9" ht="19.5" x14ac:dyDescent="0.25">
      <c r="B468" s="148"/>
      <c r="C468" s="148" t="s">
        <v>21736</v>
      </c>
      <c r="D468" s="150">
        <v>44034</v>
      </c>
      <c r="E468" s="113" t="s">
        <v>21735</v>
      </c>
      <c r="F468" s="257">
        <v>16</v>
      </c>
      <c r="G468" s="255">
        <v>17.190000000000001</v>
      </c>
      <c r="H468" s="152"/>
      <c r="I468" s="160">
        <f t="shared" ref="I468:I531" si="7">+I467+G468-H468</f>
        <v>69971.449999999983</v>
      </c>
    </row>
    <row r="469" spans="2:9" ht="19.5" x14ac:dyDescent="0.25">
      <c r="B469" s="148"/>
      <c r="C469" s="148" t="s">
        <v>21734</v>
      </c>
      <c r="D469" s="150">
        <v>44034</v>
      </c>
      <c r="E469" s="113" t="s">
        <v>21733</v>
      </c>
      <c r="F469" s="257">
        <v>16</v>
      </c>
      <c r="G469" s="255">
        <v>10.77</v>
      </c>
      <c r="H469" s="152"/>
      <c r="I469" s="160">
        <f t="shared" si="7"/>
        <v>69982.219999999987</v>
      </c>
    </row>
    <row r="470" spans="2:9" ht="19.5" x14ac:dyDescent="0.25">
      <c r="B470" s="148"/>
      <c r="C470" s="148" t="s">
        <v>21732</v>
      </c>
      <c r="D470" s="150">
        <v>44034</v>
      </c>
      <c r="E470" s="113" t="s">
        <v>21731</v>
      </c>
      <c r="F470" s="257">
        <v>16</v>
      </c>
      <c r="G470" s="255">
        <v>57.37</v>
      </c>
      <c r="H470" s="152"/>
      <c r="I470" s="160">
        <f t="shared" si="7"/>
        <v>70039.589999999982</v>
      </c>
    </row>
    <row r="471" spans="2:9" ht="19.5" x14ac:dyDescent="0.25">
      <c r="B471" s="148"/>
      <c r="C471" s="148" t="s">
        <v>21730</v>
      </c>
      <c r="D471" s="150">
        <v>44034</v>
      </c>
      <c r="E471" s="113" t="s">
        <v>21729</v>
      </c>
      <c r="F471" s="257">
        <v>16</v>
      </c>
      <c r="G471" s="255">
        <v>15.64</v>
      </c>
      <c r="H471" s="152"/>
      <c r="I471" s="160">
        <f t="shared" si="7"/>
        <v>70055.229999999981</v>
      </c>
    </row>
    <row r="472" spans="2:9" ht="19.5" x14ac:dyDescent="0.25">
      <c r="B472" s="148"/>
      <c r="C472" s="148" t="s">
        <v>21728</v>
      </c>
      <c r="D472" s="150">
        <v>44034</v>
      </c>
      <c r="E472" s="113" t="s">
        <v>21727</v>
      </c>
      <c r="F472" s="257">
        <v>16</v>
      </c>
      <c r="G472" s="255">
        <v>15.18</v>
      </c>
      <c r="H472" s="152"/>
      <c r="I472" s="160">
        <f t="shared" si="7"/>
        <v>70070.409999999974</v>
      </c>
    </row>
    <row r="473" spans="2:9" ht="15.75" x14ac:dyDescent="0.25">
      <c r="B473" s="148"/>
      <c r="C473" s="148" t="s">
        <v>21726</v>
      </c>
      <c r="D473" s="150">
        <v>44035</v>
      </c>
      <c r="E473" s="113" t="s">
        <v>21725</v>
      </c>
      <c r="F473" s="257" t="s">
        <v>14436</v>
      </c>
      <c r="G473" s="160">
        <v>31.34</v>
      </c>
      <c r="H473" s="152"/>
      <c r="I473" s="160">
        <f t="shared" si="7"/>
        <v>70101.749999999971</v>
      </c>
    </row>
    <row r="474" spans="2:9" ht="15.75" x14ac:dyDescent="0.25">
      <c r="B474" s="148"/>
      <c r="C474" s="148" t="s">
        <v>21724</v>
      </c>
      <c r="D474" s="150">
        <v>44035</v>
      </c>
      <c r="E474" s="113" t="s">
        <v>21723</v>
      </c>
      <c r="F474" s="257" t="s">
        <v>14412</v>
      </c>
      <c r="G474" s="258">
        <v>3.73</v>
      </c>
      <c r="H474" s="152"/>
      <c r="I474" s="160">
        <f t="shared" si="7"/>
        <v>70105.479999999967</v>
      </c>
    </row>
    <row r="475" spans="2:9" ht="19.5" x14ac:dyDescent="0.25">
      <c r="B475" s="148"/>
      <c r="C475" s="148" t="s">
        <v>21722</v>
      </c>
      <c r="D475" s="150">
        <v>44035</v>
      </c>
      <c r="E475" s="113" t="s">
        <v>21721</v>
      </c>
      <c r="F475" s="257" t="s">
        <v>14412</v>
      </c>
      <c r="G475" s="258">
        <v>5.42</v>
      </c>
      <c r="H475" s="152"/>
      <c r="I475" s="160">
        <f t="shared" si="7"/>
        <v>70110.899999999965</v>
      </c>
    </row>
    <row r="476" spans="2:9" ht="15.75" x14ac:dyDescent="0.25">
      <c r="B476" s="148"/>
      <c r="C476" s="148" t="s">
        <v>21720</v>
      </c>
      <c r="D476" s="150">
        <v>44035</v>
      </c>
      <c r="E476" s="113" t="s">
        <v>21719</v>
      </c>
      <c r="F476" s="257" t="s">
        <v>14412</v>
      </c>
      <c r="G476" s="258">
        <v>3.68</v>
      </c>
      <c r="H476" s="152"/>
      <c r="I476" s="160">
        <f t="shared" si="7"/>
        <v>70114.579999999958</v>
      </c>
    </row>
    <row r="477" spans="2:9" ht="19.5" x14ac:dyDescent="0.25">
      <c r="B477" s="148"/>
      <c r="C477" s="148" t="s">
        <v>21718</v>
      </c>
      <c r="D477" s="150">
        <v>44035</v>
      </c>
      <c r="E477" s="113" t="s">
        <v>21717</v>
      </c>
      <c r="F477" s="257" t="s">
        <v>14412</v>
      </c>
      <c r="G477" s="258">
        <v>42.24</v>
      </c>
      <c r="H477" s="152"/>
      <c r="I477" s="160">
        <f t="shared" si="7"/>
        <v>70156.819999999963</v>
      </c>
    </row>
    <row r="478" spans="2:9" ht="15.75" x14ac:dyDescent="0.25">
      <c r="B478" s="148"/>
      <c r="C478" s="148" t="s">
        <v>21716</v>
      </c>
      <c r="D478" s="150">
        <v>44035</v>
      </c>
      <c r="E478" s="113" t="s">
        <v>21715</v>
      </c>
      <c r="F478" s="257" t="s">
        <v>14412</v>
      </c>
      <c r="G478" s="258">
        <v>5.44</v>
      </c>
      <c r="H478" s="152"/>
      <c r="I478" s="160">
        <f t="shared" si="7"/>
        <v>70162.259999999966</v>
      </c>
    </row>
    <row r="479" spans="2:9" ht="19.5" x14ac:dyDescent="0.25">
      <c r="B479" s="148"/>
      <c r="C479" s="148" t="s">
        <v>21714</v>
      </c>
      <c r="D479" s="150">
        <v>44035</v>
      </c>
      <c r="E479" s="113" t="s">
        <v>21713</v>
      </c>
      <c r="F479" s="257" t="s">
        <v>14412</v>
      </c>
      <c r="G479" s="258">
        <v>21.48</v>
      </c>
      <c r="H479" s="152"/>
      <c r="I479" s="160">
        <f t="shared" si="7"/>
        <v>70183.739999999962</v>
      </c>
    </row>
    <row r="480" spans="2:9" ht="19.5" x14ac:dyDescent="0.25">
      <c r="B480" s="148"/>
      <c r="C480" s="148" t="s">
        <v>21712</v>
      </c>
      <c r="D480" s="150">
        <v>44035</v>
      </c>
      <c r="E480" s="113" t="s">
        <v>21711</v>
      </c>
      <c r="F480" s="257" t="s">
        <v>14412</v>
      </c>
      <c r="G480" s="258">
        <v>3.66</v>
      </c>
      <c r="H480" s="152"/>
      <c r="I480" s="160">
        <f t="shared" si="7"/>
        <v>70187.399999999965</v>
      </c>
    </row>
    <row r="481" spans="2:9" ht="19.5" x14ac:dyDescent="0.25">
      <c r="B481" s="148"/>
      <c r="C481" s="148" t="s">
        <v>21710</v>
      </c>
      <c r="D481" s="150">
        <v>44035</v>
      </c>
      <c r="E481" s="113" t="s">
        <v>21709</v>
      </c>
      <c r="F481" s="257" t="s">
        <v>14412</v>
      </c>
      <c r="G481" s="258">
        <v>52.25</v>
      </c>
      <c r="H481" s="152"/>
      <c r="I481" s="160">
        <f t="shared" si="7"/>
        <v>70239.649999999965</v>
      </c>
    </row>
    <row r="482" spans="2:9" ht="15.75" x14ac:dyDescent="0.25">
      <c r="B482" s="148"/>
      <c r="C482" s="148" t="s">
        <v>21708</v>
      </c>
      <c r="D482" s="150">
        <v>44035</v>
      </c>
      <c r="E482" s="113" t="s">
        <v>21707</v>
      </c>
      <c r="F482" s="257" t="s">
        <v>14412</v>
      </c>
      <c r="G482" s="258">
        <v>6.2</v>
      </c>
      <c r="H482" s="152"/>
      <c r="I482" s="160">
        <f t="shared" si="7"/>
        <v>70245.849999999962</v>
      </c>
    </row>
    <row r="483" spans="2:9" ht="15.75" x14ac:dyDescent="0.25">
      <c r="B483" s="148"/>
      <c r="C483" s="148" t="s">
        <v>21706</v>
      </c>
      <c r="D483" s="150">
        <v>44035</v>
      </c>
      <c r="E483" s="113" t="s">
        <v>21705</v>
      </c>
      <c r="F483" s="257" t="s">
        <v>14412</v>
      </c>
      <c r="G483" s="258">
        <v>4.1900000000000004</v>
      </c>
      <c r="H483" s="152"/>
      <c r="I483" s="160">
        <f t="shared" si="7"/>
        <v>70250.039999999964</v>
      </c>
    </row>
    <row r="484" spans="2:9" ht="19.5" x14ac:dyDescent="0.25">
      <c r="B484" s="148"/>
      <c r="C484" s="148" t="s">
        <v>21704</v>
      </c>
      <c r="D484" s="150">
        <v>44035</v>
      </c>
      <c r="E484" s="113" t="s">
        <v>21703</v>
      </c>
      <c r="F484" s="257" t="s">
        <v>14412</v>
      </c>
      <c r="G484" s="258">
        <v>34.880000000000003</v>
      </c>
      <c r="H484" s="152"/>
      <c r="I484" s="160">
        <f t="shared" si="7"/>
        <v>70284.919999999969</v>
      </c>
    </row>
    <row r="485" spans="2:9" ht="15.75" x14ac:dyDescent="0.25">
      <c r="B485" s="148"/>
      <c r="C485" s="148" t="s">
        <v>21702</v>
      </c>
      <c r="D485" s="150">
        <v>44035</v>
      </c>
      <c r="E485" s="113" t="s">
        <v>21701</v>
      </c>
      <c r="F485" s="257" t="s">
        <v>14412</v>
      </c>
      <c r="G485" s="258">
        <v>8.3800000000000008</v>
      </c>
      <c r="H485" s="152"/>
      <c r="I485" s="160">
        <f t="shared" si="7"/>
        <v>70293.299999999974</v>
      </c>
    </row>
    <row r="486" spans="2:9" ht="19.5" x14ac:dyDescent="0.25">
      <c r="B486" s="148"/>
      <c r="C486" s="148" t="s">
        <v>21700</v>
      </c>
      <c r="D486" s="150">
        <v>44035</v>
      </c>
      <c r="E486" s="113" t="s">
        <v>21699</v>
      </c>
      <c r="F486" s="257" t="s">
        <v>14412</v>
      </c>
      <c r="G486" s="258">
        <v>15.14</v>
      </c>
      <c r="H486" s="152"/>
      <c r="I486" s="160">
        <f t="shared" si="7"/>
        <v>70308.439999999973</v>
      </c>
    </row>
    <row r="487" spans="2:9" ht="19.5" x14ac:dyDescent="0.25">
      <c r="B487" s="148"/>
      <c r="C487" s="148" t="s">
        <v>21698</v>
      </c>
      <c r="D487" s="150">
        <v>44035</v>
      </c>
      <c r="E487" s="113" t="s">
        <v>21697</v>
      </c>
      <c r="F487" s="257" t="s">
        <v>14412</v>
      </c>
      <c r="G487" s="258">
        <v>5.44</v>
      </c>
      <c r="H487" s="152"/>
      <c r="I487" s="160">
        <f t="shared" si="7"/>
        <v>70313.879999999976</v>
      </c>
    </row>
    <row r="488" spans="2:9" ht="19.5" x14ac:dyDescent="0.25">
      <c r="B488" s="148"/>
      <c r="C488" s="148" t="s">
        <v>21696</v>
      </c>
      <c r="D488" s="150">
        <v>44035</v>
      </c>
      <c r="E488" s="113" t="s">
        <v>21695</v>
      </c>
      <c r="F488" s="257" t="s">
        <v>14412</v>
      </c>
      <c r="G488" s="258">
        <v>3</v>
      </c>
      <c r="H488" s="152"/>
      <c r="I488" s="160">
        <f t="shared" si="7"/>
        <v>70316.879999999976</v>
      </c>
    </row>
    <row r="489" spans="2:9" ht="15.75" x14ac:dyDescent="0.25">
      <c r="B489" s="148"/>
      <c r="C489" s="148" t="s">
        <v>21694</v>
      </c>
      <c r="D489" s="150">
        <v>44035</v>
      </c>
      <c r="E489" s="113" t="s">
        <v>21693</v>
      </c>
      <c r="F489" s="257" t="s">
        <v>14412</v>
      </c>
      <c r="G489" s="258">
        <v>8.3800000000000008</v>
      </c>
      <c r="H489" s="152"/>
      <c r="I489" s="160">
        <f t="shared" si="7"/>
        <v>70325.25999999998</v>
      </c>
    </row>
    <row r="490" spans="2:9" ht="19.5" x14ac:dyDescent="0.25">
      <c r="B490" s="148"/>
      <c r="C490" s="148" t="s">
        <v>21692</v>
      </c>
      <c r="D490" s="150">
        <v>44035</v>
      </c>
      <c r="E490" s="113" t="s">
        <v>21691</v>
      </c>
      <c r="F490" s="257" t="s">
        <v>14412</v>
      </c>
      <c r="G490" s="258">
        <v>14.89</v>
      </c>
      <c r="H490" s="152"/>
      <c r="I490" s="160">
        <f t="shared" si="7"/>
        <v>70340.14999999998</v>
      </c>
    </row>
    <row r="491" spans="2:9" ht="19.5" x14ac:dyDescent="0.25">
      <c r="B491" s="148"/>
      <c r="C491" s="148" t="s">
        <v>21690</v>
      </c>
      <c r="D491" s="150">
        <v>44035</v>
      </c>
      <c r="E491" s="113" t="s">
        <v>21689</v>
      </c>
      <c r="F491" s="257" t="s">
        <v>14412</v>
      </c>
      <c r="G491" s="258">
        <v>5.86</v>
      </c>
      <c r="H491" s="152"/>
      <c r="I491" s="160">
        <f t="shared" si="7"/>
        <v>70346.00999999998</v>
      </c>
    </row>
    <row r="492" spans="2:9" ht="19.5" x14ac:dyDescent="0.25">
      <c r="B492" s="148"/>
      <c r="C492" s="148" t="s">
        <v>21688</v>
      </c>
      <c r="D492" s="150">
        <v>44035</v>
      </c>
      <c r="E492" s="113" t="s">
        <v>21687</v>
      </c>
      <c r="F492" s="257" t="s">
        <v>14412</v>
      </c>
      <c r="G492" s="258">
        <v>11.06</v>
      </c>
      <c r="H492" s="152"/>
      <c r="I492" s="160">
        <f t="shared" si="7"/>
        <v>70357.069999999978</v>
      </c>
    </row>
    <row r="493" spans="2:9" ht="19.5" x14ac:dyDescent="0.25">
      <c r="B493" s="148"/>
      <c r="C493" s="148" t="s">
        <v>21686</v>
      </c>
      <c r="D493" s="150">
        <v>44035</v>
      </c>
      <c r="E493" s="113" t="s">
        <v>21685</v>
      </c>
      <c r="F493" s="257" t="s">
        <v>14412</v>
      </c>
      <c r="G493" s="258">
        <v>2.59</v>
      </c>
      <c r="H493" s="152"/>
      <c r="I493" s="160">
        <f t="shared" si="7"/>
        <v>70359.659999999974</v>
      </c>
    </row>
    <row r="494" spans="2:9" ht="15.75" x14ac:dyDescent="0.25">
      <c r="B494" s="148"/>
      <c r="C494" s="148" t="s">
        <v>21684</v>
      </c>
      <c r="D494" s="150">
        <v>44035</v>
      </c>
      <c r="E494" s="113" t="s">
        <v>21683</v>
      </c>
      <c r="F494" s="257">
        <v>17</v>
      </c>
      <c r="G494" s="255">
        <v>14</v>
      </c>
      <c r="H494" s="152"/>
      <c r="I494" s="160">
        <f t="shared" si="7"/>
        <v>70373.659999999974</v>
      </c>
    </row>
    <row r="495" spans="2:9" ht="15.75" x14ac:dyDescent="0.25">
      <c r="B495" s="148"/>
      <c r="C495" s="148" t="s">
        <v>21682</v>
      </c>
      <c r="D495" s="150">
        <v>44035</v>
      </c>
      <c r="E495" s="113" t="s">
        <v>21681</v>
      </c>
      <c r="F495" s="257">
        <v>17</v>
      </c>
      <c r="G495" s="255">
        <v>3.36</v>
      </c>
      <c r="H495" s="152"/>
      <c r="I495" s="160">
        <f t="shared" si="7"/>
        <v>70377.019999999975</v>
      </c>
    </row>
    <row r="496" spans="2:9" ht="19.5" x14ac:dyDescent="0.25">
      <c r="B496" s="148"/>
      <c r="C496" s="148" t="s">
        <v>21680</v>
      </c>
      <c r="D496" s="150">
        <v>44035</v>
      </c>
      <c r="E496" s="113" t="s">
        <v>21679</v>
      </c>
      <c r="F496" s="257">
        <v>17</v>
      </c>
      <c r="G496" s="255">
        <v>25.14</v>
      </c>
      <c r="H496" s="152"/>
      <c r="I496" s="160">
        <f t="shared" si="7"/>
        <v>70402.159999999974</v>
      </c>
    </row>
    <row r="497" spans="2:9" ht="15.75" x14ac:dyDescent="0.25">
      <c r="B497" s="148"/>
      <c r="C497" s="148" t="s">
        <v>21678</v>
      </c>
      <c r="D497" s="150">
        <v>44035</v>
      </c>
      <c r="E497" s="113" t="s">
        <v>21677</v>
      </c>
      <c r="F497" s="257">
        <v>17</v>
      </c>
      <c r="G497" s="255">
        <v>3.88</v>
      </c>
      <c r="H497" s="152"/>
      <c r="I497" s="160">
        <f t="shared" si="7"/>
        <v>70406.039999999979</v>
      </c>
    </row>
    <row r="498" spans="2:9" ht="19.5" x14ac:dyDescent="0.25">
      <c r="B498" s="148"/>
      <c r="C498" s="148" t="s">
        <v>21676</v>
      </c>
      <c r="D498" s="150">
        <v>44035</v>
      </c>
      <c r="E498" s="113" t="s">
        <v>21675</v>
      </c>
      <c r="F498" s="257">
        <v>17</v>
      </c>
      <c r="G498" s="255">
        <v>28.42</v>
      </c>
      <c r="H498" s="152"/>
      <c r="I498" s="160">
        <f t="shared" si="7"/>
        <v>70434.459999999977</v>
      </c>
    </row>
    <row r="499" spans="2:9" ht="15.75" x14ac:dyDescent="0.25">
      <c r="B499" s="148"/>
      <c r="C499" s="148" t="s">
        <v>21674</v>
      </c>
      <c r="D499" s="150">
        <v>44035</v>
      </c>
      <c r="E499" s="113" t="s">
        <v>21673</v>
      </c>
      <c r="F499" s="257">
        <v>17</v>
      </c>
      <c r="G499" s="255">
        <v>6.94</v>
      </c>
      <c r="H499" s="152"/>
      <c r="I499" s="160">
        <f t="shared" si="7"/>
        <v>70441.39999999998</v>
      </c>
    </row>
    <row r="500" spans="2:9" ht="19.5" x14ac:dyDescent="0.25">
      <c r="B500" s="148"/>
      <c r="C500" s="148" t="s">
        <v>21672</v>
      </c>
      <c r="D500" s="150">
        <v>44035</v>
      </c>
      <c r="E500" s="113" t="s">
        <v>21671</v>
      </c>
      <c r="F500" s="257">
        <v>17</v>
      </c>
      <c r="G500" s="255">
        <v>6.5</v>
      </c>
      <c r="H500" s="152"/>
      <c r="I500" s="160">
        <f t="shared" si="7"/>
        <v>70447.89999999998</v>
      </c>
    </row>
    <row r="501" spans="2:9" ht="15.75" x14ac:dyDescent="0.25">
      <c r="B501" s="148"/>
      <c r="C501" s="148" t="s">
        <v>21670</v>
      </c>
      <c r="D501" s="150">
        <v>44035</v>
      </c>
      <c r="E501" s="113" t="s">
        <v>21669</v>
      </c>
      <c r="F501" s="257">
        <v>17</v>
      </c>
      <c r="G501" s="255">
        <v>68.680000000000007</v>
      </c>
      <c r="H501" s="152"/>
      <c r="I501" s="160">
        <f t="shared" si="7"/>
        <v>70516.579999999973</v>
      </c>
    </row>
    <row r="502" spans="2:9" ht="15.75" x14ac:dyDescent="0.25">
      <c r="B502" s="148"/>
      <c r="C502" s="148" t="s">
        <v>21668</v>
      </c>
      <c r="D502" s="150">
        <v>44035</v>
      </c>
      <c r="E502" s="113" t="s">
        <v>21667</v>
      </c>
      <c r="F502" s="257">
        <v>17</v>
      </c>
      <c r="G502" s="255">
        <v>68.69</v>
      </c>
      <c r="H502" s="152"/>
      <c r="I502" s="160">
        <f t="shared" si="7"/>
        <v>70585.269999999975</v>
      </c>
    </row>
    <row r="503" spans="2:9" ht="15.75" x14ac:dyDescent="0.25">
      <c r="B503" s="148"/>
      <c r="C503" s="148" t="s">
        <v>21666</v>
      </c>
      <c r="D503" s="150">
        <v>44035</v>
      </c>
      <c r="E503" s="113" t="s">
        <v>21665</v>
      </c>
      <c r="F503" s="257">
        <v>17</v>
      </c>
      <c r="G503" s="255">
        <v>68.819999999999993</v>
      </c>
      <c r="H503" s="152"/>
      <c r="I503" s="160">
        <f t="shared" si="7"/>
        <v>70654.089999999982</v>
      </c>
    </row>
    <row r="504" spans="2:9" ht="19.5" x14ac:dyDescent="0.25">
      <c r="B504" s="148"/>
      <c r="C504" s="148" t="s">
        <v>21664</v>
      </c>
      <c r="D504" s="150">
        <v>44035</v>
      </c>
      <c r="E504" s="113" t="s">
        <v>21663</v>
      </c>
      <c r="F504" s="257">
        <v>17</v>
      </c>
      <c r="G504" s="255">
        <v>4.1900000000000004</v>
      </c>
      <c r="H504" s="152"/>
      <c r="I504" s="160">
        <f t="shared" si="7"/>
        <v>70658.279999999984</v>
      </c>
    </row>
    <row r="505" spans="2:9" ht="15.75" x14ac:dyDescent="0.25">
      <c r="B505" s="148"/>
      <c r="C505" s="148" t="s">
        <v>21662</v>
      </c>
      <c r="D505" s="150">
        <v>44035</v>
      </c>
      <c r="E505" s="113" t="s">
        <v>21661</v>
      </c>
      <c r="F505" s="257">
        <v>17</v>
      </c>
      <c r="G505" s="255">
        <v>5.87</v>
      </c>
      <c r="H505" s="152"/>
      <c r="I505" s="160">
        <f t="shared" si="7"/>
        <v>70664.14999999998</v>
      </c>
    </row>
    <row r="506" spans="2:9" ht="15.75" x14ac:dyDescent="0.25">
      <c r="B506" s="148"/>
      <c r="C506" s="148" t="s">
        <v>21660</v>
      </c>
      <c r="D506" s="150">
        <v>44035</v>
      </c>
      <c r="E506" s="113" t="s">
        <v>21659</v>
      </c>
      <c r="F506" s="257">
        <v>17</v>
      </c>
      <c r="G506" s="255">
        <v>1.94</v>
      </c>
      <c r="H506" s="152"/>
      <c r="I506" s="160">
        <f t="shared" si="7"/>
        <v>70666.089999999982</v>
      </c>
    </row>
    <row r="507" spans="2:9" ht="19.5" x14ac:dyDescent="0.25">
      <c r="B507" s="148"/>
      <c r="C507" s="148" t="s">
        <v>21658</v>
      </c>
      <c r="D507" s="150">
        <v>44035</v>
      </c>
      <c r="E507" s="113" t="s">
        <v>21657</v>
      </c>
      <c r="F507" s="257" t="s">
        <v>18712</v>
      </c>
      <c r="G507" s="160">
        <v>20</v>
      </c>
      <c r="H507" s="152"/>
      <c r="I507" s="160">
        <f t="shared" si="7"/>
        <v>70686.089999999982</v>
      </c>
    </row>
    <row r="508" spans="2:9" ht="19.5" x14ac:dyDescent="0.25">
      <c r="B508" s="148"/>
      <c r="C508" s="148" t="s">
        <v>18388</v>
      </c>
      <c r="D508" s="150">
        <v>44035</v>
      </c>
      <c r="E508" s="113" t="s">
        <v>21656</v>
      </c>
      <c r="F508" s="257" t="s">
        <v>14433</v>
      </c>
      <c r="G508" s="152"/>
      <c r="H508" s="161">
        <v>1174.8800000000001</v>
      </c>
      <c r="I508" s="160">
        <f t="shared" si="7"/>
        <v>69511.209999999977</v>
      </c>
    </row>
    <row r="509" spans="2:9" ht="19.5" x14ac:dyDescent="0.25">
      <c r="B509" s="148"/>
      <c r="C509" s="148" t="s">
        <v>21655</v>
      </c>
      <c r="D509" s="150">
        <v>44036</v>
      </c>
      <c r="E509" s="113" t="s">
        <v>21654</v>
      </c>
      <c r="F509" s="257" t="s">
        <v>14436</v>
      </c>
      <c r="G509" s="160">
        <v>59.2</v>
      </c>
      <c r="H509" s="152"/>
      <c r="I509" s="160">
        <f t="shared" si="7"/>
        <v>69570.409999999974</v>
      </c>
    </row>
    <row r="510" spans="2:9" ht="19.5" x14ac:dyDescent="0.25">
      <c r="B510" s="148"/>
      <c r="C510" s="148" t="s">
        <v>21653</v>
      </c>
      <c r="D510" s="150">
        <v>44036</v>
      </c>
      <c r="E510" s="113" t="s">
        <v>21652</v>
      </c>
      <c r="F510" s="257" t="s">
        <v>14436</v>
      </c>
      <c r="G510" s="160">
        <v>8.08</v>
      </c>
      <c r="H510" s="152"/>
      <c r="I510" s="160">
        <f t="shared" si="7"/>
        <v>69578.489999999976</v>
      </c>
    </row>
    <row r="511" spans="2:9" ht="19.5" x14ac:dyDescent="0.25">
      <c r="B511" s="148"/>
      <c r="C511" s="148" t="s">
        <v>21651</v>
      </c>
      <c r="D511" s="150">
        <v>44036</v>
      </c>
      <c r="E511" s="113" t="s">
        <v>21650</v>
      </c>
      <c r="F511" s="257" t="s">
        <v>14412</v>
      </c>
      <c r="G511" s="258">
        <v>3.48</v>
      </c>
      <c r="H511" s="152"/>
      <c r="I511" s="160">
        <f t="shared" si="7"/>
        <v>69581.969999999972</v>
      </c>
    </row>
    <row r="512" spans="2:9" ht="19.5" x14ac:dyDescent="0.25">
      <c r="B512" s="148"/>
      <c r="C512" s="148" t="s">
        <v>21649</v>
      </c>
      <c r="D512" s="150">
        <v>44036</v>
      </c>
      <c r="E512" s="113" t="s">
        <v>21648</v>
      </c>
      <c r="F512" s="257" t="s">
        <v>14412</v>
      </c>
      <c r="G512" s="258">
        <v>6.96</v>
      </c>
      <c r="H512" s="152"/>
      <c r="I512" s="160">
        <f t="shared" si="7"/>
        <v>69588.929999999978</v>
      </c>
    </row>
    <row r="513" spans="2:9" ht="19.5" x14ac:dyDescent="0.25">
      <c r="B513" s="148"/>
      <c r="C513" s="148" t="s">
        <v>21647</v>
      </c>
      <c r="D513" s="150">
        <v>44036</v>
      </c>
      <c r="E513" s="113" t="s">
        <v>21646</v>
      </c>
      <c r="F513" s="257" t="s">
        <v>14412</v>
      </c>
      <c r="G513" s="258">
        <v>46.06</v>
      </c>
      <c r="H513" s="152"/>
      <c r="I513" s="160">
        <f t="shared" si="7"/>
        <v>69634.989999999976</v>
      </c>
    </row>
    <row r="514" spans="2:9" ht="19.5" x14ac:dyDescent="0.25">
      <c r="B514" s="148"/>
      <c r="C514" s="148" t="s">
        <v>21645</v>
      </c>
      <c r="D514" s="150">
        <v>44036</v>
      </c>
      <c r="E514" s="113" t="s">
        <v>21644</v>
      </c>
      <c r="F514" s="257" t="s">
        <v>14412</v>
      </c>
      <c r="G514" s="258">
        <v>17.34</v>
      </c>
      <c r="H514" s="152"/>
      <c r="I514" s="160">
        <f t="shared" si="7"/>
        <v>69652.329999999973</v>
      </c>
    </row>
    <row r="515" spans="2:9" ht="19.5" x14ac:dyDescent="0.25">
      <c r="B515" s="148"/>
      <c r="C515" s="148" t="s">
        <v>21643</v>
      </c>
      <c r="D515" s="150">
        <v>44036</v>
      </c>
      <c r="E515" s="113" t="s">
        <v>21642</v>
      </c>
      <c r="F515" s="257" t="s">
        <v>14412</v>
      </c>
      <c r="G515" s="258">
        <v>11.45</v>
      </c>
      <c r="H515" s="152"/>
      <c r="I515" s="160">
        <f t="shared" si="7"/>
        <v>69663.77999999997</v>
      </c>
    </row>
    <row r="516" spans="2:9" ht="19.5" x14ac:dyDescent="0.25">
      <c r="B516" s="148"/>
      <c r="C516" s="148" t="s">
        <v>21641</v>
      </c>
      <c r="D516" s="150">
        <v>44036</v>
      </c>
      <c r="E516" s="113" t="s">
        <v>21640</v>
      </c>
      <c r="F516" s="257" t="s">
        <v>14412</v>
      </c>
      <c r="G516" s="258">
        <v>3.36</v>
      </c>
      <c r="H516" s="152"/>
      <c r="I516" s="160">
        <f t="shared" si="7"/>
        <v>69667.13999999997</v>
      </c>
    </row>
    <row r="517" spans="2:9" ht="15.75" x14ac:dyDescent="0.25">
      <c r="B517" s="148"/>
      <c r="C517" s="148" t="s">
        <v>21639</v>
      </c>
      <c r="D517" s="150">
        <v>44036</v>
      </c>
      <c r="E517" s="113" t="s">
        <v>21638</v>
      </c>
      <c r="F517" s="257" t="s">
        <v>14412</v>
      </c>
      <c r="G517" s="258">
        <v>7.39</v>
      </c>
      <c r="H517" s="152"/>
      <c r="I517" s="160">
        <f t="shared" si="7"/>
        <v>69674.52999999997</v>
      </c>
    </row>
    <row r="518" spans="2:9" ht="19.5" x14ac:dyDescent="0.25">
      <c r="B518" s="148"/>
      <c r="C518" s="148" t="s">
        <v>21637</v>
      </c>
      <c r="D518" s="150">
        <v>44036</v>
      </c>
      <c r="E518" s="113" t="s">
        <v>21636</v>
      </c>
      <c r="F518" s="257" t="s">
        <v>14412</v>
      </c>
      <c r="G518" s="258">
        <v>50.98</v>
      </c>
      <c r="H518" s="152"/>
      <c r="I518" s="160">
        <f t="shared" si="7"/>
        <v>69725.509999999966</v>
      </c>
    </row>
    <row r="519" spans="2:9" ht="15.75" x14ac:dyDescent="0.25">
      <c r="B519" s="148"/>
      <c r="C519" s="148" t="s">
        <v>21635</v>
      </c>
      <c r="D519" s="150">
        <v>44036</v>
      </c>
      <c r="E519" s="113" t="s">
        <v>21634</v>
      </c>
      <c r="F519" s="257" t="s">
        <v>14412</v>
      </c>
      <c r="G519" s="258">
        <v>3.1</v>
      </c>
      <c r="H519" s="152"/>
      <c r="I519" s="160">
        <f t="shared" si="7"/>
        <v>69728.609999999971</v>
      </c>
    </row>
    <row r="520" spans="2:9" ht="19.5" x14ac:dyDescent="0.25">
      <c r="B520" s="148"/>
      <c r="C520" s="148" t="s">
        <v>21633</v>
      </c>
      <c r="D520" s="150">
        <v>44036</v>
      </c>
      <c r="E520" s="113" t="s">
        <v>21632</v>
      </c>
      <c r="F520" s="257" t="s">
        <v>14412</v>
      </c>
      <c r="G520" s="258">
        <v>16.760000000000002</v>
      </c>
      <c r="H520" s="152"/>
      <c r="I520" s="160">
        <f t="shared" si="7"/>
        <v>69745.369999999966</v>
      </c>
    </row>
    <row r="521" spans="2:9" ht="19.5" x14ac:dyDescent="0.25">
      <c r="B521" s="148"/>
      <c r="C521" s="148" t="s">
        <v>21631</v>
      </c>
      <c r="D521" s="150">
        <v>44036</v>
      </c>
      <c r="E521" s="113" t="s">
        <v>21630</v>
      </c>
      <c r="F521" s="257" t="s">
        <v>14412</v>
      </c>
      <c r="G521" s="258">
        <v>6.94</v>
      </c>
      <c r="H521" s="152"/>
      <c r="I521" s="160">
        <f t="shared" si="7"/>
        <v>69752.309999999969</v>
      </c>
    </row>
    <row r="522" spans="2:9" ht="19.5" x14ac:dyDescent="0.25">
      <c r="B522" s="148"/>
      <c r="C522" s="148" t="s">
        <v>21629</v>
      </c>
      <c r="D522" s="150">
        <v>44036</v>
      </c>
      <c r="E522" s="113" t="s">
        <v>21628</v>
      </c>
      <c r="F522" s="257" t="s">
        <v>14412</v>
      </c>
      <c r="G522" s="258">
        <v>8.99</v>
      </c>
      <c r="H522" s="152"/>
      <c r="I522" s="160">
        <f t="shared" si="7"/>
        <v>69761.299999999974</v>
      </c>
    </row>
    <row r="523" spans="2:9" ht="19.5" x14ac:dyDescent="0.25">
      <c r="B523" s="148"/>
      <c r="C523" s="148" t="s">
        <v>21627</v>
      </c>
      <c r="D523" s="150">
        <v>44036</v>
      </c>
      <c r="E523" s="113" t="s">
        <v>21626</v>
      </c>
      <c r="F523" s="257" t="s">
        <v>14412</v>
      </c>
      <c r="G523" s="258">
        <v>5.95</v>
      </c>
      <c r="H523" s="152"/>
      <c r="I523" s="160">
        <f t="shared" si="7"/>
        <v>69767.249999999971</v>
      </c>
    </row>
    <row r="524" spans="2:9" ht="19.5" x14ac:dyDescent="0.25">
      <c r="B524" s="148"/>
      <c r="C524" s="148" t="s">
        <v>21625</v>
      </c>
      <c r="D524" s="150">
        <v>44036</v>
      </c>
      <c r="E524" s="113" t="s">
        <v>21624</v>
      </c>
      <c r="F524" s="257">
        <v>18</v>
      </c>
      <c r="G524" s="255">
        <v>10.220000000000001</v>
      </c>
      <c r="H524" s="152"/>
      <c r="I524" s="160">
        <f t="shared" si="7"/>
        <v>69777.469999999972</v>
      </c>
    </row>
    <row r="525" spans="2:9" ht="19.5" x14ac:dyDescent="0.25">
      <c r="B525" s="148"/>
      <c r="C525" s="148" t="s">
        <v>21623</v>
      </c>
      <c r="D525" s="150">
        <v>44036</v>
      </c>
      <c r="E525" s="113" t="s">
        <v>21622</v>
      </c>
      <c r="F525" s="257">
        <v>18</v>
      </c>
      <c r="G525" s="255">
        <v>17.03</v>
      </c>
      <c r="H525" s="152"/>
      <c r="I525" s="160">
        <f t="shared" si="7"/>
        <v>69794.499999999971</v>
      </c>
    </row>
    <row r="526" spans="2:9" ht="19.5" x14ac:dyDescent="0.25">
      <c r="B526" s="148"/>
      <c r="C526" s="148" t="s">
        <v>21621</v>
      </c>
      <c r="D526" s="150">
        <v>44036</v>
      </c>
      <c r="E526" s="113" t="s">
        <v>21620</v>
      </c>
      <c r="F526" s="257">
        <v>18</v>
      </c>
      <c r="G526" s="255">
        <v>5.04</v>
      </c>
      <c r="H526" s="152"/>
      <c r="I526" s="160">
        <f t="shared" si="7"/>
        <v>69799.539999999964</v>
      </c>
    </row>
    <row r="527" spans="2:9" ht="19.5" x14ac:dyDescent="0.25">
      <c r="B527" s="148"/>
      <c r="C527" s="148" t="s">
        <v>21619</v>
      </c>
      <c r="D527" s="150">
        <v>44036</v>
      </c>
      <c r="E527" s="113" t="s">
        <v>21618</v>
      </c>
      <c r="F527" s="257">
        <v>18</v>
      </c>
      <c r="G527" s="255">
        <v>34.700000000000003</v>
      </c>
      <c r="H527" s="152"/>
      <c r="I527" s="160">
        <f t="shared" si="7"/>
        <v>69834.239999999962</v>
      </c>
    </row>
    <row r="528" spans="2:9" ht="15.75" x14ac:dyDescent="0.25">
      <c r="B528" s="148"/>
      <c r="C528" s="148" t="s">
        <v>21617</v>
      </c>
      <c r="D528" s="150">
        <v>44036</v>
      </c>
      <c r="E528" s="113" t="s">
        <v>21616</v>
      </c>
      <c r="F528" s="257">
        <v>18</v>
      </c>
      <c r="G528" s="255">
        <v>7.45</v>
      </c>
      <c r="H528" s="152"/>
      <c r="I528" s="160">
        <f t="shared" si="7"/>
        <v>69841.689999999959</v>
      </c>
    </row>
    <row r="529" spans="2:9" ht="19.5" x14ac:dyDescent="0.25">
      <c r="B529" s="148"/>
      <c r="C529" s="148" t="s">
        <v>21615</v>
      </c>
      <c r="D529" s="150">
        <v>44036</v>
      </c>
      <c r="E529" s="113" t="s">
        <v>21614</v>
      </c>
      <c r="F529" s="257">
        <v>18</v>
      </c>
      <c r="G529" s="255">
        <v>1.68</v>
      </c>
      <c r="H529" s="152"/>
      <c r="I529" s="160">
        <f t="shared" si="7"/>
        <v>69843.369999999952</v>
      </c>
    </row>
    <row r="530" spans="2:9" ht="19.5" x14ac:dyDescent="0.25">
      <c r="B530" s="148"/>
      <c r="C530" s="148" t="s">
        <v>21613</v>
      </c>
      <c r="D530" s="150">
        <v>44036</v>
      </c>
      <c r="E530" s="113" t="s">
        <v>21612</v>
      </c>
      <c r="F530" s="257">
        <v>18</v>
      </c>
      <c r="G530" s="255">
        <v>6.51</v>
      </c>
      <c r="H530" s="152"/>
      <c r="I530" s="160">
        <f t="shared" si="7"/>
        <v>69849.879999999946</v>
      </c>
    </row>
    <row r="531" spans="2:9" ht="15.75" x14ac:dyDescent="0.25">
      <c r="B531" s="148"/>
      <c r="C531" s="148" t="s">
        <v>21611</v>
      </c>
      <c r="D531" s="150">
        <v>44036</v>
      </c>
      <c r="E531" s="113" t="s">
        <v>21610</v>
      </c>
      <c r="F531" s="257">
        <v>18</v>
      </c>
      <c r="G531" s="255">
        <v>2.14</v>
      </c>
      <c r="H531" s="152"/>
      <c r="I531" s="160">
        <f t="shared" si="7"/>
        <v>69852.019999999946</v>
      </c>
    </row>
    <row r="532" spans="2:9" ht="19.5" x14ac:dyDescent="0.25">
      <c r="B532" s="148"/>
      <c r="C532" s="148" t="s">
        <v>21609</v>
      </c>
      <c r="D532" s="150">
        <v>44036</v>
      </c>
      <c r="E532" s="113" t="s">
        <v>21608</v>
      </c>
      <c r="F532" s="257">
        <v>18</v>
      </c>
      <c r="G532" s="255">
        <v>1.68</v>
      </c>
      <c r="H532" s="152"/>
      <c r="I532" s="160">
        <f t="shared" ref="I532:I595" si="8">+I531+G532-H532</f>
        <v>69853.699999999939</v>
      </c>
    </row>
    <row r="533" spans="2:9" ht="19.5" x14ac:dyDescent="0.25">
      <c r="B533" s="148"/>
      <c r="C533" s="148" t="s">
        <v>21607</v>
      </c>
      <c r="D533" s="150">
        <v>44036</v>
      </c>
      <c r="E533" s="113" t="s">
        <v>21606</v>
      </c>
      <c r="F533" s="257" t="s">
        <v>14436</v>
      </c>
      <c r="G533" s="160">
        <v>341.92</v>
      </c>
      <c r="H533" s="152"/>
      <c r="I533" s="160">
        <f t="shared" si="8"/>
        <v>70195.619999999937</v>
      </c>
    </row>
    <row r="534" spans="2:9" ht="19.5" x14ac:dyDescent="0.25">
      <c r="B534" s="148"/>
      <c r="C534" s="148" t="s">
        <v>21605</v>
      </c>
      <c r="D534" s="150">
        <v>44037</v>
      </c>
      <c r="E534" s="113" t="s">
        <v>21604</v>
      </c>
      <c r="F534" s="257" t="s">
        <v>14412</v>
      </c>
      <c r="G534" s="258">
        <v>7.2</v>
      </c>
      <c r="H534" s="152"/>
      <c r="I534" s="160">
        <f t="shared" si="8"/>
        <v>70202.819999999934</v>
      </c>
    </row>
    <row r="535" spans="2:9" ht="15.75" x14ac:dyDescent="0.25">
      <c r="B535" s="148"/>
      <c r="C535" s="148" t="s">
        <v>21603</v>
      </c>
      <c r="D535" s="150">
        <v>44037</v>
      </c>
      <c r="E535" s="113" t="s">
        <v>21602</v>
      </c>
      <c r="F535" s="257" t="s">
        <v>14412</v>
      </c>
      <c r="G535" s="258">
        <v>13.76</v>
      </c>
      <c r="H535" s="152"/>
      <c r="I535" s="160">
        <f t="shared" si="8"/>
        <v>70216.579999999929</v>
      </c>
    </row>
    <row r="536" spans="2:9" ht="19.5" x14ac:dyDescent="0.25">
      <c r="B536" s="148"/>
      <c r="C536" s="148" t="s">
        <v>21601</v>
      </c>
      <c r="D536" s="150">
        <v>44037</v>
      </c>
      <c r="E536" s="113" t="s">
        <v>21600</v>
      </c>
      <c r="F536" s="257" t="s">
        <v>14412</v>
      </c>
      <c r="G536" s="258">
        <v>1.99</v>
      </c>
      <c r="H536" s="152"/>
      <c r="I536" s="160">
        <f t="shared" si="8"/>
        <v>70218.569999999934</v>
      </c>
    </row>
    <row r="537" spans="2:9" ht="15.75" x14ac:dyDescent="0.25">
      <c r="B537" s="148"/>
      <c r="C537" s="148" t="s">
        <v>21599</v>
      </c>
      <c r="D537" s="150">
        <v>44037</v>
      </c>
      <c r="E537" s="113" t="s">
        <v>21598</v>
      </c>
      <c r="F537" s="257" t="s">
        <v>14412</v>
      </c>
      <c r="G537" s="258">
        <v>4.2300000000000004</v>
      </c>
      <c r="H537" s="152"/>
      <c r="I537" s="160">
        <f t="shared" si="8"/>
        <v>70222.79999999993</v>
      </c>
    </row>
    <row r="538" spans="2:9" ht="15.75" x14ac:dyDescent="0.25">
      <c r="B538" s="148"/>
      <c r="C538" s="148" t="s">
        <v>21597</v>
      </c>
      <c r="D538" s="150">
        <v>44037</v>
      </c>
      <c r="E538" s="113" t="s">
        <v>21596</v>
      </c>
      <c r="F538" s="257" t="s">
        <v>14412</v>
      </c>
      <c r="G538" s="258">
        <v>1.68</v>
      </c>
      <c r="H538" s="152"/>
      <c r="I538" s="160">
        <f t="shared" si="8"/>
        <v>70224.479999999923</v>
      </c>
    </row>
    <row r="539" spans="2:9" ht="19.5" x14ac:dyDescent="0.25">
      <c r="B539" s="148"/>
      <c r="C539" s="148" t="s">
        <v>21595</v>
      </c>
      <c r="D539" s="150">
        <v>44037</v>
      </c>
      <c r="E539" s="113" t="s">
        <v>21594</v>
      </c>
      <c r="F539" s="257" t="s">
        <v>14412</v>
      </c>
      <c r="G539" s="258">
        <v>5.4</v>
      </c>
      <c r="H539" s="152"/>
      <c r="I539" s="160">
        <f t="shared" si="8"/>
        <v>70229.879999999917</v>
      </c>
    </row>
    <row r="540" spans="2:9" ht="19.5" x14ac:dyDescent="0.25">
      <c r="B540" s="148"/>
      <c r="C540" s="148" t="s">
        <v>21593</v>
      </c>
      <c r="D540" s="150">
        <v>44037</v>
      </c>
      <c r="E540" s="113" t="s">
        <v>21592</v>
      </c>
      <c r="F540" s="257" t="s">
        <v>14412</v>
      </c>
      <c r="G540" s="258">
        <v>11.75</v>
      </c>
      <c r="H540" s="152"/>
      <c r="I540" s="160">
        <f t="shared" si="8"/>
        <v>70241.629999999917</v>
      </c>
    </row>
    <row r="541" spans="2:9" ht="19.5" x14ac:dyDescent="0.25">
      <c r="B541" s="148"/>
      <c r="C541" s="148" t="s">
        <v>21591</v>
      </c>
      <c r="D541" s="150">
        <v>44037</v>
      </c>
      <c r="E541" s="113" t="s">
        <v>21590</v>
      </c>
      <c r="F541" s="257" t="s">
        <v>14412</v>
      </c>
      <c r="G541" s="258">
        <v>7.26</v>
      </c>
      <c r="H541" s="152"/>
      <c r="I541" s="160">
        <f t="shared" si="8"/>
        <v>70248.889999999912</v>
      </c>
    </row>
    <row r="542" spans="2:9" ht="19.5" x14ac:dyDescent="0.25">
      <c r="B542" s="148"/>
      <c r="C542" s="148" t="s">
        <v>21589</v>
      </c>
      <c r="D542" s="150">
        <v>44037</v>
      </c>
      <c r="E542" s="113" t="s">
        <v>21588</v>
      </c>
      <c r="F542" s="257" t="s">
        <v>14412</v>
      </c>
      <c r="G542" s="258">
        <v>10.08</v>
      </c>
      <c r="H542" s="152"/>
      <c r="I542" s="160">
        <f t="shared" si="8"/>
        <v>70258.969999999914</v>
      </c>
    </row>
    <row r="543" spans="2:9" ht="19.5" x14ac:dyDescent="0.25">
      <c r="B543" s="148"/>
      <c r="C543" s="148" t="s">
        <v>21587</v>
      </c>
      <c r="D543" s="150">
        <v>44037</v>
      </c>
      <c r="E543" s="113" t="s">
        <v>21586</v>
      </c>
      <c r="F543" s="257" t="s">
        <v>14412</v>
      </c>
      <c r="G543" s="258">
        <v>3.51</v>
      </c>
      <c r="H543" s="152"/>
      <c r="I543" s="160">
        <f t="shared" si="8"/>
        <v>70262.479999999909</v>
      </c>
    </row>
    <row r="544" spans="2:9" ht="19.5" x14ac:dyDescent="0.25">
      <c r="B544" s="148"/>
      <c r="C544" s="148" t="s">
        <v>21585</v>
      </c>
      <c r="D544" s="150">
        <v>44038</v>
      </c>
      <c r="E544" s="113" t="s">
        <v>21584</v>
      </c>
      <c r="F544" s="257" t="s">
        <v>14412</v>
      </c>
      <c r="G544" s="258">
        <v>3.35</v>
      </c>
      <c r="H544" s="152"/>
      <c r="I544" s="160">
        <f t="shared" si="8"/>
        <v>70265.829999999914</v>
      </c>
    </row>
    <row r="545" spans="2:9" ht="15.75" x14ac:dyDescent="0.25">
      <c r="B545" s="148"/>
      <c r="C545" s="148" t="s">
        <v>21583</v>
      </c>
      <c r="D545" s="150">
        <v>44038</v>
      </c>
      <c r="E545" s="113" t="s">
        <v>21582</v>
      </c>
      <c r="F545" s="257" t="s">
        <v>14412</v>
      </c>
      <c r="G545" s="258">
        <v>2.63</v>
      </c>
      <c r="H545" s="152"/>
      <c r="I545" s="160">
        <f t="shared" si="8"/>
        <v>70268.459999999919</v>
      </c>
    </row>
    <row r="546" spans="2:9" ht="19.5" x14ac:dyDescent="0.25">
      <c r="B546" s="148"/>
      <c r="C546" s="148" t="s">
        <v>21581</v>
      </c>
      <c r="D546" s="150">
        <v>44038</v>
      </c>
      <c r="E546" s="113" t="s">
        <v>21580</v>
      </c>
      <c r="F546" s="257" t="s">
        <v>14412</v>
      </c>
      <c r="G546" s="258">
        <v>27.95</v>
      </c>
      <c r="H546" s="152"/>
      <c r="I546" s="160">
        <f t="shared" si="8"/>
        <v>70296.409999999916</v>
      </c>
    </row>
    <row r="547" spans="2:9" ht="19.5" x14ac:dyDescent="0.25">
      <c r="B547" s="148"/>
      <c r="C547" s="148" t="s">
        <v>21579</v>
      </c>
      <c r="D547" s="150">
        <v>44038</v>
      </c>
      <c r="E547" s="113" t="s">
        <v>21578</v>
      </c>
      <c r="F547" s="257" t="s">
        <v>14412</v>
      </c>
      <c r="G547" s="258">
        <v>5.51</v>
      </c>
      <c r="H547" s="152"/>
      <c r="I547" s="160">
        <f t="shared" si="8"/>
        <v>70301.919999999911</v>
      </c>
    </row>
    <row r="548" spans="2:9" ht="15.75" x14ac:dyDescent="0.25">
      <c r="B548" s="148"/>
      <c r="C548" s="148" t="s">
        <v>21577</v>
      </c>
      <c r="D548" s="150">
        <v>44038</v>
      </c>
      <c r="E548" s="113" t="s">
        <v>21576</v>
      </c>
      <c r="F548" s="257" t="s">
        <v>14412</v>
      </c>
      <c r="G548" s="258">
        <v>1.71</v>
      </c>
      <c r="H548" s="152"/>
      <c r="I548" s="160">
        <f t="shared" si="8"/>
        <v>70303.629999999917</v>
      </c>
    </row>
    <row r="549" spans="2:9" ht="19.5" x14ac:dyDescent="0.25">
      <c r="B549" s="148"/>
      <c r="C549" s="148" t="s">
        <v>21575</v>
      </c>
      <c r="D549" s="150">
        <v>44038</v>
      </c>
      <c r="E549" s="113" t="s">
        <v>21574</v>
      </c>
      <c r="F549" s="257" t="s">
        <v>14412</v>
      </c>
      <c r="G549" s="258">
        <v>11.97</v>
      </c>
      <c r="H549" s="152"/>
      <c r="I549" s="160">
        <f t="shared" si="8"/>
        <v>70315.599999999919</v>
      </c>
    </row>
    <row r="550" spans="2:9" ht="15.75" x14ac:dyDescent="0.25">
      <c r="B550" s="148"/>
      <c r="C550" s="148" t="s">
        <v>21573</v>
      </c>
      <c r="D550" s="150">
        <v>44038</v>
      </c>
      <c r="E550" s="113" t="s">
        <v>21572</v>
      </c>
      <c r="F550" s="257" t="s">
        <v>14412</v>
      </c>
      <c r="G550" s="258">
        <v>1.56</v>
      </c>
      <c r="H550" s="152"/>
      <c r="I550" s="160">
        <f t="shared" si="8"/>
        <v>70317.159999999916</v>
      </c>
    </row>
    <row r="551" spans="2:9" ht="19.5" x14ac:dyDescent="0.25">
      <c r="B551" s="148"/>
      <c r="C551" s="148" t="s">
        <v>21571</v>
      </c>
      <c r="D551" s="150">
        <v>44038</v>
      </c>
      <c r="E551" s="113" t="s">
        <v>21570</v>
      </c>
      <c r="F551" s="257" t="s">
        <v>14436</v>
      </c>
      <c r="G551" s="160">
        <v>16.760000000000002</v>
      </c>
      <c r="H551" s="152"/>
      <c r="I551" s="160">
        <f t="shared" si="8"/>
        <v>70333.919999999911</v>
      </c>
    </row>
    <row r="552" spans="2:9" ht="15.75" x14ac:dyDescent="0.25">
      <c r="B552" s="148"/>
      <c r="C552" s="148" t="s">
        <v>21569</v>
      </c>
      <c r="D552" s="150">
        <v>44039</v>
      </c>
      <c r="E552" s="113" t="s">
        <v>21568</v>
      </c>
      <c r="F552" s="257" t="s">
        <v>14436</v>
      </c>
      <c r="G552" s="160">
        <v>5.67</v>
      </c>
      <c r="H552" s="152"/>
      <c r="I552" s="160">
        <f t="shared" si="8"/>
        <v>70339.589999999909</v>
      </c>
    </row>
    <row r="553" spans="2:9" ht="19.5" x14ac:dyDescent="0.25">
      <c r="B553" s="148"/>
      <c r="C553" s="148" t="s">
        <v>21567</v>
      </c>
      <c r="D553" s="150">
        <v>44039</v>
      </c>
      <c r="E553" s="113" t="s">
        <v>21566</v>
      </c>
      <c r="F553" s="257" t="s">
        <v>14436</v>
      </c>
      <c r="G553" s="160">
        <v>10</v>
      </c>
      <c r="H553" s="152"/>
      <c r="I553" s="160">
        <f t="shared" si="8"/>
        <v>70349.589999999909</v>
      </c>
    </row>
    <row r="554" spans="2:9" ht="15.75" x14ac:dyDescent="0.25">
      <c r="B554" s="148"/>
      <c r="C554" s="148" t="s">
        <v>21565</v>
      </c>
      <c r="D554" s="150">
        <v>44039</v>
      </c>
      <c r="E554" s="113" t="s">
        <v>21564</v>
      </c>
      <c r="F554" s="257" t="s">
        <v>14436</v>
      </c>
      <c r="G554" s="160">
        <v>12.88</v>
      </c>
      <c r="H554" s="152"/>
      <c r="I554" s="160">
        <f t="shared" si="8"/>
        <v>70362.469999999914</v>
      </c>
    </row>
    <row r="555" spans="2:9" ht="19.5" x14ac:dyDescent="0.25">
      <c r="B555" s="148"/>
      <c r="C555" s="148" t="s">
        <v>21563</v>
      </c>
      <c r="D555" s="150">
        <v>44039</v>
      </c>
      <c r="E555" s="113" t="s">
        <v>21562</v>
      </c>
      <c r="F555" s="257" t="s">
        <v>14436</v>
      </c>
      <c r="G555" s="160">
        <v>20.73</v>
      </c>
      <c r="H555" s="152"/>
      <c r="I555" s="160">
        <f t="shared" si="8"/>
        <v>70383.19999999991</v>
      </c>
    </row>
    <row r="556" spans="2:9" ht="15.75" x14ac:dyDescent="0.25">
      <c r="B556" s="148"/>
      <c r="C556" s="148" t="s">
        <v>21561</v>
      </c>
      <c r="D556" s="150">
        <v>44039</v>
      </c>
      <c r="E556" s="113" t="s">
        <v>21560</v>
      </c>
      <c r="F556" s="257" t="s">
        <v>14436</v>
      </c>
      <c r="G556" s="160">
        <v>12246.82</v>
      </c>
      <c r="H556" s="152"/>
      <c r="I556" s="160">
        <f t="shared" si="8"/>
        <v>82630.019999999902</v>
      </c>
    </row>
    <row r="557" spans="2:9" ht="19.5" x14ac:dyDescent="0.25">
      <c r="B557" s="148"/>
      <c r="C557" s="148" t="s">
        <v>21559</v>
      </c>
      <c r="D557" s="150">
        <v>44039</v>
      </c>
      <c r="E557" s="113" t="s">
        <v>21558</v>
      </c>
      <c r="F557" s="257" t="s">
        <v>14412</v>
      </c>
      <c r="G557" s="258">
        <v>15.02</v>
      </c>
      <c r="H557" s="152"/>
      <c r="I557" s="160">
        <f t="shared" si="8"/>
        <v>82645.039999999906</v>
      </c>
    </row>
    <row r="558" spans="2:9" ht="19.5" x14ac:dyDescent="0.25">
      <c r="B558" s="148"/>
      <c r="C558" s="148" t="s">
        <v>21557</v>
      </c>
      <c r="D558" s="150">
        <v>44039</v>
      </c>
      <c r="E558" s="113" t="s">
        <v>21556</v>
      </c>
      <c r="F558" s="257" t="s">
        <v>14412</v>
      </c>
      <c r="G558" s="258">
        <v>29.49</v>
      </c>
      <c r="H558" s="152"/>
      <c r="I558" s="160">
        <f t="shared" si="8"/>
        <v>82674.529999999912</v>
      </c>
    </row>
    <row r="559" spans="2:9" ht="19.5" x14ac:dyDescent="0.25">
      <c r="B559" s="148"/>
      <c r="C559" s="148" t="s">
        <v>21555</v>
      </c>
      <c r="D559" s="150">
        <v>44039</v>
      </c>
      <c r="E559" s="113" t="s">
        <v>21554</v>
      </c>
      <c r="F559" s="257" t="s">
        <v>14412</v>
      </c>
      <c r="G559" s="258">
        <v>3.49</v>
      </c>
      <c r="H559" s="152"/>
      <c r="I559" s="160">
        <f t="shared" si="8"/>
        <v>82678.019999999917</v>
      </c>
    </row>
    <row r="560" spans="2:9" ht="19.5" x14ac:dyDescent="0.25">
      <c r="B560" s="148"/>
      <c r="C560" s="148" t="s">
        <v>21553</v>
      </c>
      <c r="D560" s="150">
        <v>44039</v>
      </c>
      <c r="E560" s="113" t="s">
        <v>21552</v>
      </c>
      <c r="F560" s="257" t="s">
        <v>14412</v>
      </c>
      <c r="G560" s="258">
        <v>44.3</v>
      </c>
      <c r="H560" s="152"/>
      <c r="I560" s="160">
        <f t="shared" si="8"/>
        <v>82722.31999999992</v>
      </c>
    </row>
    <row r="561" spans="2:9" ht="19.5" x14ac:dyDescent="0.25">
      <c r="B561" s="148"/>
      <c r="C561" s="148" t="s">
        <v>21551</v>
      </c>
      <c r="D561" s="150">
        <v>44039</v>
      </c>
      <c r="E561" s="113" t="s">
        <v>21550</v>
      </c>
      <c r="F561" s="257" t="s">
        <v>14412</v>
      </c>
      <c r="G561" s="258">
        <v>6.65</v>
      </c>
      <c r="H561" s="152"/>
      <c r="I561" s="160">
        <f t="shared" si="8"/>
        <v>82728.969999999914</v>
      </c>
    </row>
    <row r="562" spans="2:9" ht="19.5" x14ac:dyDescent="0.25">
      <c r="B562" s="148"/>
      <c r="C562" s="148" t="s">
        <v>21549</v>
      </c>
      <c r="D562" s="150">
        <v>44039</v>
      </c>
      <c r="E562" s="113" t="s">
        <v>21548</v>
      </c>
      <c r="F562" s="257" t="s">
        <v>14412</v>
      </c>
      <c r="G562" s="258">
        <v>37.43</v>
      </c>
      <c r="H562" s="152"/>
      <c r="I562" s="160">
        <f t="shared" si="8"/>
        <v>82766.399999999907</v>
      </c>
    </row>
    <row r="563" spans="2:9" ht="19.5" x14ac:dyDescent="0.25">
      <c r="B563" s="148"/>
      <c r="C563" s="148" t="s">
        <v>21547</v>
      </c>
      <c r="D563" s="150">
        <v>44039</v>
      </c>
      <c r="E563" s="113" t="s">
        <v>21546</v>
      </c>
      <c r="F563" s="257" t="s">
        <v>14412</v>
      </c>
      <c r="G563" s="258">
        <v>10.6</v>
      </c>
      <c r="H563" s="152"/>
      <c r="I563" s="160">
        <f t="shared" si="8"/>
        <v>82776.999999999913</v>
      </c>
    </row>
    <row r="564" spans="2:9" ht="19.5" x14ac:dyDescent="0.25">
      <c r="B564" s="148"/>
      <c r="C564" s="148" t="s">
        <v>21545</v>
      </c>
      <c r="D564" s="150">
        <v>44039</v>
      </c>
      <c r="E564" s="113" t="s">
        <v>21544</v>
      </c>
      <c r="F564" s="257" t="s">
        <v>14412</v>
      </c>
      <c r="G564" s="258">
        <v>40.340000000000003</v>
      </c>
      <c r="H564" s="152"/>
      <c r="I564" s="160">
        <f t="shared" si="8"/>
        <v>82817.339999999909</v>
      </c>
    </row>
    <row r="565" spans="2:9" ht="15.75" x14ac:dyDescent="0.25">
      <c r="B565" s="148"/>
      <c r="C565" s="148" t="s">
        <v>21543</v>
      </c>
      <c r="D565" s="150">
        <v>44039</v>
      </c>
      <c r="E565" s="113" t="s">
        <v>21542</v>
      </c>
      <c r="F565" s="257" t="s">
        <v>14412</v>
      </c>
      <c r="G565" s="258">
        <v>8.09</v>
      </c>
      <c r="H565" s="152"/>
      <c r="I565" s="160">
        <f t="shared" si="8"/>
        <v>82825.429999999906</v>
      </c>
    </row>
    <row r="566" spans="2:9" ht="15.75" x14ac:dyDescent="0.25">
      <c r="B566" s="148"/>
      <c r="C566" s="148" t="s">
        <v>21541</v>
      </c>
      <c r="D566" s="150">
        <v>44039</v>
      </c>
      <c r="E566" s="113" t="s">
        <v>21540</v>
      </c>
      <c r="F566" s="257" t="s">
        <v>14412</v>
      </c>
      <c r="G566" s="258">
        <v>8.3800000000000008</v>
      </c>
      <c r="H566" s="152"/>
      <c r="I566" s="160">
        <f t="shared" si="8"/>
        <v>82833.80999999991</v>
      </c>
    </row>
    <row r="567" spans="2:9" ht="19.5" x14ac:dyDescent="0.25">
      <c r="B567" s="148"/>
      <c r="C567" s="148" t="s">
        <v>21539</v>
      </c>
      <c r="D567" s="150">
        <v>44039</v>
      </c>
      <c r="E567" s="113" t="s">
        <v>21538</v>
      </c>
      <c r="F567" s="257" t="s">
        <v>14412</v>
      </c>
      <c r="G567" s="258">
        <v>8.4</v>
      </c>
      <c r="H567" s="152"/>
      <c r="I567" s="160">
        <f t="shared" si="8"/>
        <v>82842.209999999905</v>
      </c>
    </row>
    <row r="568" spans="2:9" ht="15.75" x14ac:dyDescent="0.25">
      <c r="B568" s="148"/>
      <c r="C568" s="148" t="s">
        <v>21537</v>
      </c>
      <c r="D568" s="150">
        <v>44039</v>
      </c>
      <c r="E568" s="113" t="s">
        <v>21536</v>
      </c>
      <c r="F568" s="257" t="s">
        <v>14412</v>
      </c>
      <c r="G568" s="258">
        <v>1.68</v>
      </c>
      <c r="H568" s="152"/>
      <c r="I568" s="160">
        <f t="shared" si="8"/>
        <v>82843.889999999898</v>
      </c>
    </row>
    <row r="569" spans="2:9" ht="15.75" x14ac:dyDescent="0.25">
      <c r="B569" s="148"/>
      <c r="C569" s="148" t="s">
        <v>21535</v>
      </c>
      <c r="D569" s="150">
        <v>44039</v>
      </c>
      <c r="E569" s="113" t="s">
        <v>21534</v>
      </c>
      <c r="F569" s="257" t="s">
        <v>14412</v>
      </c>
      <c r="G569" s="258">
        <v>8.3800000000000008</v>
      </c>
      <c r="H569" s="152"/>
      <c r="I569" s="160">
        <f t="shared" si="8"/>
        <v>82852.269999999902</v>
      </c>
    </row>
    <row r="570" spans="2:9" ht="15.75" x14ac:dyDescent="0.25">
      <c r="B570" s="148"/>
      <c r="C570" s="148" t="s">
        <v>21533</v>
      </c>
      <c r="D570" s="150">
        <v>44039</v>
      </c>
      <c r="E570" s="113" t="s">
        <v>21532</v>
      </c>
      <c r="F570" s="257" t="s">
        <v>14412</v>
      </c>
      <c r="G570" s="258">
        <v>16.760000000000002</v>
      </c>
      <c r="H570" s="152"/>
      <c r="I570" s="160">
        <f t="shared" si="8"/>
        <v>82869.029999999897</v>
      </c>
    </row>
    <row r="571" spans="2:9" ht="19.5" x14ac:dyDescent="0.25">
      <c r="B571" s="148"/>
      <c r="C571" s="148" t="s">
        <v>21531</v>
      </c>
      <c r="D571" s="150">
        <v>44039</v>
      </c>
      <c r="E571" s="113" t="s">
        <v>21530</v>
      </c>
      <c r="F571" s="257" t="s">
        <v>14412</v>
      </c>
      <c r="G571" s="258">
        <v>16.760000000000002</v>
      </c>
      <c r="H571" s="152"/>
      <c r="I571" s="160">
        <f t="shared" si="8"/>
        <v>82885.789999999892</v>
      </c>
    </row>
    <row r="572" spans="2:9" ht="15.75" x14ac:dyDescent="0.25">
      <c r="B572" s="148"/>
      <c r="C572" s="148" t="s">
        <v>21529</v>
      </c>
      <c r="D572" s="150">
        <v>44039</v>
      </c>
      <c r="E572" s="113" t="s">
        <v>21528</v>
      </c>
      <c r="F572" s="257" t="s">
        <v>14412</v>
      </c>
      <c r="G572" s="258">
        <v>9.91</v>
      </c>
      <c r="H572" s="152"/>
      <c r="I572" s="160">
        <f t="shared" si="8"/>
        <v>82895.699999999895</v>
      </c>
    </row>
    <row r="573" spans="2:9" ht="15.75" x14ac:dyDescent="0.25">
      <c r="B573" s="148"/>
      <c r="C573" s="148" t="s">
        <v>21527</v>
      </c>
      <c r="D573" s="150">
        <v>44039</v>
      </c>
      <c r="E573" s="113" t="s">
        <v>21526</v>
      </c>
      <c r="F573" s="257" t="s">
        <v>14412</v>
      </c>
      <c r="G573" s="258">
        <v>6.94</v>
      </c>
      <c r="H573" s="152"/>
      <c r="I573" s="160">
        <f t="shared" si="8"/>
        <v>82902.639999999898</v>
      </c>
    </row>
    <row r="574" spans="2:9" ht="19.5" x14ac:dyDescent="0.25">
      <c r="B574" s="148"/>
      <c r="C574" s="148" t="s">
        <v>21525</v>
      </c>
      <c r="D574" s="150">
        <v>44039</v>
      </c>
      <c r="E574" s="113" t="s">
        <v>21524</v>
      </c>
      <c r="F574" s="257">
        <v>19</v>
      </c>
      <c r="G574" s="255">
        <v>4.5199999999999996</v>
      </c>
      <c r="H574" s="152"/>
      <c r="I574" s="160">
        <f t="shared" si="8"/>
        <v>82907.159999999902</v>
      </c>
    </row>
    <row r="575" spans="2:9" ht="19.5" x14ac:dyDescent="0.25">
      <c r="B575" s="148"/>
      <c r="C575" s="148" t="s">
        <v>21523</v>
      </c>
      <c r="D575" s="150">
        <v>44039</v>
      </c>
      <c r="E575" s="113" t="s">
        <v>21522</v>
      </c>
      <c r="F575" s="257">
        <v>19</v>
      </c>
      <c r="G575" s="255">
        <v>14.57</v>
      </c>
      <c r="H575" s="152"/>
      <c r="I575" s="160">
        <f t="shared" si="8"/>
        <v>82921.729999999909</v>
      </c>
    </row>
    <row r="576" spans="2:9" ht="15.75" x14ac:dyDescent="0.25">
      <c r="B576" s="148"/>
      <c r="C576" s="148" t="s">
        <v>21521</v>
      </c>
      <c r="D576" s="150">
        <v>44039</v>
      </c>
      <c r="E576" s="113" t="s">
        <v>21520</v>
      </c>
      <c r="F576" s="257">
        <v>19</v>
      </c>
      <c r="G576" s="255">
        <v>2.8</v>
      </c>
      <c r="H576" s="152"/>
      <c r="I576" s="160">
        <f t="shared" si="8"/>
        <v>82924.529999999912</v>
      </c>
    </row>
    <row r="577" spans="2:9" ht="19.5" x14ac:dyDescent="0.25">
      <c r="B577" s="148"/>
      <c r="C577" s="148" t="s">
        <v>21519</v>
      </c>
      <c r="D577" s="150">
        <v>44039</v>
      </c>
      <c r="E577" s="113" t="s">
        <v>21518</v>
      </c>
      <c r="F577" s="257">
        <v>19</v>
      </c>
      <c r="G577" s="255">
        <v>8.4</v>
      </c>
      <c r="H577" s="152"/>
      <c r="I577" s="160">
        <f t="shared" si="8"/>
        <v>82932.929999999906</v>
      </c>
    </row>
    <row r="578" spans="2:9" ht="15.75" x14ac:dyDescent="0.25">
      <c r="B578" s="148"/>
      <c r="C578" s="148" t="s">
        <v>21517</v>
      </c>
      <c r="D578" s="150">
        <v>44039</v>
      </c>
      <c r="E578" s="113" t="s">
        <v>21516</v>
      </c>
      <c r="F578" s="257">
        <v>19</v>
      </c>
      <c r="G578" s="255">
        <v>3.28</v>
      </c>
      <c r="H578" s="152"/>
      <c r="I578" s="160">
        <f t="shared" si="8"/>
        <v>82936.209999999905</v>
      </c>
    </row>
    <row r="579" spans="2:9" ht="15.75" x14ac:dyDescent="0.25">
      <c r="B579" s="148"/>
      <c r="C579" s="148" t="s">
        <v>21515</v>
      </c>
      <c r="D579" s="150">
        <v>44039</v>
      </c>
      <c r="E579" s="113" t="s">
        <v>21514</v>
      </c>
      <c r="F579" s="257">
        <v>19</v>
      </c>
      <c r="G579" s="255">
        <v>4.72</v>
      </c>
      <c r="H579" s="152"/>
      <c r="I579" s="160">
        <f t="shared" si="8"/>
        <v>82940.929999999906</v>
      </c>
    </row>
    <row r="580" spans="2:9" ht="15.75" x14ac:dyDescent="0.25">
      <c r="B580" s="148"/>
      <c r="C580" s="148" t="s">
        <v>21513</v>
      </c>
      <c r="D580" s="150">
        <v>44039</v>
      </c>
      <c r="E580" s="113" t="s">
        <v>21512</v>
      </c>
      <c r="F580" s="257">
        <v>19</v>
      </c>
      <c r="G580" s="255">
        <v>2.4300000000000002</v>
      </c>
      <c r="H580" s="152"/>
      <c r="I580" s="160">
        <f t="shared" si="8"/>
        <v>82943.359999999899</v>
      </c>
    </row>
    <row r="581" spans="2:9" ht="19.5" x14ac:dyDescent="0.25">
      <c r="B581" s="148"/>
      <c r="C581" s="148" t="s">
        <v>21511</v>
      </c>
      <c r="D581" s="150">
        <v>44039</v>
      </c>
      <c r="E581" s="113" t="s">
        <v>21510</v>
      </c>
      <c r="F581" s="257">
        <v>19</v>
      </c>
      <c r="G581" s="255">
        <v>9.93</v>
      </c>
      <c r="H581" s="152"/>
      <c r="I581" s="160">
        <f t="shared" si="8"/>
        <v>82953.289999999892</v>
      </c>
    </row>
    <row r="582" spans="2:9" ht="19.5" x14ac:dyDescent="0.25">
      <c r="B582" s="148"/>
      <c r="C582" s="148" t="s">
        <v>21509</v>
      </c>
      <c r="D582" s="150">
        <v>44039</v>
      </c>
      <c r="E582" s="113" t="s">
        <v>21508</v>
      </c>
      <c r="F582" s="257">
        <v>19</v>
      </c>
      <c r="G582" s="255">
        <v>13.45</v>
      </c>
      <c r="H582" s="152"/>
      <c r="I582" s="160">
        <f t="shared" si="8"/>
        <v>82966.739999999889</v>
      </c>
    </row>
    <row r="583" spans="2:9" ht="15.75" x14ac:dyDescent="0.25">
      <c r="B583" s="148"/>
      <c r="C583" s="148" t="s">
        <v>21507</v>
      </c>
      <c r="D583" s="150">
        <v>44039</v>
      </c>
      <c r="E583" s="113" t="s">
        <v>21506</v>
      </c>
      <c r="F583" s="257" t="s">
        <v>14436</v>
      </c>
      <c r="G583" s="160">
        <v>189.09</v>
      </c>
      <c r="H583" s="152"/>
      <c r="I583" s="160">
        <f t="shared" si="8"/>
        <v>83155.829999999885</v>
      </c>
    </row>
    <row r="584" spans="2:9" ht="15.75" x14ac:dyDescent="0.25">
      <c r="B584" s="148"/>
      <c r="C584" s="148" t="s">
        <v>21505</v>
      </c>
      <c r="D584" s="150">
        <v>44039</v>
      </c>
      <c r="E584" s="113" t="s">
        <v>21504</v>
      </c>
      <c r="F584" s="257" t="s">
        <v>14436</v>
      </c>
      <c r="G584" s="160">
        <v>5198.3999999999996</v>
      </c>
      <c r="H584" s="152"/>
      <c r="I584" s="160">
        <f t="shared" si="8"/>
        <v>88354.22999999988</v>
      </c>
    </row>
    <row r="585" spans="2:9" ht="19.5" x14ac:dyDescent="0.25">
      <c r="B585" s="148"/>
      <c r="C585" s="148" t="s">
        <v>21503</v>
      </c>
      <c r="D585" s="150">
        <v>44039</v>
      </c>
      <c r="E585" s="113" t="s">
        <v>21502</v>
      </c>
      <c r="F585" s="257" t="s">
        <v>18712</v>
      </c>
      <c r="G585" s="160">
        <v>9</v>
      </c>
      <c r="H585" s="152"/>
      <c r="I585" s="160">
        <f t="shared" si="8"/>
        <v>88363.22999999988</v>
      </c>
    </row>
    <row r="586" spans="2:9" ht="15.75" x14ac:dyDescent="0.25">
      <c r="B586" s="148"/>
      <c r="C586" s="148" t="s">
        <v>21501</v>
      </c>
      <c r="D586" s="150">
        <v>44040</v>
      </c>
      <c r="E586" s="113" t="s">
        <v>21500</v>
      </c>
      <c r="F586" s="257" t="s">
        <v>14436</v>
      </c>
      <c r="G586" s="160">
        <v>9.9</v>
      </c>
      <c r="H586" s="152"/>
      <c r="I586" s="160">
        <f t="shared" si="8"/>
        <v>88373.129999999874</v>
      </c>
    </row>
    <row r="587" spans="2:9" ht="15.75" x14ac:dyDescent="0.25">
      <c r="B587" s="148"/>
      <c r="C587" s="148" t="s">
        <v>21499</v>
      </c>
      <c r="D587" s="150">
        <v>44040</v>
      </c>
      <c r="E587" s="113" t="s">
        <v>21498</v>
      </c>
      <c r="F587" s="257" t="s">
        <v>14436</v>
      </c>
      <c r="G587" s="160">
        <v>1</v>
      </c>
      <c r="H587" s="152"/>
      <c r="I587" s="160">
        <f t="shared" si="8"/>
        <v>88374.129999999874</v>
      </c>
    </row>
    <row r="588" spans="2:9" ht="19.5" x14ac:dyDescent="0.25">
      <c r="B588" s="148"/>
      <c r="C588" s="148" t="s">
        <v>21497</v>
      </c>
      <c r="D588" s="150">
        <v>44040</v>
      </c>
      <c r="E588" s="113" t="s">
        <v>21496</v>
      </c>
      <c r="F588" s="257" t="s">
        <v>18712</v>
      </c>
      <c r="G588" s="160">
        <v>13.86</v>
      </c>
      <c r="H588" s="152"/>
      <c r="I588" s="160">
        <f t="shared" si="8"/>
        <v>88387.989999999874</v>
      </c>
    </row>
    <row r="589" spans="2:9" ht="19.5" x14ac:dyDescent="0.25">
      <c r="B589" s="148"/>
      <c r="C589" s="148" t="s">
        <v>21495</v>
      </c>
      <c r="D589" s="150">
        <v>44040</v>
      </c>
      <c r="E589" s="113" t="s">
        <v>21494</v>
      </c>
      <c r="F589" s="257" t="s">
        <v>14412</v>
      </c>
      <c r="G589" s="258">
        <v>8.4600000000000009</v>
      </c>
      <c r="H589" s="152"/>
      <c r="I589" s="160">
        <f t="shared" si="8"/>
        <v>88396.449999999881</v>
      </c>
    </row>
    <row r="590" spans="2:9" ht="19.5" x14ac:dyDescent="0.25">
      <c r="B590" s="148"/>
      <c r="C590" s="148" t="s">
        <v>21493</v>
      </c>
      <c r="D590" s="150">
        <v>44040</v>
      </c>
      <c r="E590" s="113" t="s">
        <v>21492</v>
      </c>
      <c r="F590" s="257" t="s">
        <v>14412</v>
      </c>
      <c r="G590" s="258">
        <v>7.94</v>
      </c>
      <c r="H590" s="152"/>
      <c r="I590" s="160">
        <f t="shared" si="8"/>
        <v>88404.389999999883</v>
      </c>
    </row>
    <row r="591" spans="2:9" ht="19.5" x14ac:dyDescent="0.25">
      <c r="B591" s="148"/>
      <c r="C591" s="148" t="s">
        <v>21491</v>
      </c>
      <c r="D591" s="150">
        <v>44040</v>
      </c>
      <c r="E591" s="113" t="s">
        <v>21490</v>
      </c>
      <c r="F591" s="257" t="s">
        <v>14412</v>
      </c>
      <c r="G591" s="258">
        <v>11.1</v>
      </c>
      <c r="H591" s="152"/>
      <c r="I591" s="160">
        <f t="shared" si="8"/>
        <v>88415.489999999889</v>
      </c>
    </row>
    <row r="592" spans="2:9" ht="19.5" x14ac:dyDescent="0.25">
      <c r="B592" s="148"/>
      <c r="C592" s="148" t="s">
        <v>21489</v>
      </c>
      <c r="D592" s="150">
        <v>44040</v>
      </c>
      <c r="E592" s="113" t="s">
        <v>21488</v>
      </c>
      <c r="F592" s="257" t="s">
        <v>14412</v>
      </c>
      <c r="G592" s="258">
        <v>19.239999999999998</v>
      </c>
      <c r="H592" s="152"/>
      <c r="I592" s="160">
        <f t="shared" si="8"/>
        <v>88434.729999999894</v>
      </c>
    </row>
    <row r="593" spans="2:9" ht="19.5" x14ac:dyDescent="0.25">
      <c r="B593" s="148"/>
      <c r="C593" s="148" t="s">
        <v>21487</v>
      </c>
      <c r="D593" s="150">
        <v>44040</v>
      </c>
      <c r="E593" s="113" t="s">
        <v>21486</v>
      </c>
      <c r="F593" s="257" t="s">
        <v>14412</v>
      </c>
      <c r="G593" s="258">
        <v>34.700000000000003</v>
      </c>
      <c r="H593" s="152"/>
      <c r="I593" s="160">
        <f t="shared" si="8"/>
        <v>88469.429999999891</v>
      </c>
    </row>
    <row r="594" spans="2:9" ht="19.5" x14ac:dyDescent="0.25">
      <c r="B594" s="148"/>
      <c r="C594" s="148" t="s">
        <v>21485</v>
      </c>
      <c r="D594" s="150">
        <v>44040</v>
      </c>
      <c r="E594" s="113" t="s">
        <v>21484</v>
      </c>
      <c r="F594" s="257" t="s">
        <v>14412</v>
      </c>
      <c r="G594" s="258">
        <v>30.43</v>
      </c>
      <c r="H594" s="152"/>
      <c r="I594" s="160">
        <f t="shared" si="8"/>
        <v>88499.859999999884</v>
      </c>
    </row>
    <row r="595" spans="2:9" ht="19.5" x14ac:dyDescent="0.25">
      <c r="B595" s="148"/>
      <c r="C595" s="148" t="s">
        <v>21483</v>
      </c>
      <c r="D595" s="150">
        <v>44040</v>
      </c>
      <c r="E595" s="113" t="s">
        <v>21482</v>
      </c>
      <c r="F595" s="257" t="s">
        <v>14412</v>
      </c>
      <c r="G595" s="258">
        <v>28.42</v>
      </c>
      <c r="H595" s="152"/>
      <c r="I595" s="160">
        <f t="shared" si="8"/>
        <v>88528.279999999882</v>
      </c>
    </row>
    <row r="596" spans="2:9" ht="15.75" x14ac:dyDescent="0.25">
      <c r="B596" s="148"/>
      <c r="C596" s="148" t="s">
        <v>21481</v>
      </c>
      <c r="D596" s="150">
        <v>44040</v>
      </c>
      <c r="E596" s="113" t="s">
        <v>21480</v>
      </c>
      <c r="F596" s="257" t="s">
        <v>14412</v>
      </c>
      <c r="G596" s="258">
        <v>2.5299999999999998</v>
      </c>
      <c r="H596" s="152"/>
      <c r="I596" s="160">
        <f t="shared" ref="I596:I659" si="9">+I595+G596-H596</f>
        <v>88530.809999999881</v>
      </c>
    </row>
    <row r="597" spans="2:9" ht="15.75" x14ac:dyDescent="0.25">
      <c r="B597" s="148"/>
      <c r="C597" s="148" t="s">
        <v>21479</v>
      </c>
      <c r="D597" s="150">
        <v>44040</v>
      </c>
      <c r="E597" s="113" t="s">
        <v>21478</v>
      </c>
      <c r="F597" s="257" t="s">
        <v>14412</v>
      </c>
      <c r="G597" s="258">
        <v>8.3800000000000008</v>
      </c>
      <c r="H597" s="152"/>
      <c r="I597" s="160">
        <f t="shared" si="9"/>
        <v>88539.189999999886</v>
      </c>
    </row>
    <row r="598" spans="2:9" ht="19.5" x14ac:dyDescent="0.25">
      <c r="B598" s="148"/>
      <c r="C598" s="148" t="s">
        <v>21477</v>
      </c>
      <c r="D598" s="150">
        <v>44040</v>
      </c>
      <c r="E598" s="113" t="s">
        <v>21476</v>
      </c>
      <c r="F598" s="257" t="s">
        <v>14412</v>
      </c>
      <c r="G598" s="258">
        <v>3.38</v>
      </c>
      <c r="H598" s="152"/>
      <c r="I598" s="160">
        <f t="shared" si="9"/>
        <v>88542.569999999891</v>
      </c>
    </row>
    <row r="599" spans="2:9" ht="15.75" x14ac:dyDescent="0.25">
      <c r="B599" s="148"/>
      <c r="C599" s="148" t="s">
        <v>21475</v>
      </c>
      <c r="D599" s="150">
        <v>44040</v>
      </c>
      <c r="E599" s="113" t="s">
        <v>21474</v>
      </c>
      <c r="F599" s="257" t="s">
        <v>14412</v>
      </c>
      <c r="G599" s="258">
        <v>2.31</v>
      </c>
      <c r="H599" s="152"/>
      <c r="I599" s="160">
        <f t="shared" si="9"/>
        <v>88544.879999999888</v>
      </c>
    </row>
    <row r="600" spans="2:9" ht="19.5" x14ac:dyDescent="0.25">
      <c r="B600" s="148"/>
      <c r="C600" s="148" t="s">
        <v>21473</v>
      </c>
      <c r="D600" s="150">
        <v>44040</v>
      </c>
      <c r="E600" s="113" t="s">
        <v>21472</v>
      </c>
      <c r="F600" s="257" t="s">
        <v>14412</v>
      </c>
      <c r="G600" s="258">
        <v>4.82</v>
      </c>
      <c r="H600" s="152"/>
      <c r="I600" s="160">
        <f t="shared" si="9"/>
        <v>88549.699999999895</v>
      </c>
    </row>
    <row r="601" spans="2:9" ht="15.75" x14ac:dyDescent="0.25">
      <c r="B601" s="148"/>
      <c r="C601" s="148" t="s">
        <v>21471</v>
      </c>
      <c r="D601" s="150">
        <v>44040</v>
      </c>
      <c r="E601" s="113" t="s">
        <v>21470</v>
      </c>
      <c r="F601" s="257" t="s">
        <v>14412</v>
      </c>
      <c r="G601" s="258">
        <v>1.68</v>
      </c>
      <c r="H601" s="152"/>
      <c r="I601" s="160">
        <f t="shared" si="9"/>
        <v>88551.379999999888</v>
      </c>
    </row>
    <row r="602" spans="2:9" ht="15.75" x14ac:dyDescent="0.25">
      <c r="B602" s="148"/>
      <c r="C602" s="148" t="s">
        <v>21469</v>
      </c>
      <c r="D602" s="150">
        <v>44040</v>
      </c>
      <c r="E602" s="113" t="s">
        <v>21468</v>
      </c>
      <c r="F602" s="257" t="s">
        <v>14412</v>
      </c>
      <c r="G602" s="258">
        <v>2.0299999999999998</v>
      </c>
      <c r="H602" s="152"/>
      <c r="I602" s="160">
        <f t="shared" si="9"/>
        <v>88553.409999999887</v>
      </c>
    </row>
    <row r="603" spans="2:9" ht="19.5" x14ac:dyDescent="0.25">
      <c r="B603" s="148"/>
      <c r="C603" s="148" t="s">
        <v>21467</v>
      </c>
      <c r="D603" s="150">
        <v>44040</v>
      </c>
      <c r="E603" s="113" t="s">
        <v>21466</v>
      </c>
      <c r="F603" s="257" t="s">
        <v>14412</v>
      </c>
      <c r="G603" s="258">
        <v>25.14</v>
      </c>
      <c r="H603" s="152"/>
      <c r="I603" s="160">
        <f t="shared" si="9"/>
        <v>88578.549999999886</v>
      </c>
    </row>
    <row r="604" spans="2:9" ht="19.5" x14ac:dyDescent="0.25">
      <c r="B604" s="148"/>
      <c r="C604" s="148" t="s">
        <v>21465</v>
      </c>
      <c r="D604" s="150">
        <v>44040</v>
      </c>
      <c r="E604" s="113" t="s">
        <v>21464</v>
      </c>
      <c r="F604" s="257" t="s">
        <v>14412</v>
      </c>
      <c r="G604" s="258">
        <v>5.67</v>
      </c>
      <c r="H604" s="152"/>
      <c r="I604" s="160">
        <f t="shared" si="9"/>
        <v>88584.219999999885</v>
      </c>
    </row>
    <row r="605" spans="2:9" ht="19.5" x14ac:dyDescent="0.25">
      <c r="B605" s="148"/>
      <c r="C605" s="148" t="s">
        <v>21463</v>
      </c>
      <c r="D605" s="150">
        <v>44040</v>
      </c>
      <c r="E605" s="113" t="s">
        <v>21462</v>
      </c>
      <c r="F605" s="257" t="s">
        <v>14412</v>
      </c>
      <c r="G605" s="258">
        <v>7.05</v>
      </c>
      <c r="H605" s="152"/>
      <c r="I605" s="160">
        <f t="shared" si="9"/>
        <v>88591.269999999888</v>
      </c>
    </row>
    <row r="606" spans="2:9" ht="19.5" x14ac:dyDescent="0.25">
      <c r="B606" s="148"/>
      <c r="C606" s="148" t="s">
        <v>21461</v>
      </c>
      <c r="D606" s="150">
        <v>44040</v>
      </c>
      <c r="E606" s="113" t="s">
        <v>21460</v>
      </c>
      <c r="F606" s="257" t="s">
        <v>14412</v>
      </c>
      <c r="G606" s="258">
        <v>4.0199999999999996</v>
      </c>
      <c r="H606" s="152"/>
      <c r="I606" s="160">
        <f t="shared" si="9"/>
        <v>88595.289999999892</v>
      </c>
    </row>
    <row r="607" spans="2:9" ht="19.5" x14ac:dyDescent="0.25">
      <c r="B607" s="148"/>
      <c r="C607" s="148" t="s">
        <v>21459</v>
      </c>
      <c r="D607" s="150">
        <v>44040</v>
      </c>
      <c r="E607" s="113" t="s">
        <v>21458</v>
      </c>
      <c r="F607" s="257" t="s">
        <v>14412</v>
      </c>
      <c r="G607" s="258">
        <v>4.6399999999999997</v>
      </c>
      <c r="H607" s="152"/>
      <c r="I607" s="160">
        <f t="shared" si="9"/>
        <v>88599.929999999891</v>
      </c>
    </row>
    <row r="608" spans="2:9" ht="15.75" x14ac:dyDescent="0.25">
      <c r="B608" s="148"/>
      <c r="C608" s="148" t="s">
        <v>21457</v>
      </c>
      <c r="D608" s="150">
        <v>44040</v>
      </c>
      <c r="E608" s="113" t="s">
        <v>21456</v>
      </c>
      <c r="F608" s="257" t="s">
        <v>14412</v>
      </c>
      <c r="G608" s="258">
        <v>5.16</v>
      </c>
      <c r="H608" s="152"/>
      <c r="I608" s="160">
        <f t="shared" si="9"/>
        <v>88605.089999999895</v>
      </c>
    </row>
    <row r="609" spans="2:9" ht="19.5" x14ac:dyDescent="0.25">
      <c r="B609" s="148"/>
      <c r="C609" s="148" t="s">
        <v>21455</v>
      </c>
      <c r="D609" s="150">
        <v>44040</v>
      </c>
      <c r="E609" s="113" t="s">
        <v>21454</v>
      </c>
      <c r="F609" s="257" t="s">
        <v>14412</v>
      </c>
      <c r="G609" s="258">
        <v>13.05</v>
      </c>
      <c r="H609" s="152"/>
      <c r="I609" s="160">
        <f t="shared" si="9"/>
        <v>88618.139999999898</v>
      </c>
    </row>
    <row r="610" spans="2:9" ht="19.5" x14ac:dyDescent="0.25">
      <c r="B610" s="148"/>
      <c r="C610" s="148" t="s">
        <v>21453</v>
      </c>
      <c r="D610" s="150">
        <v>44040</v>
      </c>
      <c r="E610" s="113" t="s">
        <v>21452</v>
      </c>
      <c r="F610" s="257" t="s">
        <v>14412</v>
      </c>
      <c r="G610" s="258">
        <v>22.77</v>
      </c>
      <c r="H610" s="152"/>
      <c r="I610" s="160">
        <f t="shared" si="9"/>
        <v>88640.909999999902</v>
      </c>
    </row>
    <row r="611" spans="2:9" ht="19.5" x14ac:dyDescent="0.25">
      <c r="B611" s="148"/>
      <c r="C611" s="148" t="s">
        <v>21451</v>
      </c>
      <c r="D611" s="150">
        <v>44040</v>
      </c>
      <c r="E611" s="113" t="s">
        <v>21450</v>
      </c>
      <c r="F611" s="257" t="s">
        <v>14412</v>
      </c>
      <c r="G611" s="258">
        <v>6.26</v>
      </c>
      <c r="H611" s="152"/>
      <c r="I611" s="160">
        <f t="shared" si="9"/>
        <v>88647.169999999896</v>
      </c>
    </row>
    <row r="612" spans="2:9" ht="19.5" x14ac:dyDescent="0.25">
      <c r="B612" s="148"/>
      <c r="C612" s="148" t="s">
        <v>21449</v>
      </c>
      <c r="D612" s="150">
        <v>44040</v>
      </c>
      <c r="E612" s="113" t="s">
        <v>21448</v>
      </c>
      <c r="F612" s="257" t="s">
        <v>14412</v>
      </c>
      <c r="G612" s="258">
        <v>3.86</v>
      </c>
      <c r="H612" s="152"/>
      <c r="I612" s="160">
        <f t="shared" si="9"/>
        <v>88651.029999999897</v>
      </c>
    </row>
    <row r="613" spans="2:9" ht="15.75" x14ac:dyDescent="0.25">
      <c r="B613" s="148"/>
      <c r="C613" s="148" t="s">
        <v>21447</v>
      </c>
      <c r="D613" s="150">
        <v>44040</v>
      </c>
      <c r="E613" s="113" t="s">
        <v>21446</v>
      </c>
      <c r="F613" s="257" t="s">
        <v>14412</v>
      </c>
      <c r="G613" s="258">
        <v>1.68</v>
      </c>
      <c r="H613" s="152"/>
      <c r="I613" s="160">
        <f t="shared" si="9"/>
        <v>88652.70999999989</v>
      </c>
    </row>
    <row r="614" spans="2:9" ht="19.5" x14ac:dyDescent="0.25">
      <c r="B614" s="148"/>
      <c r="C614" s="148" t="s">
        <v>21445</v>
      </c>
      <c r="D614" s="150">
        <v>44040</v>
      </c>
      <c r="E614" s="113" t="s">
        <v>21444</v>
      </c>
      <c r="F614" s="257">
        <v>20</v>
      </c>
      <c r="G614" s="255">
        <v>6.94</v>
      </c>
      <c r="H614" s="152"/>
      <c r="I614" s="160">
        <f t="shared" si="9"/>
        <v>88659.649999999892</v>
      </c>
    </row>
    <row r="615" spans="2:9" ht="15.75" x14ac:dyDescent="0.25">
      <c r="B615" s="148"/>
      <c r="C615" s="148" t="s">
        <v>21443</v>
      </c>
      <c r="D615" s="150">
        <v>44040</v>
      </c>
      <c r="E615" s="113" t="s">
        <v>21442</v>
      </c>
      <c r="F615" s="257">
        <v>20</v>
      </c>
      <c r="G615" s="255">
        <v>4.84</v>
      </c>
      <c r="H615" s="152"/>
      <c r="I615" s="160">
        <f t="shared" si="9"/>
        <v>88664.489999999889</v>
      </c>
    </row>
    <row r="616" spans="2:9" ht="19.5" x14ac:dyDescent="0.25">
      <c r="B616" s="148"/>
      <c r="C616" s="148" t="s">
        <v>21441</v>
      </c>
      <c r="D616" s="150">
        <v>44040</v>
      </c>
      <c r="E616" s="113" t="s">
        <v>21440</v>
      </c>
      <c r="F616" s="257">
        <v>20</v>
      </c>
      <c r="G616" s="255">
        <v>1.94</v>
      </c>
      <c r="H616" s="152"/>
      <c r="I616" s="160">
        <f t="shared" si="9"/>
        <v>88666.429999999891</v>
      </c>
    </row>
    <row r="617" spans="2:9" ht="19.5" x14ac:dyDescent="0.25">
      <c r="B617" s="148"/>
      <c r="C617" s="148" t="s">
        <v>21439</v>
      </c>
      <c r="D617" s="150">
        <v>44040</v>
      </c>
      <c r="E617" s="113" t="s">
        <v>21438</v>
      </c>
      <c r="F617" s="257">
        <v>20</v>
      </c>
      <c r="G617" s="255">
        <v>8.4</v>
      </c>
      <c r="H617" s="152"/>
      <c r="I617" s="160">
        <f t="shared" si="9"/>
        <v>88674.829999999885</v>
      </c>
    </row>
    <row r="618" spans="2:9" ht="15.75" x14ac:dyDescent="0.25">
      <c r="B618" s="148"/>
      <c r="C618" s="148" t="s">
        <v>21437</v>
      </c>
      <c r="D618" s="150">
        <v>44040</v>
      </c>
      <c r="E618" s="113" t="s">
        <v>21436</v>
      </c>
      <c r="F618" s="257">
        <v>20</v>
      </c>
      <c r="G618" s="255">
        <v>3.23</v>
      </c>
      <c r="H618" s="152"/>
      <c r="I618" s="160">
        <f t="shared" si="9"/>
        <v>88678.059999999881</v>
      </c>
    </row>
    <row r="619" spans="2:9" ht="19.5" x14ac:dyDescent="0.25">
      <c r="B619" s="148"/>
      <c r="C619" s="148" t="s">
        <v>21435</v>
      </c>
      <c r="D619" s="150">
        <v>44040</v>
      </c>
      <c r="E619" s="113" t="s">
        <v>21434</v>
      </c>
      <c r="F619" s="257">
        <v>20</v>
      </c>
      <c r="G619" s="255">
        <v>23.92</v>
      </c>
      <c r="H619" s="152"/>
      <c r="I619" s="160">
        <f t="shared" si="9"/>
        <v>88701.97999999988</v>
      </c>
    </row>
    <row r="620" spans="2:9" ht="19.5" x14ac:dyDescent="0.25">
      <c r="B620" s="148"/>
      <c r="C620" s="148" t="s">
        <v>21433</v>
      </c>
      <c r="D620" s="150">
        <v>44040</v>
      </c>
      <c r="E620" s="113" t="s">
        <v>21432</v>
      </c>
      <c r="F620" s="257" t="s">
        <v>14436</v>
      </c>
      <c r="G620" s="160">
        <v>34.630000000000003</v>
      </c>
      <c r="H620" s="152"/>
      <c r="I620" s="160">
        <f t="shared" si="9"/>
        <v>88736.609999999884</v>
      </c>
    </row>
    <row r="621" spans="2:9" ht="19.5" x14ac:dyDescent="0.25">
      <c r="B621" s="148"/>
      <c r="C621" s="148" t="s">
        <v>21431</v>
      </c>
      <c r="D621" s="150">
        <v>44041</v>
      </c>
      <c r="E621" s="113" t="s">
        <v>21430</v>
      </c>
      <c r="F621" s="257" t="s">
        <v>14412</v>
      </c>
      <c r="G621" s="258">
        <v>14.27</v>
      </c>
      <c r="H621" s="152"/>
      <c r="I621" s="160">
        <f t="shared" si="9"/>
        <v>88750.879999999888</v>
      </c>
    </row>
    <row r="622" spans="2:9" ht="19.5" x14ac:dyDescent="0.25">
      <c r="B622" s="148"/>
      <c r="C622" s="148" t="s">
        <v>21429</v>
      </c>
      <c r="D622" s="150">
        <v>44041</v>
      </c>
      <c r="E622" s="113" t="s">
        <v>21428</v>
      </c>
      <c r="F622" s="257" t="s">
        <v>14412</v>
      </c>
      <c r="G622" s="258">
        <v>44.89</v>
      </c>
      <c r="H622" s="152"/>
      <c r="I622" s="160">
        <f t="shared" si="9"/>
        <v>88795.769999999888</v>
      </c>
    </row>
    <row r="623" spans="2:9" ht="15.75" x14ac:dyDescent="0.25">
      <c r="B623" s="148"/>
      <c r="C623" s="148" t="s">
        <v>21427</v>
      </c>
      <c r="D623" s="150">
        <v>44041</v>
      </c>
      <c r="E623" s="113" t="s">
        <v>21426</v>
      </c>
      <c r="F623" s="257" t="s">
        <v>14412</v>
      </c>
      <c r="G623" s="258">
        <v>1.68</v>
      </c>
      <c r="H623" s="152"/>
      <c r="I623" s="160">
        <f t="shared" si="9"/>
        <v>88797.449999999881</v>
      </c>
    </row>
    <row r="624" spans="2:9" ht="19.5" x14ac:dyDescent="0.25">
      <c r="B624" s="148"/>
      <c r="C624" s="148" t="s">
        <v>21425</v>
      </c>
      <c r="D624" s="150">
        <v>44041</v>
      </c>
      <c r="E624" s="113" t="s">
        <v>21424</v>
      </c>
      <c r="F624" s="257" t="s">
        <v>14412</v>
      </c>
      <c r="G624" s="258">
        <v>1.68</v>
      </c>
      <c r="H624" s="152"/>
      <c r="I624" s="160">
        <f t="shared" si="9"/>
        <v>88799.129999999874</v>
      </c>
    </row>
    <row r="625" spans="2:9" ht="15.75" x14ac:dyDescent="0.25">
      <c r="B625" s="148"/>
      <c r="C625" s="148" t="s">
        <v>21423</v>
      </c>
      <c r="D625" s="150">
        <v>44041</v>
      </c>
      <c r="E625" s="113" t="s">
        <v>21422</v>
      </c>
      <c r="F625" s="257" t="s">
        <v>14412</v>
      </c>
      <c r="G625" s="258">
        <v>5.01</v>
      </c>
      <c r="H625" s="152"/>
      <c r="I625" s="160">
        <f t="shared" si="9"/>
        <v>88804.139999999868</v>
      </c>
    </row>
    <row r="626" spans="2:9" ht="19.5" x14ac:dyDescent="0.25">
      <c r="B626" s="148"/>
      <c r="C626" s="148" t="s">
        <v>21421</v>
      </c>
      <c r="D626" s="150">
        <v>44041</v>
      </c>
      <c r="E626" s="113" t="s">
        <v>21420</v>
      </c>
      <c r="F626" s="257" t="s">
        <v>14412</v>
      </c>
      <c r="G626" s="258">
        <v>2.08</v>
      </c>
      <c r="H626" s="152"/>
      <c r="I626" s="160">
        <f t="shared" si="9"/>
        <v>88806.21999999987</v>
      </c>
    </row>
    <row r="627" spans="2:9" ht="15.75" x14ac:dyDescent="0.25">
      <c r="B627" s="148"/>
      <c r="C627" s="148" t="s">
        <v>21419</v>
      </c>
      <c r="D627" s="150">
        <v>44041</v>
      </c>
      <c r="E627" s="113" t="s">
        <v>21418</v>
      </c>
      <c r="F627" s="257" t="s">
        <v>14412</v>
      </c>
      <c r="G627" s="258">
        <v>8.9</v>
      </c>
      <c r="H627" s="152"/>
      <c r="I627" s="160">
        <f t="shared" si="9"/>
        <v>88815.119999999864</v>
      </c>
    </row>
    <row r="628" spans="2:9" ht="19.5" x14ac:dyDescent="0.25">
      <c r="B628" s="148"/>
      <c r="C628" s="148" t="s">
        <v>21417</v>
      </c>
      <c r="D628" s="150">
        <v>44041</v>
      </c>
      <c r="E628" s="113" t="s">
        <v>21416</v>
      </c>
      <c r="F628" s="257" t="s">
        <v>14412</v>
      </c>
      <c r="G628" s="258">
        <v>12.66</v>
      </c>
      <c r="H628" s="152"/>
      <c r="I628" s="160">
        <f t="shared" si="9"/>
        <v>88827.779999999868</v>
      </c>
    </row>
    <row r="629" spans="2:9" ht="15.75" x14ac:dyDescent="0.25">
      <c r="B629" s="148"/>
      <c r="C629" s="148" t="s">
        <v>21415</v>
      </c>
      <c r="D629" s="150">
        <v>44041</v>
      </c>
      <c r="E629" s="113" t="s">
        <v>21414</v>
      </c>
      <c r="F629" s="257" t="s">
        <v>14412</v>
      </c>
      <c r="G629" s="258">
        <v>7.9</v>
      </c>
      <c r="H629" s="152"/>
      <c r="I629" s="160">
        <f t="shared" si="9"/>
        <v>88835.679999999862</v>
      </c>
    </row>
    <row r="630" spans="2:9" ht="15.75" x14ac:dyDescent="0.25">
      <c r="B630" s="148"/>
      <c r="C630" s="148" t="s">
        <v>21413</v>
      </c>
      <c r="D630" s="150">
        <v>44041</v>
      </c>
      <c r="E630" s="113" t="s">
        <v>21412</v>
      </c>
      <c r="F630" s="257" t="s">
        <v>14412</v>
      </c>
      <c r="G630" s="258">
        <v>4.6399999999999997</v>
      </c>
      <c r="H630" s="152"/>
      <c r="I630" s="160">
        <f t="shared" si="9"/>
        <v>88840.319999999861</v>
      </c>
    </row>
    <row r="631" spans="2:9" ht="15.75" x14ac:dyDescent="0.25">
      <c r="B631" s="148"/>
      <c r="C631" s="148" t="s">
        <v>21411</v>
      </c>
      <c r="D631" s="150">
        <v>44041</v>
      </c>
      <c r="E631" s="113" t="s">
        <v>21410</v>
      </c>
      <c r="F631" s="257" t="s">
        <v>14412</v>
      </c>
      <c r="G631" s="258">
        <v>8.3800000000000008</v>
      </c>
      <c r="H631" s="152"/>
      <c r="I631" s="160">
        <f t="shared" si="9"/>
        <v>88848.699999999866</v>
      </c>
    </row>
    <row r="632" spans="2:9" ht="19.5" x14ac:dyDescent="0.25">
      <c r="B632" s="148"/>
      <c r="C632" s="148" t="s">
        <v>21409</v>
      </c>
      <c r="D632" s="150">
        <v>44041</v>
      </c>
      <c r="E632" s="113" t="s">
        <v>21408</v>
      </c>
      <c r="F632" s="257" t="s">
        <v>14412</v>
      </c>
      <c r="G632" s="258">
        <v>32.03</v>
      </c>
      <c r="H632" s="152"/>
      <c r="I632" s="160">
        <f t="shared" si="9"/>
        <v>88880.729999999865</v>
      </c>
    </row>
    <row r="633" spans="2:9" ht="15.75" x14ac:dyDescent="0.25">
      <c r="B633" s="148"/>
      <c r="C633" s="148" t="s">
        <v>21407</v>
      </c>
      <c r="D633" s="150">
        <v>44041</v>
      </c>
      <c r="E633" s="113" t="s">
        <v>21406</v>
      </c>
      <c r="F633" s="257" t="s">
        <v>14412</v>
      </c>
      <c r="G633" s="258">
        <v>6.05</v>
      </c>
      <c r="H633" s="152"/>
      <c r="I633" s="160">
        <f t="shared" si="9"/>
        <v>88886.779999999868</v>
      </c>
    </row>
    <row r="634" spans="2:9" ht="19.5" x14ac:dyDescent="0.25">
      <c r="B634" s="148"/>
      <c r="C634" s="148" t="s">
        <v>21405</v>
      </c>
      <c r="D634" s="150">
        <v>44041</v>
      </c>
      <c r="E634" s="113" t="s">
        <v>21404</v>
      </c>
      <c r="F634" s="257" t="s">
        <v>14412</v>
      </c>
      <c r="G634" s="258">
        <v>25.04</v>
      </c>
      <c r="H634" s="152"/>
      <c r="I634" s="160">
        <f t="shared" si="9"/>
        <v>88911.819999999861</v>
      </c>
    </row>
    <row r="635" spans="2:9" ht="19.5" x14ac:dyDescent="0.25">
      <c r="B635" s="148"/>
      <c r="C635" s="148" t="s">
        <v>21403</v>
      </c>
      <c r="D635" s="150">
        <v>44041</v>
      </c>
      <c r="E635" s="113" t="s">
        <v>21402</v>
      </c>
      <c r="F635" s="257" t="s">
        <v>14412</v>
      </c>
      <c r="G635" s="258">
        <v>23.78</v>
      </c>
      <c r="H635" s="152"/>
      <c r="I635" s="160">
        <f t="shared" si="9"/>
        <v>88935.59999999986</v>
      </c>
    </row>
    <row r="636" spans="2:9" ht="15.75" x14ac:dyDescent="0.25">
      <c r="B636" s="148"/>
      <c r="C636" s="148" t="s">
        <v>21401</v>
      </c>
      <c r="D636" s="150">
        <v>44041</v>
      </c>
      <c r="E636" s="113" t="s">
        <v>21400</v>
      </c>
      <c r="F636" s="257" t="s">
        <v>14412</v>
      </c>
      <c r="G636" s="258">
        <v>6.55</v>
      </c>
      <c r="H636" s="152"/>
      <c r="I636" s="160">
        <f t="shared" si="9"/>
        <v>88942.149999999863</v>
      </c>
    </row>
    <row r="637" spans="2:9" ht="15.75" x14ac:dyDescent="0.25">
      <c r="B637" s="148"/>
      <c r="C637" s="148" t="s">
        <v>21399</v>
      </c>
      <c r="D637" s="150">
        <v>44041</v>
      </c>
      <c r="E637" s="113" t="s">
        <v>21398</v>
      </c>
      <c r="F637" s="257" t="s">
        <v>14412</v>
      </c>
      <c r="G637" s="258">
        <v>4.01</v>
      </c>
      <c r="H637" s="152"/>
      <c r="I637" s="160">
        <f t="shared" si="9"/>
        <v>88946.159999999858</v>
      </c>
    </row>
    <row r="638" spans="2:9" ht="19.5" x14ac:dyDescent="0.25">
      <c r="B638" s="148"/>
      <c r="C638" s="148" t="s">
        <v>21397</v>
      </c>
      <c r="D638" s="150">
        <v>44041</v>
      </c>
      <c r="E638" s="113" t="s">
        <v>21396</v>
      </c>
      <c r="F638" s="257" t="s">
        <v>14412</v>
      </c>
      <c r="G638" s="258">
        <v>7.04</v>
      </c>
      <c r="H638" s="152"/>
      <c r="I638" s="160">
        <f t="shared" si="9"/>
        <v>88953.199999999852</v>
      </c>
    </row>
    <row r="639" spans="2:9" ht="19.5" x14ac:dyDescent="0.25">
      <c r="B639" s="148"/>
      <c r="C639" s="148" t="s">
        <v>21395</v>
      </c>
      <c r="D639" s="150">
        <v>44041</v>
      </c>
      <c r="E639" s="113" t="s">
        <v>21394</v>
      </c>
      <c r="F639" s="257" t="s">
        <v>14412</v>
      </c>
      <c r="G639" s="258">
        <v>46.92</v>
      </c>
      <c r="H639" s="152"/>
      <c r="I639" s="160">
        <f t="shared" si="9"/>
        <v>89000.11999999985</v>
      </c>
    </row>
    <row r="640" spans="2:9" ht="15.75" x14ac:dyDescent="0.25">
      <c r="B640" s="148"/>
      <c r="C640" s="148" t="s">
        <v>21393</v>
      </c>
      <c r="D640" s="150">
        <v>44041</v>
      </c>
      <c r="E640" s="113" t="s">
        <v>21392</v>
      </c>
      <c r="F640" s="257">
        <v>21</v>
      </c>
      <c r="G640" s="160">
        <v>12.3</v>
      </c>
      <c r="H640" s="152"/>
      <c r="I640" s="160">
        <f t="shared" si="9"/>
        <v>89012.419999999853</v>
      </c>
    </row>
    <row r="641" spans="2:9" ht="19.5" x14ac:dyDescent="0.25">
      <c r="B641" s="148"/>
      <c r="C641" s="148" t="s">
        <v>21391</v>
      </c>
      <c r="D641" s="150">
        <v>44042</v>
      </c>
      <c r="E641" s="113" t="s">
        <v>21390</v>
      </c>
      <c r="F641" s="257" t="s">
        <v>18712</v>
      </c>
      <c r="G641" s="160">
        <v>571.65</v>
      </c>
      <c r="H641" s="152"/>
      <c r="I641" s="160">
        <f t="shared" si="9"/>
        <v>89584.069999999847</v>
      </c>
    </row>
    <row r="642" spans="2:9" ht="15.75" x14ac:dyDescent="0.25">
      <c r="B642" s="148"/>
      <c r="C642" s="148" t="s">
        <v>21389</v>
      </c>
      <c r="D642" s="150">
        <v>44042</v>
      </c>
      <c r="E642" s="113" t="s">
        <v>21388</v>
      </c>
      <c r="F642" s="257" t="s">
        <v>14436</v>
      </c>
      <c r="G642" s="160">
        <v>37.21</v>
      </c>
      <c r="H642" s="152"/>
      <c r="I642" s="160">
        <f t="shared" si="9"/>
        <v>89621.279999999853</v>
      </c>
    </row>
    <row r="643" spans="2:9" ht="19.5" x14ac:dyDescent="0.25">
      <c r="B643" s="148"/>
      <c r="C643" s="148" t="s">
        <v>21387</v>
      </c>
      <c r="D643" s="150">
        <v>44042</v>
      </c>
      <c r="E643" s="113" t="s">
        <v>21386</v>
      </c>
      <c r="F643" s="257" t="s">
        <v>14412</v>
      </c>
      <c r="G643" s="258">
        <v>37.81</v>
      </c>
      <c r="H643" s="152"/>
      <c r="I643" s="160">
        <f t="shared" si="9"/>
        <v>89659.089999999851</v>
      </c>
    </row>
    <row r="644" spans="2:9" ht="15.75" x14ac:dyDescent="0.25">
      <c r="B644" s="148"/>
      <c r="C644" s="148" t="s">
        <v>21385</v>
      </c>
      <c r="D644" s="150">
        <v>44042</v>
      </c>
      <c r="E644" s="113" t="s">
        <v>21384</v>
      </c>
      <c r="F644" s="257" t="s">
        <v>14412</v>
      </c>
      <c r="G644" s="258">
        <v>4.6900000000000004</v>
      </c>
      <c r="H644" s="152"/>
      <c r="I644" s="160">
        <f t="shared" si="9"/>
        <v>89663.779999999853</v>
      </c>
    </row>
    <row r="645" spans="2:9" ht="19.5" x14ac:dyDescent="0.25">
      <c r="B645" s="148"/>
      <c r="C645" s="148" t="s">
        <v>21383</v>
      </c>
      <c r="D645" s="150">
        <v>44042</v>
      </c>
      <c r="E645" s="113" t="s">
        <v>21382</v>
      </c>
      <c r="F645" s="257" t="s">
        <v>14412</v>
      </c>
      <c r="G645" s="258">
        <v>2.93</v>
      </c>
      <c r="H645" s="152"/>
      <c r="I645" s="160">
        <f t="shared" si="9"/>
        <v>89666.709999999846</v>
      </c>
    </row>
    <row r="646" spans="2:9" ht="19.5" x14ac:dyDescent="0.25">
      <c r="B646" s="148"/>
      <c r="C646" s="148" t="s">
        <v>21381</v>
      </c>
      <c r="D646" s="150">
        <v>44042</v>
      </c>
      <c r="E646" s="113" t="s">
        <v>21380</v>
      </c>
      <c r="F646" s="257" t="s">
        <v>14412</v>
      </c>
      <c r="G646" s="258">
        <v>3.36</v>
      </c>
      <c r="H646" s="152"/>
      <c r="I646" s="160">
        <f t="shared" si="9"/>
        <v>89670.069999999847</v>
      </c>
    </row>
    <row r="647" spans="2:9" ht="19.5" x14ac:dyDescent="0.25">
      <c r="B647" s="148"/>
      <c r="C647" s="148" t="s">
        <v>21379</v>
      </c>
      <c r="D647" s="150">
        <v>44042</v>
      </c>
      <c r="E647" s="113" t="s">
        <v>21378</v>
      </c>
      <c r="F647" s="257" t="s">
        <v>14412</v>
      </c>
      <c r="G647" s="258">
        <v>3.81</v>
      </c>
      <c r="H647" s="152"/>
      <c r="I647" s="160">
        <f t="shared" si="9"/>
        <v>89673.879999999845</v>
      </c>
    </row>
    <row r="648" spans="2:9" ht="15.75" x14ac:dyDescent="0.25">
      <c r="B648" s="148"/>
      <c r="C648" s="148" t="s">
        <v>21377</v>
      </c>
      <c r="D648" s="150">
        <v>44042</v>
      </c>
      <c r="E648" s="113" t="s">
        <v>21376</v>
      </c>
      <c r="F648" s="257" t="s">
        <v>14412</v>
      </c>
      <c r="G648" s="258">
        <v>10.24</v>
      </c>
      <c r="H648" s="152"/>
      <c r="I648" s="160">
        <f t="shared" si="9"/>
        <v>89684.11999999985</v>
      </c>
    </row>
    <row r="649" spans="2:9" ht="19.5" x14ac:dyDescent="0.25">
      <c r="B649" s="148"/>
      <c r="C649" s="148" t="s">
        <v>21375</v>
      </c>
      <c r="D649" s="150">
        <v>44042</v>
      </c>
      <c r="E649" s="113" t="s">
        <v>21374</v>
      </c>
      <c r="F649" s="257" t="s">
        <v>14412</v>
      </c>
      <c r="G649" s="258">
        <v>5.4</v>
      </c>
      <c r="H649" s="152"/>
      <c r="I649" s="160">
        <f t="shared" si="9"/>
        <v>89689.519999999844</v>
      </c>
    </row>
    <row r="650" spans="2:9" ht="15.75" x14ac:dyDescent="0.25">
      <c r="B650" s="148"/>
      <c r="C650" s="148" t="s">
        <v>21373</v>
      </c>
      <c r="D650" s="150">
        <v>44042</v>
      </c>
      <c r="E650" s="113" t="s">
        <v>21372</v>
      </c>
      <c r="F650" s="257" t="s">
        <v>14412</v>
      </c>
      <c r="G650" s="258">
        <v>1.72</v>
      </c>
      <c r="H650" s="152"/>
      <c r="I650" s="160">
        <f t="shared" si="9"/>
        <v>89691.239999999845</v>
      </c>
    </row>
    <row r="651" spans="2:9" ht="19.5" x14ac:dyDescent="0.25">
      <c r="B651" s="148"/>
      <c r="C651" s="148" t="s">
        <v>21371</v>
      </c>
      <c r="D651" s="150">
        <v>44042</v>
      </c>
      <c r="E651" s="113" t="s">
        <v>21370</v>
      </c>
      <c r="F651" s="257" t="s">
        <v>14412</v>
      </c>
      <c r="G651" s="258">
        <v>19.38</v>
      </c>
      <c r="H651" s="152"/>
      <c r="I651" s="160">
        <f t="shared" si="9"/>
        <v>89710.61999999985</v>
      </c>
    </row>
    <row r="652" spans="2:9" ht="15.75" x14ac:dyDescent="0.25">
      <c r="B652" s="148"/>
      <c r="C652" s="148" t="s">
        <v>21369</v>
      </c>
      <c r="D652" s="150">
        <v>44042</v>
      </c>
      <c r="E652" s="113" t="s">
        <v>21368</v>
      </c>
      <c r="F652" s="257" t="s">
        <v>14412</v>
      </c>
      <c r="G652" s="258">
        <v>3.14</v>
      </c>
      <c r="H652" s="152"/>
      <c r="I652" s="160">
        <f t="shared" si="9"/>
        <v>89713.759999999849</v>
      </c>
    </row>
    <row r="653" spans="2:9" ht="19.5" x14ac:dyDescent="0.25">
      <c r="B653" s="148"/>
      <c r="C653" s="148" t="s">
        <v>21367</v>
      </c>
      <c r="D653" s="150">
        <v>44042</v>
      </c>
      <c r="E653" s="113" t="s">
        <v>21366</v>
      </c>
      <c r="F653" s="257" t="s">
        <v>14412</v>
      </c>
      <c r="G653" s="258">
        <v>13.94</v>
      </c>
      <c r="H653" s="152"/>
      <c r="I653" s="160">
        <f t="shared" si="9"/>
        <v>89727.699999999852</v>
      </c>
    </row>
    <row r="654" spans="2:9" ht="15.75" x14ac:dyDescent="0.25">
      <c r="B654" s="148"/>
      <c r="C654" s="148" t="s">
        <v>21365</v>
      </c>
      <c r="D654" s="150">
        <v>44042</v>
      </c>
      <c r="E654" s="113" t="s">
        <v>21364</v>
      </c>
      <c r="F654" s="257" t="s">
        <v>14412</v>
      </c>
      <c r="G654" s="258">
        <v>3.47</v>
      </c>
      <c r="H654" s="152"/>
      <c r="I654" s="160">
        <f t="shared" si="9"/>
        <v>89731.169999999853</v>
      </c>
    </row>
    <row r="655" spans="2:9" ht="19.5" x14ac:dyDescent="0.25">
      <c r="B655" s="148"/>
      <c r="C655" s="148" t="s">
        <v>21363</v>
      </c>
      <c r="D655" s="150">
        <v>44042</v>
      </c>
      <c r="E655" s="113" t="s">
        <v>21362</v>
      </c>
      <c r="F655" s="257" t="s">
        <v>14412</v>
      </c>
      <c r="G655" s="258">
        <v>4.09</v>
      </c>
      <c r="H655" s="152"/>
      <c r="I655" s="160">
        <f t="shared" si="9"/>
        <v>89735.259999999849</v>
      </c>
    </row>
    <row r="656" spans="2:9" ht="15.75" x14ac:dyDescent="0.25">
      <c r="B656" s="148"/>
      <c r="C656" s="148" t="s">
        <v>21361</v>
      </c>
      <c r="D656" s="150">
        <v>44042</v>
      </c>
      <c r="E656" s="113" t="s">
        <v>21360</v>
      </c>
      <c r="F656" s="257" t="s">
        <v>14412</v>
      </c>
      <c r="G656" s="258">
        <v>23.36</v>
      </c>
      <c r="H656" s="152"/>
      <c r="I656" s="160">
        <f t="shared" si="9"/>
        <v>89758.61999999985</v>
      </c>
    </row>
    <row r="657" spans="2:9" ht="19.5" x14ac:dyDescent="0.25">
      <c r="B657" s="148"/>
      <c r="C657" s="148" t="s">
        <v>21359</v>
      </c>
      <c r="D657" s="150">
        <v>44042</v>
      </c>
      <c r="E657" s="113" t="s">
        <v>21358</v>
      </c>
      <c r="F657" s="257" t="s">
        <v>14412</v>
      </c>
      <c r="G657" s="258">
        <v>5.05</v>
      </c>
      <c r="H657" s="152"/>
      <c r="I657" s="160">
        <f t="shared" si="9"/>
        <v>89763.669999999853</v>
      </c>
    </row>
    <row r="658" spans="2:9" ht="19.5" x14ac:dyDescent="0.25">
      <c r="B658" s="148"/>
      <c r="C658" s="148" t="s">
        <v>21357</v>
      </c>
      <c r="D658" s="150">
        <v>44042</v>
      </c>
      <c r="E658" s="113" t="s">
        <v>21356</v>
      </c>
      <c r="F658" s="257" t="s">
        <v>14412</v>
      </c>
      <c r="G658" s="258">
        <v>9.4</v>
      </c>
      <c r="H658" s="152"/>
      <c r="I658" s="160">
        <f t="shared" si="9"/>
        <v>89773.069999999847</v>
      </c>
    </row>
    <row r="659" spans="2:9" ht="19.5" x14ac:dyDescent="0.25">
      <c r="B659" s="148"/>
      <c r="C659" s="148" t="s">
        <v>21355</v>
      </c>
      <c r="D659" s="150">
        <v>44042</v>
      </c>
      <c r="E659" s="113" t="s">
        <v>21354</v>
      </c>
      <c r="F659" s="257" t="s">
        <v>14412</v>
      </c>
      <c r="G659" s="258">
        <v>30.6</v>
      </c>
      <c r="H659" s="152"/>
      <c r="I659" s="160">
        <f t="shared" si="9"/>
        <v>89803.669999999853</v>
      </c>
    </row>
    <row r="660" spans="2:9" ht="19.5" x14ac:dyDescent="0.25">
      <c r="B660" s="148"/>
      <c r="C660" s="148" t="s">
        <v>21353</v>
      </c>
      <c r="D660" s="150">
        <v>44042</v>
      </c>
      <c r="E660" s="113" t="s">
        <v>21352</v>
      </c>
      <c r="F660" s="257">
        <v>22</v>
      </c>
      <c r="G660" s="255">
        <v>3.96</v>
      </c>
      <c r="H660" s="152"/>
      <c r="I660" s="160">
        <f t="shared" ref="I660:I688" si="10">+I659+G660-H660</f>
        <v>89807.629999999859</v>
      </c>
    </row>
    <row r="661" spans="2:9" ht="19.5" x14ac:dyDescent="0.25">
      <c r="B661" s="148"/>
      <c r="C661" s="148" t="s">
        <v>21351</v>
      </c>
      <c r="D661" s="150">
        <v>44042</v>
      </c>
      <c r="E661" s="113" t="s">
        <v>21350</v>
      </c>
      <c r="F661" s="257">
        <v>22</v>
      </c>
      <c r="G661" s="255">
        <v>60.6</v>
      </c>
      <c r="H661" s="152"/>
      <c r="I661" s="160">
        <f t="shared" si="10"/>
        <v>89868.229999999865</v>
      </c>
    </row>
    <row r="662" spans="2:9" ht="15.75" x14ac:dyDescent="0.25">
      <c r="B662" s="148"/>
      <c r="C662" s="148" t="s">
        <v>21349</v>
      </c>
      <c r="D662" s="150">
        <v>44042</v>
      </c>
      <c r="E662" s="113" t="s">
        <v>21348</v>
      </c>
      <c r="F662" s="257">
        <v>22</v>
      </c>
      <c r="G662" s="255">
        <v>8.8800000000000008</v>
      </c>
      <c r="H662" s="152"/>
      <c r="I662" s="160">
        <f t="shared" si="10"/>
        <v>89877.10999999987</v>
      </c>
    </row>
    <row r="663" spans="2:9" ht="19.5" x14ac:dyDescent="0.25">
      <c r="B663" s="148"/>
      <c r="C663" s="148" t="s">
        <v>21347</v>
      </c>
      <c r="D663" s="150">
        <v>44042</v>
      </c>
      <c r="E663" s="113" t="s">
        <v>21346</v>
      </c>
      <c r="F663" s="257">
        <v>22</v>
      </c>
      <c r="G663" s="255">
        <v>8.1300000000000008</v>
      </c>
      <c r="H663" s="152"/>
      <c r="I663" s="160">
        <f t="shared" si="10"/>
        <v>89885.239999999874</v>
      </c>
    </row>
    <row r="664" spans="2:9" ht="15.75" x14ac:dyDescent="0.25">
      <c r="B664" s="148"/>
      <c r="C664" s="148" t="s">
        <v>21345</v>
      </c>
      <c r="D664" s="150">
        <v>44042</v>
      </c>
      <c r="E664" s="113" t="s">
        <v>21344</v>
      </c>
      <c r="F664" s="257">
        <v>22</v>
      </c>
      <c r="G664" s="255">
        <v>8.3800000000000008</v>
      </c>
      <c r="H664" s="152"/>
      <c r="I664" s="160">
        <f t="shared" si="10"/>
        <v>89893.619999999879</v>
      </c>
    </row>
    <row r="665" spans="2:9" ht="15.75" x14ac:dyDescent="0.25">
      <c r="B665" s="148"/>
      <c r="C665" s="148" t="s">
        <v>21343</v>
      </c>
      <c r="D665" s="150">
        <v>44042</v>
      </c>
      <c r="E665" s="113" t="s">
        <v>21342</v>
      </c>
      <c r="F665" s="257">
        <v>22</v>
      </c>
      <c r="G665" s="255">
        <v>14.76</v>
      </c>
      <c r="H665" s="152"/>
      <c r="I665" s="160">
        <f t="shared" si="10"/>
        <v>89908.379999999874</v>
      </c>
    </row>
    <row r="666" spans="2:9" ht="15.75" x14ac:dyDescent="0.25">
      <c r="B666" s="148"/>
      <c r="C666" s="148" t="s">
        <v>21341</v>
      </c>
      <c r="D666" s="150">
        <v>44043</v>
      </c>
      <c r="E666" s="113" t="s">
        <v>21340</v>
      </c>
      <c r="F666" s="257" t="s">
        <v>14436</v>
      </c>
      <c r="G666" s="160">
        <v>17.510000000000002</v>
      </c>
      <c r="H666" s="152"/>
      <c r="I666" s="160">
        <f t="shared" si="10"/>
        <v>89925.889999999868</v>
      </c>
    </row>
    <row r="667" spans="2:9" ht="15.75" x14ac:dyDescent="0.25">
      <c r="B667" s="148"/>
      <c r="C667" s="148" t="s">
        <v>21339</v>
      </c>
      <c r="D667" s="150">
        <v>44043</v>
      </c>
      <c r="E667" s="113" t="s">
        <v>21338</v>
      </c>
      <c r="F667" s="257" t="s">
        <v>14436</v>
      </c>
      <c r="G667" s="160">
        <v>11.72</v>
      </c>
      <c r="H667" s="152"/>
      <c r="I667" s="160">
        <f t="shared" si="10"/>
        <v>89937.60999999987</v>
      </c>
    </row>
    <row r="668" spans="2:9" ht="15.75" x14ac:dyDescent="0.25">
      <c r="B668" s="148"/>
      <c r="C668" s="148" t="s">
        <v>21337</v>
      </c>
      <c r="D668" s="150">
        <v>44043</v>
      </c>
      <c r="E668" s="113" t="s">
        <v>21336</v>
      </c>
      <c r="F668" s="257" t="s">
        <v>14436</v>
      </c>
      <c r="G668" s="160">
        <v>8.3800000000000008</v>
      </c>
      <c r="H668" s="152"/>
      <c r="I668" s="160">
        <f t="shared" si="10"/>
        <v>89945.989999999874</v>
      </c>
    </row>
    <row r="669" spans="2:9" ht="15.75" x14ac:dyDescent="0.25">
      <c r="B669" s="148" t="s">
        <v>14413</v>
      </c>
      <c r="C669" s="148" t="s">
        <v>21335</v>
      </c>
      <c r="D669" s="150">
        <v>44043</v>
      </c>
      <c r="E669" s="113" t="s">
        <v>21334</v>
      </c>
      <c r="F669" s="257"/>
      <c r="G669" s="258">
        <v>0.57999999999999996</v>
      </c>
      <c r="H669" s="152"/>
      <c r="I669" s="160">
        <f t="shared" si="10"/>
        <v>89946.569999999876</v>
      </c>
    </row>
    <row r="670" spans="2:9" ht="19.5" x14ac:dyDescent="0.25">
      <c r="B670" s="148" t="s">
        <v>14413</v>
      </c>
      <c r="C670" s="148" t="s">
        <v>21333</v>
      </c>
      <c r="D670" s="150">
        <v>44043</v>
      </c>
      <c r="E670" s="113" t="s">
        <v>21332</v>
      </c>
      <c r="F670" s="257"/>
      <c r="G670" s="258">
        <v>9.42</v>
      </c>
      <c r="H670" s="152"/>
      <c r="I670" s="160">
        <f t="shared" si="10"/>
        <v>89955.989999999874</v>
      </c>
    </row>
    <row r="671" spans="2:9" ht="15.75" x14ac:dyDescent="0.25">
      <c r="B671" s="148" t="s">
        <v>14413</v>
      </c>
      <c r="C671" s="148" t="s">
        <v>21331</v>
      </c>
      <c r="D671" s="150">
        <v>44043</v>
      </c>
      <c r="E671" s="113" t="s">
        <v>21330</v>
      </c>
      <c r="F671" s="257"/>
      <c r="G671" s="258">
        <v>4.92</v>
      </c>
      <c r="H671" s="152"/>
      <c r="I671" s="160">
        <f t="shared" si="10"/>
        <v>89960.909999999873</v>
      </c>
    </row>
    <row r="672" spans="2:9" ht="19.5" x14ac:dyDescent="0.25">
      <c r="B672" s="148" t="s">
        <v>14413</v>
      </c>
      <c r="C672" s="148" t="s">
        <v>21329</v>
      </c>
      <c r="D672" s="150">
        <v>44043</v>
      </c>
      <c r="E672" s="113" t="s">
        <v>21328</v>
      </c>
      <c r="F672" s="257"/>
      <c r="G672" s="258">
        <v>43.85</v>
      </c>
      <c r="H672" s="152"/>
      <c r="I672" s="160">
        <f t="shared" si="10"/>
        <v>90004.759999999878</v>
      </c>
    </row>
    <row r="673" spans="2:10" ht="19.5" x14ac:dyDescent="0.25">
      <c r="B673" s="148" t="s">
        <v>14413</v>
      </c>
      <c r="C673" s="148" t="s">
        <v>21327</v>
      </c>
      <c r="D673" s="150">
        <v>44043</v>
      </c>
      <c r="E673" s="113" t="s">
        <v>21326</v>
      </c>
      <c r="F673" s="257"/>
      <c r="G673" s="258">
        <v>5.13</v>
      </c>
      <c r="H673" s="152"/>
      <c r="I673" s="160">
        <f t="shared" si="10"/>
        <v>90009.889999999883</v>
      </c>
    </row>
    <row r="674" spans="2:10" ht="19.5" x14ac:dyDescent="0.25">
      <c r="B674" s="148" t="s">
        <v>14413</v>
      </c>
      <c r="C674" s="148" t="s">
        <v>21325</v>
      </c>
      <c r="D674" s="150">
        <v>44043</v>
      </c>
      <c r="E674" s="113" t="s">
        <v>21324</v>
      </c>
      <c r="F674" s="257"/>
      <c r="G674" s="258">
        <v>18.190000000000001</v>
      </c>
      <c r="H674" s="152"/>
      <c r="I674" s="160">
        <f t="shared" si="10"/>
        <v>90028.079999999885</v>
      </c>
    </row>
    <row r="675" spans="2:10" ht="15.75" x14ac:dyDescent="0.25">
      <c r="B675" s="148" t="s">
        <v>14413</v>
      </c>
      <c r="C675" s="148" t="s">
        <v>21323</v>
      </c>
      <c r="D675" s="150">
        <v>44043</v>
      </c>
      <c r="E675" s="113" t="s">
        <v>21322</v>
      </c>
      <c r="F675" s="257"/>
      <c r="G675" s="258">
        <v>3.51</v>
      </c>
      <c r="H675" s="152"/>
      <c r="I675" s="160">
        <f t="shared" si="10"/>
        <v>90031.58999999988</v>
      </c>
    </row>
    <row r="676" spans="2:10" ht="15.75" x14ac:dyDescent="0.25">
      <c r="B676" s="148" t="s">
        <v>14413</v>
      </c>
      <c r="C676" s="148" t="s">
        <v>21321</v>
      </c>
      <c r="D676" s="150">
        <v>44043</v>
      </c>
      <c r="E676" s="113" t="s">
        <v>21320</v>
      </c>
      <c r="F676" s="257"/>
      <c r="G676" s="258">
        <v>3.15</v>
      </c>
      <c r="H676" s="152"/>
      <c r="I676" s="160">
        <f t="shared" si="10"/>
        <v>90034.739999999874</v>
      </c>
    </row>
    <row r="677" spans="2:10" ht="19.5" x14ac:dyDescent="0.25">
      <c r="B677" s="148" t="s">
        <v>14413</v>
      </c>
      <c r="C677" s="148" t="s">
        <v>21319</v>
      </c>
      <c r="D677" s="150">
        <v>44043</v>
      </c>
      <c r="E677" s="113" t="s">
        <v>21318</v>
      </c>
      <c r="F677" s="257"/>
      <c r="G677" s="258">
        <v>10.14</v>
      </c>
      <c r="H677" s="152"/>
      <c r="I677" s="160">
        <f t="shared" si="10"/>
        <v>90044.879999999874</v>
      </c>
    </row>
    <row r="678" spans="2:10" s="329" customFormat="1" ht="26.25" x14ac:dyDescent="0.25">
      <c r="B678" s="324" t="s">
        <v>14413</v>
      </c>
      <c r="C678" s="324" t="s">
        <v>21317</v>
      </c>
      <c r="D678" s="325">
        <v>44043</v>
      </c>
      <c r="E678" s="326" t="s">
        <v>21316</v>
      </c>
      <c r="F678" s="327"/>
      <c r="G678" s="331">
        <v>17.55</v>
      </c>
      <c r="H678" s="328"/>
      <c r="I678" s="160">
        <f t="shared" si="10"/>
        <v>90062.429999999877</v>
      </c>
      <c r="J678" s="332" t="s">
        <v>22614</v>
      </c>
    </row>
    <row r="679" spans="2:10" ht="15.75" x14ac:dyDescent="0.25">
      <c r="B679" s="148"/>
      <c r="C679" s="148" t="s">
        <v>21315</v>
      </c>
      <c r="D679" s="150">
        <v>44043</v>
      </c>
      <c r="E679" s="113" t="s">
        <v>21314</v>
      </c>
      <c r="F679" s="257">
        <v>23</v>
      </c>
      <c r="G679" s="255">
        <v>8.3800000000000008</v>
      </c>
      <c r="H679" s="152"/>
      <c r="I679" s="160">
        <f t="shared" si="10"/>
        <v>90070.809999999881</v>
      </c>
    </row>
    <row r="680" spans="2:10" ht="15.75" x14ac:dyDescent="0.25">
      <c r="B680" s="148"/>
      <c r="C680" s="148" t="s">
        <v>21313</v>
      </c>
      <c r="D680" s="150">
        <v>44043</v>
      </c>
      <c r="E680" s="113" t="s">
        <v>21312</v>
      </c>
      <c r="F680" s="257">
        <v>23</v>
      </c>
      <c r="G680" s="255">
        <v>12.3</v>
      </c>
      <c r="H680" s="152"/>
      <c r="I680" s="160">
        <f t="shared" si="10"/>
        <v>90083.109999999884</v>
      </c>
    </row>
    <row r="681" spans="2:10" ht="15.75" x14ac:dyDescent="0.25">
      <c r="B681" s="148"/>
      <c r="C681" s="148" t="s">
        <v>21311</v>
      </c>
      <c r="D681" s="150">
        <v>44043</v>
      </c>
      <c r="E681" s="113" t="s">
        <v>21310</v>
      </c>
      <c r="F681" s="257">
        <v>23</v>
      </c>
      <c r="G681" s="255">
        <v>8.5</v>
      </c>
      <c r="H681" s="152"/>
      <c r="I681" s="160">
        <f t="shared" si="10"/>
        <v>90091.609999999884</v>
      </c>
    </row>
    <row r="682" spans="2:10" ht="15.75" x14ac:dyDescent="0.25">
      <c r="B682" s="148"/>
      <c r="C682" s="148" t="s">
        <v>21309</v>
      </c>
      <c r="D682" s="150">
        <v>44043</v>
      </c>
      <c r="E682" s="113" t="s">
        <v>21308</v>
      </c>
      <c r="F682" s="257">
        <v>23</v>
      </c>
      <c r="G682" s="255">
        <v>14.81</v>
      </c>
      <c r="H682" s="152"/>
      <c r="I682" s="160">
        <f t="shared" si="10"/>
        <v>90106.419999999882</v>
      </c>
    </row>
    <row r="683" spans="2:10" ht="19.5" x14ac:dyDescent="0.25">
      <c r="B683" s="148"/>
      <c r="C683" s="148" t="s">
        <v>21307</v>
      </c>
      <c r="D683" s="150">
        <v>44043</v>
      </c>
      <c r="E683" s="113" t="s">
        <v>21306</v>
      </c>
      <c r="F683" s="257" t="s">
        <v>18712</v>
      </c>
      <c r="G683" s="160">
        <v>89.6</v>
      </c>
      <c r="H683" s="152"/>
      <c r="I683" s="160">
        <f t="shared" si="10"/>
        <v>90196.019999999888</v>
      </c>
    </row>
    <row r="684" spans="2:10" ht="19.5" x14ac:dyDescent="0.25">
      <c r="B684" s="148"/>
      <c r="C684" s="148" t="s">
        <v>21305</v>
      </c>
      <c r="D684" s="150">
        <v>44043</v>
      </c>
      <c r="E684" s="113" t="s">
        <v>21304</v>
      </c>
      <c r="F684" s="257" t="s">
        <v>14436</v>
      </c>
      <c r="G684" s="160">
        <v>9.06</v>
      </c>
      <c r="H684" s="152"/>
      <c r="I684" s="160">
        <f t="shared" si="10"/>
        <v>90205.079999999885</v>
      </c>
    </row>
    <row r="685" spans="2:10" ht="19.5" x14ac:dyDescent="0.25">
      <c r="B685" s="148"/>
      <c r="C685" s="148" t="s">
        <v>16349</v>
      </c>
      <c r="D685" s="150">
        <v>44043</v>
      </c>
      <c r="E685" s="113" t="s">
        <v>21303</v>
      </c>
      <c r="F685" s="257" t="s">
        <v>14433</v>
      </c>
      <c r="G685" s="152"/>
      <c r="H685" s="161">
        <v>321.43</v>
      </c>
      <c r="I685" s="160">
        <f t="shared" si="10"/>
        <v>89883.649999999892</v>
      </c>
    </row>
    <row r="686" spans="2:10" ht="19.5" x14ac:dyDescent="0.25">
      <c r="B686" s="148"/>
      <c r="C686" s="148" t="s">
        <v>19401</v>
      </c>
      <c r="D686" s="150">
        <v>44043</v>
      </c>
      <c r="E686" s="113" t="s">
        <v>21302</v>
      </c>
      <c r="F686" s="257" t="s">
        <v>14433</v>
      </c>
      <c r="G686" s="152"/>
      <c r="H686" s="161">
        <v>160.71</v>
      </c>
      <c r="I686" s="160">
        <f t="shared" si="10"/>
        <v>89722.939999999886</v>
      </c>
    </row>
    <row r="687" spans="2:10" ht="19.5" x14ac:dyDescent="0.25">
      <c r="B687" s="148"/>
      <c r="C687" s="148" t="s">
        <v>18292</v>
      </c>
      <c r="D687" s="150">
        <v>44043</v>
      </c>
      <c r="E687" s="113" t="s">
        <v>21301</v>
      </c>
      <c r="F687" s="257" t="s">
        <v>14433</v>
      </c>
      <c r="G687" s="152"/>
      <c r="H687" s="161">
        <v>1607.47</v>
      </c>
      <c r="I687" s="160">
        <f t="shared" si="10"/>
        <v>88115.469999999885</v>
      </c>
    </row>
    <row r="688" spans="2:10" ht="19.5" x14ac:dyDescent="0.25">
      <c r="B688" s="148"/>
      <c r="C688" s="148" t="s">
        <v>18947</v>
      </c>
      <c r="D688" s="150">
        <v>44043</v>
      </c>
      <c r="E688" s="113" t="s">
        <v>21300</v>
      </c>
      <c r="F688" s="257" t="s">
        <v>14433</v>
      </c>
      <c r="G688" s="152"/>
      <c r="H688" s="161">
        <v>3073.68</v>
      </c>
      <c r="I688" s="160">
        <f t="shared" si="10"/>
        <v>85041.789999999892</v>
      </c>
    </row>
    <row r="689" spans="2:9" ht="15.75" x14ac:dyDescent="0.25">
      <c r="B689" s="109"/>
      <c r="C689" s="109" t="s">
        <v>323</v>
      </c>
      <c r="D689" s="151">
        <v>68627.58</v>
      </c>
      <c r="E689" s="313"/>
      <c r="F689" s="318"/>
      <c r="G689" s="152"/>
      <c r="H689" s="153" t="s">
        <v>320</v>
      </c>
      <c r="I689" s="162">
        <f>+I688</f>
        <v>85041.789999999892</v>
      </c>
    </row>
    <row r="692" spans="2:9" x14ac:dyDescent="0.2">
      <c r="E692" s="114" t="s">
        <v>319</v>
      </c>
      <c r="I692" s="273" t="s">
        <v>318</v>
      </c>
    </row>
  </sheetData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33C26-F2DE-43F1-81A6-CA3DEAEA9776}">
  <sheetPr>
    <pageSetUpPr fitToPage="1"/>
  </sheetPr>
  <dimension ref="A1:G220"/>
  <sheetViews>
    <sheetView topLeftCell="A92" workbookViewId="0">
      <selection activeCell="H106" sqref="H106"/>
    </sheetView>
  </sheetViews>
  <sheetFormatPr baseColWidth="10" defaultColWidth="11.5703125" defaultRowHeight="15.75" x14ac:dyDescent="0.25"/>
  <cols>
    <col min="1" max="1" width="11.5703125" style="137"/>
    <col min="2" max="2" width="45.42578125" style="215" customWidth="1"/>
    <col min="3" max="3" width="9.42578125" style="142" customWidth="1"/>
    <col min="4" max="4" width="13.7109375" style="137" bestFit="1" customWidth="1"/>
    <col min="5" max="5" width="18.42578125" style="137" customWidth="1"/>
    <col min="6" max="6" width="10.42578125" style="137" bestFit="1" customWidth="1"/>
    <col min="7" max="7" width="10.7109375" style="137" customWidth="1"/>
    <col min="8" max="16384" width="11.5703125" style="137"/>
  </cols>
  <sheetData>
    <row r="1" spans="1:6" x14ac:dyDescent="0.25">
      <c r="A1" s="384" t="s">
        <v>14424</v>
      </c>
      <c r="B1" s="384"/>
      <c r="C1" s="384"/>
      <c r="D1" s="384"/>
      <c r="E1" s="384"/>
      <c r="F1" s="384"/>
    </row>
    <row r="2" spans="1:6" x14ac:dyDescent="0.25">
      <c r="A2" s="123" t="s">
        <v>2772</v>
      </c>
      <c r="B2" s="206" t="s">
        <v>2773</v>
      </c>
      <c r="C2" s="208" t="s">
        <v>11</v>
      </c>
      <c r="D2" s="123" t="s">
        <v>2774</v>
      </c>
      <c r="E2" s="123" t="s">
        <v>7</v>
      </c>
      <c r="F2" s="123" t="s">
        <v>2775</v>
      </c>
    </row>
    <row r="3" spans="1:6" x14ac:dyDescent="0.25">
      <c r="A3" s="203" t="str">
        <f>"3900412"</f>
        <v>3900412</v>
      </c>
      <c r="B3" s="207" t="s">
        <v>5761</v>
      </c>
      <c r="C3" s="209">
        <v>8.94</v>
      </c>
      <c r="D3" s="203">
        <v>332550</v>
      </c>
      <c r="E3" s="205">
        <v>44013.373784722222</v>
      </c>
      <c r="F3" s="123">
        <v>7874</v>
      </c>
    </row>
    <row r="4" spans="1:6" x14ac:dyDescent="0.25">
      <c r="A4" s="203" t="str">
        <f>"3902757"</f>
        <v>3902757</v>
      </c>
      <c r="B4" s="207" t="s">
        <v>5888</v>
      </c>
      <c r="C4" s="209">
        <v>4.3</v>
      </c>
      <c r="D4" s="203">
        <v>332852</v>
      </c>
      <c r="E4" s="205">
        <v>44013.440254629626</v>
      </c>
      <c r="F4" s="123">
        <v>7875</v>
      </c>
    </row>
    <row r="5" spans="1:6" x14ac:dyDescent="0.25">
      <c r="A5" s="203" t="str">
        <f>"3960357"</f>
        <v>3960357</v>
      </c>
      <c r="B5" s="207" t="s">
        <v>5729</v>
      </c>
      <c r="C5" s="209">
        <v>24.82</v>
      </c>
      <c r="D5" s="203">
        <v>331121</v>
      </c>
      <c r="E5" s="205">
        <v>44013.488287037035</v>
      </c>
      <c r="F5" s="123">
        <v>7876</v>
      </c>
    </row>
    <row r="6" spans="1:6" x14ac:dyDescent="0.25">
      <c r="A6" s="203" t="str">
        <f>"3900383"</f>
        <v>3900383</v>
      </c>
      <c r="B6" s="207" t="s">
        <v>2974</v>
      </c>
      <c r="C6" s="209">
        <v>2.74</v>
      </c>
      <c r="D6" s="203">
        <v>332538</v>
      </c>
      <c r="E6" s="205">
        <v>44013.536574074074</v>
      </c>
      <c r="F6" s="123">
        <v>7877</v>
      </c>
    </row>
    <row r="7" spans="1:6" x14ac:dyDescent="0.25">
      <c r="A7" s="203" t="str">
        <f>"3903064"</f>
        <v>3903064</v>
      </c>
      <c r="B7" s="207" t="s">
        <v>5760</v>
      </c>
      <c r="C7" s="209">
        <v>4.76</v>
      </c>
      <c r="D7" s="203">
        <v>331310</v>
      </c>
      <c r="E7" s="205">
        <v>44013.689305555556</v>
      </c>
      <c r="F7" s="123">
        <v>7878</v>
      </c>
    </row>
    <row r="8" spans="1:6" x14ac:dyDescent="0.25">
      <c r="A8" s="203" t="str">
        <f>"3900343"</f>
        <v>3900343</v>
      </c>
      <c r="B8" s="207" t="s">
        <v>5804</v>
      </c>
      <c r="C8" s="209">
        <v>31.76</v>
      </c>
      <c r="D8" s="203">
        <v>330809</v>
      </c>
      <c r="E8" s="205">
        <v>44013.871458333335</v>
      </c>
      <c r="F8" s="123">
        <v>7879</v>
      </c>
    </row>
    <row r="9" spans="1:6" s="164" customFormat="1" x14ac:dyDescent="0.25">
      <c r="A9" s="115"/>
      <c r="B9" s="115" t="s">
        <v>5691</v>
      </c>
      <c r="C9" s="222">
        <f>SUM(C3:C8)</f>
        <v>77.320000000000007</v>
      </c>
      <c r="D9" s="115">
        <v>1</v>
      </c>
      <c r="E9" s="163"/>
      <c r="F9" s="115"/>
    </row>
    <row r="10" spans="1:6" customFormat="1" x14ac:dyDescent="0.25">
      <c r="A10" s="118"/>
      <c r="B10" s="116"/>
      <c r="C10" s="223"/>
      <c r="D10" s="118"/>
      <c r="E10" s="117"/>
      <c r="F10" s="118"/>
    </row>
    <row r="11" spans="1:6" x14ac:dyDescent="0.25">
      <c r="A11" s="203" t="str">
        <f>"3909981"</f>
        <v>3909981</v>
      </c>
      <c r="B11" s="207" t="s">
        <v>2845</v>
      </c>
      <c r="C11" s="209">
        <v>2.08</v>
      </c>
      <c r="D11" s="203">
        <v>331478</v>
      </c>
      <c r="E11" s="205">
        <v>44014.744687500002</v>
      </c>
      <c r="F11" s="123">
        <v>7997</v>
      </c>
    </row>
    <row r="12" spans="1:6" x14ac:dyDescent="0.25">
      <c r="A12" s="203" t="str">
        <f>"3960232"</f>
        <v>3960232</v>
      </c>
      <c r="B12" s="207" t="s">
        <v>2859</v>
      </c>
      <c r="C12" s="209">
        <v>12.3</v>
      </c>
      <c r="D12" s="203">
        <v>331050</v>
      </c>
      <c r="E12" s="205">
        <v>44014.744687500002</v>
      </c>
      <c r="F12" s="123">
        <v>7998</v>
      </c>
    </row>
    <row r="13" spans="1:6" x14ac:dyDescent="0.25">
      <c r="A13" s="203" t="str">
        <f>"3900389"</f>
        <v>3900389</v>
      </c>
      <c r="B13" s="207" t="s">
        <v>2844</v>
      </c>
      <c r="C13" s="209">
        <v>3.49</v>
      </c>
      <c r="D13" s="203">
        <v>332540</v>
      </c>
      <c r="E13" s="205">
        <v>44014.744687500002</v>
      </c>
      <c r="F13" s="123">
        <v>7999</v>
      </c>
    </row>
    <row r="14" spans="1:6" x14ac:dyDescent="0.25">
      <c r="A14" s="203" t="str">
        <f>"3945262"</f>
        <v>3945262</v>
      </c>
      <c r="B14" s="207" t="s">
        <v>2857</v>
      </c>
      <c r="C14" s="209">
        <v>3.36</v>
      </c>
      <c r="D14" s="203">
        <v>331203</v>
      </c>
      <c r="E14" s="205">
        <v>44014.744687500002</v>
      </c>
      <c r="F14" s="123">
        <v>8000</v>
      </c>
    </row>
    <row r="15" spans="1:6" x14ac:dyDescent="0.25">
      <c r="A15" s="203" t="str">
        <f>"3960256"</f>
        <v>3960256</v>
      </c>
      <c r="B15" s="207" t="s">
        <v>2843</v>
      </c>
      <c r="C15" s="209">
        <v>17.899999999999999</v>
      </c>
      <c r="D15" s="203">
        <v>330976</v>
      </c>
      <c r="E15" s="205">
        <v>44014.744687500002</v>
      </c>
      <c r="F15" s="123">
        <v>8001</v>
      </c>
    </row>
    <row r="16" spans="1:6" x14ac:dyDescent="0.25">
      <c r="A16" s="203" t="str">
        <f>"3940013"</f>
        <v>3940013</v>
      </c>
      <c r="B16" s="207" t="s">
        <v>2854</v>
      </c>
      <c r="C16" s="209">
        <v>8.3800000000000008</v>
      </c>
      <c r="D16" s="203">
        <v>330959</v>
      </c>
      <c r="E16" s="205">
        <v>44014.744687500002</v>
      </c>
      <c r="F16" s="123">
        <v>8002</v>
      </c>
    </row>
    <row r="17" spans="1:6" x14ac:dyDescent="0.25">
      <c r="A17" s="203" t="str">
        <f>"3950041"</f>
        <v>3950041</v>
      </c>
      <c r="B17" s="207" t="s">
        <v>2850</v>
      </c>
      <c r="C17" s="209">
        <v>4.1900000000000004</v>
      </c>
      <c r="D17" s="203">
        <v>330979</v>
      </c>
      <c r="E17" s="205">
        <v>44014.744687500002</v>
      </c>
      <c r="F17" s="123">
        <v>8003</v>
      </c>
    </row>
    <row r="18" spans="1:6" x14ac:dyDescent="0.25">
      <c r="A18" s="203" t="str">
        <f>"3901113"</f>
        <v>3901113</v>
      </c>
      <c r="B18" s="207" t="s">
        <v>2856</v>
      </c>
      <c r="C18" s="209">
        <v>3.16</v>
      </c>
      <c r="D18" s="203">
        <v>331758</v>
      </c>
      <c r="E18" s="205">
        <v>44014.744687500002</v>
      </c>
      <c r="F18" s="123">
        <v>8004</v>
      </c>
    </row>
    <row r="19" spans="1:6" x14ac:dyDescent="0.25">
      <c r="A19" s="203" t="str">
        <f>"3900676"</f>
        <v>3900676</v>
      </c>
      <c r="B19" s="207" t="s">
        <v>5795</v>
      </c>
      <c r="C19" s="209">
        <v>1.68</v>
      </c>
      <c r="D19" s="203">
        <v>333127</v>
      </c>
      <c r="E19" s="205">
        <v>44014.744687500002</v>
      </c>
      <c r="F19" s="123">
        <v>8005</v>
      </c>
    </row>
    <row r="20" spans="1:6" x14ac:dyDescent="0.25">
      <c r="A20" s="203" t="str">
        <f>"3909223"</f>
        <v>3909223</v>
      </c>
      <c r="B20" s="207" t="s">
        <v>2846</v>
      </c>
      <c r="C20" s="209">
        <v>1.68</v>
      </c>
      <c r="D20" s="203">
        <v>332344</v>
      </c>
      <c r="E20" s="205">
        <v>44014.744687500002</v>
      </c>
      <c r="F20" s="123">
        <v>8006</v>
      </c>
    </row>
    <row r="21" spans="1:6" x14ac:dyDescent="0.25">
      <c r="A21" s="203" t="str">
        <f>"3903282"</f>
        <v>3903282</v>
      </c>
      <c r="B21" s="207" t="s">
        <v>2847</v>
      </c>
      <c r="C21" s="209">
        <v>1.79</v>
      </c>
      <c r="D21" s="203">
        <v>332885</v>
      </c>
      <c r="E21" s="205">
        <v>44014.744687500002</v>
      </c>
      <c r="F21" s="123">
        <v>8007</v>
      </c>
    </row>
    <row r="22" spans="1:6" x14ac:dyDescent="0.25">
      <c r="A22" s="203" t="str">
        <f>"3950328"</f>
        <v>3950328</v>
      </c>
      <c r="B22" s="207" t="s">
        <v>2848</v>
      </c>
      <c r="C22" s="209">
        <v>8.3800000000000008</v>
      </c>
      <c r="D22" s="203">
        <v>331132</v>
      </c>
      <c r="E22" s="205">
        <v>44014.744687500002</v>
      </c>
      <c r="F22" s="123">
        <v>8008</v>
      </c>
    </row>
    <row r="23" spans="1:6" x14ac:dyDescent="0.25">
      <c r="A23" s="203" t="str">
        <f>"3900963"</f>
        <v>3900963</v>
      </c>
      <c r="B23" s="207" t="s">
        <v>5796</v>
      </c>
      <c r="C23" s="209">
        <v>3.48</v>
      </c>
      <c r="D23" s="203">
        <v>331563</v>
      </c>
      <c r="E23" s="205">
        <v>44014.744687500002</v>
      </c>
      <c r="F23" s="123">
        <v>8009</v>
      </c>
    </row>
    <row r="24" spans="1:6" x14ac:dyDescent="0.25">
      <c r="A24" s="203" t="str">
        <f>"3903098"</f>
        <v>3903098</v>
      </c>
      <c r="B24" s="207" t="s">
        <v>2849</v>
      </c>
      <c r="C24" s="209">
        <v>3.47</v>
      </c>
      <c r="D24" s="203">
        <v>331319</v>
      </c>
      <c r="E24" s="205">
        <v>44014.744687500002</v>
      </c>
      <c r="F24" s="123">
        <v>8010</v>
      </c>
    </row>
    <row r="25" spans="1:6" x14ac:dyDescent="0.25">
      <c r="A25" s="203" t="str">
        <f>"3906324"</f>
        <v>3906324</v>
      </c>
      <c r="B25" s="207" t="s">
        <v>2855</v>
      </c>
      <c r="C25" s="209">
        <v>4.1900000000000004</v>
      </c>
      <c r="D25" s="203">
        <v>331224</v>
      </c>
      <c r="E25" s="205">
        <v>44014.744687500002</v>
      </c>
      <c r="F25" s="123">
        <v>8011</v>
      </c>
    </row>
    <row r="26" spans="1:6" x14ac:dyDescent="0.25">
      <c r="A26" s="203" t="str">
        <f>"3920281"</f>
        <v>3920281</v>
      </c>
      <c r="B26" s="207" t="s">
        <v>2851</v>
      </c>
      <c r="C26" s="209">
        <v>7.82</v>
      </c>
      <c r="D26" s="203">
        <v>330955</v>
      </c>
      <c r="E26" s="205">
        <v>44014.744687500002</v>
      </c>
      <c r="F26" s="123">
        <v>8012</v>
      </c>
    </row>
    <row r="27" spans="1:6" x14ac:dyDescent="0.25">
      <c r="A27" s="203" t="str">
        <f>"3908927"</f>
        <v>3908927</v>
      </c>
      <c r="B27" s="207" t="s">
        <v>2852</v>
      </c>
      <c r="C27" s="209">
        <v>2.35</v>
      </c>
      <c r="D27" s="203">
        <v>331731</v>
      </c>
      <c r="E27" s="205">
        <v>44014.744687500002</v>
      </c>
      <c r="F27" s="123">
        <v>8013</v>
      </c>
    </row>
    <row r="28" spans="1:6" x14ac:dyDescent="0.25">
      <c r="A28" s="203" t="str">
        <f>"3945272"</f>
        <v>3945272</v>
      </c>
      <c r="B28" s="207" t="s">
        <v>2853</v>
      </c>
      <c r="C28" s="209">
        <v>4.1900000000000004</v>
      </c>
      <c r="D28" s="203">
        <v>331200</v>
      </c>
      <c r="E28" s="205">
        <v>44014.744687500002</v>
      </c>
      <c r="F28" s="123">
        <v>8014</v>
      </c>
    </row>
    <row r="29" spans="1:6" x14ac:dyDescent="0.25">
      <c r="A29" s="203" t="str">
        <f>"3902750"</f>
        <v>3902750</v>
      </c>
      <c r="B29" s="207" t="s">
        <v>2824</v>
      </c>
      <c r="C29" s="209">
        <v>8.3800000000000008</v>
      </c>
      <c r="D29" s="203">
        <v>331186</v>
      </c>
      <c r="E29" s="205">
        <v>44014.744687500002</v>
      </c>
      <c r="F29" s="123">
        <v>8015</v>
      </c>
    </row>
    <row r="30" spans="1:6" x14ac:dyDescent="0.25">
      <c r="A30" s="203" t="str">
        <f>"3960364"</f>
        <v>3960364</v>
      </c>
      <c r="B30" s="207" t="s">
        <v>2839</v>
      </c>
      <c r="C30" s="209">
        <v>8.61</v>
      </c>
      <c r="D30" s="203">
        <v>331064</v>
      </c>
      <c r="E30" s="205">
        <v>44014.744687500002</v>
      </c>
      <c r="F30" s="123">
        <v>8016</v>
      </c>
    </row>
    <row r="31" spans="1:6" x14ac:dyDescent="0.25">
      <c r="A31" s="203" t="str">
        <f>"3907239"</f>
        <v>3907239</v>
      </c>
      <c r="B31" s="207" t="s">
        <v>2836</v>
      </c>
      <c r="C31" s="209">
        <v>8.5</v>
      </c>
      <c r="D31" s="203">
        <v>331296</v>
      </c>
      <c r="E31" s="205">
        <v>44014.744687500002</v>
      </c>
      <c r="F31" s="123">
        <v>8017</v>
      </c>
    </row>
    <row r="32" spans="1:6" x14ac:dyDescent="0.25">
      <c r="A32" s="203" t="str">
        <f>"3960212"</f>
        <v>3960212</v>
      </c>
      <c r="B32" s="207" t="s">
        <v>2837</v>
      </c>
      <c r="C32" s="209">
        <v>9.0500000000000007</v>
      </c>
      <c r="D32" s="203">
        <v>331007</v>
      </c>
      <c r="E32" s="205">
        <v>44014.744687500002</v>
      </c>
      <c r="F32" s="123">
        <v>8018</v>
      </c>
    </row>
    <row r="33" spans="1:7" x14ac:dyDescent="0.25">
      <c r="A33" s="203" t="str">
        <f>"3901398"</f>
        <v>3901398</v>
      </c>
      <c r="B33" s="207" t="s">
        <v>2829</v>
      </c>
      <c r="C33" s="209">
        <v>3.75</v>
      </c>
      <c r="D33" s="203">
        <v>332686</v>
      </c>
      <c r="E33" s="205">
        <v>44014.744687500002</v>
      </c>
      <c r="F33" s="123">
        <v>8019</v>
      </c>
    </row>
    <row r="34" spans="1:7" x14ac:dyDescent="0.25">
      <c r="A34" s="203" t="str">
        <f>"3903061"</f>
        <v>3903061</v>
      </c>
      <c r="B34" s="207" t="s">
        <v>2832</v>
      </c>
      <c r="C34" s="209">
        <v>6.94</v>
      </c>
      <c r="D34" s="203">
        <v>331309</v>
      </c>
      <c r="E34" s="205">
        <v>44014.744687500002</v>
      </c>
      <c r="F34" s="123">
        <v>8020</v>
      </c>
    </row>
    <row r="35" spans="1:7" x14ac:dyDescent="0.25">
      <c r="A35" s="203" t="str">
        <f>"3903467"</f>
        <v>3903467</v>
      </c>
      <c r="B35" s="207" t="s">
        <v>2823</v>
      </c>
      <c r="C35" s="209">
        <v>2.2999999999999998</v>
      </c>
      <c r="D35" s="203">
        <v>331639</v>
      </c>
      <c r="E35" s="205">
        <v>44014.744687500002</v>
      </c>
      <c r="F35" s="123">
        <v>8021</v>
      </c>
      <c r="G35" s="216"/>
    </row>
    <row r="36" spans="1:7" x14ac:dyDescent="0.25">
      <c r="A36" s="203" t="str">
        <f>"3903364"</f>
        <v>3903364</v>
      </c>
      <c r="B36" s="207" t="s">
        <v>2825</v>
      </c>
      <c r="C36" s="209">
        <v>6.9</v>
      </c>
      <c r="D36" s="203">
        <v>331691</v>
      </c>
      <c r="E36" s="205">
        <v>44014.744687500002</v>
      </c>
      <c r="F36" s="123">
        <v>8022</v>
      </c>
    </row>
    <row r="37" spans="1:7" x14ac:dyDescent="0.25">
      <c r="A37" s="203" t="str">
        <f>"3960315"</f>
        <v>3960315</v>
      </c>
      <c r="B37" s="207" t="s">
        <v>2826</v>
      </c>
      <c r="C37" s="209">
        <v>4.1900000000000004</v>
      </c>
      <c r="D37" s="203">
        <v>331128</v>
      </c>
      <c r="E37" s="205">
        <v>44014.744687500002</v>
      </c>
      <c r="F37" s="123">
        <v>8023</v>
      </c>
    </row>
    <row r="38" spans="1:7" x14ac:dyDescent="0.25">
      <c r="A38" s="203" t="str">
        <f>"3900349"</f>
        <v>3900349</v>
      </c>
      <c r="B38" s="207" t="s">
        <v>2827</v>
      </c>
      <c r="C38" s="209">
        <v>4.1100000000000003</v>
      </c>
      <c r="D38" s="203">
        <v>332522</v>
      </c>
      <c r="E38" s="205">
        <v>44014.744687500002</v>
      </c>
      <c r="F38" s="123">
        <v>8024</v>
      </c>
    </row>
    <row r="39" spans="1:7" x14ac:dyDescent="0.25">
      <c r="A39" s="203" t="str">
        <f>"3909936"</f>
        <v>3909936</v>
      </c>
      <c r="B39" s="207" t="s">
        <v>2820</v>
      </c>
      <c r="C39" s="209">
        <v>3.29</v>
      </c>
      <c r="D39" s="203">
        <v>331552</v>
      </c>
      <c r="E39" s="205">
        <v>44014.744687500002</v>
      </c>
      <c r="F39" s="123">
        <v>8025</v>
      </c>
    </row>
    <row r="40" spans="1:7" x14ac:dyDescent="0.25">
      <c r="A40" s="203" t="str">
        <f>"3903127"</f>
        <v>3903127</v>
      </c>
      <c r="B40" s="207" t="s">
        <v>2840</v>
      </c>
      <c r="C40" s="209">
        <v>1.68</v>
      </c>
      <c r="D40" s="203">
        <v>331390</v>
      </c>
      <c r="E40" s="205">
        <v>44014.744687500002</v>
      </c>
      <c r="F40" s="123">
        <v>8026</v>
      </c>
    </row>
    <row r="41" spans="1:7" x14ac:dyDescent="0.25">
      <c r="A41" s="203" t="str">
        <f>"3945105"</f>
        <v>3945105</v>
      </c>
      <c r="B41" s="207" t="s">
        <v>5750</v>
      </c>
      <c r="C41" s="209">
        <v>8.3800000000000008</v>
      </c>
      <c r="D41" s="203">
        <v>331056</v>
      </c>
      <c r="E41" s="205">
        <v>44014.744687500002</v>
      </c>
      <c r="F41" s="123">
        <v>8027</v>
      </c>
    </row>
    <row r="42" spans="1:7" x14ac:dyDescent="0.25">
      <c r="A42" s="203" t="str">
        <f>"3945284"</f>
        <v>3945284</v>
      </c>
      <c r="B42" s="207" t="s">
        <v>2842</v>
      </c>
      <c r="C42" s="209">
        <v>15.79</v>
      </c>
      <c r="D42" s="203">
        <v>331202</v>
      </c>
      <c r="E42" s="205">
        <v>44014.744687500002</v>
      </c>
      <c r="F42" s="123">
        <v>8029</v>
      </c>
    </row>
    <row r="43" spans="1:7" x14ac:dyDescent="0.25">
      <c r="A43" s="203" t="str">
        <f>"3945102"</f>
        <v>3945102</v>
      </c>
      <c r="B43" s="207" t="s">
        <v>2835</v>
      </c>
      <c r="C43" s="209">
        <v>8.3800000000000008</v>
      </c>
      <c r="D43" s="203">
        <v>331049</v>
      </c>
      <c r="E43" s="205">
        <v>44014.744687500002</v>
      </c>
      <c r="F43" s="123">
        <v>8030</v>
      </c>
    </row>
    <row r="44" spans="1:7" x14ac:dyDescent="0.25">
      <c r="A44" s="203" t="str">
        <f>"3900568"</f>
        <v>3900568</v>
      </c>
      <c r="B44" s="207" t="s">
        <v>5849</v>
      </c>
      <c r="C44" s="209">
        <v>2.06</v>
      </c>
      <c r="D44" s="203">
        <v>332608</v>
      </c>
      <c r="E44" s="205">
        <v>44014.744687500002</v>
      </c>
      <c r="F44" s="123">
        <v>8031</v>
      </c>
    </row>
    <row r="45" spans="1:7" x14ac:dyDescent="0.25">
      <c r="A45" s="203" t="str">
        <f>"3902419"</f>
        <v>3902419</v>
      </c>
      <c r="B45" s="207" t="s">
        <v>2821</v>
      </c>
      <c r="C45" s="209">
        <v>6.64</v>
      </c>
      <c r="D45" s="203">
        <v>332272</v>
      </c>
      <c r="E45" s="205">
        <v>44014.744687500002</v>
      </c>
      <c r="F45" s="123">
        <v>8032</v>
      </c>
    </row>
    <row r="46" spans="1:7" x14ac:dyDescent="0.25">
      <c r="A46" s="203" t="str">
        <f>"3909039"</f>
        <v>3909039</v>
      </c>
      <c r="B46" s="207" t="s">
        <v>2833</v>
      </c>
      <c r="C46" s="209">
        <v>1.79</v>
      </c>
      <c r="D46" s="203">
        <v>332016</v>
      </c>
      <c r="E46" s="205">
        <v>44014.744687500002</v>
      </c>
      <c r="F46" s="123">
        <v>8033</v>
      </c>
    </row>
    <row r="47" spans="1:7" x14ac:dyDescent="0.25">
      <c r="A47" s="203" t="str">
        <f>"3906802"</f>
        <v>3906802</v>
      </c>
      <c r="B47" s="207" t="s">
        <v>2822</v>
      </c>
      <c r="C47" s="209">
        <v>2.2799999999999998</v>
      </c>
      <c r="D47" s="203">
        <v>332133</v>
      </c>
      <c r="E47" s="205">
        <v>44014.744687500002</v>
      </c>
      <c r="F47" s="123">
        <v>8034</v>
      </c>
    </row>
    <row r="48" spans="1:7" x14ac:dyDescent="0.25">
      <c r="A48" s="203" t="str">
        <f>"3945435"</f>
        <v>3945435</v>
      </c>
      <c r="B48" s="207" t="s">
        <v>2834</v>
      </c>
      <c r="C48" s="209">
        <v>8.3800000000000008</v>
      </c>
      <c r="D48" s="203">
        <v>331098</v>
      </c>
      <c r="E48" s="205">
        <v>44014.744687500002</v>
      </c>
      <c r="F48" s="123">
        <v>8035</v>
      </c>
    </row>
    <row r="49" spans="1:6" x14ac:dyDescent="0.25">
      <c r="A49" s="203" t="str">
        <f>"3960277"</f>
        <v>3960277</v>
      </c>
      <c r="B49" s="207" t="s">
        <v>2838</v>
      </c>
      <c r="C49" s="209">
        <v>7.82</v>
      </c>
      <c r="D49" s="203">
        <v>330993</v>
      </c>
      <c r="E49" s="205">
        <v>44014.744687500002</v>
      </c>
      <c r="F49" s="123">
        <v>8036</v>
      </c>
    </row>
    <row r="50" spans="1:6" x14ac:dyDescent="0.25">
      <c r="A50" s="203" t="str">
        <f>"3950033"</f>
        <v>3950033</v>
      </c>
      <c r="B50" s="207" t="s">
        <v>2828</v>
      </c>
      <c r="C50" s="209">
        <v>8.3800000000000008</v>
      </c>
      <c r="D50" s="203">
        <v>330980</v>
      </c>
      <c r="E50" s="205">
        <v>44014.744687500002</v>
      </c>
      <c r="F50" s="123">
        <v>8037</v>
      </c>
    </row>
    <row r="51" spans="1:6" x14ac:dyDescent="0.25">
      <c r="A51" s="203" t="str">
        <f>"3945221"</f>
        <v>3945221</v>
      </c>
      <c r="B51" s="207" t="s">
        <v>5751</v>
      </c>
      <c r="C51" s="209">
        <v>3.36</v>
      </c>
      <c r="D51" s="203">
        <v>331182</v>
      </c>
      <c r="E51" s="205">
        <v>44014.744687500002</v>
      </c>
      <c r="F51" s="123">
        <v>8038</v>
      </c>
    </row>
    <row r="52" spans="1:6" x14ac:dyDescent="0.25">
      <c r="A52" s="203" t="str">
        <f>"3909054"</f>
        <v>3909054</v>
      </c>
      <c r="B52" s="207" t="s">
        <v>2864</v>
      </c>
      <c r="C52" s="209">
        <v>2.21</v>
      </c>
      <c r="D52" s="203">
        <v>333577</v>
      </c>
      <c r="E52" s="205">
        <v>44014.744687500002</v>
      </c>
      <c r="F52" s="123">
        <v>8039</v>
      </c>
    </row>
    <row r="53" spans="1:6" x14ac:dyDescent="0.25">
      <c r="A53" s="203" t="str">
        <f>"3945038"</f>
        <v>3945038</v>
      </c>
      <c r="B53" s="207" t="s">
        <v>2867</v>
      </c>
      <c r="C53" s="209">
        <v>15.3</v>
      </c>
      <c r="D53" s="203">
        <v>333348</v>
      </c>
      <c r="E53" s="205">
        <v>44014.744687500002</v>
      </c>
      <c r="F53" s="123">
        <v>8040</v>
      </c>
    </row>
    <row r="54" spans="1:6" x14ac:dyDescent="0.25">
      <c r="A54" s="203" t="str">
        <f>"3901033"</f>
        <v>3901033</v>
      </c>
      <c r="B54" s="207" t="s">
        <v>2868</v>
      </c>
      <c r="C54" s="209">
        <v>30.6</v>
      </c>
      <c r="D54" s="203">
        <v>333354</v>
      </c>
      <c r="E54" s="205">
        <v>44014.744687500002</v>
      </c>
      <c r="F54" s="123">
        <v>8041</v>
      </c>
    </row>
    <row r="55" spans="1:6" x14ac:dyDescent="0.25">
      <c r="A55" s="203" t="str">
        <f>"3900340"</f>
        <v>3900340</v>
      </c>
      <c r="B55" s="207" t="s">
        <v>2865</v>
      </c>
      <c r="C55" s="209">
        <v>15.3</v>
      </c>
      <c r="D55" s="203">
        <v>333344</v>
      </c>
      <c r="E55" s="205">
        <v>44014.744687500002</v>
      </c>
      <c r="F55" s="123">
        <v>8042</v>
      </c>
    </row>
    <row r="56" spans="1:6" x14ac:dyDescent="0.25">
      <c r="A56" s="203" t="str">
        <f>"3900344"</f>
        <v>3900344</v>
      </c>
      <c r="B56" s="207" t="s">
        <v>2865</v>
      </c>
      <c r="C56" s="209">
        <v>15.3</v>
      </c>
      <c r="D56" s="203">
        <v>333345</v>
      </c>
      <c r="E56" s="205">
        <v>44014.744687500002</v>
      </c>
      <c r="F56" s="123">
        <v>8043</v>
      </c>
    </row>
    <row r="57" spans="1:6" x14ac:dyDescent="0.25">
      <c r="A57" s="203" t="str">
        <f>"3900657"</f>
        <v>3900657</v>
      </c>
      <c r="B57" s="207" t="s">
        <v>2865</v>
      </c>
      <c r="C57" s="209">
        <v>15.3</v>
      </c>
      <c r="D57" s="203">
        <v>333343</v>
      </c>
      <c r="E57" s="205">
        <v>44014.744687500002</v>
      </c>
      <c r="F57" s="123">
        <v>8044</v>
      </c>
    </row>
    <row r="58" spans="1:6" x14ac:dyDescent="0.25">
      <c r="A58" s="203" t="str">
        <f>"3906796"</f>
        <v>3906796</v>
      </c>
      <c r="B58" s="207" t="s">
        <v>2861</v>
      </c>
      <c r="C58" s="209">
        <v>4.8</v>
      </c>
      <c r="D58" s="203">
        <v>333591</v>
      </c>
      <c r="E58" s="205">
        <v>44014.744687500002</v>
      </c>
      <c r="F58" s="123">
        <v>8045</v>
      </c>
    </row>
    <row r="59" spans="1:6" x14ac:dyDescent="0.25">
      <c r="A59" s="203" t="str">
        <f>"3908716"</f>
        <v>3908716</v>
      </c>
      <c r="B59" s="207" t="s">
        <v>2862</v>
      </c>
      <c r="C59" s="209">
        <v>1.97</v>
      </c>
      <c r="D59" s="203">
        <v>333462</v>
      </c>
      <c r="E59" s="205">
        <v>44014.744687500002</v>
      </c>
      <c r="F59" s="123">
        <v>8046</v>
      </c>
    </row>
    <row r="60" spans="1:6" x14ac:dyDescent="0.25">
      <c r="A60" s="203" t="str">
        <f>"3907922"</f>
        <v>3907922</v>
      </c>
      <c r="B60" s="207" t="s">
        <v>2860</v>
      </c>
      <c r="C60" s="209">
        <v>1.68</v>
      </c>
      <c r="D60" s="203">
        <v>333573</v>
      </c>
      <c r="E60" s="205">
        <v>44014.744687500002</v>
      </c>
      <c r="F60" s="123">
        <v>8047</v>
      </c>
    </row>
    <row r="61" spans="1:6" x14ac:dyDescent="0.25">
      <c r="A61" s="203" t="str">
        <f>"3908672"</f>
        <v>3908672</v>
      </c>
      <c r="B61" s="207" t="s">
        <v>2863</v>
      </c>
      <c r="C61" s="209">
        <v>2.04</v>
      </c>
      <c r="D61" s="203">
        <v>333453</v>
      </c>
      <c r="E61" s="205">
        <v>44014.744687500002</v>
      </c>
      <c r="F61" s="123">
        <v>8048</v>
      </c>
    </row>
    <row r="62" spans="1:6" x14ac:dyDescent="0.25">
      <c r="A62" s="203" t="str">
        <f>"3901995"</f>
        <v>3901995</v>
      </c>
      <c r="B62" s="207" t="s">
        <v>5817</v>
      </c>
      <c r="C62" s="209">
        <v>4.0199999999999996</v>
      </c>
      <c r="D62" s="203">
        <v>332435</v>
      </c>
      <c r="E62" s="205">
        <v>44014.593946759262</v>
      </c>
      <c r="F62" s="123">
        <v>8049</v>
      </c>
    </row>
    <row r="63" spans="1:6" x14ac:dyDescent="0.25">
      <c r="A63" s="203" t="str">
        <f>"3900593"</f>
        <v>3900593</v>
      </c>
      <c r="B63" s="207" t="s">
        <v>2797</v>
      </c>
      <c r="C63" s="209">
        <v>1.68</v>
      </c>
      <c r="D63" s="203">
        <v>332620</v>
      </c>
      <c r="E63" s="205">
        <v>44014.756655092591</v>
      </c>
      <c r="F63" s="123">
        <v>8050</v>
      </c>
    </row>
    <row r="64" spans="1:6" s="164" customFormat="1" x14ac:dyDescent="0.25">
      <c r="A64" s="115"/>
      <c r="B64" s="115" t="s">
        <v>5691</v>
      </c>
      <c r="C64" s="222">
        <f>SUM(C11:C63)</f>
        <v>345.05000000000007</v>
      </c>
      <c r="D64" s="115">
        <v>2</v>
      </c>
      <c r="E64" s="163"/>
      <c r="F64" s="115"/>
    </row>
    <row r="65" spans="1:6" customFormat="1" x14ac:dyDescent="0.25">
      <c r="A65" s="118"/>
      <c r="B65" s="116"/>
      <c r="C65" s="223"/>
      <c r="D65" s="118"/>
      <c r="E65" s="117"/>
      <c r="F65" s="118"/>
    </row>
    <row r="66" spans="1:6" x14ac:dyDescent="0.25">
      <c r="A66" s="203" t="str">
        <f>"3960264"</f>
        <v>3960264</v>
      </c>
      <c r="B66" s="207" t="s">
        <v>2858</v>
      </c>
      <c r="C66" s="209">
        <v>146.38999999999999</v>
      </c>
      <c r="D66" s="203">
        <v>330965</v>
      </c>
      <c r="E66" s="205">
        <v>44015.739444444444</v>
      </c>
      <c r="F66" s="123">
        <v>8155</v>
      </c>
    </row>
    <row r="67" spans="1:6" x14ac:dyDescent="0.25">
      <c r="A67" s="203" t="str">
        <f>"3900576"</f>
        <v>3900576</v>
      </c>
      <c r="B67" s="207" t="s">
        <v>2995</v>
      </c>
      <c r="C67" s="209">
        <v>1.7</v>
      </c>
      <c r="D67" s="203">
        <v>332610</v>
      </c>
      <c r="E67" s="205">
        <v>44015.366932870369</v>
      </c>
      <c r="F67" s="123">
        <v>8156</v>
      </c>
    </row>
    <row r="68" spans="1:6" x14ac:dyDescent="0.25">
      <c r="A68" s="203" t="str">
        <f>"3945113"</f>
        <v>3945113</v>
      </c>
      <c r="B68" s="207" t="s">
        <v>2790</v>
      </c>
      <c r="C68" s="209">
        <v>8.3800000000000008</v>
      </c>
      <c r="D68" s="203">
        <v>331067</v>
      </c>
      <c r="E68" s="205">
        <v>44015.466574074075</v>
      </c>
      <c r="F68" s="123">
        <v>8157</v>
      </c>
    </row>
    <row r="69" spans="1:6" x14ac:dyDescent="0.25">
      <c r="A69" s="203" t="str">
        <f>"3909086"</f>
        <v>3909086</v>
      </c>
      <c r="B69" s="207" t="s">
        <v>2962</v>
      </c>
      <c r="C69" s="209">
        <v>2.4300000000000002</v>
      </c>
      <c r="D69" s="203">
        <v>332027</v>
      </c>
      <c r="E69" s="205">
        <v>44015.500555555554</v>
      </c>
      <c r="F69" s="123">
        <v>8158</v>
      </c>
    </row>
    <row r="70" spans="1:6" x14ac:dyDescent="0.25">
      <c r="A70" s="203" t="str">
        <f>"3900244"</f>
        <v>3900244</v>
      </c>
      <c r="B70" s="207" t="s">
        <v>2926</v>
      </c>
      <c r="C70" s="209">
        <v>6.71</v>
      </c>
      <c r="D70" s="203">
        <v>333692</v>
      </c>
      <c r="E70" s="205">
        <v>44015.567337962966</v>
      </c>
      <c r="F70" s="123">
        <v>8159</v>
      </c>
    </row>
    <row r="71" spans="1:6" x14ac:dyDescent="0.25">
      <c r="A71" s="203" t="str">
        <f>"3960257"</f>
        <v>3960257</v>
      </c>
      <c r="B71" s="207" t="s">
        <v>2880</v>
      </c>
      <c r="C71" s="209">
        <v>15.3</v>
      </c>
      <c r="D71" s="203">
        <v>333340</v>
      </c>
      <c r="E71" s="205">
        <v>44015.568368055552</v>
      </c>
      <c r="F71" s="123">
        <v>8160</v>
      </c>
    </row>
    <row r="72" spans="1:6" x14ac:dyDescent="0.25">
      <c r="A72" s="203" t="str">
        <f>"3960275"</f>
        <v>3960275</v>
      </c>
      <c r="B72" s="207" t="s">
        <v>2880</v>
      </c>
      <c r="C72" s="209">
        <v>20.12</v>
      </c>
      <c r="D72" s="203">
        <v>333347</v>
      </c>
      <c r="E72" s="205">
        <v>44015.570497685185</v>
      </c>
      <c r="F72" s="123">
        <v>8161</v>
      </c>
    </row>
    <row r="73" spans="1:6" x14ac:dyDescent="0.25">
      <c r="A73" s="203" t="str">
        <f>"3903204"</f>
        <v>3903204</v>
      </c>
      <c r="B73" s="207" t="s">
        <v>5787</v>
      </c>
      <c r="C73" s="209">
        <v>5.78</v>
      </c>
      <c r="D73" s="203">
        <v>331481</v>
      </c>
      <c r="E73" s="205">
        <v>44015.571435185186</v>
      </c>
      <c r="F73" s="123">
        <v>8162</v>
      </c>
    </row>
    <row r="74" spans="1:6" x14ac:dyDescent="0.25">
      <c r="A74" s="203" t="str">
        <f>"3900258"</f>
        <v>3900258</v>
      </c>
      <c r="B74" s="207" t="s">
        <v>5781</v>
      </c>
      <c r="C74" s="209">
        <v>5.63</v>
      </c>
      <c r="D74" s="203">
        <v>332492</v>
      </c>
      <c r="E74" s="205">
        <v>44015.781354166669</v>
      </c>
      <c r="F74" s="123">
        <v>8163</v>
      </c>
    </row>
    <row r="75" spans="1:6" x14ac:dyDescent="0.25">
      <c r="A75" s="203" t="str">
        <f>"3909154"</f>
        <v>3909154</v>
      </c>
      <c r="B75" s="207" t="s">
        <v>5832</v>
      </c>
      <c r="C75" s="209">
        <v>10.15</v>
      </c>
      <c r="D75" s="203">
        <v>332174</v>
      </c>
      <c r="E75" s="205">
        <v>44015.813981481479</v>
      </c>
      <c r="F75" s="123">
        <v>8164</v>
      </c>
    </row>
    <row r="76" spans="1:6" s="164" customFormat="1" x14ac:dyDescent="0.25">
      <c r="A76" s="115"/>
      <c r="B76" s="115" t="s">
        <v>5691</v>
      </c>
      <c r="C76" s="222">
        <f>SUM(C66:C75)</f>
        <v>222.59</v>
      </c>
      <c r="D76" s="115">
        <v>3</v>
      </c>
      <c r="E76" s="163"/>
      <c r="F76" s="115"/>
    </row>
    <row r="77" spans="1:6" customFormat="1" x14ac:dyDescent="0.25">
      <c r="A77" s="118"/>
      <c r="B77" s="116"/>
      <c r="C77" s="223"/>
      <c r="D77" s="118"/>
      <c r="E77" s="117"/>
      <c r="F77" s="118"/>
    </row>
    <row r="78" spans="1:6" x14ac:dyDescent="0.25">
      <c r="A78" s="203" t="str">
        <f>"3920203"</f>
        <v>3920203</v>
      </c>
      <c r="B78" s="207" t="s">
        <v>5736</v>
      </c>
      <c r="C78" s="209">
        <v>35.799999999999997</v>
      </c>
      <c r="D78" s="203">
        <v>330961</v>
      </c>
      <c r="E78" s="205">
        <v>44018.753078703703</v>
      </c>
      <c r="F78" s="123">
        <v>8252</v>
      </c>
    </row>
    <row r="79" spans="1:6" x14ac:dyDescent="0.25">
      <c r="A79" s="203" t="str">
        <f>"3908938"</f>
        <v>3908938</v>
      </c>
      <c r="B79" s="207" t="s">
        <v>5850</v>
      </c>
      <c r="C79" s="209">
        <v>6.13</v>
      </c>
      <c r="D79" s="203">
        <v>331730</v>
      </c>
      <c r="E79" s="205">
        <v>44018.418888888889</v>
      </c>
      <c r="F79" s="123">
        <v>8253</v>
      </c>
    </row>
    <row r="80" spans="1:6" x14ac:dyDescent="0.25">
      <c r="A80" s="203" t="str">
        <f>"3907892"</f>
        <v>3907892</v>
      </c>
      <c r="B80" s="207" t="s">
        <v>5727</v>
      </c>
      <c r="C80" s="209">
        <v>3.82</v>
      </c>
      <c r="D80" s="203">
        <v>332184</v>
      </c>
      <c r="E80" s="205">
        <v>44018.501435185186</v>
      </c>
      <c r="F80" s="123">
        <v>8254</v>
      </c>
    </row>
    <row r="81" spans="1:6" x14ac:dyDescent="0.25">
      <c r="A81" s="203" t="str">
        <f>"3906821"</f>
        <v>3906821</v>
      </c>
      <c r="B81" s="207" t="s">
        <v>2950</v>
      </c>
      <c r="C81" s="209">
        <v>2.35</v>
      </c>
      <c r="D81" s="203">
        <v>332146</v>
      </c>
      <c r="E81" s="205">
        <v>44018.36278935185</v>
      </c>
      <c r="F81" s="123">
        <v>8255</v>
      </c>
    </row>
    <row r="82" spans="1:6" x14ac:dyDescent="0.25">
      <c r="A82" s="203" t="str">
        <f>"3960091"</f>
        <v>3960091</v>
      </c>
      <c r="B82" s="207" t="s">
        <v>5810</v>
      </c>
      <c r="C82" s="209">
        <v>12.28</v>
      </c>
      <c r="D82" s="203">
        <v>331140</v>
      </c>
      <c r="E82" s="205">
        <v>44018.426481481481</v>
      </c>
      <c r="F82" s="123">
        <v>8256</v>
      </c>
    </row>
    <row r="83" spans="1:6" x14ac:dyDescent="0.25">
      <c r="A83" s="203" t="str">
        <f>"3907960"</f>
        <v>3907960</v>
      </c>
      <c r="B83" s="207" t="s">
        <v>2916</v>
      </c>
      <c r="C83" s="209">
        <v>6.6</v>
      </c>
      <c r="D83" s="203">
        <v>332252</v>
      </c>
      <c r="E83" s="205">
        <v>44018.497557870367</v>
      </c>
      <c r="F83" s="123">
        <v>8257</v>
      </c>
    </row>
    <row r="84" spans="1:6" x14ac:dyDescent="0.25">
      <c r="A84" s="203" t="str">
        <f>"3920065"</f>
        <v>3920065</v>
      </c>
      <c r="B84" s="207" t="s">
        <v>2895</v>
      </c>
      <c r="C84" s="209">
        <v>15.3</v>
      </c>
      <c r="D84" s="203">
        <v>333339</v>
      </c>
      <c r="E84" s="205">
        <v>44018.537835648145</v>
      </c>
      <c r="F84" s="123">
        <v>8258</v>
      </c>
    </row>
    <row r="85" spans="1:6" x14ac:dyDescent="0.25">
      <c r="A85" s="203" t="str">
        <f>"3900375"</f>
        <v>3900375</v>
      </c>
      <c r="B85" s="207" t="s">
        <v>5887</v>
      </c>
      <c r="C85" s="209">
        <v>14.46</v>
      </c>
      <c r="D85" s="203">
        <v>333702</v>
      </c>
      <c r="E85" s="205">
        <v>44018.546655092592</v>
      </c>
      <c r="F85" s="123">
        <v>8259</v>
      </c>
    </row>
    <row r="86" spans="1:6" x14ac:dyDescent="0.25">
      <c r="A86" s="203" t="str">
        <f>"23923168"</f>
        <v>23923168</v>
      </c>
      <c r="B86" s="207" t="s">
        <v>5818</v>
      </c>
      <c r="C86" s="209">
        <v>1.88</v>
      </c>
      <c r="D86" s="203">
        <v>2134</v>
      </c>
      <c r="E86" s="205">
        <v>44018.557685185187</v>
      </c>
      <c r="F86" s="123">
        <v>8260</v>
      </c>
    </row>
    <row r="87" spans="1:6" x14ac:dyDescent="0.25">
      <c r="A87" s="203" t="str">
        <f>"23923204"</f>
        <v>23923204</v>
      </c>
      <c r="B87" s="207" t="s">
        <v>5763</v>
      </c>
      <c r="C87" s="209">
        <v>15.61</v>
      </c>
      <c r="D87" s="203">
        <v>2069</v>
      </c>
      <c r="E87" s="205">
        <v>44018.597766203704</v>
      </c>
      <c r="F87" s="123">
        <v>8261</v>
      </c>
    </row>
    <row r="88" spans="1:6" x14ac:dyDescent="0.25">
      <c r="A88" s="203" t="str">
        <f>"3909892"</f>
        <v>3909892</v>
      </c>
      <c r="B88" s="207" t="s">
        <v>5746</v>
      </c>
      <c r="C88" s="209">
        <v>8.4</v>
      </c>
      <c r="D88" s="203">
        <v>333468</v>
      </c>
      <c r="E88" s="205">
        <v>44018.622847222221</v>
      </c>
      <c r="F88" s="123">
        <v>8262</v>
      </c>
    </row>
    <row r="89" spans="1:6" x14ac:dyDescent="0.25">
      <c r="A89" s="203" t="str">
        <f>"3908160"</f>
        <v>3908160</v>
      </c>
      <c r="B89" s="207" t="s">
        <v>5877</v>
      </c>
      <c r="C89" s="209">
        <v>1.48</v>
      </c>
      <c r="D89" s="203">
        <v>333221</v>
      </c>
      <c r="E89" s="205">
        <v>44018.693842592591</v>
      </c>
      <c r="F89" s="123">
        <v>8263</v>
      </c>
    </row>
    <row r="90" spans="1:6" s="164" customFormat="1" x14ac:dyDescent="0.25">
      <c r="A90" s="115"/>
      <c r="B90" s="115" t="s">
        <v>5691</v>
      </c>
      <c r="C90" s="222">
        <f>SUM(C78:C89)</f>
        <v>124.11000000000001</v>
      </c>
      <c r="D90" s="115">
        <v>4</v>
      </c>
      <c r="E90" s="163"/>
      <c r="F90" s="115"/>
    </row>
    <row r="91" spans="1:6" customFormat="1" x14ac:dyDescent="0.25">
      <c r="A91" s="118"/>
      <c r="B91" s="116"/>
      <c r="C91" s="223"/>
      <c r="D91" s="118"/>
      <c r="E91" s="117"/>
      <c r="F91" s="118"/>
    </row>
    <row r="92" spans="1:6" x14ac:dyDescent="0.25">
      <c r="A92" s="203" t="str">
        <f>"3903549"</f>
        <v>3903549</v>
      </c>
      <c r="B92" s="207" t="s">
        <v>2814</v>
      </c>
      <c r="C92" s="209">
        <v>5.57</v>
      </c>
      <c r="D92" s="203">
        <v>331943</v>
      </c>
      <c r="E92" s="205">
        <v>44019.556747685187</v>
      </c>
      <c r="F92" s="123">
        <v>8329</v>
      </c>
    </row>
    <row r="93" spans="1:6" x14ac:dyDescent="0.25">
      <c r="A93" s="203" t="str">
        <f>"3902164"</f>
        <v>3902164</v>
      </c>
      <c r="B93" s="207" t="s">
        <v>5742</v>
      </c>
      <c r="C93" s="209">
        <v>2.72</v>
      </c>
      <c r="D93" s="203">
        <v>332337</v>
      </c>
      <c r="E93" s="205">
        <v>44019.635127314818</v>
      </c>
      <c r="F93" s="123">
        <v>8330</v>
      </c>
    </row>
    <row r="94" spans="1:6" x14ac:dyDescent="0.25">
      <c r="A94" s="203" t="str">
        <f>"3903516"</f>
        <v>3903516</v>
      </c>
      <c r="B94" s="207" t="s">
        <v>2785</v>
      </c>
      <c r="C94" s="209">
        <v>8.93</v>
      </c>
      <c r="D94" s="203">
        <v>332182</v>
      </c>
      <c r="E94" s="205">
        <v>44019.647743055553</v>
      </c>
      <c r="F94" s="123">
        <v>8331</v>
      </c>
    </row>
    <row r="95" spans="1:6" x14ac:dyDescent="0.25">
      <c r="A95" s="203" t="str">
        <f>"3960293"</f>
        <v>3960293</v>
      </c>
      <c r="B95" s="207" t="s">
        <v>5886</v>
      </c>
      <c r="C95" s="209">
        <v>15.64</v>
      </c>
      <c r="D95" s="203">
        <v>330986</v>
      </c>
      <c r="E95" s="205">
        <v>44019.823298611111</v>
      </c>
      <c r="F95" s="123">
        <v>8332</v>
      </c>
    </row>
    <row r="96" spans="1:6" s="164" customFormat="1" x14ac:dyDescent="0.25">
      <c r="A96" s="115"/>
      <c r="B96" s="115" t="s">
        <v>5691</v>
      </c>
      <c r="C96" s="222">
        <f>SUM(C92:C95)</f>
        <v>32.86</v>
      </c>
      <c r="D96" s="115">
        <v>5</v>
      </c>
      <c r="E96" s="163"/>
      <c r="F96" s="115"/>
    </row>
    <row r="97" spans="1:6" customFormat="1" x14ac:dyDescent="0.25">
      <c r="A97" s="118"/>
      <c r="B97" s="116"/>
      <c r="C97" s="223"/>
      <c r="D97" s="118"/>
      <c r="E97" s="117"/>
      <c r="F97" s="118"/>
    </row>
    <row r="98" spans="1:6" x14ac:dyDescent="0.25">
      <c r="A98" s="203" t="str">
        <f>"3908621"</f>
        <v>3908621</v>
      </c>
      <c r="B98" s="207" t="s">
        <v>2912</v>
      </c>
      <c r="C98" s="209">
        <v>1.68</v>
      </c>
      <c r="D98" s="203">
        <v>331357</v>
      </c>
      <c r="E98" s="205">
        <v>44020.484444444446</v>
      </c>
      <c r="F98" s="123">
        <v>8373</v>
      </c>
    </row>
    <row r="99" spans="1:6" x14ac:dyDescent="0.25">
      <c r="A99" s="203" t="str">
        <f>"3906658"</f>
        <v>3906658</v>
      </c>
      <c r="B99" s="207" t="s">
        <v>2907</v>
      </c>
      <c r="C99" s="209">
        <v>17.54</v>
      </c>
      <c r="D99" s="203">
        <v>333522</v>
      </c>
      <c r="E99" s="205">
        <v>44020.583807870367</v>
      </c>
      <c r="F99" s="123">
        <v>8374</v>
      </c>
    </row>
    <row r="100" spans="1:6" x14ac:dyDescent="0.25">
      <c r="A100" s="203" t="str">
        <f>"3901121"</f>
        <v>3901121</v>
      </c>
      <c r="B100" s="207" t="s">
        <v>2908</v>
      </c>
      <c r="C100" s="209">
        <v>1.71</v>
      </c>
      <c r="D100" s="203">
        <v>331759</v>
      </c>
      <c r="E100" s="205">
        <v>44020.584062499998</v>
      </c>
      <c r="F100" s="123">
        <v>8375</v>
      </c>
    </row>
    <row r="101" spans="1:6" s="164" customFormat="1" x14ac:dyDescent="0.25">
      <c r="A101" s="115"/>
      <c r="B101" s="115" t="s">
        <v>5691</v>
      </c>
      <c r="C101" s="222">
        <f>SUM(C98:C100)</f>
        <v>20.93</v>
      </c>
      <c r="D101" s="115">
        <v>6</v>
      </c>
      <c r="E101" s="163"/>
      <c r="F101" s="115"/>
    </row>
    <row r="102" spans="1:6" customFormat="1" x14ac:dyDescent="0.25">
      <c r="A102" s="118"/>
      <c r="B102" s="116"/>
      <c r="C102" s="223"/>
      <c r="D102" s="118"/>
      <c r="E102" s="117"/>
      <c r="F102" s="118"/>
    </row>
    <row r="103" spans="1:6" x14ac:dyDescent="0.25">
      <c r="A103" s="203" t="str">
        <f>"23923029"</f>
        <v>23923029</v>
      </c>
      <c r="B103" s="207" t="s">
        <v>2930</v>
      </c>
      <c r="C103" s="209">
        <v>4.3</v>
      </c>
      <c r="D103" s="203">
        <v>1972</v>
      </c>
      <c r="E103" s="205">
        <v>44021.453356481485</v>
      </c>
      <c r="F103" s="123">
        <v>8419</v>
      </c>
    </row>
    <row r="104" spans="1:6" x14ac:dyDescent="0.25">
      <c r="A104" s="203" t="str">
        <f>"3907794"</f>
        <v>3907794</v>
      </c>
      <c r="B104" s="207" t="s">
        <v>5879</v>
      </c>
      <c r="C104" s="209">
        <v>5.82</v>
      </c>
      <c r="D104" s="203">
        <v>333734</v>
      </c>
      <c r="E104" s="205">
        <v>44021.455497685187</v>
      </c>
      <c r="F104" s="123">
        <v>8420</v>
      </c>
    </row>
    <row r="105" spans="1:6" x14ac:dyDescent="0.25">
      <c r="A105" s="203" t="str">
        <f>"3900138"</f>
        <v>3900138</v>
      </c>
      <c r="B105" s="207" t="s">
        <v>5879</v>
      </c>
      <c r="C105" s="209">
        <v>9.6300000000000008</v>
      </c>
      <c r="D105" s="203">
        <v>333683</v>
      </c>
      <c r="E105" s="205">
        <v>44021.457789351851</v>
      </c>
      <c r="F105" s="123">
        <v>8421</v>
      </c>
    </row>
    <row r="106" spans="1:6" x14ac:dyDescent="0.25">
      <c r="A106" s="203" t="str">
        <f>"3900137"</f>
        <v>3900137</v>
      </c>
      <c r="B106" s="207" t="s">
        <v>5879</v>
      </c>
      <c r="C106" s="209">
        <v>11.55</v>
      </c>
      <c r="D106" s="203">
        <v>333682</v>
      </c>
      <c r="E106" s="205">
        <v>44021.459201388891</v>
      </c>
      <c r="F106" s="123">
        <v>8422</v>
      </c>
    </row>
    <row r="107" spans="1:6" x14ac:dyDescent="0.25">
      <c r="A107" s="232" t="str">
        <f>"3907925"</f>
        <v>3907925</v>
      </c>
      <c r="B107" s="233" t="s">
        <v>5885</v>
      </c>
      <c r="C107" s="226">
        <v>34.64</v>
      </c>
      <c r="D107" s="232">
        <v>312773</v>
      </c>
      <c r="E107" s="234">
        <v>44021.699884259258</v>
      </c>
      <c r="F107" s="235">
        <v>8423</v>
      </c>
    </row>
    <row r="108" spans="1:6" s="164" customFormat="1" x14ac:dyDescent="0.25">
      <c r="A108" s="115"/>
      <c r="B108" s="115" t="s">
        <v>5691</v>
      </c>
      <c r="C108" s="222">
        <f>SUM(C103:C107)</f>
        <v>65.94</v>
      </c>
      <c r="D108" s="115">
        <v>7</v>
      </c>
      <c r="E108" s="163"/>
      <c r="F108" s="115"/>
    </row>
    <row r="109" spans="1:6" customFormat="1" x14ac:dyDescent="0.25">
      <c r="A109" s="118"/>
      <c r="B109" s="116"/>
      <c r="C109" s="223"/>
      <c r="D109" s="118"/>
      <c r="E109" s="117"/>
      <c r="F109" s="118"/>
    </row>
    <row r="110" spans="1:6" x14ac:dyDescent="0.25">
      <c r="A110" s="203" t="str">
        <f>"3960344"</f>
        <v>3960344</v>
      </c>
      <c r="B110" s="207" t="s">
        <v>2953</v>
      </c>
      <c r="C110" s="209">
        <v>8.83</v>
      </c>
      <c r="D110" s="203">
        <v>331058</v>
      </c>
      <c r="E110" s="205">
        <v>44022.338402777779</v>
      </c>
      <c r="F110" s="123">
        <v>8439</v>
      </c>
    </row>
    <row r="111" spans="1:6" s="164" customFormat="1" x14ac:dyDescent="0.25">
      <c r="A111" s="115"/>
      <c r="B111" s="115" t="s">
        <v>5691</v>
      </c>
      <c r="C111" s="222">
        <f>SUM(C110)</f>
        <v>8.83</v>
      </c>
      <c r="D111" s="115">
        <v>8</v>
      </c>
      <c r="E111" s="163"/>
      <c r="F111" s="115"/>
    </row>
    <row r="112" spans="1:6" customFormat="1" x14ac:dyDescent="0.25">
      <c r="A112" s="118"/>
      <c r="B112" s="116"/>
      <c r="C112" s="223"/>
      <c r="D112" s="118"/>
      <c r="E112" s="117"/>
      <c r="F112" s="118"/>
    </row>
    <row r="113" spans="1:6" x14ac:dyDescent="0.25">
      <c r="A113" s="203" t="str">
        <f>"3960269"</f>
        <v>3960269</v>
      </c>
      <c r="B113" s="207" t="s">
        <v>2927</v>
      </c>
      <c r="C113" s="209">
        <v>12.3</v>
      </c>
      <c r="D113" s="203">
        <v>330970</v>
      </c>
      <c r="E113" s="205">
        <v>44025.831793981481</v>
      </c>
      <c r="F113" s="123">
        <v>8485</v>
      </c>
    </row>
    <row r="114" spans="1:6" x14ac:dyDescent="0.25">
      <c r="A114" s="203" t="str">
        <f>"3960392"</f>
        <v>3960392</v>
      </c>
      <c r="B114" s="207" t="s">
        <v>2872</v>
      </c>
      <c r="C114" s="209">
        <v>10.58</v>
      </c>
      <c r="D114" s="203">
        <v>331118</v>
      </c>
      <c r="E114" s="205">
        <v>44025.376886574071</v>
      </c>
      <c r="F114" s="123">
        <v>8486</v>
      </c>
    </row>
    <row r="115" spans="1:6" x14ac:dyDescent="0.25">
      <c r="A115" s="203" t="str">
        <f>"3907330"</f>
        <v>3907330</v>
      </c>
      <c r="B115" s="207" t="s">
        <v>2899</v>
      </c>
      <c r="C115" s="209">
        <v>18.96</v>
      </c>
      <c r="D115" s="203">
        <v>331244</v>
      </c>
      <c r="E115" s="205">
        <v>44025.432245370372</v>
      </c>
      <c r="F115" s="123">
        <v>8487</v>
      </c>
    </row>
    <row r="116" spans="1:6" x14ac:dyDescent="0.25">
      <c r="A116" s="203" t="str">
        <f>"3902041"</f>
        <v>3902041</v>
      </c>
      <c r="B116" s="207" t="s">
        <v>2898</v>
      </c>
      <c r="C116" s="209">
        <v>8.3800000000000008</v>
      </c>
      <c r="D116" s="203">
        <v>331150</v>
      </c>
      <c r="E116" s="205">
        <v>44025.432986111111</v>
      </c>
      <c r="F116" s="123">
        <v>8488</v>
      </c>
    </row>
    <row r="117" spans="1:6" x14ac:dyDescent="0.25">
      <c r="A117" s="203" t="str">
        <f>"3901461"</f>
        <v>3901461</v>
      </c>
      <c r="B117" s="207" t="s">
        <v>2931</v>
      </c>
      <c r="C117" s="209">
        <v>15.3</v>
      </c>
      <c r="D117" s="203">
        <v>333360</v>
      </c>
      <c r="E117" s="205">
        <v>44025.497210648151</v>
      </c>
      <c r="F117" s="123">
        <v>8489</v>
      </c>
    </row>
    <row r="118" spans="1:6" x14ac:dyDescent="0.25">
      <c r="A118" s="203" t="str">
        <f>"3945219"</f>
        <v>3945219</v>
      </c>
      <c r="B118" s="207" t="s">
        <v>5884</v>
      </c>
      <c r="C118" s="209">
        <v>8.3800000000000008</v>
      </c>
      <c r="D118" s="203">
        <v>331180</v>
      </c>
      <c r="E118" s="205">
        <v>44025.54478009259</v>
      </c>
      <c r="F118" s="123">
        <v>8490</v>
      </c>
    </row>
    <row r="119" spans="1:6" x14ac:dyDescent="0.25">
      <c r="A119" s="203" t="str">
        <f>"3950310"</f>
        <v>3950310</v>
      </c>
      <c r="B119" s="207" t="s">
        <v>5868</v>
      </c>
      <c r="C119" s="209">
        <v>8.3800000000000008</v>
      </c>
      <c r="D119" s="203">
        <v>331123</v>
      </c>
      <c r="E119" s="205">
        <v>44025.559594907405</v>
      </c>
      <c r="F119" s="123">
        <v>8491</v>
      </c>
    </row>
    <row r="120" spans="1:6" s="164" customFormat="1" x14ac:dyDescent="0.25">
      <c r="A120" s="115"/>
      <c r="B120" s="115" t="s">
        <v>5691</v>
      </c>
      <c r="C120" s="222">
        <f>SUM(C113:C119)</f>
        <v>82.28</v>
      </c>
      <c r="D120" s="115">
        <v>9</v>
      </c>
      <c r="E120" s="163"/>
      <c r="F120" s="115"/>
    </row>
    <row r="121" spans="1:6" customFormat="1" x14ac:dyDescent="0.25">
      <c r="A121" s="118"/>
      <c r="B121" s="116"/>
      <c r="C121" s="223"/>
      <c r="D121" s="118"/>
      <c r="E121" s="117"/>
      <c r="F121" s="118"/>
    </row>
    <row r="122" spans="1:6" x14ac:dyDescent="0.25">
      <c r="A122" s="203" t="str">
        <f>"3908631"</f>
        <v>3908631</v>
      </c>
      <c r="B122" s="207" t="s">
        <v>2900</v>
      </c>
      <c r="C122" s="209">
        <v>5.16</v>
      </c>
      <c r="D122" s="203">
        <v>331337</v>
      </c>
      <c r="E122" s="205">
        <v>44026.398877314816</v>
      </c>
      <c r="F122" s="123">
        <v>8517</v>
      </c>
    </row>
    <row r="123" spans="1:6" x14ac:dyDescent="0.25">
      <c r="A123" s="203" t="str">
        <f>"3930042"</f>
        <v>3930042</v>
      </c>
      <c r="B123" s="207" t="s">
        <v>2929</v>
      </c>
      <c r="C123" s="209">
        <v>5.82</v>
      </c>
      <c r="D123" s="203">
        <v>333480</v>
      </c>
      <c r="E123" s="205">
        <v>44026.657060185185</v>
      </c>
      <c r="F123" s="123">
        <v>8518</v>
      </c>
    </row>
    <row r="124" spans="1:6" s="164" customFormat="1" x14ac:dyDescent="0.25">
      <c r="A124" s="115"/>
      <c r="B124" s="115" t="s">
        <v>5691</v>
      </c>
      <c r="C124" s="222">
        <f>SUM(C122:C123)</f>
        <v>10.98</v>
      </c>
      <c r="D124" s="115">
        <v>10</v>
      </c>
      <c r="E124" s="163"/>
      <c r="F124" s="115"/>
    </row>
    <row r="125" spans="1:6" customFormat="1" x14ac:dyDescent="0.25">
      <c r="A125" s="118"/>
      <c r="B125" s="116"/>
      <c r="C125" s="223"/>
      <c r="D125" s="118"/>
      <c r="E125" s="117"/>
      <c r="F125" s="118"/>
    </row>
    <row r="126" spans="1:6" x14ac:dyDescent="0.25">
      <c r="A126" s="203" t="str">
        <f>"3902009"</f>
        <v>3902009</v>
      </c>
      <c r="B126" s="207" t="s">
        <v>2890</v>
      </c>
      <c r="C126" s="209">
        <v>3.36</v>
      </c>
      <c r="D126" s="203">
        <v>333500</v>
      </c>
      <c r="E126" s="205">
        <v>44027.530497685184</v>
      </c>
      <c r="F126" s="123">
        <v>8554</v>
      </c>
    </row>
    <row r="127" spans="1:6" s="164" customFormat="1" x14ac:dyDescent="0.25">
      <c r="A127" s="115"/>
      <c r="B127" s="115" t="s">
        <v>5691</v>
      </c>
      <c r="C127" s="222">
        <f>SUM(C126)</f>
        <v>3.36</v>
      </c>
      <c r="D127" s="115">
        <v>11</v>
      </c>
      <c r="E127" s="163"/>
      <c r="F127" s="115"/>
    </row>
    <row r="128" spans="1:6" customFormat="1" x14ac:dyDescent="0.25">
      <c r="A128" s="118"/>
      <c r="B128" s="116"/>
      <c r="C128" s="223"/>
      <c r="D128" s="118"/>
      <c r="E128" s="117"/>
      <c r="F128" s="118"/>
    </row>
    <row r="129" spans="1:6" x14ac:dyDescent="0.25">
      <c r="A129" s="203" t="str">
        <f>"3909055"</f>
        <v>3909055</v>
      </c>
      <c r="B129" s="207" t="s">
        <v>5883</v>
      </c>
      <c r="C129" s="209">
        <v>5.48</v>
      </c>
      <c r="D129" s="203">
        <v>318172</v>
      </c>
      <c r="E129" s="205">
        <v>44028.425833333335</v>
      </c>
      <c r="F129" s="123">
        <v>8598</v>
      </c>
    </row>
    <row r="130" spans="1:6" x14ac:dyDescent="0.25">
      <c r="A130" s="203" t="str">
        <f>"3945281"</f>
        <v>3945281</v>
      </c>
      <c r="B130" s="207" t="s">
        <v>5882</v>
      </c>
      <c r="C130" s="209">
        <v>16.760000000000002</v>
      </c>
      <c r="D130" s="203">
        <v>331201</v>
      </c>
      <c r="E130" s="205">
        <v>44028.546400462961</v>
      </c>
      <c r="F130" s="123">
        <v>8594</v>
      </c>
    </row>
    <row r="131" spans="1:6" x14ac:dyDescent="0.25">
      <c r="A131" s="203" t="str">
        <f>"3904232"</f>
        <v>3904232</v>
      </c>
      <c r="B131" s="207" t="s">
        <v>5872</v>
      </c>
      <c r="C131" s="209">
        <v>14.97</v>
      </c>
      <c r="D131" s="203">
        <v>333369</v>
      </c>
      <c r="E131" s="205">
        <v>44028.616053240738</v>
      </c>
      <c r="F131" s="123">
        <v>8595</v>
      </c>
    </row>
    <row r="132" spans="1:6" x14ac:dyDescent="0.25">
      <c r="A132" s="203" t="str">
        <f>"3901153"</f>
        <v>3901153</v>
      </c>
      <c r="B132" s="207" t="s">
        <v>2915</v>
      </c>
      <c r="C132" s="209">
        <v>13.46</v>
      </c>
      <c r="D132" s="203">
        <v>333472</v>
      </c>
      <c r="E132" s="205">
        <v>44028.622314814813</v>
      </c>
      <c r="F132" s="123">
        <v>8596</v>
      </c>
    </row>
    <row r="133" spans="1:6" x14ac:dyDescent="0.25">
      <c r="A133" s="203" t="str">
        <f>"3908084"</f>
        <v>3908084</v>
      </c>
      <c r="B133" s="207" t="s">
        <v>2888</v>
      </c>
      <c r="C133" s="209">
        <v>20.16</v>
      </c>
      <c r="D133" s="203">
        <v>332315</v>
      </c>
      <c r="E133" s="205">
        <v>44028.627418981479</v>
      </c>
      <c r="F133" s="123" t="s">
        <v>5881</v>
      </c>
    </row>
    <row r="134" spans="1:6" s="164" customFormat="1" x14ac:dyDescent="0.25">
      <c r="A134" s="115"/>
      <c r="B134" s="115" t="s">
        <v>5691</v>
      </c>
      <c r="C134" s="222">
        <f>SUM(C129:C133)</f>
        <v>70.83</v>
      </c>
      <c r="D134" s="115">
        <v>12</v>
      </c>
      <c r="E134" s="163"/>
      <c r="F134" s="115"/>
    </row>
    <row r="135" spans="1:6" customFormat="1" x14ac:dyDescent="0.25">
      <c r="A135" s="118"/>
      <c r="B135" s="116"/>
      <c r="C135" s="223"/>
      <c r="D135" s="118"/>
      <c r="E135" s="117"/>
      <c r="F135" s="118"/>
    </row>
    <row r="136" spans="1:6" x14ac:dyDescent="0.25">
      <c r="A136" s="203" t="str">
        <f>"3960375"</f>
        <v>3960375</v>
      </c>
      <c r="B136" s="207" t="s">
        <v>2936</v>
      </c>
      <c r="C136" s="209">
        <v>6.13</v>
      </c>
      <c r="D136" s="203">
        <v>331089</v>
      </c>
      <c r="E136" s="205">
        <v>44029.514652777776</v>
      </c>
      <c r="F136" s="123">
        <v>8620</v>
      </c>
    </row>
    <row r="137" spans="1:6" x14ac:dyDescent="0.25">
      <c r="A137" s="203" t="str">
        <f>"3908019"</f>
        <v>3908019</v>
      </c>
      <c r="B137" s="207" t="s">
        <v>5754</v>
      </c>
      <c r="C137" s="209">
        <v>2.39</v>
      </c>
      <c r="D137" s="203">
        <v>332166</v>
      </c>
      <c r="E137" s="205">
        <v>44029.574849537035</v>
      </c>
      <c r="F137" s="123">
        <v>8621</v>
      </c>
    </row>
    <row r="138" spans="1:6" s="164" customFormat="1" x14ac:dyDescent="0.25">
      <c r="A138" s="115"/>
      <c r="B138" s="115" t="s">
        <v>5691</v>
      </c>
      <c r="C138" s="222">
        <f>SUM(C136:C137)</f>
        <v>8.52</v>
      </c>
      <c r="D138" s="115">
        <v>13</v>
      </c>
      <c r="E138" s="163"/>
      <c r="F138" s="115"/>
    </row>
    <row r="139" spans="1:6" customFormat="1" x14ac:dyDescent="0.25">
      <c r="A139" s="118"/>
      <c r="B139" s="116"/>
      <c r="C139" s="223"/>
      <c r="D139" s="118"/>
      <c r="E139" s="117"/>
      <c r="F139" s="118"/>
    </row>
    <row r="140" spans="1:6" x14ac:dyDescent="0.25">
      <c r="A140" s="203" t="str">
        <f>"3900329"</f>
        <v>3900329</v>
      </c>
      <c r="B140" s="207" t="s">
        <v>5762</v>
      </c>
      <c r="C140" s="209">
        <v>1.68</v>
      </c>
      <c r="D140" s="203">
        <v>332513</v>
      </c>
      <c r="E140" s="205">
        <v>44032.381435185183</v>
      </c>
      <c r="F140" s="123">
        <v>8685</v>
      </c>
    </row>
    <row r="141" spans="1:6" x14ac:dyDescent="0.25">
      <c r="A141" s="203" t="str">
        <f>"3960373"</f>
        <v>3960373</v>
      </c>
      <c r="B141" s="207" t="s">
        <v>2940</v>
      </c>
      <c r="C141" s="209">
        <v>8.3800000000000008</v>
      </c>
      <c r="D141" s="203">
        <v>331085</v>
      </c>
      <c r="E141" s="205">
        <v>44032.434675925928</v>
      </c>
      <c r="F141" s="123">
        <v>8686</v>
      </c>
    </row>
    <row r="142" spans="1:6" x14ac:dyDescent="0.25">
      <c r="A142" s="203" t="str">
        <f>"3903517"</f>
        <v>3903517</v>
      </c>
      <c r="B142" s="207" t="s">
        <v>5765</v>
      </c>
      <c r="C142" s="209">
        <v>2.09</v>
      </c>
      <c r="D142" s="203">
        <v>331937</v>
      </c>
      <c r="E142" s="205">
        <v>44032.476875</v>
      </c>
      <c r="F142" s="123">
        <v>8687</v>
      </c>
    </row>
    <row r="143" spans="1:6" x14ac:dyDescent="0.25">
      <c r="A143" s="203" t="str">
        <f>"3930371"</f>
        <v>3930371</v>
      </c>
      <c r="B143" s="207" t="s">
        <v>2801</v>
      </c>
      <c r="C143" s="209">
        <v>28.32</v>
      </c>
      <c r="D143" s="203">
        <v>333624</v>
      </c>
      <c r="E143" s="205">
        <v>44032.666504629633</v>
      </c>
      <c r="F143" s="123">
        <v>8688</v>
      </c>
    </row>
    <row r="144" spans="1:6" x14ac:dyDescent="0.25">
      <c r="A144" s="203" t="str">
        <f>"3903548"</f>
        <v>3903548</v>
      </c>
      <c r="B144" s="207" t="s">
        <v>2776</v>
      </c>
      <c r="C144" s="209">
        <v>1.84</v>
      </c>
      <c r="D144" s="203">
        <v>331926</v>
      </c>
      <c r="E144" s="205">
        <v>44032.675497685188</v>
      </c>
      <c r="F144" s="123">
        <v>8689</v>
      </c>
    </row>
    <row r="145" spans="1:6" x14ac:dyDescent="0.25">
      <c r="A145" s="203" t="str">
        <f>"3930218"</f>
        <v>3930218</v>
      </c>
      <c r="B145" s="207" t="s">
        <v>2914</v>
      </c>
      <c r="C145" s="209">
        <v>12.27</v>
      </c>
      <c r="D145" s="203">
        <v>331867</v>
      </c>
      <c r="E145" s="205">
        <v>44032.685659722221</v>
      </c>
      <c r="F145" s="123">
        <v>8690</v>
      </c>
    </row>
    <row r="146" spans="1:6" s="164" customFormat="1" x14ac:dyDescent="0.25">
      <c r="A146" s="115"/>
      <c r="B146" s="115" t="s">
        <v>5691</v>
      </c>
      <c r="C146" s="222">
        <f>SUM(C140:C145)</f>
        <v>54.58</v>
      </c>
      <c r="D146" s="115">
        <v>14</v>
      </c>
      <c r="E146" s="163"/>
      <c r="F146" s="115"/>
    </row>
    <row r="147" spans="1:6" customFormat="1" x14ac:dyDescent="0.25">
      <c r="A147" s="118"/>
      <c r="B147" s="116"/>
      <c r="C147" s="223"/>
      <c r="D147" s="118"/>
      <c r="E147" s="117"/>
      <c r="F147" s="118"/>
    </row>
    <row r="148" spans="1:6" x14ac:dyDescent="0.25">
      <c r="A148" s="203" t="str">
        <f>"3945114"</f>
        <v>3945114</v>
      </c>
      <c r="B148" s="207" t="s">
        <v>2943</v>
      </c>
      <c r="C148" s="209">
        <v>10.09</v>
      </c>
      <c r="D148" s="203">
        <v>331066</v>
      </c>
      <c r="E148" s="205">
        <v>44033.40960648148</v>
      </c>
      <c r="F148" s="123">
        <v>8709</v>
      </c>
    </row>
    <row r="149" spans="1:6" x14ac:dyDescent="0.25">
      <c r="A149" s="203" t="str">
        <f>"3908064"</f>
        <v>3908064</v>
      </c>
      <c r="B149" s="207" t="s">
        <v>2976</v>
      </c>
      <c r="C149" s="209">
        <v>11.45</v>
      </c>
      <c r="D149" s="203">
        <v>332312</v>
      </c>
      <c r="E149" s="205">
        <v>44033.619849537034</v>
      </c>
      <c r="F149" s="123">
        <v>8710</v>
      </c>
    </row>
    <row r="150" spans="1:6" s="164" customFormat="1" x14ac:dyDescent="0.25">
      <c r="A150" s="115"/>
      <c r="B150" s="115" t="s">
        <v>5691</v>
      </c>
      <c r="C150" s="222">
        <f>SUM(C148:C149)</f>
        <v>21.54</v>
      </c>
      <c r="D150" s="115">
        <v>15</v>
      </c>
      <c r="E150" s="163"/>
      <c r="F150" s="115"/>
    </row>
    <row r="151" spans="1:6" customFormat="1" x14ac:dyDescent="0.25">
      <c r="A151" s="118"/>
      <c r="B151" s="116"/>
      <c r="C151" s="223"/>
      <c r="D151" s="118"/>
      <c r="E151" s="117"/>
      <c r="F151" s="118"/>
    </row>
    <row r="152" spans="1:6" x14ac:dyDescent="0.25">
      <c r="A152" s="203" t="str">
        <f>"3945401"</f>
        <v>3945401</v>
      </c>
      <c r="B152" s="207" t="s">
        <v>2967</v>
      </c>
      <c r="C152" s="209">
        <v>17.190000000000001</v>
      </c>
      <c r="D152" s="203">
        <v>334004</v>
      </c>
      <c r="E152" s="205">
        <v>44034.373715277776</v>
      </c>
      <c r="F152" s="123">
        <v>8783</v>
      </c>
    </row>
    <row r="153" spans="1:6" x14ac:dyDescent="0.25">
      <c r="A153" s="203" t="str">
        <f>"3900694"</f>
        <v>3900694</v>
      </c>
      <c r="B153" s="207" t="s">
        <v>5880</v>
      </c>
      <c r="C153" s="209">
        <v>10.77</v>
      </c>
      <c r="D153" s="203">
        <v>335588</v>
      </c>
      <c r="E153" s="205">
        <v>44034.432870370372</v>
      </c>
      <c r="F153" s="123">
        <v>8784</v>
      </c>
    </row>
    <row r="154" spans="1:6" x14ac:dyDescent="0.25">
      <c r="A154" s="203" t="str">
        <f>"3960320"</f>
        <v>3960320</v>
      </c>
      <c r="B154" s="207" t="s">
        <v>5806</v>
      </c>
      <c r="C154" s="209">
        <v>57.37</v>
      </c>
      <c r="D154" s="203">
        <v>334062</v>
      </c>
      <c r="E154" s="205">
        <v>44034.4450462963</v>
      </c>
      <c r="F154" s="123">
        <v>8785</v>
      </c>
    </row>
    <row r="155" spans="1:6" x14ac:dyDescent="0.25">
      <c r="A155" s="203" t="str">
        <f>"3960313"</f>
        <v>3960313</v>
      </c>
      <c r="B155" s="207" t="s">
        <v>2944</v>
      </c>
      <c r="C155" s="209">
        <v>15.64</v>
      </c>
      <c r="D155" s="203">
        <v>334042</v>
      </c>
      <c r="E155" s="205">
        <v>44034.590277777781</v>
      </c>
      <c r="F155" s="123">
        <v>8786</v>
      </c>
    </row>
    <row r="156" spans="1:6" x14ac:dyDescent="0.25">
      <c r="A156" s="203" t="str">
        <f>"3902710"</f>
        <v>3902710</v>
      </c>
      <c r="B156" s="207" t="s">
        <v>2965</v>
      </c>
      <c r="C156" s="209">
        <v>15.18</v>
      </c>
      <c r="D156" s="203">
        <v>335751</v>
      </c>
      <c r="E156" s="205">
        <v>44034.639791666668</v>
      </c>
      <c r="F156" s="123">
        <v>8787</v>
      </c>
    </row>
    <row r="157" spans="1:6" s="164" customFormat="1" x14ac:dyDescent="0.25">
      <c r="A157" s="115"/>
      <c r="B157" s="115" t="s">
        <v>5691</v>
      </c>
      <c r="C157" s="222">
        <f>SUM(C152:C156)</f>
        <v>116.15</v>
      </c>
      <c r="D157" s="115">
        <v>16</v>
      </c>
      <c r="E157" s="163"/>
      <c r="F157" s="115"/>
    </row>
    <row r="158" spans="1:6" customFormat="1" x14ac:dyDescent="0.25">
      <c r="A158" s="118"/>
      <c r="B158" s="116"/>
      <c r="C158" s="223"/>
      <c r="D158" s="118"/>
      <c r="E158" s="117"/>
      <c r="F158" s="118"/>
    </row>
    <row r="159" spans="1:6" x14ac:dyDescent="0.25">
      <c r="A159" s="203" t="str">
        <f>"3960274"</f>
        <v>3960274</v>
      </c>
      <c r="B159" s="207" t="s">
        <v>2798</v>
      </c>
      <c r="C159" s="209">
        <v>14</v>
      </c>
      <c r="D159" s="203">
        <v>333887</v>
      </c>
      <c r="E159" s="205">
        <v>44035.348136574074</v>
      </c>
      <c r="F159" s="123">
        <v>8788</v>
      </c>
    </row>
    <row r="160" spans="1:6" x14ac:dyDescent="0.25">
      <c r="A160" s="203" t="str">
        <f>"3907994"</f>
        <v>3907994</v>
      </c>
      <c r="B160" s="207" t="s">
        <v>5826</v>
      </c>
      <c r="C160" s="209">
        <v>3.36</v>
      </c>
      <c r="D160" s="203">
        <v>335175</v>
      </c>
      <c r="E160" s="205">
        <v>44035.372777777775</v>
      </c>
      <c r="F160" s="123">
        <v>8789</v>
      </c>
    </row>
    <row r="161" spans="1:6" x14ac:dyDescent="0.25">
      <c r="A161" s="203" t="str">
        <f>"3945410"</f>
        <v>3945410</v>
      </c>
      <c r="B161" s="207" t="s">
        <v>5702</v>
      </c>
      <c r="C161" s="209">
        <v>25.14</v>
      </c>
      <c r="D161" s="203">
        <v>334006</v>
      </c>
      <c r="E161" s="205">
        <v>44035.409942129627</v>
      </c>
      <c r="F161" s="123">
        <v>8790</v>
      </c>
    </row>
    <row r="162" spans="1:6" x14ac:dyDescent="0.25">
      <c r="A162" s="203" t="str">
        <f>"3902396"</f>
        <v>3902396</v>
      </c>
      <c r="B162" s="207" t="s">
        <v>2909</v>
      </c>
      <c r="C162" s="209">
        <v>3.88</v>
      </c>
      <c r="D162" s="203">
        <v>333598</v>
      </c>
      <c r="E162" s="205">
        <v>44035.441504629627</v>
      </c>
      <c r="F162" s="123">
        <v>8791</v>
      </c>
    </row>
    <row r="163" spans="1:6" x14ac:dyDescent="0.25">
      <c r="A163" s="203" t="str">
        <f>"3907531"</f>
        <v>3907531</v>
      </c>
      <c r="B163" s="207" t="s">
        <v>2959</v>
      </c>
      <c r="C163" s="209">
        <v>28.42</v>
      </c>
      <c r="D163" s="203">
        <v>334253</v>
      </c>
      <c r="E163" s="205">
        <v>44035.477372685185</v>
      </c>
      <c r="F163" s="123">
        <v>8792</v>
      </c>
    </row>
    <row r="164" spans="1:6" x14ac:dyDescent="0.25">
      <c r="A164" s="203" t="str">
        <f>"3903064"</f>
        <v>3903064</v>
      </c>
      <c r="B164" s="207" t="s">
        <v>5760</v>
      </c>
      <c r="C164" s="209">
        <v>6.94</v>
      </c>
      <c r="D164" s="203">
        <v>334222</v>
      </c>
      <c r="E164" s="205">
        <v>44035.49150462963</v>
      </c>
      <c r="F164" s="123">
        <v>8793</v>
      </c>
    </row>
    <row r="165" spans="1:6" x14ac:dyDescent="0.25">
      <c r="A165" s="203" t="str">
        <f>"3930231"</f>
        <v>3930231</v>
      </c>
      <c r="B165" s="207" t="s">
        <v>5741</v>
      </c>
      <c r="C165" s="209">
        <v>6.5</v>
      </c>
      <c r="D165" s="203">
        <v>334783</v>
      </c>
      <c r="E165" s="205">
        <v>44035.54215277778</v>
      </c>
      <c r="F165" s="123">
        <v>8794</v>
      </c>
    </row>
    <row r="166" spans="1:6" x14ac:dyDescent="0.25">
      <c r="A166" s="203" t="str">
        <f>"3907794"</f>
        <v>3907794</v>
      </c>
      <c r="B166" s="207" t="s">
        <v>5879</v>
      </c>
      <c r="C166" s="209">
        <v>68.680000000000007</v>
      </c>
      <c r="D166" s="203">
        <v>333854</v>
      </c>
      <c r="E166" s="205">
        <v>44035.590636574074</v>
      </c>
      <c r="F166" s="123">
        <v>8795</v>
      </c>
    </row>
    <row r="167" spans="1:6" x14ac:dyDescent="0.25">
      <c r="A167" s="203" t="str">
        <f>"3900138"</f>
        <v>3900138</v>
      </c>
      <c r="B167" s="207" t="s">
        <v>5879</v>
      </c>
      <c r="C167" s="209">
        <v>68.69</v>
      </c>
      <c r="D167" s="203">
        <v>333853</v>
      </c>
      <c r="E167" s="205">
        <v>44035.591562499998</v>
      </c>
      <c r="F167" s="123">
        <v>8796</v>
      </c>
    </row>
    <row r="168" spans="1:6" x14ac:dyDescent="0.25">
      <c r="A168" s="203" t="str">
        <f>"3900137"</f>
        <v>3900137</v>
      </c>
      <c r="B168" s="207" t="s">
        <v>5879</v>
      </c>
      <c r="C168" s="209">
        <v>68.819999999999993</v>
      </c>
      <c r="D168" s="203">
        <v>333852</v>
      </c>
      <c r="E168" s="205">
        <v>44035.592268518521</v>
      </c>
      <c r="F168" s="123">
        <v>8797</v>
      </c>
    </row>
    <row r="169" spans="1:6" x14ac:dyDescent="0.25">
      <c r="A169" s="203" t="str">
        <f>"3945504"</f>
        <v>3945504</v>
      </c>
      <c r="B169" s="207" t="s">
        <v>5831</v>
      </c>
      <c r="C169" s="209">
        <v>4.1900000000000004</v>
      </c>
      <c r="D169" s="203">
        <v>334023</v>
      </c>
      <c r="E169" s="205">
        <v>44035.616469907407</v>
      </c>
      <c r="F169" s="123">
        <v>8798</v>
      </c>
    </row>
    <row r="170" spans="1:6" x14ac:dyDescent="0.25">
      <c r="A170" s="203" t="str">
        <f>"3907525"</f>
        <v>3907525</v>
      </c>
      <c r="B170" s="207" t="s">
        <v>2905</v>
      </c>
      <c r="C170" s="209">
        <v>5.87</v>
      </c>
      <c r="D170" s="203">
        <v>333456</v>
      </c>
      <c r="E170" s="205">
        <v>44035.636111111111</v>
      </c>
      <c r="F170" s="123">
        <v>8799</v>
      </c>
    </row>
    <row r="171" spans="1:6" x14ac:dyDescent="0.25">
      <c r="A171" s="203" t="str">
        <f>"3907544"</f>
        <v>3907544</v>
      </c>
      <c r="B171" s="207" t="s">
        <v>2905</v>
      </c>
      <c r="C171" s="209">
        <v>1.94</v>
      </c>
      <c r="D171" s="203">
        <v>333455</v>
      </c>
      <c r="E171" s="205">
        <v>44035.637083333335</v>
      </c>
      <c r="F171" s="123">
        <v>8800</v>
      </c>
    </row>
    <row r="172" spans="1:6" s="164" customFormat="1" x14ac:dyDescent="0.25">
      <c r="A172" s="115"/>
      <c r="B172" s="115" t="s">
        <v>5691</v>
      </c>
      <c r="C172" s="222">
        <f>SUM(C159:C171)</f>
        <v>306.43</v>
      </c>
      <c r="D172" s="115">
        <v>17</v>
      </c>
      <c r="E172" s="163"/>
      <c r="F172" s="115"/>
    </row>
    <row r="173" spans="1:6" customFormat="1" x14ac:dyDescent="0.25">
      <c r="A173" s="118"/>
      <c r="B173" s="116"/>
      <c r="C173" s="223"/>
      <c r="D173" s="118"/>
      <c r="E173" s="117"/>
      <c r="F173" s="118"/>
    </row>
    <row r="174" spans="1:6" x14ac:dyDescent="0.25">
      <c r="A174" s="203" t="str">
        <f>"3900328"</f>
        <v>3900328</v>
      </c>
      <c r="B174" s="207" t="s">
        <v>2881</v>
      </c>
      <c r="C174" s="209">
        <v>10.220000000000001</v>
      </c>
      <c r="D174" s="203">
        <v>335435</v>
      </c>
      <c r="E174" s="205">
        <v>44036.375844907408</v>
      </c>
      <c r="F174" s="123">
        <v>8864</v>
      </c>
    </row>
    <row r="175" spans="1:6" x14ac:dyDescent="0.25">
      <c r="A175" s="203" t="str">
        <f>"3900325"</f>
        <v>3900325</v>
      </c>
      <c r="B175" s="207" t="s">
        <v>2881</v>
      </c>
      <c r="C175" s="209">
        <v>17.03</v>
      </c>
      <c r="D175" s="203">
        <v>335434</v>
      </c>
      <c r="E175" s="205">
        <v>44036.376689814817</v>
      </c>
      <c r="F175" s="123">
        <v>8865</v>
      </c>
    </row>
    <row r="176" spans="1:6" x14ac:dyDescent="0.25">
      <c r="A176" s="203" t="str">
        <f>"3908875"</f>
        <v>3908875</v>
      </c>
      <c r="B176" s="207" t="s">
        <v>5759</v>
      </c>
      <c r="C176" s="209">
        <v>5.04</v>
      </c>
      <c r="D176" s="203">
        <v>334590</v>
      </c>
      <c r="E176" s="205">
        <v>44036.423310185186</v>
      </c>
      <c r="F176" s="123">
        <v>8866</v>
      </c>
    </row>
    <row r="177" spans="1:6" x14ac:dyDescent="0.25">
      <c r="A177" s="203" t="str">
        <f>"3907029"</f>
        <v>3907029</v>
      </c>
      <c r="B177" s="207" t="s">
        <v>5878</v>
      </c>
      <c r="C177" s="209">
        <v>34.700000000000003</v>
      </c>
      <c r="D177" s="203">
        <v>334176</v>
      </c>
      <c r="E177" s="205">
        <v>44036.48369212963</v>
      </c>
      <c r="F177" s="123">
        <v>8867</v>
      </c>
    </row>
    <row r="178" spans="1:6" x14ac:dyDescent="0.25">
      <c r="A178" s="203" t="str">
        <f>"3930391"</f>
        <v>3930391</v>
      </c>
      <c r="B178" s="207" t="s">
        <v>5771</v>
      </c>
      <c r="C178" s="209">
        <v>7.45</v>
      </c>
      <c r="D178" s="203">
        <v>335147</v>
      </c>
      <c r="E178" s="205">
        <v>44036.508425925924</v>
      </c>
      <c r="F178" s="123">
        <v>8868</v>
      </c>
    </row>
    <row r="179" spans="1:6" x14ac:dyDescent="0.25">
      <c r="A179" s="203" t="str">
        <f>"3900397"</f>
        <v>3900397</v>
      </c>
      <c r="B179" s="207" t="s">
        <v>2984</v>
      </c>
      <c r="C179" s="209">
        <v>1.68</v>
      </c>
      <c r="D179" s="203">
        <v>333706</v>
      </c>
      <c r="E179" s="205">
        <v>44036.615555555552</v>
      </c>
      <c r="F179" s="123">
        <v>8869</v>
      </c>
    </row>
    <row r="180" spans="1:6" x14ac:dyDescent="0.25">
      <c r="A180" s="203" t="str">
        <f>"3903592"</f>
        <v>3903592</v>
      </c>
      <c r="B180" s="207" t="s">
        <v>2984</v>
      </c>
      <c r="C180" s="209">
        <v>6.51</v>
      </c>
      <c r="D180" s="203">
        <v>335020</v>
      </c>
      <c r="E180" s="205">
        <v>44036.616354166668</v>
      </c>
      <c r="F180" s="123">
        <v>8870</v>
      </c>
    </row>
    <row r="181" spans="1:6" x14ac:dyDescent="0.25">
      <c r="A181" s="203" t="str">
        <f>"3930030"</f>
        <v>3930030</v>
      </c>
      <c r="B181" s="207" t="s">
        <v>5830</v>
      </c>
      <c r="C181" s="209">
        <v>2.14</v>
      </c>
      <c r="D181" s="203">
        <v>334562</v>
      </c>
      <c r="E181" s="205">
        <v>44036.711724537039</v>
      </c>
      <c r="F181" s="123">
        <v>8871</v>
      </c>
    </row>
    <row r="182" spans="1:6" x14ac:dyDescent="0.25">
      <c r="A182" s="203" t="str">
        <f>"3908129"</f>
        <v>3908129</v>
      </c>
      <c r="B182" s="207" t="s">
        <v>5809</v>
      </c>
      <c r="C182" s="209">
        <v>1.68</v>
      </c>
      <c r="D182" s="203">
        <v>336124</v>
      </c>
      <c r="E182" s="205">
        <v>44036.721712962964</v>
      </c>
      <c r="F182" s="123">
        <v>8872</v>
      </c>
    </row>
    <row r="183" spans="1:6" s="164" customFormat="1" x14ac:dyDescent="0.25">
      <c r="A183" s="115"/>
      <c r="B183" s="115" t="s">
        <v>5691</v>
      </c>
      <c r="C183" s="222">
        <f>SUM(C174:C182)</f>
        <v>86.450000000000031</v>
      </c>
      <c r="D183" s="115">
        <v>18</v>
      </c>
      <c r="E183" s="163"/>
      <c r="F183" s="115"/>
    </row>
    <row r="184" spans="1:6" customFormat="1" x14ac:dyDescent="0.25">
      <c r="A184" s="118"/>
      <c r="B184" s="116"/>
      <c r="C184" s="223"/>
      <c r="D184" s="118"/>
      <c r="E184" s="117"/>
      <c r="F184" s="118"/>
    </row>
    <row r="185" spans="1:6" x14ac:dyDescent="0.25">
      <c r="A185" s="203" t="str">
        <f>"3909177"</f>
        <v>3909177</v>
      </c>
      <c r="B185" s="207" t="s">
        <v>2793</v>
      </c>
      <c r="C185" s="209">
        <v>4.5199999999999996</v>
      </c>
      <c r="D185" s="203">
        <v>335109</v>
      </c>
      <c r="E185" s="205">
        <v>44039.321122685185</v>
      </c>
      <c r="F185" s="123">
        <v>8949</v>
      </c>
    </row>
    <row r="186" spans="1:6" x14ac:dyDescent="0.25">
      <c r="A186" s="203" t="str">
        <f>"3900431"</f>
        <v>3900431</v>
      </c>
      <c r="B186" s="207" t="s">
        <v>2955</v>
      </c>
      <c r="C186" s="209">
        <v>14.57</v>
      </c>
      <c r="D186" s="203">
        <v>335481</v>
      </c>
      <c r="E186" s="205">
        <v>44039.627291666664</v>
      </c>
      <c r="F186" s="123">
        <v>8950</v>
      </c>
    </row>
    <row r="187" spans="1:6" x14ac:dyDescent="0.25">
      <c r="A187" s="203" t="str">
        <f>"3907960"</f>
        <v>3907960</v>
      </c>
      <c r="B187" s="207" t="s">
        <v>2916</v>
      </c>
      <c r="C187" s="209">
        <v>2.8</v>
      </c>
      <c r="D187" s="203">
        <v>335169</v>
      </c>
      <c r="E187" s="205">
        <v>44039.313703703701</v>
      </c>
      <c r="F187" s="123">
        <v>8951</v>
      </c>
    </row>
    <row r="188" spans="1:6" x14ac:dyDescent="0.25">
      <c r="A188" s="203" t="str">
        <f>"3930280"</f>
        <v>3930280</v>
      </c>
      <c r="B188" s="207" t="s">
        <v>2996</v>
      </c>
      <c r="C188" s="209">
        <v>8.4</v>
      </c>
      <c r="D188" s="203">
        <v>334961</v>
      </c>
      <c r="E188" s="205">
        <v>44039.341145833336</v>
      </c>
      <c r="F188" s="123">
        <v>8952</v>
      </c>
    </row>
    <row r="189" spans="1:6" x14ac:dyDescent="0.25">
      <c r="A189" s="203" t="str">
        <f>"3906750"</f>
        <v>3906750</v>
      </c>
      <c r="B189" s="207" t="s">
        <v>2911</v>
      </c>
      <c r="C189" s="209">
        <v>3.28</v>
      </c>
      <c r="D189" s="203">
        <v>334875</v>
      </c>
      <c r="E189" s="205">
        <v>44039.401909722219</v>
      </c>
      <c r="F189" s="123">
        <v>8953</v>
      </c>
    </row>
    <row r="190" spans="1:6" x14ac:dyDescent="0.25">
      <c r="A190" s="203" t="str">
        <f>"3920083"</f>
        <v>3920083</v>
      </c>
      <c r="B190" s="207" t="s">
        <v>2954</v>
      </c>
      <c r="C190" s="209">
        <v>4.72</v>
      </c>
      <c r="D190" s="203">
        <v>333914</v>
      </c>
      <c r="E190" s="205">
        <v>44039.487997685188</v>
      </c>
      <c r="F190" s="123">
        <v>8954</v>
      </c>
    </row>
    <row r="191" spans="1:6" x14ac:dyDescent="0.25">
      <c r="A191" s="203" t="str">
        <f>"3908160"</f>
        <v>3908160</v>
      </c>
      <c r="B191" s="207" t="s">
        <v>5877</v>
      </c>
      <c r="C191" s="209">
        <v>2.4300000000000002</v>
      </c>
      <c r="D191" s="203">
        <v>336147</v>
      </c>
      <c r="E191" s="205">
        <v>44039.652627314812</v>
      </c>
      <c r="F191" s="123">
        <v>8955</v>
      </c>
    </row>
    <row r="192" spans="1:6" x14ac:dyDescent="0.25">
      <c r="A192" s="203" t="str">
        <f>"3909119"</f>
        <v>3909119</v>
      </c>
      <c r="B192" s="207" t="s">
        <v>5876</v>
      </c>
      <c r="C192" s="209">
        <v>13.45</v>
      </c>
      <c r="D192" s="203">
        <v>318303</v>
      </c>
      <c r="E192" s="205">
        <v>44039.660358796296</v>
      </c>
      <c r="F192" s="123">
        <v>8957</v>
      </c>
    </row>
    <row r="193" spans="1:6" x14ac:dyDescent="0.25">
      <c r="A193" s="203" t="str">
        <f>"3909808"</f>
        <v>3909808</v>
      </c>
      <c r="B193" s="207" t="s">
        <v>2809</v>
      </c>
      <c r="C193" s="209">
        <v>9.93</v>
      </c>
      <c r="D193" s="203">
        <v>335314</v>
      </c>
      <c r="E193" s="205">
        <v>44039.676203703704</v>
      </c>
      <c r="F193" s="123">
        <v>8956</v>
      </c>
    </row>
    <row r="194" spans="1:6" s="164" customFormat="1" x14ac:dyDescent="0.25">
      <c r="A194" s="115"/>
      <c r="B194" s="115" t="s">
        <v>5691</v>
      </c>
      <c r="C194" s="222">
        <f>SUM(C185:C193)</f>
        <v>64.099999999999994</v>
      </c>
      <c r="D194" s="115">
        <v>19</v>
      </c>
      <c r="E194" s="163"/>
      <c r="F194" s="115"/>
    </row>
    <row r="195" spans="1:6" customFormat="1" x14ac:dyDescent="0.25">
      <c r="A195" s="118"/>
      <c r="B195" s="116"/>
      <c r="C195" s="223"/>
      <c r="D195" s="118"/>
      <c r="E195" s="117"/>
      <c r="F195" s="118"/>
    </row>
    <row r="196" spans="1:6" x14ac:dyDescent="0.25">
      <c r="A196" s="203" t="str">
        <f>"3907489"</f>
        <v>3907489</v>
      </c>
      <c r="B196" s="207" t="s">
        <v>5749</v>
      </c>
      <c r="C196" s="209">
        <v>6.94</v>
      </c>
      <c r="D196" s="203">
        <v>334243</v>
      </c>
      <c r="E196" s="205">
        <v>44040.440787037034</v>
      </c>
      <c r="F196" s="123">
        <v>9015</v>
      </c>
    </row>
    <row r="197" spans="1:6" x14ac:dyDescent="0.25">
      <c r="A197" s="203" t="str">
        <f>"3907377"</f>
        <v>3907377</v>
      </c>
      <c r="B197" s="207" t="s">
        <v>5801</v>
      </c>
      <c r="C197" s="209">
        <v>4.84</v>
      </c>
      <c r="D197" s="203">
        <v>335981</v>
      </c>
      <c r="E197" s="205">
        <v>44040.482638888891</v>
      </c>
      <c r="F197" s="123">
        <v>9016</v>
      </c>
    </row>
    <row r="198" spans="1:6" x14ac:dyDescent="0.25">
      <c r="A198" s="203" t="str">
        <f>"3903105"</f>
        <v>3903105</v>
      </c>
      <c r="B198" s="207" t="s">
        <v>2903</v>
      </c>
      <c r="C198" s="209">
        <v>1.94</v>
      </c>
      <c r="D198" s="203">
        <v>333668</v>
      </c>
      <c r="E198" s="205">
        <v>44040.58084490741</v>
      </c>
      <c r="F198" s="123">
        <v>9017</v>
      </c>
    </row>
    <row r="199" spans="1:6" x14ac:dyDescent="0.25">
      <c r="A199" s="203" t="str">
        <f>"3909794"</f>
        <v>3909794</v>
      </c>
      <c r="B199" s="207" t="s">
        <v>2784</v>
      </c>
      <c r="C199" s="209">
        <v>8.4</v>
      </c>
      <c r="D199" s="203">
        <v>333670</v>
      </c>
      <c r="E199" s="205">
        <v>44040.611006944448</v>
      </c>
      <c r="F199" s="123">
        <v>9018</v>
      </c>
    </row>
    <row r="200" spans="1:6" x14ac:dyDescent="0.25">
      <c r="A200" s="203" t="str">
        <f>"3900383"</f>
        <v>3900383</v>
      </c>
      <c r="B200" s="207" t="s">
        <v>2974</v>
      </c>
      <c r="C200" s="209">
        <v>3.23</v>
      </c>
      <c r="D200" s="203">
        <v>335461</v>
      </c>
      <c r="E200" s="205">
        <v>44040.766863425924</v>
      </c>
      <c r="F200" s="123">
        <v>9019</v>
      </c>
    </row>
    <row r="201" spans="1:6" x14ac:dyDescent="0.25">
      <c r="A201" s="203" t="str">
        <f>"3909959"</f>
        <v>3909959</v>
      </c>
      <c r="B201" s="207" t="s">
        <v>2998</v>
      </c>
      <c r="C201" s="209">
        <v>23.92</v>
      </c>
      <c r="D201" s="203">
        <v>334452</v>
      </c>
      <c r="E201" s="205">
        <v>44040.831192129626</v>
      </c>
      <c r="F201" s="123">
        <v>9020</v>
      </c>
    </row>
    <row r="202" spans="1:6" s="164" customFormat="1" x14ac:dyDescent="0.25">
      <c r="A202" s="115"/>
      <c r="B202" s="115" t="s">
        <v>5691</v>
      </c>
      <c r="C202" s="222">
        <f>SUM(C196:C201)</f>
        <v>49.27</v>
      </c>
      <c r="D202" s="115">
        <v>20</v>
      </c>
      <c r="E202" s="163"/>
      <c r="F202" s="115"/>
    </row>
    <row r="203" spans="1:6" customFormat="1" x14ac:dyDescent="0.25">
      <c r="A203" s="118"/>
      <c r="B203" s="116"/>
      <c r="C203" s="223"/>
      <c r="D203" s="118"/>
      <c r="E203" s="117"/>
      <c r="F203" s="118"/>
    </row>
    <row r="204" spans="1:6" x14ac:dyDescent="0.25">
      <c r="A204" s="203" t="str">
        <f>"3960276"</f>
        <v>3960276</v>
      </c>
      <c r="B204" s="207" t="s">
        <v>2894</v>
      </c>
      <c r="C204" s="209">
        <v>12.3</v>
      </c>
      <c r="D204" s="203">
        <v>333907</v>
      </c>
      <c r="E204" s="205">
        <v>44041.404039351852</v>
      </c>
      <c r="F204" s="123">
        <v>9069</v>
      </c>
    </row>
    <row r="205" spans="1:6" s="164" customFormat="1" x14ac:dyDescent="0.25">
      <c r="A205" s="115"/>
      <c r="B205" s="115" t="s">
        <v>5691</v>
      </c>
      <c r="C205" s="222">
        <f>SUM(C204)</f>
        <v>12.3</v>
      </c>
      <c r="D205" s="115">
        <v>21</v>
      </c>
      <c r="E205" s="163"/>
      <c r="F205" s="115"/>
    </row>
    <row r="206" spans="1:6" customFormat="1" x14ac:dyDescent="0.25">
      <c r="A206" s="118"/>
      <c r="B206" s="116"/>
      <c r="C206" s="223"/>
      <c r="D206" s="118"/>
      <c r="E206" s="117"/>
      <c r="F206" s="118"/>
    </row>
    <row r="207" spans="1:6" x14ac:dyDescent="0.25">
      <c r="A207" s="203" t="str">
        <f>"3906821"</f>
        <v>3906821</v>
      </c>
      <c r="B207" s="207" t="s">
        <v>2950</v>
      </c>
      <c r="C207" s="209">
        <v>3.96</v>
      </c>
      <c r="D207" s="203">
        <v>335061</v>
      </c>
      <c r="E207" s="205">
        <v>44042.385682870372</v>
      </c>
      <c r="F207" s="123">
        <v>9099</v>
      </c>
    </row>
    <row r="208" spans="1:6" x14ac:dyDescent="0.25">
      <c r="A208" s="203" t="str">
        <f>"3904810"</f>
        <v>3904810</v>
      </c>
      <c r="B208" s="207" t="s">
        <v>5875</v>
      </c>
      <c r="C208" s="209">
        <v>60.6</v>
      </c>
      <c r="D208" s="203">
        <v>333376</v>
      </c>
      <c r="E208" s="205">
        <v>44042.421296296299</v>
      </c>
      <c r="F208" s="123">
        <v>9100</v>
      </c>
    </row>
    <row r="209" spans="1:6" x14ac:dyDescent="0.25">
      <c r="A209" s="203" t="str">
        <f>"3907618"</f>
        <v>3907618</v>
      </c>
      <c r="B209" s="207" t="s">
        <v>2783</v>
      </c>
      <c r="C209" s="209">
        <v>8.8800000000000008</v>
      </c>
      <c r="D209" s="203">
        <v>336068</v>
      </c>
      <c r="E209" s="205">
        <v>44042.451666666668</v>
      </c>
      <c r="F209" s="123">
        <v>9101</v>
      </c>
    </row>
    <row r="210" spans="1:6" x14ac:dyDescent="0.25">
      <c r="A210" s="203" t="str">
        <f>"3906819"</f>
        <v>3906819</v>
      </c>
      <c r="B210" s="207" t="s">
        <v>5874</v>
      </c>
      <c r="C210" s="209">
        <v>8.1300000000000008</v>
      </c>
      <c r="D210" s="203">
        <v>335058</v>
      </c>
      <c r="E210" s="205">
        <v>44042.480439814812</v>
      </c>
      <c r="F210" s="123">
        <v>9102</v>
      </c>
    </row>
    <row r="211" spans="1:6" x14ac:dyDescent="0.25">
      <c r="A211" s="203" t="str">
        <f>"3960346"</f>
        <v>3960346</v>
      </c>
      <c r="B211" s="207" t="s">
        <v>5835</v>
      </c>
      <c r="C211" s="209">
        <v>8.3800000000000008</v>
      </c>
      <c r="D211" s="203">
        <v>333958</v>
      </c>
      <c r="E211" s="205">
        <v>44042.590324074074</v>
      </c>
      <c r="F211" s="123">
        <v>9103</v>
      </c>
    </row>
    <row r="212" spans="1:6" x14ac:dyDescent="0.25">
      <c r="A212" s="203" t="str">
        <f>"3908939"</f>
        <v>3908939</v>
      </c>
      <c r="B212" s="207" t="s">
        <v>5851</v>
      </c>
      <c r="C212" s="209">
        <v>14.76</v>
      </c>
      <c r="D212" s="203">
        <v>333506</v>
      </c>
      <c r="E212" s="205">
        <v>44042.802303240744</v>
      </c>
      <c r="F212" s="123">
        <v>9104</v>
      </c>
    </row>
    <row r="213" spans="1:6" s="164" customFormat="1" x14ac:dyDescent="0.25">
      <c r="A213" s="115"/>
      <c r="B213" s="115" t="s">
        <v>5691</v>
      </c>
      <c r="C213" s="222">
        <f>SUM(C207:C212)</f>
        <v>104.71</v>
      </c>
      <c r="D213" s="115">
        <v>22</v>
      </c>
      <c r="E213" s="163"/>
      <c r="F213" s="115"/>
    </row>
    <row r="214" spans="1:6" customFormat="1" x14ac:dyDescent="0.25">
      <c r="A214" s="118"/>
      <c r="B214" s="116"/>
      <c r="C214" s="223"/>
      <c r="D214" s="118"/>
      <c r="E214" s="117"/>
      <c r="F214" s="118"/>
    </row>
    <row r="215" spans="1:6" x14ac:dyDescent="0.25">
      <c r="A215" s="203" t="str">
        <f>"3960252"</f>
        <v>3960252</v>
      </c>
      <c r="B215" s="207" t="s">
        <v>5816</v>
      </c>
      <c r="C215" s="209">
        <v>8.3800000000000008</v>
      </c>
      <c r="D215" s="203">
        <v>333957</v>
      </c>
      <c r="E215" s="205">
        <v>44043.405393518522</v>
      </c>
      <c r="F215" s="123">
        <v>9162</v>
      </c>
    </row>
    <row r="216" spans="1:6" x14ac:dyDescent="0.25">
      <c r="A216" s="203" t="str">
        <f>"3960265"</f>
        <v>3960265</v>
      </c>
      <c r="B216" s="207" t="s">
        <v>2999</v>
      </c>
      <c r="C216" s="209">
        <v>12.3</v>
      </c>
      <c r="D216" s="203">
        <v>333882</v>
      </c>
      <c r="E216" s="205">
        <v>44043.427523148152</v>
      </c>
      <c r="F216" s="123">
        <v>9163</v>
      </c>
    </row>
    <row r="217" spans="1:6" x14ac:dyDescent="0.25">
      <c r="A217" s="203" t="str">
        <f>"3960091"</f>
        <v>3960091</v>
      </c>
      <c r="B217" s="207" t="s">
        <v>5810</v>
      </c>
      <c r="C217" s="209">
        <v>8.5</v>
      </c>
      <c r="D217" s="203">
        <v>334053</v>
      </c>
      <c r="E217" s="205">
        <v>44043.689016203702</v>
      </c>
      <c r="F217" s="123">
        <v>9164</v>
      </c>
    </row>
    <row r="218" spans="1:6" x14ac:dyDescent="0.25">
      <c r="A218" s="203" t="str">
        <f>"3908064"</f>
        <v>3908064</v>
      </c>
      <c r="B218" s="207" t="s">
        <v>2976</v>
      </c>
      <c r="C218" s="209">
        <v>14.81</v>
      </c>
      <c r="D218" s="203">
        <v>335232</v>
      </c>
      <c r="E218" s="205">
        <v>44043.843148148146</v>
      </c>
      <c r="F218" s="123">
        <v>9165</v>
      </c>
    </row>
    <row r="219" spans="1:6" s="164" customFormat="1" x14ac:dyDescent="0.25">
      <c r="A219" s="115"/>
      <c r="B219" s="115" t="s">
        <v>5691</v>
      </c>
      <c r="C219" s="222">
        <f>SUM(C215:C218)</f>
        <v>43.99</v>
      </c>
      <c r="D219" s="115">
        <v>23</v>
      </c>
      <c r="E219" s="163"/>
      <c r="F219" s="115"/>
    </row>
    <row r="220" spans="1:6" customFormat="1" x14ac:dyDescent="0.25">
      <c r="A220" s="118"/>
      <c r="B220" s="116"/>
      <c r="C220" s="223"/>
      <c r="D220" s="118"/>
      <c r="E220" s="117"/>
      <c r="F220" s="118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0" fitToHeight="5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5A668-E672-43D3-9901-5CBAB610BA9A}">
  <sheetPr>
    <pageSetUpPr fitToPage="1"/>
  </sheetPr>
  <dimension ref="A1:K413"/>
  <sheetViews>
    <sheetView workbookViewId="0">
      <selection activeCell="H1" sqref="H1:H1048576"/>
    </sheetView>
  </sheetViews>
  <sheetFormatPr baseColWidth="10" defaultColWidth="26.42578125" defaultRowHeight="15.75" x14ac:dyDescent="0.25"/>
  <cols>
    <col min="1" max="1" width="9.85546875" style="137" bestFit="1" customWidth="1"/>
    <col min="2" max="2" width="9" style="137" bestFit="1" customWidth="1"/>
    <col min="3" max="3" width="35.7109375" style="137" customWidth="1"/>
    <col min="4" max="4" width="9.85546875" style="137" bestFit="1" customWidth="1"/>
    <col min="5" max="5" width="10.140625" style="142" customWidth="1"/>
    <col min="6" max="6" width="15.42578125" style="137" bestFit="1" customWidth="1"/>
    <col min="7" max="7" width="8.7109375" style="137" bestFit="1" customWidth="1"/>
    <col min="8" max="8" width="8.5703125" style="137" bestFit="1" customWidth="1"/>
    <col min="9" max="10" width="26.42578125" style="137"/>
    <col min="11" max="11" width="1.5703125" style="137" bestFit="1" customWidth="1"/>
    <col min="12" max="16384" width="26.42578125" style="137"/>
  </cols>
  <sheetData>
    <row r="1" spans="1:8" ht="16.5" thickBot="1" x14ac:dyDescent="0.3">
      <c r="A1" s="380" t="s">
        <v>14425</v>
      </c>
      <c r="B1" s="381"/>
      <c r="C1" s="381"/>
      <c r="D1" s="381"/>
      <c r="E1" s="381"/>
      <c r="F1" s="381"/>
      <c r="G1" s="143"/>
      <c r="H1" s="201"/>
    </row>
    <row r="2" spans="1:8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ht="31.5" x14ac:dyDescent="0.25">
      <c r="A3" s="134" t="s">
        <v>12125</v>
      </c>
      <c r="B3" s="134" t="s">
        <v>12148</v>
      </c>
      <c r="C3" s="134" t="s">
        <v>12147</v>
      </c>
      <c r="D3" s="134" t="s">
        <v>6699</v>
      </c>
      <c r="E3" s="139">
        <v>1.68</v>
      </c>
      <c r="F3" s="134" t="s">
        <v>6698</v>
      </c>
      <c r="G3" s="134" t="s">
        <v>3007</v>
      </c>
      <c r="H3" s="123">
        <v>7864</v>
      </c>
    </row>
    <row r="4" spans="1:8" ht="31.5" x14ac:dyDescent="0.25">
      <c r="A4" s="134" t="s">
        <v>12125</v>
      </c>
      <c r="B4" s="134" t="s">
        <v>12146</v>
      </c>
      <c r="C4" s="134" t="s">
        <v>12145</v>
      </c>
      <c r="D4" s="134" t="s">
        <v>12144</v>
      </c>
      <c r="E4" s="139">
        <v>8.3800000000000008</v>
      </c>
      <c r="F4" s="134" t="s">
        <v>12143</v>
      </c>
      <c r="G4" s="134" t="s">
        <v>3007</v>
      </c>
      <c r="H4" s="123">
        <v>7865</v>
      </c>
    </row>
    <row r="5" spans="1:8" ht="31.5" x14ac:dyDescent="0.25">
      <c r="A5" s="134" t="s">
        <v>12125</v>
      </c>
      <c r="B5" s="134" t="s">
        <v>12000</v>
      </c>
      <c r="C5" s="134" t="s">
        <v>12142</v>
      </c>
      <c r="D5" s="134" t="s">
        <v>12141</v>
      </c>
      <c r="E5" s="139">
        <v>3.9</v>
      </c>
      <c r="F5" s="134" t="s">
        <v>12140</v>
      </c>
      <c r="G5" s="134" t="s">
        <v>3007</v>
      </c>
      <c r="H5" s="123">
        <v>7866</v>
      </c>
    </row>
    <row r="6" spans="1:8" ht="31.5" x14ac:dyDescent="0.25">
      <c r="A6" s="134" t="s">
        <v>12125</v>
      </c>
      <c r="B6" s="134" t="s">
        <v>12139</v>
      </c>
      <c r="C6" s="134" t="s">
        <v>12138</v>
      </c>
      <c r="D6" s="134" t="s">
        <v>7152</v>
      </c>
      <c r="E6" s="139">
        <v>1.68</v>
      </c>
      <c r="F6" s="134" t="s">
        <v>7151</v>
      </c>
      <c r="G6" s="134" t="s">
        <v>3007</v>
      </c>
      <c r="H6" s="123">
        <v>7867</v>
      </c>
    </row>
    <row r="7" spans="1:8" ht="31.5" x14ac:dyDescent="0.25">
      <c r="A7" s="134" t="s">
        <v>12125</v>
      </c>
      <c r="B7" s="134" t="s">
        <v>12137</v>
      </c>
      <c r="C7" s="134" t="s">
        <v>12136</v>
      </c>
      <c r="D7" s="134" t="s">
        <v>6842</v>
      </c>
      <c r="E7" s="139">
        <v>2.76</v>
      </c>
      <c r="F7" s="134" t="s">
        <v>6841</v>
      </c>
      <c r="G7" s="134" t="s">
        <v>3007</v>
      </c>
      <c r="H7" s="123">
        <v>7868</v>
      </c>
    </row>
    <row r="8" spans="1:8" ht="31.5" x14ac:dyDescent="0.25">
      <c r="A8" s="134" t="s">
        <v>12125</v>
      </c>
      <c r="B8" s="134" t="s">
        <v>12135</v>
      </c>
      <c r="C8" s="134" t="s">
        <v>12134</v>
      </c>
      <c r="D8" s="134" t="s">
        <v>5032</v>
      </c>
      <c r="E8" s="139">
        <v>19.86</v>
      </c>
      <c r="F8" s="134" t="s">
        <v>5031</v>
      </c>
      <c r="G8" s="134" t="s">
        <v>3007</v>
      </c>
      <c r="H8" s="123">
        <v>7869</v>
      </c>
    </row>
    <row r="9" spans="1:8" ht="31.5" x14ac:dyDescent="0.25">
      <c r="A9" s="134" t="s">
        <v>12125</v>
      </c>
      <c r="B9" s="134" t="s">
        <v>12133</v>
      </c>
      <c r="C9" s="134" t="s">
        <v>12132</v>
      </c>
      <c r="D9" s="134" t="s">
        <v>12131</v>
      </c>
      <c r="E9" s="139">
        <v>39.619999999999997</v>
      </c>
      <c r="F9" s="134" t="s">
        <v>12130</v>
      </c>
      <c r="G9" s="134" t="s">
        <v>3007</v>
      </c>
      <c r="H9" s="123">
        <v>7870</v>
      </c>
    </row>
    <row r="10" spans="1:8" ht="31.5" x14ac:dyDescent="0.25">
      <c r="A10" s="134" t="s">
        <v>12125</v>
      </c>
      <c r="B10" s="134" t="s">
        <v>12129</v>
      </c>
      <c r="C10" s="134" t="s">
        <v>12128</v>
      </c>
      <c r="D10" s="134" t="s">
        <v>10042</v>
      </c>
      <c r="E10" s="139">
        <v>1.95</v>
      </c>
      <c r="F10" s="134" t="s">
        <v>10041</v>
      </c>
      <c r="G10" s="134" t="s">
        <v>3007</v>
      </c>
      <c r="H10" s="123">
        <v>7871</v>
      </c>
    </row>
    <row r="11" spans="1:8" ht="31.5" x14ac:dyDescent="0.25">
      <c r="A11" s="134" t="s">
        <v>12125</v>
      </c>
      <c r="B11" s="134" t="s">
        <v>12127</v>
      </c>
      <c r="C11" s="134" t="s">
        <v>12126</v>
      </c>
      <c r="D11" s="134" t="s">
        <v>3042</v>
      </c>
      <c r="E11" s="139">
        <v>4.8</v>
      </c>
      <c r="F11" s="134" t="s">
        <v>3041</v>
      </c>
      <c r="G11" s="134" t="s">
        <v>3007</v>
      </c>
      <c r="H11" s="123">
        <v>7872</v>
      </c>
    </row>
    <row r="12" spans="1:8" ht="31.5" x14ac:dyDescent="0.25">
      <c r="A12" s="134" t="s">
        <v>12125</v>
      </c>
      <c r="B12" s="134" t="s">
        <v>12124</v>
      </c>
      <c r="C12" s="134" t="s">
        <v>12123</v>
      </c>
      <c r="D12" s="134" t="s">
        <v>3325</v>
      </c>
      <c r="E12" s="139">
        <v>8.3800000000000008</v>
      </c>
      <c r="F12" s="134" t="s">
        <v>3324</v>
      </c>
      <c r="G12" s="134" t="s">
        <v>3007</v>
      </c>
      <c r="H12" s="123">
        <v>7873</v>
      </c>
    </row>
    <row r="13" spans="1:8" ht="31.5" x14ac:dyDescent="0.25">
      <c r="A13" s="134" t="s">
        <v>12068</v>
      </c>
      <c r="B13" s="134" t="s">
        <v>7052</v>
      </c>
      <c r="C13" s="134" t="s">
        <v>12122</v>
      </c>
      <c r="D13" s="134" t="s">
        <v>11343</v>
      </c>
      <c r="E13" s="139">
        <v>5.04</v>
      </c>
      <c r="F13" s="134" t="s">
        <v>11342</v>
      </c>
      <c r="G13" s="134" t="s">
        <v>3007</v>
      </c>
      <c r="H13" s="123">
        <v>7897</v>
      </c>
    </row>
    <row r="14" spans="1:8" ht="31.5" x14ac:dyDescent="0.25">
      <c r="A14" s="134" t="s">
        <v>12068</v>
      </c>
      <c r="B14" s="134" t="s">
        <v>12121</v>
      </c>
      <c r="C14" s="134" t="s">
        <v>12120</v>
      </c>
      <c r="D14" s="134" t="s">
        <v>11115</v>
      </c>
      <c r="E14" s="139">
        <v>4.41</v>
      </c>
      <c r="F14" s="134" t="s">
        <v>11114</v>
      </c>
      <c r="G14" s="134" t="s">
        <v>3007</v>
      </c>
      <c r="H14" s="123">
        <v>7898</v>
      </c>
    </row>
    <row r="15" spans="1:8" ht="31.5" x14ac:dyDescent="0.25">
      <c r="A15" s="134" t="s">
        <v>12068</v>
      </c>
      <c r="B15" s="134" t="s">
        <v>12119</v>
      </c>
      <c r="C15" s="134" t="s">
        <v>12118</v>
      </c>
      <c r="D15" s="134" t="s">
        <v>10722</v>
      </c>
      <c r="E15" s="139">
        <v>1.68</v>
      </c>
      <c r="F15" s="134" t="s">
        <v>10721</v>
      </c>
      <c r="G15" s="134" t="s">
        <v>3007</v>
      </c>
      <c r="H15" s="123">
        <v>7899</v>
      </c>
    </row>
    <row r="16" spans="1:8" ht="31.5" x14ac:dyDescent="0.25">
      <c r="A16" s="134" t="s">
        <v>12068</v>
      </c>
      <c r="B16" s="134" t="s">
        <v>12117</v>
      </c>
      <c r="C16" s="134" t="s">
        <v>12116</v>
      </c>
      <c r="D16" s="134" t="s">
        <v>11379</v>
      </c>
      <c r="E16" s="139">
        <v>10.08</v>
      </c>
      <c r="F16" s="134" t="s">
        <v>11378</v>
      </c>
      <c r="G16" s="134" t="s">
        <v>3007</v>
      </c>
      <c r="H16" s="123">
        <v>7900</v>
      </c>
    </row>
    <row r="17" spans="1:8" ht="31.5" x14ac:dyDescent="0.25">
      <c r="A17" s="134" t="s">
        <v>12068</v>
      </c>
      <c r="B17" s="134" t="s">
        <v>12115</v>
      </c>
      <c r="C17" s="134" t="s">
        <v>12114</v>
      </c>
      <c r="D17" s="134" t="s">
        <v>6022</v>
      </c>
      <c r="E17" s="139">
        <v>1.68</v>
      </c>
      <c r="F17" s="134" t="s">
        <v>6021</v>
      </c>
      <c r="G17" s="134" t="s">
        <v>3007</v>
      </c>
      <c r="H17" s="123">
        <v>7901</v>
      </c>
    </row>
    <row r="18" spans="1:8" ht="31.5" x14ac:dyDescent="0.25">
      <c r="A18" s="134" t="s">
        <v>12068</v>
      </c>
      <c r="B18" s="134" t="s">
        <v>12113</v>
      </c>
      <c r="C18" s="134" t="s">
        <v>12112</v>
      </c>
      <c r="D18" s="134" t="s">
        <v>5518</v>
      </c>
      <c r="E18" s="139">
        <v>7.54</v>
      </c>
      <c r="F18" s="134" t="s">
        <v>5517</v>
      </c>
      <c r="G18" s="134" t="s">
        <v>3007</v>
      </c>
      <c r="H18" s="123">
        <v>7902</v>
      </c>
    </row>
    <row r="19" spans="1:8" ht="31.5" x14ac:dyDescent="0.25">
      <c r="A19" s="134" t="s">
        <v>12068</v>
      </c>
      <c r="B19" s="134" t="s">
        <v>12111</v>
      </c>
      <c r="C19" s="134" t="s">
        <v>12110</v>
      </c>
      <c r="D19" s="134" t="s">
        <v>9218</v>
      </c>
      <c r="E19" s="139">
        <v>24.6</v>
      </c>
      <c r="F19" s="134" t="s">
        <v>9217</v>
      </c>
      <c r="G19" s="134" t="s">
        <v>3007</v>
      </c>
      <c r="H19" s="123">
        <v>7903</v>
      </c>
    </row>
    <row r="20" spans="1:8" ht="31.5" x14ac:dyDescent="0.25">
      <c r="A20" s="134" t="s">
        <v>12068</v>
      </c>
      <c r="B20" s="134" t="s">
        <v>12109</v>
      </c>
      <c r="C20" s="134" t="s">
        <v>12108</v>
      </c>
      <c r="D20" s="134" t="s">
        <v>7966</v>
      </c>
      <c r="E20" s="139">
        <v>4.55</v>
      </c>
      <c r="F20" s="134" t="s">
        <v>7965</v>
      </c>
      <c r="G20" s="134" t="s">
        <v>3007</v>
      </c>
      <c r="H20" s="123">
        <v>7904</v>
      </c>
    </row>
    <row r="21" spans="1:8" ht="31.5" x14ac:dyDescent="0.25">
      <c r="A21" s="134" t="s">
        <v>12068</v>
      </c>
      <c r="B21" s="134" t="s">
        <v>12107</v>
      </c>
      <c r="C21" s="134" t="s">
        <v>12106</v>
      </c>
      <c r="D21" s="134" t="s">
        <v>6629</v>
      </c>
      <c r="E21" s="139">
        <v>8.4</v>
      </c>
      <c r="F21" s="134" t="s">
        <v>6628</v>
      </c>
      <c r="G21" s="134" t="s">
        <v>3007</v>
      </c>
      <c r="H21" s="123">
        <v>7905</v>
      </c>
    </row>
    <row r="22" spans="1:8" ht="31.5" x14ac:dyDescent="0.25">
      <c r="A22" s="134" t="s">
        <v>12068</v>
      </c>
      <c r="B22" s="134" t="s">
        <v>12105</v>
      </c>
      <c r="C22" s="134" t="s">
        <v>12104</v>
      </c>
      <c r="D22" s="134" t="s">
        <v>7011</v>
      </c>
      <c r="E22" s="139">
        <v>8.3800000000000008</v>
      </c>
      <c r="F22" s="134" t="s">
        <v>7010</v>
      </c>
      <c r="G22" s="134" t="s">
        <v>3007</v>
      </c>
      <c r="H22" s="123">
        <v>7906</v>
      </c>
    </row>
    <row r="23" spans="1:8" ht="31.5" x14ac:dyDescent="0.25">
      <c r="A23" s="134" t="s">
        <v>12068</v>
      </c>
      <c r="B23" s="134" t="s">
        <v>5480</v>
      </c>
      <c r="C23" s="134" t="s">
        <v>12103</v>
      </c>
      <c r="D23" s="134" t="s">
        <v>10050</v>
      </c>
      <c r="E23" s="139">
        <v>11.42</v>
      </c>
      <c r="F23" s="134" t="s">
        <v>10049</v>
      </c>
      <c r="G23" s="134" t="s">
        <v>3007</v>
      </c>
      <c r="H23" s="123">
        <v>7907</v>
      </c>
    </row>
    <row r="24" spans="1:8" ht="31.5" x14ac:dyDescent="0.25">
      <c r="A24" s="134" t="s">
        <v>12068</v>
      </c>
      <c r="B24" s="134" t="s">
        <v>12102</v>
      </c>
      <c r="C24" s="134" t="s">
        <v>12101</v>
      </c>
      <c r="D24" s="134" t="s">
        <v>12100</v>
      </c>
      <c r="E24" s="139">
        <v>49.2</v>
      </c>
      <c r="F24" s="134" t="s">
        <v>12099</v>
      </c>
      <c r="G24" s="134" t="s">
        <v>3007</v>
      </c>
      <c r="H24" s="123">
        <v>7908</v>
      </c>
    </row>
    <row r="25" spans="1:8" ht="31.5" x14ac:dyDescent="0.25">
      <c r="A25" s="134" t="s">
        <v>12068</v>
      </c>
      <c r="B25" s="134" t="s">
        <v>12098</v>
      </c>
      <c r="C25" s="134" t="s">
        <v>12097</v>
      </c>
      <c r="D25" s="134" t="s">
        <v>7169</v>
      </c>
      <c r="E25" s="139">
        <v>6.01</v>
      </c>
      <c r="F25" s="134" t="s">
        <v>7168</v>
      </c>
      <c r="G25" s="134" t="s">
        <v>3007</v>
      </c>
      <c r="H25" s="123">
        <v>7909</v>
      </c>
    </row>
    <row r="26" spans="1:8" ht="31.5" x14ac:dyDescent="0.25">
      <c r="A26" s="134" t="s">
        <v>12068</v>
      </c>
      <c r="B26" s="134" t="s">
        <v>12096</v>
      </c>
      <c r="C26" s="134" t="s">
        <v>12095</v>
      </c>
      <c r="D26" s="134" t="s">
        <v>4488</v>
      </c>
      <c r="E26" s="139">
        <v>5.59</v>
      </c>
      <c r="F26" s="134" t="s">
        <v>4487</v>
      </c>
      <c r="G26" s="134" t="s">
        <v>3007</v>
      </c>
      <c r="H26" s="123">
        <v>7910</v>
      </c>
    </row>
    <row r="27" spans="1:8" ht="31.5" x14ac:dyDescent="0.25">
      <c r="A27" s="134" t="s">
        <v>12068</v>
      </c>
      <c r="B27" s="134" t="s">
        <v>10795</v>
      </c>
      <c r="C27" s="134" t="s">
        <v>12094</v>
      </c>
      <c r="D27" s="134" t="s">
        <v>3668</v>
      </c>
      <c r="E27" s="139">
        <v>5.5</v>
      </c>
      <c r="F27" s="134" t="s">
        <v>3667</v>
      </c>
      <c r="G27" s="134" t="s">
        <v>3007</v>
      </c>
      <c r="H27" s="123">
        <v>7911</v>
      </c>
    </row>
    <row r="28" spans="1:8" ht="31.5" x14ac:dyDescent="0.25">
      <c r="A28" s="134" t="s">
        <v>12068</v>
      </c>
      <c r="B28" s="134" t="s">
        <v>12093</v>
      </c>
      <c r="C28" s="134" t="s">
        <v>12092</v>
      </c>
      <c r="D28" s="134" t="s">
        <v>5273</v>
      </c>
      <c r="E28" s="139">
        <v>4.09</v>
      </c>
      <c r="F28" s="134" t="s">
        <v>5272</v>
      </c>
      <c r="G28" s="134" t="s">
        <v>3007</v>
      </c>
      <c r="H28" s="123">
        <v>7912</v>
      </c>
    </row>
    <row r="29" spans="1:8" ht="31.5" x14ac:dyDescent="0.25">
      <c r="A29" s="134" t="s">
        <v>12068</v>
      </c>
      <c r="B29" s="134" t="s">
        <v>10515</v>
      </c>
      <c r="C29" s="134" t="s">
        <v>12091</v>
      </c>
      <c r="D29" s="134" t="s">
        <v>5277</v>
      </c>
      <c r="E29" s="139">
        <v>8.0500000000000007</v>
      </c>
      <c r="F29" s="134" t="s">
        <v>5276</v>
      </c>
      <c r="G29" s="134" t="s">
        <v>3007</v>
      </c>
      <c r="H29" s="124">
        <v>7913</v>
      </c>
    </row>
    <row r="30" spans="1:8" ht="31.5" x14ac:dyDescent="0.25">
      <c r="A30" s="134" t="s">
        <v>12068</v>
      </c>
      <c r="B30" s="134" t="s">
        <v>12090</v>
      </c>
      <c r="C30" s="134" t="s">
        <v>12089</v>
      </c>
      <c r="D30" s="134" t="s">
        <v>5983</v>
      </c>
      <c r="E30" s="139">
        <v>0.01</v>
      </c>
      <c r="F30" s="134" t="s">
        <v>5982</v>
      </c>
      <c r="G30" s="134" t="s">
        <v>3007</v>
      </c>
      <c r="H30" s="124">
        <v>7914</v>
      </c>
    </row>
    <row r="31" spans="1:8" ht="31.5" x14ac:dyDescent="0.25">
      <c r="A31" s="134" t="s">
        <v>12068</v>
      </c>
      <c r="B31" s="134" t="s">
        <v>12088</v>
      </c>
      <c r="C31" s="134" t="s">
        <v>12087</v>
      </c>
      <c r="D31" s="134" t="s">
        <v>4953</v>
      </c>
      <c r="E31" s="139">
        <v>2.4900000000000002</v>
      </c>
      <c r="F31" s="134" t="s">
        <v>4952</v>
      </c>
      <c r="G31" s="134" t="s">
        <v>3007</v>
      </c>
      <c r="H31" s="124">
        <v>7915</v>
      </c>
    </row>
    <row r="32" spans="1:8" ht="31.5" x14ac:dyDescent="0.25">
      <c r="A32" s="134" t="s">
        <v>12068</v>
      </c>
      <c r="B32" s="134" t="s">
        <v>12086</v>
      </c>
      <c r="C32" s="134" t="s">
        <v>12085</v>
      </c>
      <c r="D32" s="134" t="s">
        <v>6053</v>
      </c>
      <c r="E32" s="139">
        <v>13.04</v>
      </c>
      <c r="F32" s="134" t="s">
        <v>6052</v>
      </c>
      <c r="G32" s="134" t="s">
        <v>3007</v>
      </c>
      <c r="H32" s="124">
        <v>7916</v>
      </c>
    </row>
    <row r="33" spans="1:11" ht="31.5" x14ac:dyDescent="0.25">
      <c r="A33" s="134" t="s">
        <v>12068</v>
      </c>
      <c r="B33" s="134" t="s">
        <v>12084</v>
      </c>
      <c r="C33" s="134" t="s">
        <v>12083</v>
      </c>
      <c r="D33" s="134" t="s">
        <v>5618</v>
      </c>
      <c r="E33" s="139">
        <v>6</v>
      </c>
      <c r="F33" s="134" t="s">
        <v>5617</v>
      </c>
      <c r="G33" s="134" t="s">
        <v>3007</v>
      </c>
      <c r="H33" s="124">
        <v>7917</v>
      </c>
    </row>
    <row r="34" spans="1:11" ht="31.5" x14ac:dyDescent="0.25">
      <c r="A34" s="134" t="s">
        <v>12068</v>
      </c>
      <c r="B34" s="134" t="s">
        <v>12082</v>
      </c>
      <c r="C34" s="134" t="s">
        <v>12081</v>
      </c>
      <c r="D34" s="134" t="s">
        <v>9725</v>
      </c>
      <c r="E34" s="139">
        <v>3.91</v>
      </c>
      <c r="F34" s="134" t="s">
        <v>9724</v>
      </c>
      <c r="G34" s="134" t="s">
        <v>3007</v>
      </c>
      <c r="H34" s="124">
        <v>7918</v>
      </c>
    </row>
    <row r="35" spans="1:11" ht="31.5" x14ac:dyDescent="0.25">
      <c r="A35" s="134" t="s">
        <v>12068</v>
      </c>
      <c r="B35" s="134" t="s">
        <v>12080</v>
      </c>
      <c r="C35" s="134" t="s">
        <v>12079</v>
      </c>
      <c r="D35" s="134" t="s">
        <v>5413</v>
      </c>
      <c r="E35" s="139">
        <v>16</v>
      </c>
      <c r="F35" s="134" t="s">
        <v>5412</v>
      </c>
      <c r="G35" s="134" t="s">
        <v>3007</v>
      </c>
      <c r="H35" s="124">
        <v>7919</v>
      </c>
    </row>
    <row r="36" spans="1:11" ht="31.5" x14ac:dyDescent="0.25">
      <c r="A36" s="134" t="s">
        <v>12068</v>
      </c>
      <c r="B36" s="134" t="s">
        <v>12078</v>
      </c>
      <c r="C36" s="134" t="s">
        <v>12077</v>
      </c>
      <c r="D36" s="134" t="s">
        <v>5600</v>
      </c>
      <c r="E36" s="139">
        <v>25.82</v>
      </c>
      <c r="F36" s="134" t="s">
        <v>5599</v>
      </c>
      <c r="G36" s="134" t="s">
        <v>3007</v>
      </c>
      <c r="H36" s="124">
        <v>7920</v>
      </c>
    </row>
    <row r="37" spans="1:11" ht="31.5" x14ac:dyDescent="0.25">
      <c r="A37" s="134" t="s">
        <v>12068</v>
      </c>
      <c r="B37" s="134" t="s">
        <v>8258</v>
      </c>
      <c r="C37" s="134" t="s">
        <v>12076</v>
      </c>
      <c r="D37" s="134" t="s">
        <v>12075</v>
      </c>
      <c r="E37" s="139">
        <v>33.520000000000003</v>
      </c>
      <c r="F37" s="134" t="s">
        <v>12074</v>
      </c>
      <c r="G37" s="134" t="s">
        <v>3007</v>
      </c>
      <c r="H37" s="123">
        <v>7921</v>
      </c>
    </row>
    <row r="38" spans="1:11" ht="31.5" x14ac:dyDescent="0.25">
      <c r="A38" s="134" t="s">
        <v>12068</v>
      </c>
      <c r="B38" s="134" t="s">
        <v>12073</v>
      </c>
      <c r="C38" s="134" t="s">
        <v>12072</v>
      </c>
      <c r="D38" s="134" t="s">
        <v>5060</v>
      </c>
      <c r="E38" s="139">
        <v>11.48</v>
      </c>
      <c r="F38" s="134" t="s">
        <v>5059</v>
      </c>
      <c r="G38" s="134" t="s">
        <v>3007</v>
      </c>
      <c r="H38" s="123">
        <v>7922</v>
      </c>
    </row>
    <row r="39" spans="1:11" ht="31.5" x14ac:dyDescent="0.25">
      <c r="A39" s="134" t="s">
        <v>12068</v>
      </c>
      <c r="B39" s="134" t="s">
        <v>10155</v>
      </c>
      <c r="C39" s="134" t="s">
        <v>12071</v>
      </c>
      <c r="D39" s="134" t="s">
        <v>5052</v>
      </c>
      <c r="E39" s="139">
        <v>4.2</v>
      </c>
      <c r="F39" s="134" t="s">
        <v>5051</v>
      </c>
      <c r="G39" s="134" t="s">
        <v>3007</v>
      </c>
      <c r="H39" s="123">
        <v>7923</v>
      </c>
    </row>
    <row r="40" spans="1:11" ht="31.5" x14ac:dyDescent="0.25">
      <c r="A40" s="134" t="s">
        <v>12068</v>
      </c>
      <c r="B40" s="134" t="s">
        <v>12070</v>
      </c>
      <c r="C40" s="134" t="s">
        <v>12069</v>
      </c>
      <c r="D40" s="134" t="s">
        <v>7464</v>
      </c>
      <c r="E40" s="139">
        <v>11</v>
      </c>
      <c r="F40" s="134" t="s">
        <v>7463</v>
      </c>
      <c r="G40" s="134" t="s">
        <v>3007</v>
      </c>
      <c r="H40" s="123">
        <v>7924</v>
      </c>
    </row>
    <row r="41" spans="1:11" ht="31.5" x14ac:dyDescent="0.25">
      <c r="A41" s="134" t="s">
        <v>12068</v>
      </c>
      <c r="B41" s="134" t="s">
        <v>4239</v>
      </c>
      <c r="C41" s="134" t="s">
        <v>12067</v>
      </c>
      <c r="D41" s="134" t="s">
        <v>3719</v>
      </c>
      <c r="E41" s="139">
        <v>4.37</v>
      </c>
      <c r="F41" s="134" t="s">
        <v>3718</v>
      </c>
      <c r="G41" s="134" t="s">
        <v>3007</v>
      </c>
      <c r="H41" s="123">
        <v>7925</v>
      </c>
    </row>
    <row r="42" spans="1:11" ht="31.5" x14ac:dyDescent="0.25">
      <c r="A42" s="134" t="s">
        <v>12017</v>
      </c>
      <c r="B42" s="134" t="s">
        <v>12066</v>
      </c>
      <c r="C42" s="134" t="s">
        <v>12065</v>
      </c>
      <c r="D42" s="134" t="s">
        <v>8385</v>
      </c>
      <c r="E42" s="139">
        <v>1.68</v>
      </c>
      <c r="F42" s="134" t="s">
        <v>8384</v>
      </c>
      <c r="G42" s="134" t="s">
        <v>3007</v>
      </c>
      <c r="H42" s="123">
        <v>8109</v>
      </c>
    </row>
    <row r="43" spans="1:11" ht="31.5" x14ac:dyDescent="0.25">
      <c r="A43" s="134" t="s">
        <v>12017</v>
      </c>
      <c r="B43" s="134" t="s">
        <v>12064</v>
      </c>
      <c r="C43" s="134" t="s">
        <v>12063</v>
      </c>
      <c r="D43" s="134" t="s">
        <v>6066</v>
      </c>
      <c r="E43" s="139">
        <v>6.98</v>
      </c>
      <c r="F43" s="134" t="s">
        <v>3266</v>
      </c>
      <c r="G43" s="134" t="s">
        <v>3007</v>
      </c>
      <c r="H43" s="123">
        <v>8110</v>
      </c>
    </row>
    <row r="44" spans="1:11" ht="31.5" x14ac:dyDescent="0.25">
      <c r="A44" s="134" t="s">
        <v>12017</v>
      </c>
      <c r="B44" s="134" t="s">
        <v>12062</v>
      </c>
      <c r="C44" s="134" t="s">
        <v>12061</v>
      </c>
      <c r="D44" s="134" t="s">
        <v>7349</v>
      </c>
      <c r="E44" s="139">
        <v>8.3800000000000008</v>
      </c>
      <c r="F44" s="134" t="s">
        <v>7348</v>
      </c>
      <c r="G44" s="134" t="s">
        <v>3007</v>
      </c>
      <c r="H44" s="123">
        <v>8111</v>
      </c>
    </row>
    <row r="45" spans="1:11" ht="31.5" x14ac:dyDescent="0.25">
      <c r="A45" s="134" t="s">
        <v>12017</v>
      </c>
      <c r="B45" s="134" t="s">
        <v>12060</v>
      </c>
      <c r="C45" s="134" t="s">
        <v>12059</v>
      </c>
      <c r="D45" s="134" t="s">
        <v>6743</v>
      </c>
      <c r="E45" s="139">
        <v>4.08</v>
      </c>
      <c r="F45" s="134" t="s">
        <v>6742</v>
      </c>
      <c r="G45" s="134" t="s">
        <v>3007</v>
      </c>
      <c r="H45" s="123">
        <v>8112</v>
      </c>
    </row>
    <row r="46" spans="1:11" ht="31.5" x14ac:dyDescent="0.25">
      <c r="A46" s="134" t="s">
        <v>12017</v>
      </c>
      <c r="B46" s="134" t="s">
        <v>8160</v>
      </c>
      <c r="C46" s="134" t="s">
        <v>12058</v>
      </c>
      <c r="D46" s="134" t="s">
        <v>3932</v>
      </c>
      <c r="E46" s="139">
        <v>10.16</v>
      </c>
      <c r="F46" s="134" t="s">
        <v>3931</v>
      </c>
      <c r="G46" s="134" t="s">
        <v>3007</v>
      </c>
      <c r="H46" s="123">
        <v>8113</v>
      </c>
      <c r="K46" s="137" t="s">
        <v>5521</v>
      </c>
    </row>
    <row r="47" spans="1:11" ht="31.5" x14ac:dyDescent="0.25">
      <c r="A47" s="134" t="s">
        <v>12017</v>
      </c>
      <c r="B47" s="134" t="s">
        <v>12057</v>
      </c>
      <c r="C47" s="134" t="s">
        <v>12056</v>
      </c>
      <c r="D47" s="134" t="s">
        <v>4358</v>
      </c>
      <c r="E47" s="139">
        <v>1.68</v>
      </c>
      <c r="F47" s="134" t="s">
        <v>4357</v>
      </c>
      <c r="G47" s="134" t="s">
        <v>3007</v>
      </c>
      <c r="H47" s="123">
        <v>8114</v>
      </c>
    </row>
    <row r="48" spans="1:11" ht="31.5" x14ac:dyDescent="0.25">
      <c r="A48" s="134" t="s">
        <v>12017</v>
      </c>
      <c r="B48" s="134" t="s">
        <v>12055</v>
      </c>
      <c r="C48" s="134" t="s">
        <v>12054</v>
      </c>
      <c r="D48" s="134" t="s">
        <v>7113</v>
      </c>
      <c r="E48" s="139">
        <v>3.12</v>
      </c>
      <c r="F48" s="134" t="s">
        <v>7112</v>
      </c>
      <c r="G48" s="134" t="s">
        <v>3007</v>
      </c>
      <c r="H48" s="123">
        <v>8115</v>
      </c>
    </row>
    <row r="49" spans="1:8" ht="31.5" x14ac:dyDescent="0.25">
      <c r="A49" s="134" t="s">
        <v>12017</v>
      </c>
      <c r="B49" s="134" t="s">
        <v>12053</v>
      </c>
      <c r="C49" s="134" t="s">
        <v>12052</v>
      </c>
      <c r="D49" s="134" t="s">
        <v>3908</v>
      </c>
      <c r="E49" s="139">
        <v>9.17</v>
      </c>
      <c r="F49" s="134" t="s">
        <v>12051</v>
      </c>
      <c r="G49" s="134" t="s">
        <v>3007</v>
      </c>
      <c r="H49" s="123">
        <v>8116</v>
      </c>
    </row>
    <row r="50" spans="1:8" ht="31.5" x14ac:dyDescent="0.25">
      <c r="A50" s="134" t="s">
        <v>12017</v>
      </c>
      <c r="B50" s="134" t="s">
        <v>9435</v>
      </c>
      <c r="C50" s="134" t="s">
        <v>12050</v>
      </c>
      <c r="D50" s="134" t="s">
        <v>12049</v>
      </c>
      <c r="E50" s="139">
        <v>13.5</v>
      </c>
      <c r="F50" s="134" t="s">
        <v>12048</v>
      </c>
      <c r="G50" s="134" t="s">
        <v>3007</v>
      </c>
      <c r="H50" s="123">
        <v>8117</v>
      </c>
    </row>
    <row r="51" spans="1:8" ht="31.5" x14ac:dyDescent="0.25">
      <c r="A51" s="134" t="s">
        <v>12017</v>
      </c>
      <c r="B51" s="134" t="s">
        <v>12047</v>
      </c>
      <c r="C51" s="134" t="s">
        <v>12046</v>
      </c>
      <c r="D51" s="134" t="s">
        <v>3767</v>
      </c>
      <c r="E51" s="139">
        <v>14.29</v>
      </c>
      <c r="F51" s="134" t="s">
        <v>3766</v>
      </c>
      <c r="G51" s="134" t="s">
        <v>3007</v>
      </c>
      <c r="H51" s="123">
        <v>8118</v>
      </c>
    </row>
    <row r="52" spans="1:8" ht="31.5" x14ac:dyDescent="0.25">
      <c r="A52" s="134" t="s">
        <v>12017</v>
      </c>
      <c r="B52" s="134" t="s">
        <v>12045</v>
      </c>
      <c r="C52" s="134" t="s">
        <v>12044</v>
      </c>
      <c r="D52" s="134" t="s">
        <v>8174</v>
      </c>
      <c r="E52" s="139">
        <v>14.15</v>
      </c>
      <c r="F52" s="134" t="s">
        <v>8173</v>
      </c>
      <c r="G52" s="134" t="s">
        <v>3007</v>
      </c>
      <c r="H52" s="123">
        <v>8119</v>
      </c>
    </row>
    <row r="53" spans="1:8" ht="31.5" x14ac:dyDescent="0.25">
      <c r="A53" s="134" t="s">
        <v>12017</v>
      </c>
      <c r="B53" s="134" t="s">
        <v>12043</v>
      </c>
      <c r="C53" s="134" t="s">
        <v>12042</v>
      </c>
      <c r="D53" s="134" t="s">
        <v>4582</v>
      </c>
      <c r="E53" s="139">
        <v>22.4</v>
      </c>
      <c r="F53" s="134" t="s">
        <v>4581</v>
      </c>
      <c r="G53" s="134" t="s">
        <v>3007</v>
      </c>
      <c r="H53" s="123">
        <v>8120</v>
      </c>
    </row>
    <row r="54" spans="1:8" ht="31.5" x14ac:dyDescent="0.25">
      <c r="A54" s="134" t="s">
        <v>12017</v>
      </c>
      <c r="B54" s="134" t="s">
        <v>12041</v>
      </c>
      <c r="C54" s="134" t="s">
        <v>12040</v>
      </c>
      <c r="D54" s="134" t="s">
        <v>5669</v>
      </c>
      <c r="E54" s="139">
        <v>10.3</v>
      </c>
      <c r="F54" s="134" t="s">
        <v>5668</v>
      </c>
      <c r="G54" s="134" t="s">
        <v>3007</v>
      </c>
      <c r="H54" s="123">
        <v>8121</v>
      </c>
    </row>
    <row r="55" spans="1:8" ht="31.5" x14ac:dyDescent="0.25">
      <c r="A55" s="134" t="s">
        <v>12017</v>
      </c>
      <c r="B55" s="134" t="s">
        <v>12039</v>
      </c>
      <c r="C55" s="134" t="s">
        <v>12038</v>
      </c>
      <c r="D55" s="134" t="s">
        <v>3235</v>
      </c>
      <c r="E55" s="139">
        <v>1.92</v>
      </c>
      <c r="F55" s="134" t="s">
        <v>3234</v>
      </c>
      <c r="G55" s="134" t="s">
        <v>3007</v>
      </c>
      <c r="H55" s="123">
        <v>8122</v>
      </c>
    </row>
    <row r="56" spans="1:8" ht="17.25" customHeight="1" x14ac:dyDescent="0.25">
      <c r="A56" s="134" t="s">
        <v>12017</v>
      </c>
      <c r="B56" s="134" t="s">
        <v>12037</v>
      </c>
      <c r="C56" s="134" t="s">
        <v>12036</v>
      </c>
      <c r="D56" s="134" t="s">
        <v>8675</v>
      </c>
      <c r="E56" s="139">
        <v>3.36</v>
      </c>
      <c r="F56" s="134" t="s">
        <v>8674</v>
      </c>
      <c r="G56" s="134" t="s">
        <v>3007</v>
      </c>
      <c r="H56" s="123">
        <v>8123</v>
      </c>
    </row>
    <row r="57" spans="1:8" ht="31.5" x14ac:dyDescent="0.25">
      <c r="A57" s="134" t="s">
        <v>12017</v>
      </c>
      <c r="B57" s="134" t="s">
        <v>12035</v>
      </c>
      <c r="C57" s="134" t="s">
        <v>12034</v>
      </c>
      <c r="D57" s="134" t="s">
        <v>7668</v>
      </c>
      <c r="E57" s="139">
        <v>10</v>
      </c>
      <c r="F57" s="134" t="s">
        <v>7667</v>
      </c>
      <c r="G57" s="134" t="s">
        <v>3007</v>
      </c>
      <c r="H57" s="123">
        <v>8124</v>
      </c>
    </row>
    <row r="58" spans="1:8" ht="31.5" x14ac:dyDescent="0.25">
      <c r="A58" s="134" t="s">
        <v>12017</v>
      </c>
      <c r="B58" s="134" t="s">
        <v>12033</v>
      </c>
      <c r="C58" s="134" t="s">
        <v>12032</v>
      </c>
      <c r="D58" s="134" t="s">
        <v>3487</v>
      </c>
      <c r="E58" s="139">
        <v>5.26</v>
      </c>
      <c r="F58" s="134" t="s">
        <v>3486</v>
      </c>
      <c r="G58" s="134" t="s">
        <v>3007</v>
      </c>
      <c r="H58" s="123">
        <v>8125</v>
      </c>
    </row>
    <row r="59" spans="1:8" ht="31.5" x14ac:dyDescent="0.25">
      <c r="A59" s="134" t="s">
        <v>12017</v>
      </c>
      <c r="B59" s="134" t="s">
        <v>12031</v>
      </c>
      <c r="C59" s="134" t="s">
        <v>12030</v>
      </c>
      <c r="D59" s="134" t="s">
        <v>6470</v>
      </c>
      <c r="E59" s="139">
        <v>16.55</v>
      </c>
      <c r="F59" s="134" t="s">
        <v>6469</v>
      </c>
      <c r="G59" s="134" t="s">
        <v>3007</v>
      </c>
      <c r="H59" s="123">
        <v>8126</v>
      </c>
    </row>
    <row r="60" spans="1:8" ht="31.5" x14ac:dyDescent="0.25">
      <c r="A60" s="134" t="s">
        <v>12017</v>
      </c>
      <c r="B60" s="134" t="s">
        <v>12029</v>
      </c>
      <c r="C60" s="134" t="s">
        <v>12028</v>
      </c>
      <c r="D60" s="134" t="s">
        <v>7407</v>
      </c>
      <c r="E60" s="139">
        <v>4.1900000000000004</v>
      </c>
      <c r="F60" s="134" t="s">
        <v>7406</v>
      </c>
      <c r="G60" s="134" t="s">
        <v>3007</v>
      </c>
      <c r="H60" s="123">
        <v>8127</v>
      </c>
    </row>
    <row r="61" spans="1:8" ht="31.5" x14ac:dyDescent="0.25">
      <c r="A61" s="134" t="s">
        <v>12017</v>
      </c>
      <c r="B61" s="134" t="s">
        <v>12027</v>
      </c>
      <c r="C61" s="134" t="s">
        <v>12026</v>
      </c>
      <c r="D61" s="134" t="s">
        <v>7645</v>
      </c>
      <c r="E61" s="139">
        <v>16.38</v>
      </c>
      <c r="F61" s="134" t="s">
        <v>7644</v>
      </c>
      <c r="G61" s="134" t="s">
        <v>3007</v>
      </c>
      <c r="H61" s="123">
        <v>8128</v>
      </c>
    </row>
    <row r="62" spans="1:8" ht="31.5" x14ac:dyDescent="0.25">
      <c r="A62" s="134" t="s">
        <v>12017</v>
      </c>
      <c r="B62" s="134" t="s">
        <v>12025</v>
      </c>
      <c r="C62" s="134" t="s">
        <v>12024</v>
      </c>
      <c r="D62" s="134" t="s">
        <v>5166</v>
      </c>
      <c r="E62" s="139">
        <v>3.74</v>
      </c>
      <c r="F62" s="134" t="s">
        <v>5165</v>
      </c>
      <c r="G62" s="134" t="s">
        <v>3007</v>
      </c>
      <c r="H62" s="123">
        <v>8129</v>
      </c>
    </row>
    <row r="63" spans="1:8" ht="31.5" x14ac:dyDescent="0.25">
      <c r="A63" s="134" t="s">
        <v>12017</v>
      </c>
      <c r="B63" s="134" t="s">
        <v>12023</v>
      </c>
      <c r="C63" s="134" t="s">
        <v>12022</v>
      </c>
      <c r="D63" s="134" t="s">
        <v>10944</v>
      </c>
      <c r="E63" s="139">
        <v>4.5199999999999996</v>
      </c>
      <c r="F63" s="134" t="s">
        <v>10943</v>
      </c>
      <c r="G63" s="134" t="s">
        <v>3007</v>
      </c>
      <c r="H63" s="123">
        <v>8130</v>
      </c>
    </row>
    <row r="64" spans="1:8" ht="31.5" x14ac:dyDescent="0.25">
      <c r="A64" s="134" t="s">
        <v>12017</v>
      </c>
      <c r="B64" s="134" t="s">
        <v>12021</v>
      </c>
      <c r="C64" s="134" t="s">
        <v>12020</v>
      </c>
      <c r="D64" s="134" t="s">
        <v>7553</v>
      </c>
      <c r="E64" s="139">
        <v>2.5099999999999998</v>
      </c>
      <c r="F64" s="134" t="s">
        <v>7552</v>
      </c>
      <c r="G64" s="134" t="s">
        <v>3007</v>
      </c>
      <c r="H64" s="123">
        <v>8131</v>
      </c>
    </row>
    <row r="65" spans="1:8" ht="31.5" x14ac:dyDescent="0.25">
      <c r="A65" s="134" t="s">
        <v>12017</v>
      </c>
      <c r="B65" s="134" t="s">
        <v>12019</v>
      </c>
      <c r="C65" s="134" t="s">
        <v>12018</v>
      </c>
      <c r="D65" s="134" t="s">
        <v>8578</v>
      </c>
      <c r="E65" s="139">
        <v>2.33</v>
      </c>
      <c r="F65" s="134" t="s">
        <v>8577</v>
      </c>
      <c r="G65" s="134" t="s">
        <v>3007</v>
      </c>
      <c r="H65" s="123">
        <v>8132</v>
      </c>
    </row>
    <row r="66" spans="1:8" ht="31.5" x14ac:dyDescent="0.25">
      <c r="A66" s="134" t="s">
        <v>12017</v>
      </c>
      <c r="B66" s="134" t="s">
        <v>12016</v>
      </c>
      <c r="C66" s="134" t="s">
        <v>12015</v>
      </c>
      <c r="D66" s="134" t="s">
        <v>8007</v>
      </c>
      <c r="E66" s="139">
        <v>20.16</v>
      </c>
      <c r="F66" s="134" t="s">
        <v>8006</v>
      </c>
      <c r="G66" s="134" t="s">
        <v>3007</v>
      </c>
      <c r="H66" s="123">
        <v>8133</v>
      </c>
    </row>
    <row r="67" spans="1:8" ht="31.5" x14ac:dyDescent="0.25">
      <c r="A67" s="134" t="s">
        <v>11974</v>
      </c>
      <c r="B67" s="134" t="s">
        <v>12014</v>
      </c>
      <c r="C67" s="134" t="s">
        <v>12013</v>
      </c>
      <c r="D67" s="134" t="s">
        <v>3050</v>
      </c>
      <c r="E67" s="139">
        <v>2.42</v>
      </c>
      <c r="F67" s="134" t="s">
        <v>3049</v>
      </c>
      <c r="G67" s="134" t="s">
        <v>3007</v>
      </c>
      <c r="H67" s="123">
        <v>8134</v>
      </c>
    </row>
    <row r="68" spans="1:8" ht="31.5" x14ac:dyDescent="0.25">
      <c r="A68" s="134" t="s">
        <v>11974</v>
      </c>
      <c r="B68" s="134" t="s">
        <v>12012</v>
      </c>
      <c r="C68" s="134" t="s">
        <v>12011</v>
      </c>
      <c r="D68" s="134" t="s">
        <v>3627</v>
      </c>
      <c r="E68" s="139">
        <v>31.15</v>
      </c>
      <c r="F68" s="134" t="s">
        <v>3626</v>
      </c>
      <c r="G68" s="134" t="s">
        <v>3007</v>
      </c>
      <c r="H68" s="123">
        <v>8135</v>
      </c>
    </row>
    <row r="69" spans="1:8" ht="31.5" x14ac:dyDescent="0.25">
      <c r="A69" s="134" t="s">
        <v>11974</v>
      </c>
      <c r="B69" s="134" t="s">
        <v>12010</v>
      </c>
      <c r="C69" s="134" t="s">
        <v>12009</v>
      </c>
      <c r="D69" s="134" t="s">
        <v>5246</v>
      </c>
      <c r="E69" s="139">
        <v>15.87</v>
      </c>
      <c r="F69" s="134" t="s">
        <v>5245</v>
      </c>
      <c r="G69" s="134" t="s">
        <v>3007</v>
      </c>
      <c r="H69" s="123">
        <v>8136</v>
      </c>
    </row>
    <row r="70" spans="1:8" ht="31.5" x14ac:dyDescent="0.25">
      <c r="A70" s="134" t="s">
        <v>11974</v>
      </c>
      <c r="B70" s="134" t="s">
        <v>12008</v>
      </c>
      <c r="C70" s="134" t="s">
        <v>12007</v>
      </c>
      <c r="D70" s="134" t="s">
        <v>3542</v>
      </c>
      <c r="E70" s="139">
        <v>1.68</v>
      </c>
      <c r="F70" s="134" t="s">
        <v>3541</v>
      </c>
      <c r="G70" s="134" t="s">
        <v>3007</v>
      </c>
      <c r="H70" s="123">
        <v>8137</v>
      </c>
    </row>
    <row r="71" spans="1:8" ht="31.5" x14ac:dyDescent="0.25">
      <c r="A71" s="134" t="s">
        <v>11974</v>
      </c>
      <c r="B71" s="134" t="s">
        <v>12006</v>
      </c>
      <c r="C71" s="134" t="s">
        <v>12005</v>
      </c>
      <c r="D71" s="134" t="s">
        <v>5210</v>
      </c>
      <c r="E71" s="139">
        <v>3.17</v>
      </c>
      <c r="F71" s="134" t="s">
        <v>5209</v>
      </c>
      <c r="G71" s="134" t="s">
        <v>3007</v>
      </c>
      <c r="H71" s="123">
        <v>8138</v>
      </c>
    </row>
    <row r="72" spans="1:8" ht="31.5" x14ac:dyDescent="0.25">
      <c r="A72" s="134" t="s">
        <v>11974</v>
      </c>
      <c r="B72" s="134" t="s">
        <v>12004</v>
      </c>
      <c r="C72" s="134" t="s">
        <v>12003</v>
      </c>
      <c r="D72" s="134" t="s">
        <v>7355</v>
      </c>
      <c r="E72" s="139">
        <v>11.69</v>
      </c>
      <c r="F72" s="134" t="s">
        <v>7354</v>
      </c>
      <c r="G72" s="134" t="s">
        <v>3007</v>
      </c>
      <c r="H72" s="123">
        <v>8139</v>
      </c>
    </row>
    <row r="73" spans="1:8" ht="31.5" x14ac:dyDescent="0.25">
      <c r="A73" s="134" t="s">
        <v>11974</v>
      </c>
      <c r="B73" s="134" t="s">
        <v>12002</v>
      </c>
      <c r="C73" s="134" t="s">
        <v>12001</v>
      </c>
      <c r="D73" s="134" t="s">
        <v>7433</v>
      </c>
      <c r="E73" s="139">
        <v>9.6</v>
      </c>
      <c r="F73" s="134" t="s">
        <v>7432</v>
      </c>
      <c r="G73" s="134" t="s">
        <v>3007</v>
      </c>
      <c r="H73" s="123">
        <v>8140</v>
      </c>
    </row>
    <row r="74" spans="1:8" ht="31.5" x14ac:dyDescent="0.25">
      <c r="A74" s="134" t="s">
        <v>11974</v>
      </c>
      <c r="B74" s="134" t="s">
        <v>12000</v>
      </c>
      <c r="C74" s="134" t="s">
        <v>11999</v>
      </c>
      <c r="D74" s="134" t="s">
        <v>7039</v>
      </c>
      <c r="E74" s="139">
        <v>3.96</v>
      </c>
      <c r="F74" s="134" t="s">
        <v>7038</v>
      </c>
      <c r="G74" s="134" t="s">
        <v>3007</v>
      </c>
      <c r="H74" s="123">
        <v>8141</v>
      </c>
    </row>
    <row r="75" spans="1:8" ht="31.5" x14ac:dyDescent="0.25">
      <c r="A75" s="134" t="s">
        <v>11974</v>
      </c>
      <c r="B75" s="134" t="s">
        <v>11998</v>
      </c>
      <c r="C75" s="134" t="s">
        <v>11997</v>
      </c>
      <c r="D75" s="134" t="s">
        <v>7042</v>
      </c>
      <c r="E75" s="139">
        <v>2.16</v>
      </c>
      <c r="F75" s="134" t="s">
        <v>7038</v>
      </c>
      <c r="G75" s="134" t="s">
        <v>3007</v>
      </c>
      <c r="H75" s="123">
        <v>8142</v>
      </c>
    </row>
    <row r="76" spans="1:8" ht="31.5" x14ac:dyDescent="0.25">
      <c r="A76" s="134" t="s">
        <v>11974</v>
      </c>
      <c r="B76" s="134" t="s">
        <v>11996</v>
      </c>
      <c r="C76" s="134" t="s">
        <v>11995</v>
      </c>
      <c r="D76" s="134" t="s">
        <v>3546</v>
      </c>
      <c r="E76" s="139">
        <v>12.73</v>
      </c>
      <c r="F76" s="134" t="s">
        <v>3545</v>
      </c>
      <c r="G76" s="134" t="s">
        <v>3007</v>
      </c>
      <c r="H76" s="123">
        <v>8143</v>
      </c>
    </row>
    <row r="77" spans="1:8" ht="31.5" x14ac:dyDescent="0.25">
      <c r="A77" s="134" t="s">
        <v>11974</v>
      </c>
      <c r="B77" s="134" t="s">
        <v>11994</v>
      </c>
      <c r="C77" s="134" t="s">
        <v>11993</v>
      </c>
      <c r="D77" s="134" t="s">
        <v>3385</v>
      </c>
      <c r="E77" s="139">
        <v>7.64</v>
      </c>
      <c r="F77" s="134" t="s">
        <v>3384</v>
      </c>
      <c r="G77" s="134" t="s">
        <v>3007</v>
      </c>
      <c r="H77" s="123">
        <v>8144</v>
      </c>
    </row>
    <row r="78" spans="1:8" ht="31.5" x14ac:dyDescent="0.25">
      <c r="A78" s="134" t="s">
        <v>11974</v>
      </c>
      <c r="B78" s="134" t="s">
        <v>11992</v>
      </c>
      <c r="C78" s="134" t="s">
        <v>11991</v>
      </c>
      <c r="D78" s="134" t="s">
        <v>7054</v>
      </c>
      <c r="E78" s="139">
        <v>3.86</v>
      </c>
      <c r="F78" s="134" t="s">
        <v>7053</v>
      </c>
      <c r="G78" s="134" t="s">
        <v>3007</v>
      </c>
      <c r="H78" s="123">
        <v>8145</v>
      </c>
    </row>
    <row r="79" spans="1:8" ht="31.5" x14ac:dyDescent="0.25">
      <c r="A79" s="134" t="s">
        <v>11974</v>
      </c>
      <c r="B79" s="134" t="s">
        <v>11990</v>
      </c>
      <c r="C79" s="134" t="s">
        <v>11989</v>
      </c>
      <c r="D79" s="134" t="s">
        <v>3519</v>
      </c>
      <c r="E79" s="139">
        <v>7.66</v>
      </c>
      <c r="F79" s="134" t="s">
        <v>3518</v>
      </c>
      <c r="G79" s="134" t="s">
        <v>3007</v>
      </c>
      <c r="H79" s="123">
        <v>8146</v>
      </c>
    </row>
    <row r="80" spans="1:8" ht="31.5" x14ac:dyDescent="0.25">
      <c r="A80" s="134" t="s">
        <v>11974</v>
      </c>
      <c r="B80" s="134" t="s">
        <v>11988</v>
      </c>
      <c r="C80" s="134" t="s">
        <v>11987</v>
      </c>
      <c r="D80" s="134" t="s">
        <v>5234</v>
      </c>
      <c r="E80" s="139">
        <v>2.48</v>
      </c>
      <c r="F80" s="134" t="s">
        <v>5233</v>
      </c>
      <c r="G80" s="134" t="s">
        <v>3007</v>
      </c>
      <c r="H80" s="123">
        <v>8147</v>
      </c>
    </row>
    <row r="81" spans="1:11" ht="31.5" x14ac:dyDescent="0.25">
      <c r="A81" s="134" t="s">
        <v>11974</v>
      </c>
      <c r="B81" s="134" t="s">
        <v>11986</v>
      </c>
      <c r="C81" s="134" t="s">
        <v>11985</v>
      </c>
      <c r="D81" s="134" t="s">
        <v>3345</v>
      </c>
      <c r="E81" s="139">
        <v>1.68</v>
      </c>
      <c r="F81" s="134" t="s">
        <v>3344</v>
      </c>
      <c r="G81" s="134" t="s">
        <v>3007</v>
      </c>
      <c r="H81" s="123">
        <v>8148</v>
      </c>
    </row>
    <row r="82" spans="1:11" ht="31.5" x14ac:dyDescent="0.25">
      <c r="A82" s="134" t="s">
        <v>11974</v>
      </c>
      <c r="B82" s="134" t="s">
        <v>11984</v>
      </c>
      <c r="C82" s="134" t="s">
        <v>11983</v>
      </c>
      <c r="D82" s="134" t="s">
        <v>7248</v>
      </c>
      <c r="E82" s="139">
        <v>6.1</v>
      </c>
      <c r="F82" s="134" t="s">
        <v>7247</v>
      </c>
      <c r="G82" s="134" t="s">
        <v>3007</v>
      </c>
      <c r="H82" s="123">
        <v>8149</v>
      </c>
    </row>
    <row r="83" spans="1:11" ht="31.5" x14ac:dyDescent="0.25">
      <c r="A83" s="134" t="s">
        <v>11974</v>
      </c>
      <c r="B83" s="134" t="s">
        <v>11982</v>
      </c>
      <c r="C83" s="134" t="s">
        <v>11981</v>
      </c>
      <c r="D83" s="134" t="s">
        <v>5044</v>
      </c>
      <c r="E83" s="139">
        <v>11.69</v>
      </c>
      <c r="F83" s="134" t="s">
        <v>5043</v>
      </c>
      <c r="G83" s="134" t="s">
        <v>3007</v>
      </c>
      <c r="H83" s="123">
        <v>8150</v>
      </c>
    </row>
    <row r="84" spans="1:11" ht="31.5" x14ac:dyDescent="0.25">
      <c r="A84" s="134" t="s">
        <v>11974</v>
      </c>
      <c r="B84" s="134" t="s">
        <v>11980</v>
      </c>
      <c r="C84" s="134" t="s">
        <v>11979</v>
      </c>
      <c r="D84" s="134" t="s">
        <v>5470</v>
      </c>
      <c r="E84" s="139">
        <v>4.75</v>
      </c>
      <c r="F84" s="134" t="s">
        <v>5469</v>
      </c>
      <c r="G84" s="134" t="s">
        <v>3007</v>
      </c>
      <c r="H84" s="123">
        <v>8151</v>
      </c>
    </row>
    <row r="85" spans="1:11" ht="31.5" x14ac:dyDescent="0.25">
      <c r="A85" s="134" t="s">
        <v>11974</v>
      </c>
      <c r="B85" s="134" t="s">
        <v>11978</v>
      </c>
      <c r="C85" s="134" t="s">
        <v>11977</v>
      </c>
      <c r="D85" s="134" t="s">
        <v>10262</v>
      </c>
      <c r="E85" s="139">
        <v>9.34</v>
      </c>
      <c r="F85" s="134" t="s">
        <v>10261</v>
      </c>
      <c r="G85" s="134" t="s">
        <v>3007</v>
      </c>
      <c r="H85" s="123">
        <v>8152</v>
      </c>
      <c r="I85" s="202"/>
      <c r="K85" s="123"/>
    </row>
    <row r="86" spans="1:11" ht="31.5" x14ac:dyDescent="0.25">
      <c r="A86" s="134" t="s">
        <v>11974</v>
      </c>
      <c r="B86" s="134" t="s">
        <v>11976</v>
      </c>
      <c r="C86" s="134" t="s">
        <v>11975</v>
      </c>
      <c r="D86" s="134" t="s">
        <v>5285</v>
      </c>
      <c r="E86" s="139">
        <v>8.9</v>
      </c>
      <c r="F86" s="134" t="s">
        <v>5284</v>
      </c>
      <c r="G86" s="134" t="s">
        <v>3007</v>
      </c>
      <c r="H86" s="123">
        <v>8153</v>
      </c>
    </row>
    <row r="87" spans="1:11" ht="31.5" x14ac:dyDescent="0.25">
      <c r="A87" s="134" t="s">
        <v>11974</v>
      </c>
      <c r="B87" s="134" t="s">
        <v>11973</v>
      </c>
      <c r="C87" s="134" t="s">
        <v>11972</v>
      </c>
      <c r="D87" s="134" t="s">
        <v>3940</v>
      </c>
      <c r="E87" s="139">
        <v>3.09</v>
      </c>
      <c r="F87" s="134" t="s">
        <v>3939</v>
      </c>
      <c r="G87" s="134" t="s">
        <v>3007</v>
      </c>
      <c r="H87" s="123">
        <v>8154</v>
      </c>
    </row>
    <row r="88" spans="1:11" ht="31.5" x14ac:dyDescent="0.25">
      <c r="A88" s="134" t="s">
        <v>11963</v>
      </c>
      <c r="B88" s="134" t="s">
        <v>11971</v>
      </c>
      <c r="C88" s="134" t="s">
        <v>11970</v>
      </c>
      <c r="D88" s="134" t="s">
        <v>10131</v>
      </c>
      <c r="E88" s="139">
        <v>0.9</v>
      </c>
      <c r="F88" s="134" t="s">
        <v>10130</v>
      </c>
      <c r="G88" s="134" t="s">
        <v>3007</v>
      </c>
      <c r="H88" s="123">
        <v>8207</v>
      </c>
    </row>
    <row r="89" spans="1:11" ht="31.5" x14ac:dyDescent="0.25">
      <c r="A89" s="134" t="s">
        <v>11963</v>
      </c>
      <c r="B89" s="134" t="s">
        <v>11969</v>
      </c>
      <c r="C89" s="134" t="s">
        <v>11968</v>
      </c>
      <c r="D89" s="134" t="s">
        <v>6862</v>
      </c>
      <c r="E89" s="139">
        <v>2.3199999999999998</v>
      </c>
      <c r="F89" s="134" t="s">
        <v>6861</v>
      </c>
      <c r="G89" s="134" t="s">
        <v>3007</v>
      </c>
      <c r="H89" s="123">
        <v>8208</v>
      </c>
    </row>
    <row r="90" spans="1:11" ht="31.5" x14ac:dyDescent="0.25">
      <c r="A90" s="134" t="s">
        <v>11963</v>
      </c>
      <c r="B90" s="134" t="s">
        <v>11967</v>
      </c>
      <c r="C90" s="134" t="s">
        <v>11966</v>
      </c>
      <c r="D90" s="134" t="s">
        <v>11965</v>
      </c>
      <c r="E90" s="139">
        <v>5.04</v>
      </c>
      <c r="F90" s="134" t="s">
        <v>11964</v>
      </c>
      <c r="G90" s="134" t="s">
        <v>3007</v>
      </c>
      <c r="H90" s="123">
        <v>8209</v>
      </c>
    </row>
    <row r="91" spans="1:11" ht="31.5" x14ac:dyDescent="0.25">
      <c r="A91" s="134" t="s">
        <v>11963</v>
      </c>
      <c r="B91" s="134" t="s">
        <v>11962</v>
      </c>
      <c r="C91" s="134" t="s">
        <v>11961</v>
      </c>
      <c r="D91" s="134" t="s">
        <v>9702</v>
      </c>
      <c r="E91" s="139">
        <v>1.94</v>
      </c>
      <c r="F91" s="134" t="s">
        <v>9701</v>
      </c>
      <c r="G91" s="134" t="s">
        <v>3007</v>
      </c>
      <c r="H91" s="123">
        <v>8210</v>
      </c>
    </row>
    <row r="92" spans="1:11" ht="31.5" x14ac:dyDescent="0.25">
      <c r="A92" s="134" t="s">
        <v>11921</v>
      </c>
      <c r="B92" s="134" t="s">
        <v>11960</v>
      </c>
      <c r="C92" s="134" t="s">
        <v>11959</v>
      </c>
      <c r="D92" s="134" t="s">
        <v>11958</v>
      </c>
      <c r="E92" s="139">
        <v>13.36</v>
      </c>
      <c r="F92" s="134" t="s">
        <v>11957</v>
      </c>
      <c r="G92" s="134" t="s">
        <v>3007</v>
      </c>
      <c r="H92" s="123">
        <v>8233</v>
      </c>
    </row>
    <row r="93" spans="1:11" ht="31.5" x14ac:dyDescent="0.25">
      <c r="A93" s="134" t="s">
        <v>11921</v>
      </c>
      <c r="B93" s="134" t="s">
        <v>11956</v>
      </c>
      <c r="C93" s="134" t="s">
        <v>11955</v>
      </c>
      <c r="D93" s="134" t="s">
        <v>6765</v>
      </c>
      <c r="E93" s="139">
        <v>9.27</v>
      </c>
      <c r="F93" s="134" t="s">
        <v>6764</v>
      </c>
      <c r="G93" s="134" t="s">
        <v>3007</v>
      </c>
      <c r="H93" s="123">
        <v>8234</v>
      </c>
    </row>
    <row r="94" spans="1:11" ht="31.5" x14ac:dyDescent="0.25">
      <c r="A94" s="134" t="s">
        <v>11921</v>
      </c>
      <c r="B94" s="134" t="s">
        <v>11954</v>
      </c>
      <c r="C94" s="134" t="s">
        <v>11953</v>
      </c>
      <c r="D94" s="134" t="s">
        <v>5372</v>
      </c>
      <c r="E94" s="139">
        <v>16.559999999999999</v>
      </c>
      <c r="F94" s="134" t="s">
        <v>5371</v>
      </c>
      <c r="G94" s="134" t="s">
        <v>3007</v>
      </c>
      <c r="H94" s="123">
        <v>8235</v>
      </c>
    </row>
    <row r="95" spans="1:11" ht="31.5" x14ac:dyDescent="0.25">
      <c r="A95" s="134" t="s">
        <v>11921</v>
      </c>
      <c r="B95" s="134" t="s">
        <v>11952</v>
      </c>
      <c r="C95" s="134" t="s">
        <v>11951</v>
      </c>
      <c r="D95" s="134" t="s">
        <v>4614</v>
      </c>
      <c r="E95" s="139">
        <v>6.87</v>
      </c>
      <c r="F95" s="134" t="s">
        <v>4613</v>
      </c>
      <c r="G95" s="134" t="s">
        <v>3007</v>
      </c>
      <c r="H95" s="124">
        <v>8236</v>
      </c>
    </row>
    <row r="96" spans="1:11" ht="31.5" x14ac:dyDescent="0.25">
      <c r="A96" s="134" t="s">
        <v>11921</v>
      </c>
      <c r="B96" s="134" t="s">
        <v>11950</v>
      </c>
      <c r="C96" s="134" t="s">
        <v>11949</v>
      </c>
      <c r="D96" s="134" t="s">
        <v>3735</v>
      </c>
      <c r="E96" s="139">
        <v>0.84</v>
      </c>
      <c r="F96" s="134" t="s">
        <v>3734</v>
      </c>
      <c r="G96" s="134" t="s">
        <v>3007</v>
      </c>
      <c r="H96" s="123">
        <v>8237</v>
      </c>
    </row>
    <row r="97" spans="1:8" ht="31.5" x14ac:dyDescent="0.25">
      <c r="A97" s="134" t="s">
        <v>11921</v>
      </c>
      <c r="B97" s="134" t="s">
        <v>11948</v>
      </c>
      <c r="C97" s="134" t="s">
        <v>11947</v>
      </c>
      <c r="D97" s="134" t="s">
        <v>9254</v>
      </c>
      <c r="E97" s="139">
        <v>4.13</v>
      </c>
      <c r="F97" s="134" t="s">
        <v>9253</v>
      </c>
      <c r="G97" s="134" t="s">
        <v>3007</v>
      </c>
      <c r="H97" s="123">
        <v>8238</v>
      </c>
    </row>
    <row r="98" spans="1:8" ht="31.5" x14ac:dyDescent="0.25">
      <c r="A98" s="134" t="s">
        <v>11921</v>
      </c>
      <c r="B98" s="134" t="s">
        <v>11946</v>
      </c>
      <c r="C98" s="134" t="s">
        <v>11945</v>
      </c>
      <c r="D98" s="134" t="s">
        <v>4893</v>
      </c>
      <c r="E98" s="139">
        <v>12.62</v>
      </c>
      <c r="F98" s="134" t="s">
        <v>4892</v>
      </c>
      <c r="G98" s="134" t="s">
        <v>3007</v>
      </c>
      <c r="H98" s="123">
        <v>8239</v>
      </c>
    </row>
    <row r="99" spans="1:8" ht="31.5" x14ac:dyDescent="0.25">
      <c r="A99" s="134" t="s">
        <v>11921</v>
      </c>
      <c r="B99" s="134" t="s">
        <v>11944</v>
      </c>
      <c r="C99" s="134" t="s">
        <v>11943</v>
      </c>
      <c r="D99" s="134" t="s">
        <v>7337</v>
      </c>
      <c r="E99" s="139">
        <v>25.67</v>
      </c>
      <c r="F99" s="134" t="s">
        <v>7336</v>
      </c>
      <c r="G99" s="134" t="s">
        <v>3007</v>
      </c>
      <c r="H99" s="123">
        <v>8240</v>
      </c>
    </row>
    <row r="100" spans="1:8" ht="31.5" x14ac:dyDescent="0.25">
      <c r="A100" s="134" t="s">
        <v>11921</v>
      </c>
      <c r="B100" s="134" t="s">
        <v>11942</v>
      </c>
      <c r="C100" s="134" t="s">
        <v>11941</v>
      </c>
      <c r="D100" s="134" t="s">
        <v>6658</v>
      </c>
      <c r="E100" s="139">
        <v>3.36</v>
      </c>
      <c r="F100" s="134" t="s">
        <v>6657</v>
      </c>
      <c r="G100" s="134" t="s">
        <v>3007</v>
      </c>
      <c r="H100" s="123">
        <v>8241</v>
      </c>
    </row>
    <row r="101" spans="1:8" ht="31.5" x14ac:dyDescent="0.25">
      <c r="A101" s="134" t="s">
        <v>11921</v>
      </c>
      <c r="B101" s="134" t="s">
        <v>11940</v>
      </c>
      <c r="C101" s="134" t="s">
        <v>11939</v>
      </c>
      <c r="D101" s="134" t="s">
        <v>4099</v>
      </c>
      <c r="E101" s="139">
        <v>7.05</v>
      </c>
      <c r="F101" s="134" t="s">
        <v>4098</v>
      </c>
      <c r="G101" s="134" t="s">
        <v>3007</v>
      </c>
      <c r="H101" s="123">
        <v>8242</v>
      </c>
    </row>
    <row r="102" spans="1:8" ht="31.5" x14ac:dyDescent="0.25">
      <c r="A102" s="134" t="s">
        <v>11921</v>
      </c>
      <c r="B102" s="134" t="s">
        <v>11938</v>
      </c>
      <c r="C102" s="134" t="s">
        <v>11937</v>
      </c>
      <c r="D102" s="134" t="s">
        <v>10115</v>
      </c>
      <c r="E102" s="139">
        <v>9.75</v>
      </c>
      <c r="F102" s="134" t="s">
        <v>10114</v>
      </c>
      <c r="G102" s="134" t="s">
        <v>3007</v>
      </c>
      <c r="H102" s="123">
        <v>8243</v>
      </c>
    </row>
    <row r="103" spans="1:8" ht="31.5" x14ac:dyDescent="0.25">
      <c r="A103" s="134" t="s">
        <v>11921</v>
      </c>
      <c r="B103" s="134" t="s">
        <v>11936</v>
      </c>
      <c r="C103" s="134" t="s">
        <v>11935</v>
      </c>
      <c r="D103" s="134" t="s">
        <v>9907</v>
      </c>
      <c r="E103" s="139">
        <v>3.4</v>
      </c>
      <c r="F103" s="134" t="s">
        <v>9906</v>
      </c>
      <c r="G103" s="134" t="s">
        <v>3007</v>
      </c>
      <c r="H103" s="123">
        <v>8244</v>
      </c>
    </row>
    <row r="104" spans="1:8" ht="31.5" x14ac:dyDescent="0.25">
      <c r="A104" s="134" t="s">
        <v>11921</v>
      </c>
      <c r="B104" s="134" t="s">
        <v>11934</v>
      </c>
      <c r="C104" s="134" t="s">
        <v>11933</v>
      </c>
      <c r="D104" s="134" t="s">
        <v>11932</v>
      </c>
      <c r="E104" s="139">
        <v>5.75</v>
      </c>
      <c r="F104" s="134" t="s">
        <v>11931</v>
      </c>
      <c r="G104" s="134" t="s">
        <v>3007</v>
      </c>
      <c r="H104" s="123">
        <v>8245</v>
      </c>
    </row>
    <row r="105" spans="1:8" ht="31.5" x14ac:dyDescent="0.25">
      <c r="A105" s="134" t="s">
        <v>11921</v>
      </c>
      <c r="B105" s="134" t="s">
        <v>11930</v>
      </c>
      <c r="C105" s="134" t="s">
        <v>11929</v>
      </c>
      <c r="D105" s="134" t="s">
        <v>6846</v>
      </c>
      <c r="E105" s="139">
        <v>0.44</v>
      </c>
      <c r="F105" s="134" t="s">
        <v>11169</v>
      </c>
      <c r="G105" s="134" t="s">
        <v>3007</v>
      </c>
      <c r="H105" s="123">
        <v>8246</v>
      </c>
    </row>
    <row r="106" spans="1:8" ht="31.5" x14ac:dyDescent="0.25">
      <c r="A106" s="134" t="s">
        <v>11921</v>
      </c>
      <c r="B106" s="134" t="s">
        <v>11928</v>
      </c>
      <c r="C106" s="134" t="s">
        <v>11927</v>
      </c>
      <c r="D106" s="134" t="s">
        <v>7707</v>
      </c>
      <c r="E106" s="139">
        <v>4.9000000000000004</v>
      </c>
      <c r="F106" s="134" t="s">
        <v>7706</v>
      </c>
      <c r="G106" s="134" t="s">
        <v>3007</v>
      </c>
      <c r="H106" s="123">
        <v>8247</v>
      </c>
    </row>
    <row r="107" spans="1:8" ht="31.5" x14ac:dyDescent="0.25">
      <c r="A107" s="134" t="s">
        <v>11921</v>
      </c>
      <c r="B107" s="134" t="s">
        <v>11926</v>
      </c>
      <c r="C107" s="134" t="s">
        <v>11925</v>
      </c>
      <c r="D107" s="134" t="s">
        <v>5202</v>
      </c>
      <c r="E107" s="139">
        <v>12.84</v>
      </c>
      <c r="F107" s="134" t="s">
        <v>5201</v>
      </c>
      <c r="G107" s="134" t="s">
        <v>3007</v>
      </c>
      <c r="H107" s="123">
        <v>8248</v>
      </c>
    </row>
    <row r="108" spans="1:8" ht="31.5" x14ac:dyDescent="0.25">
      <c r="A108" s="134" t="s">
        <v>11921</v>
      </c>
      <c r="B108" s="134" t="s">
        <v>6905</v>
      </c>
      <c r="C108" s="134" t="s">
        <v>11924</v>
      </c>
      <c r="D108" s="134" t="s">
        <v>7843</v>
      </c>
      <c r="E108" s="139">
        <v>6.81</v>
      </c>
      <c r="F108" s="134" t="s">
        <v>7842</v>
      </c>
      <c r="G108" s="134" t="s">
        <v>3007</v>
      </c>
      <c r="H108" s="123">
        <v>8249</v>
      </c>
    </row>
    <row r="109" spans="1:8" ht="31.5" x14ac:dyDescent="0.25">
      <c r="A109" s="134" t="s">
        <v>11921</v>
      </c>
      <c r="B109" s="134" t="s">
        <v>11923</v>
      </c>
      <c r="C109" s="134" t="s">
        <v>11922</v>
      </c>
      <c r="D109" s="134" t="s">
        <v>3162</v>
      </c>
      <c r="E109" s="139">
        <v>7.39</v>
      </c>
      <c r="F109" s="134" t="s">
        <v>3161</v>
      </c>
      <c r="G109" s="134" t="s">
        <v>3007</v>
      </c>
      <c r="H109" s="123">
        <v>8250</v>
      </c>
    </row>
    <row r="110" spans="1:8" ht="31.5" x14ac:dyDescent="0.25">
      <c r="A110" s="134" t="s">
        <v>11921</v>
      </c>
      <c r="B110" s="134" t="s">
        <v>11920</v>
      </c>
      <c r="C110" s="134" t="s">
        <v>11919</v>
      </c>
      <c r="D110" s="134" t="s">
        <v>9190</v>
      </c>
      <c r="E110" s="139">
        <v>6.47</v>
      </c>
      <c r="F110" s="134" t="s">
        <v>9189</v>
      </c>
      <c r="G110" s="134" t="s">
        <v>3007</v>
      </c>
      <c r="H110" s="123">
        <v>8251</v>
      </c>
    </row>
    <row r="111" spans="1:8" ht="31.5" x14ac:dyDescent="0.25">
      <c r="A111" s="134" t="s">
        <v>11869</v>
      </c>
      <c r="B111" s="134" t="s">
        <v>11918</v>
      </c>
      <c r="C111" s="134" t="s">
        <v>11917</v>
      </c>
      <c r="D111" s="134" t="s">
        <v>4313</v>
      </c>
      <c r="E111" s="139">
        <v>20.81</v>
      </c>
      <c r="F111" s="134" t="s">
        <v>4312</v>
      </c>
      <c r="G111" s="134" t="s">
        <v>3007</v>
      </c>
      <c r="H111" s="123">
        <v>8306</v>
      </c>
    </row>
    <row r="112" spans="1:8" ht="31.5" x14ac:dyDescent="0.25">
      <c r="A112" s="134" t="s">
        <v>11869</v>
      </c>
      <c r="B112" s="134" t="s">
        <v>11916</v>
      </c>
      <c r="C112" s="134" t="s">
        <v>11915</v>
      </c>
      <c r="D112" s="134" t="s">
        <v>9445</v>
      </c>
      <c r="E112" s="139">
        <v>2.4300000000000002</v>
      </c>
      <c r="F112" s="134" t="s">
        <v>9444</v>
      </c>
      <c r="G112" s="134" t="s">
        <v>3007</v>
      </c>
      <c r="H112" s="123">
        <v>8307</v>
      </c>
    </row>
    <row r="113" spans="1:8" ht="31.5" x14ac:dyDescent="0.25">
      <c r="A113" s="134" t="s">
        <v>11869</v>
      </c>
      <c r="B113" s="134" t="s">
        <v>11914</v>
      </c>
      <c r="C113" s="134" t="s">
        <v>11913</v>
      </c>
      <c r="D113" s="134" t="s">
        <v>5147</v>
      </c>
      <c r="E113" s="139">
        <v>25.72</v>
      </c>
      <c r="F113" s="134" t="s">
        <v>5146</v>
      </c>
      <c r="G113" s="134" t="s">
        <v>3007</v>
      </c>
      <c r="H113" s="123">
        <v>8308</v>
      </c>
    </row>
    <row r="114" spans="1:8" ht="31.5" x14ac:dyDescent="0.25">
      <c r="A114" s="134" t="s">
        <v>11869</v>
      </c>
      <c r="B114" s="134" t="s">
        <v>10478</v>
      </c>
      <c r="C114" s="134" t="s">
        <v>11912</v>
      </c>
      <c r="D114" s="134" t="s">
        <v>11911</v>
      </c>
      <c r="E114" s="139">
        <v>25.14</v>
      </c>
      <c r="F114" s="134" t="s">
        <v>11910</v>
      </c>
      <c r="G114" s="134" t="s">
        <v>3007</v>
      </c>
      <c r="H114" s="123">
        <v>8309</v>
      </c>
    </row>
    <row r="115" spans="1:8" ht="31.5" x14ac:dyDescent="0.25">
      <c r="A115" s="134" t="s">
        <v>11869</v>
      </c>
      <c r="B115" s="134" t="s">
        <v>11909</v>
      </c>
      <c r="C115" s="134" t="s">
        <v>11908</v>
      </c>
      <c r="D115" s="134" t="s">
        <v>4689</v>
      </c>
      <c r="E115" s="139">
        <v>1.68</v>
      </c>
      <c r="F115" s="134" t="s">
        <v>4688</v>
      </c>
      <c r="G115" s="134" t="s">
        <v>3007</v>
      </c>
      <c r="H115" s="123">
        <v>8310</v>
      </c>
    </row>
    <row r="116" spans="1:8" ht="31.5" x14ac:dyDescent="0.25">
      <c r="A116" s="134" t="s">
        <v>11869</v>
      </c>
      <c r="B116" s="134" t="s">
        <v>11907</v>
      </c>
      <c r="C116" s="134" t="s">
        <v>11906</v>
      </c>
      <c r="D116" s="134" t="s">
        <v>11905</v>
      </c>
      <c r="E116" s="139">
        <v>50.28</v>
      </c>
      <c r="F116" s="134" t="s">
        <v>11904</v>
      </c>
      <c r="G116" s="134" t="s">
        <v>3007</v>
      </c>
      <c r="H116" s="123">
        <v>8311</v>
      </c>
    </row>
    <row r="117" spans="1:8" ht="31.5" x14ac:dyDescent="0.25">
      <c r="A117" s="134" t="s">
        <v>11869</v>
      </c>
      <c r="B117" s="134" t="s">
        <v>11903</v>
      </c>
      <c r="C117" s="134" t="s">
        <v>11902</v>
      </c>
      <c r="D117" s="134" t="s">
        <v>9372</v>
      </c>
      <c r="E117" s="139">
        <v>1.68</v>
      </c>
      <c r="F117" s="134" t="s">
        <v>9371</v>
      </c>
      <c r="G117" s="134" t="s">
        <v>3007</v>
      </c>
      <c r="H117" s="123">
        <v>8312</v>
      </c>
    </row>
    <row r="118" spans="1:8" ht="31.5" x14ac:dyDescent="0.25">
      <c r="A118" s="134" t="s">
        <v>11869</v>
      </c>
      <c r="B118" s="134" t="s">
        <v>11901</v>
      </c>
      <c r="C118" s="134" t="s">
        <v>11900</v>
      </c>
      <c r="D118" s="134" t="s">
        <v>5466</v>
      </c>
      <c r="E118" s="139">
        <v>15.83</v>
      </c>
      <c r="F118" s="134" t="s">
        <v>5465</v>
      </c>
      <c r="G118" s="134" t="s">
        <v>3007</v>
      </c>
      <c r="H118" s="123">
        <v>8313</v>
      </c>
    </row>
    <row r="119" spans="1:8" ht="31.5" x14ac:dyDescent="0.25">
      <c r="A119" s="134" t="s">
        <v>11869</v>
      </c>
      <c r="B119" s="134" t="s">
        <v>11899</v>
      </c>
      <c r="C119" s="134" t="s">
        <v>11898</v>
      </c>
      <c r="D119" s="134" t="s">
        <v>3692</v>
      </c>
      <c r="E119" s="139">
        <v>2.62</v>
      </c>
      <c r="F119" s="134" t="s">
        <v>3691</v>
      </c>
      <c r="G119" s="134" t="s">
        <v>3007</v>
      </c>
      <c r="H119" s="123">
        <v>8314</v>
      </c>
    </row>
    <row r="120" spans="1:8" ht="31.5" x14ac:dyDescent="0.25">
      <c r="A120" s="134" t="s">
        <v>11869</v>
      </c>
      <c r="B120" s="134" t="s">
        <v>11897</v>
      </c>
      <c r="C120" s="134" t="s">
        <v>11896</v>
      </c>
      <c r="D120" s="134" t="s">
        <v>3402</v>
      </c>
      <c r="E120" s="139">
        <v>9.17</v>
      </c>
      <c r="F120" s="134" t="s">
        <v>3401</v>
      </c>
      <c r="G120" s="134" t="s">
        <v>3007</v>
      </c>
      <c r="H120" s="123">
        <v>8315</v>
      </c>
    </row>
    <row r="121" spans="1:8" ht="31.5" x14ac:dyDescent="0.25">
      <c r="A121" s="134" t="s">
        <v>11869</v>
      </c>
      <c r="B121" s="134" t="s">
        <v>11895</v>
      </c>
      <c r="C121" s="134" t="s">
        <v>11894</v>
      </c>
      <c r="D121" s="134" t="s">
        <v>11893</v>
      </c>
      <c r="E121" s="139">
        <v>2.37</v>
      </c>
      <c r="F121" s="134" t="s">
        <v>11892</v>
      </c>
      <c r="G121" s="134" t="s">
        <v>3007</v>
      </c>
      <c r="H121" s="123">
        <v>8316</v>
      </c>
    </row>
    <row r="122" spans="1:8" ht="31.5" x14ac:dyDescent="0.25">
      <c r="A122" s="134" t="s">
        <v>11869</v>
      </c>
      <c r="B122" s="134" t="s">
        <v>11891</v>
      </c>
      <c r="C122" s="134" t="s">
        <v>11890</v>
      </c>
      <c r="D122" s="134" t="s">
        <v>4847</v>
      </c>
      <c r="E122" s="139">
        <v>2.93</v>
      </c>
      <c r="F122" s="134" t="s">
        <v>4846</v>
      </c>
      <c r="G122" s="134" t="s">
        <v>3007</v>
      </c>
      <c r="H122" s="123">
        <v>8317</v>
      </c>
    </row>
    <row r="123" spans="1:8" ht="31.5" x14ac:dyDescent="0.25">
      <c r="A123" s="134" t="s">
        <v>11869</v>
      </c>
      <c r="B123" s="134" t="s">
        <v>11889</v>
      </c>
      <c r="C123" s="134" t="s">
        <v>11888</v>
      </c>
      <c r="D123" s="134" t="s">
        <v>4665</v>
      </c>
      <c r="E123" s="139">
        <v>16.760000000000002</v>
      </c>
      <c r="F123" s="134" t="s">
        <v>4664</v>
      </c>
      <c r="G123" s="134" t="s">
        <v>3007</v>
      </c>
      <c r="H123" s="123">
        <v>8318</v>
      </c>
    </row>
    <row r="124" spans="1:8" ht="31.5" x14ac:dyDescent="0.25">
      <c r="A124" s="134" t="s">
        <v>11869</v>
      </c>
      <c r="B124" s="134" t="s">
        <v>11887</v>
      </c>
      <c r="C124" s="134" t="s">
        <v>11886</v>
      </c>
      <c r="D124" s="134" t="s">
        <v>3820</v>
      </c>
      <c r="E124" s="139">
        <v>8.33</v>
      </c>
      <c r="F124" s="134" t="s">
        <v>3819</v>
      </c>
      <c r="G124" s="134" t="s">
        <v>3007</v>
      </c>
      <c r="H124" s="123">
        <v>8319</v>
      </c>
    </row>
    <row r="125" spans="1:8" ht="31.5" x14ac:dyDescent="0.25">
      <c r="A125" s="134" t="s">
        <v>11869</v>
      </c>
      <c r="B125" s="134" t="s">
        <v>11885</v>
      </c>
      <c r="C125" s="134" t="s">
        <v>11884</v>
      </c>
      <c r="D125" s="134" t="s">
        <v>6431</v>
      </c>
      <c r="E125" s="139">
        <v>7.39</v>
      </c>
      <c r="F125" s="134" t="s">
        <v>6430</v>
      </c>
      <c r="G125" s="134" t="s">
        <v>3007</v>
      </c>
      <c r="H125" s="123">
        <v>8320</v>
      </c>
    </row>
    <row r="126" spans="1:8" ht="31.5" x14ac:dyDescent="0.25">
      <c r="A126" s="134" t="s">
        <v>11869</v>
      </c>
      <c r="B126" s="134" t="s">
        <v>11883</v>
      </c>
      <c r="C126" s="134" t="s">
        <v>11882</v>
      </c>
      <c r="D126" s="134" t="s">
        <v>5008</v>
      </c>
      <c r="E126" s="139">
        <v>17.440000000000001</v>
      </c>
      <c r="F126" s="134" t="s">
        <v>5007</v>
      </c>
      <c r="G126" s="134" t="s">
        <v>3007</v>
      </c>
      <c r="H126" s="123">
        <v>8321</v>
      </c>
    </row>
    <row r="127" spans="1:8" ht="31.5" x14ac:dyDescent="0.25">
      <c r="A127" s="134" t="s">
        <v>11869</v>
      </c>
      <c r="B127" s="134" t="s">
        <v>11881</v>
      </c>
      <c r="C127" s="134" t="s">
        <v>11880</v>
      </c>
      <c r="D127" s="134" t="s">
        <v>8857</v>
      </c>
      <c r="E127" s="139">
        <v>5.08</v>
      </c>
      <c r="F127" s="134" t="s">
        <v>8856</v>
      </c>
      <c r="G127" s="134" t="s">
        <v>3007</v>
      </c>
      <c r="H127" s="123">
        <v>8322</v>
      </c>
    </row>
    <row r="128" spans="1:8" ht="31.5" x14ac:dyDescent="0.25">
      <c r="A128" s="134" t="s">
        <v>11869</v>
      </c>
      <c r="B128" s="134" t="s">
        <v>11879</v>
      </c>
      <c r="C128" s="134" t="s">
        <v>11878</v>
      </c>
      <c r="D128" s="134" t="s">
        <v>5622</v>
      </c>
      <c r="E128" s="139">
        <v>2.4900000000000002</v>
      </c>
      <c r="F128" s="134" t="s">
        <v>5621</v>
      </c>
      <c r="G128" s="134" t="s">
        <v>3007</v>
      </c>
      <c r="H128" s="123">
        <v>8323</v>
      </c>
    </row>
    <row r="129" spans="1:8" ht="31.5" x14ac:dyDescent="0.25">
      <c r="A129" s="134" t="s">
        <v>11869</v>
      </c>
      <c r="B129" s="134" t="s">
        <v>11877</v>
      </c>
      <c r="C129" s="134" t="s">
        <v>11876</v>
      </c>
      <c r="D129" s="134" t="s">
        <v>4548</v>
      </c>
      <c r="E129" s="139">
        <v>15.89</v>
      </c>
      <c r="F129" s="134" t="s">
        <v>4547</v>
      </c>
      <c r="G129" s="134" t="s">
        <v>3007</v>
      </c>
      <c r="H129" s="123">
        <v>8324</v>
      </c>
    </row>
    <row r="130" spans="1:8" ht="31.5" x14ac:dyDescent="0.25">
      <c r="A130" s="134" t="s">
        <v>11869</v>
      </c>
      <c r="B130" s="134" t="s">
        <v>11875</v>
      </c>
      <c r="C130" s="134" t="s">
        <v>11874</v>
      </c>
      <c r="D130" s="134" t="s">
        <v>3912</v>
      </c>
      <c r="E130" s="139">
        <v>14.89</v>
      </c>
      <c r="F130" s="134" t="s">
        <v>3911</v>
      </c>
      <c r="G130" s="134" t="s">
        <v>3007</v>
      </c>
      <c r="H130" s="123">
        <v>8325</v>
      </c>
    </row>
    <row r="131" spans="1:8" ht="31.5" x14ac:dyDescent="0.25">
      <c r="A131" s="134" t="s">
        <v>11869</v>
      </c>
      <c r="B131" s="134" t="s">
        <v>11873</v>
      </c>
      <c r="C131" s="134" t="s">
        <v>11872</v>
      </c>
      <c r="D131" s="134" t="s">
        <v>6495</v>
      </c>
      <c r="E131" s="139">
        <v>6.62</v>
      </c>
      <c r="F131" s="134" t="s">
        <v>6494</v>
      </c>
      <c r="G131" s="134" t="s">
        <v>3007</v>
      </c>
      <c r="H131" s="123">
        <v>8326</v>
      </c>
    </row>
    <row r="132" spans="1:8" ht="31.5" x14ac:dyDescent="0.25">
      <c r="A132" s="134" t="s">
        <v>11869</v>
      </c>
      <c r="B132" s="134" t="s">
        <v>11871</v>
      </c>
      <c r="C132" s="134" t="s">
        <v>11870</v>
      </c>
      <c r="D132" s="134" t="s">
        <v>5265</v>
      </c>
      <c r="E132" s="139">
        <v>4.9800000000000004</v>
      </c>
      <c r="F132" s="134" t="s">
        <v>5264</v>
      </c>
      <c r="G132" s="134" t="s">
        <v>3007</v>
      </c>
      <c r="H132" s="123">
        <v>8327</v>
      </c>
    </row>
    <row r="133" spans="1:8" ht="31.5" x14ac:dyDescent="0.25">
      <c r="A133" s="134" t="s">
        <v>11869</v>
      </c>
      <c r="B133" s="134" t="s">
        <v>11868</v>
      </c>
      <c r="C133" s="134" t="s">
        <v>11867</v>
      </c>
      <c r="D133" s="134" t="s">
        <v>5302</v>
      </c>
      <c r="E133" s="139">
        <v>36.21</v>
      </c>
      <c r="F133" s="134" t="s">
        <v>5301</v>
      </c>
      <c r="G133" s="134" t="s">
        <v>3007</v>
      </c>
      <c r="H133" s="123">
        <v>8328</v>
      </c>
    </row>
    <row r="134" spans="1:8" ht="31.5" x14ac:dyDescent="0.25">
      <c r="A134" s="134" t="s">
        <v>11829</v>
      </c>
      <c r="B134" s="134" t="s">
        <v>11866</v>
      </c>
      <c r="C134" s="134" t="s">
        <v>11865</v>
      </c>
      <c r="D134" s="134" t="s">
        <v>11864</v>
      </c>
      <c r="E134" s="139">
        <v>2.62</v>
      </c>
      <c r="F134" s="134" t="s">
        <v>11863</v>
      </c>
      <c r="G134" s="134" t="s">
        <v>3007</v>
      </c>
      <c r="H134" s="123">
        <v>8355</v>
      </c>
    </row>
    <row r="135" spans="1:8" ht="31.5" x14ac:dyDescent="0.25">
      <c r="A135" s="134" t="s">
        <v>11829</v>
      </c>
      <c r="B135" s="134" t="s">
        <v>11862</v>
      </c>
      <c r="C135" s="134" t="s">
        <v>11861</v>
      </c>
      <c r="D135" s="134" t="s">
        <v>7123</v>
      </c>
      <c r="E135" s="139">
        <v>2.46</v>
      </c>
      <c r="F135" s="134" t="s">
        <v>7122</v>
      </c>
      <c r="G135" s="134" t="s">
        <v>3007</v>
      </c>
      <c r="H135" s="123">
        <v>8356</v>
      </c>
    </row>
    <row r="136" spans="1:8" ht="31.5" x14ac:dyDescent="0.25">
      <c r="A136" s="134" t="s">
        <v>11829</v>
      </c>
      <c r="B136" s="134" t="s">
        <v>11860</v>
      </c>
      <c r="C136" s="134" t="s">
        <v>11859</v>
      </c>
      <c r="D136" s="134" t="s">
        <v>5423</v>
      </c>
      <c r="E136" s="139">
        <v>4.7</v>
      </c>
      <c r="F136" s="134" t="s">
        <v>5422</v>
      </c>
      <c r="G136" s="134" t="s">
        <v>3007</v>
      </c>
      <c r="H136" s="123">
        <v>8357</v>
      </c>
    </row>
    <row r="137" spans="1:8" ht="31.5" x14ac:dyDescent="0.25">
      <c r="A137" s="134" t="s">
        <v>11829</v>
      </c>
      <c r="B137" s="134" t="s">
        <v>11858</v>
      </c>
      <c r="C137" s="134" t="s">
        <v>11857</v>
      </c>
      <c r="D137" s="134" t="s">
        <v>3373</v>
      </c>
      <c r="E137" s="139">
        <v>2.98</v>
      </c>
      <c r="F137" s="134" t="s">
        <v>3372</v>
      </c>
      <c r="G137" s="134" t="s">
        <v>3007</v>
      </c>
      <c r="H137" s="123">
        <v>8358</v>
      </c>
    </row>
    <row r="138" spans="1:8" ht="31.5" x14ac:dyDescent="0.25">
      <c r="A138" s="134" t="s">
        <v>11829</v>
      </c>
      <c r="B138" s="134" t="s">
        <v>11856</v>
      </c>
      <c r="C138" s="134" t="s">
        <v>11855</v>
      </c>
      <c r="D138" s="134" t="s">
        <v>8589</v>
      </c>
      <c r="E138" s="139">
        <v>3.01</v>
      </c>
      <c r="F138" s="134" t="s">
        <v>8588</v>
      </c>
      <c r="G138" s="134" t="s">
        <v>3007</v>
      </c>
      <c r="H138" s="123">
        <v>8359</v>
      </c>
    </row>
    <row r="139" spans="1:8" ht="31.5" x14ac:dyDescent="0.25">
      <c r="A139" s="134" t="s">
        <v>11829</v>
      </c>
      <c r="B139" s="134" t="s">
        <v>11854</v>
      </c>
      <c r="C139" s="134" t="s">
        <v>11853</v>
      </c>
      <c r="D139" s="134" t="s">
        <v>3082</v>
      </c>
      <c r="E139" s="139">
        <v>5.15</v>
      </c>
      <c r="F139" s="134" t="s">
        <v>3081</v>
      </c>
      <c r="G139" s="134" t="s">
        <v>3007</v>
      </c>
      <c r="H139" s="123">
        <v>8360</v>
      </c>
    </row>
    <row r="140" spans="1:8" ht="31.5" x14ac:dyDescent="0.25">
      <c r="A140" s="134" t="s">
        <v>11829</v>
      </c>
      <c r="B140" s="134" t="s">
        <v>11852</v>
      </c>
      <c r="C140" s="134" t="s">
        <v>11851</v>
      </c>
      <c r="D140" s="134" t="s">
        <v>5539</v>
      </c>
      <c r="E140" s="139">
        <v>8.42</v>
      </c>
      <c r="F140" s="134" t="s">
        <v>5538</v>
      </c>
      <c r="G140" s="134" t="s">
        <v>3007</v>
      </c>
      <c r="H140" s="123">
        <v>8361</v>
      </c>
    </row>
    <row r="141" spans="1:8" ht="31.5" x14ac:dyDescent="0.25">
      <c r="A141" s="134" t="s">
        <v>11829</v>
      </c>
      <c r="B141" s="134" t="s">
        <v>11850</v>
      </c>
      <c r="C141" s="134" t="s">
        <v>11849</v>
      </c>
      <c r="D141" s="134" t="s">
        <v>11848</v>
      </c>
      <c r="E141" s="139">
        <v>9.57</v>
      </c>
      <c r="F141" s="134" t="s">
        <v>11847</v>
      </c>
      <c r="G141" s="134" t="s">
        <v>3007</v>
      </c>
      <c r="H141" s="123">
        <v>8362</v>
      </c>
    </row>
    <row r="142" spans="1:8" ht="31.5" x14ac:dyDescent="0.25">
      <c r="A142" s="134" t="s">
        <v>11829</v>
      </c>
      <c r="B142" s="134" t="s">
        <v>6461</v>
      </c>
      <c r="C142" s="134" t="s">
        <v>11846</v>
      </c>
      <c r="D142" s="134" t="s">
        <v>9745</v>
      </c>
      <c r="E142" s="139">
        <v>4.1900000000000004</v>
      </c>
      <c r="F142" s="134" t="s">
        <v>9744</v>
      </c>
      <c r="G142" s="134" t="s">
        <v>3007</v>
      </c>
      <c r="H142" s="123">
        <v>8363</v>
      </c>
    </row>
    <row r="143" spans="1:8" ht="31.5" x14ac:dyDescent="0.25">
      <c r="A143" s="134" t="s">
        <v>11829</v>
      </c>
      <c r="B143" s="134" t="s">
        <v>11845</v>
      </c>
      <c r="C143" s="134" t="s">
        <v>11844</v>
      </c>
      <c r="D143" s="134" t="s">
        <v>4767</v>
      </c>
      <c r="E143" s="139">
        <v>6.1</v>
      </c>
      <c r="F143" s="134" t="s">
        <v>4766</v>
      </c>
      <c r="G143" s="134" t="s">
        <v>3007</v>
      </c>
      <c r="H143" s="123">
        <v>8364</v>
      </c>
    </row>
    <row r="144" spans="1:8" ht="31.5" x14ac:dyDescent="0.25">
      <c r="A144" s="134" t="s">
        <v>11829</v>
      </c>
      <c r="B144" s="134" t="s">
        <v>11843</v>
      </c>
      <c r="C144" s="134" t="s">
        <v>11842</v>
      </c>
      <c r="D144" s="134" t="s">
        <v>5417</v>
      </c>
      <c r="E144" s="139">
        <v>3.66</v>
      </c>
      <c r="F144" s="134" t="s">
        <v>5416</v>
      </c>
      <c r="G144" s="134" t="s">
        <v>3007</v>
      </c>
      <c r="H144" s="123">
        <v>8365</v>
      </c>
    </row>
    <row r="145" spans="1:8" ht="31.5" x14ac:dyDescent="0.25">
      <c r="A145" s="134" t="s">
        <v>11829</v>
      </c>
      <c r="B145" s="134" t="s">
        <v>11841</v>
      </c>
      <c r="C145" s="134" t="s">
        <v>11840</v>
      </c>
      <c r="D145" s="134" t="s">
        <v>11839</v>
      </c>
      <c r="E145" s="139">
        <v>15.69</v>
      </c>
      <c r="F145" s="134" t="s">
        <v>11838</v>
      </c>
      <c r="G145" s="134" t="s">
        <v>3007</v>
      </c>
      <c r="H145" s="123">
        <v>8366</v>
      </c>
    </row>
    <row r="146" spans="1:8" ht="31.5" x14ac:dyDescent="0.25">
      <c r="A146" s="134" t="s">
        <v>11829</v>
      </c>
      <c r="B146" s="134" t="s">
        <v>11837</v>
      </c>
      <c r="C146" s="134" t="s">
        <v>11836</v>
      </c>
      <c r="D146" s="134" t="s">
        <v>4827</v>
      </c>
      <c r="E146" s="139">
        <v>43.73</v>
      </c>
      <c r="F146" s="134" t="s">
        <v>4826</v>
      </c>
      <c r="G146" s="134" t="s">
        <v>3007</v>
      </c>
      <c r="H146" s="123">
        <v>8367</v>
      </c>
    </row>
    <row r="147" spans="1:8" ht="31.5" x14ac:dyDescent="0.25">
      <c r="A147" s="134" t="s">
        <v>11829</v>
      </c>
      <c r="B147" s="134" t="s">
        <v>11835</v>
      </c>
      <c r="C147" s="134" t="s">
        <v>11834</v>
      </c>
      <c r="D147" s="134" t="s">
        <v>11833</v>
      </c>
      <c r="E147" s="139">
        <v>14.54</v>
      </c>
      <c r="F147" s="134" t="s">
        <v>11832</v>
      </c>
      <c r="G147" s="134" t="s">
        <v>3007</v>
      </c>
      <c r="H147" s="123">
        <v>8368</v>
      </c>
    </row>
    <row r="148" spans="1:8" ht="31.5" x14ac:dyDescent="0.25">
      <c r="A148" s="134" t="s">
        <v>11829</v>
      </c>
      <c r="B148" s="134" t="s">
        <v>11831</v>
      </c>
      <c r="C148" s="134" t="s">
        <v>11830</v>
      </c>
      <c r="D148" s="134" t="s">
        <v>5376</v>
      </c>
      <c r="E148" s="139">
        <v>2.12</v>
      </c>
      <c r="F148" s="134" t="s">
        <v>5375</v>
      </c>
      <c r="G148" s="134" t="s">
        <v>3007</v>
      </c>
      <c r="H148" s="123">
        <v>8369</v>
      </c>
    </row>
    <row r="149" spans="1:8" ht="31.5" x14ac:dyDescent="0.25">
      <c r="A149" s="134" t="s">
        <v>11829</v>
      </c>
      <c r="B149" s="134" t="s">
        <v>11828</v>
      </c>
      <c r="C149" s="134" t="s">
        <v>11827</v>
      </c>
      <c r="D149" s="134" t="s">
        <v>5048</v>
      </c>
      <c r="E149" s="139">
        <v>4.08</v>
      </c>
      <c r="F149" s="134" t="s">
        <v>5047</v>
      </c>
      <c r="G149" s="134" t="s">
        <v>3007</v>
      </c>
      <c r="H149" s="123">
        <v>8370</v>
      </c>
    </row>
    <row r="150" spans="1:8" ht="31.5" x14ac:dyDescent="0.25">
      <c r="A150" s="134" t="s">
        <v>11792</v>
      </c>
      <c r="B150" s="134" t="s">
        <v>11826</v>
      </c>
      <c r="C150" s="134" t="s">
        <v>11825</v>
      </c>
      <c r="D150" s="134" t="s">
        <v>7912</v>
      </c>
      <c r="E150" s="139">
        <v>1.71</v>
      </c>
      <c r="F150" s="134" t="s">
        <v>7911</v>
      </c>
      <c r="G150" s="134" t="s">
        <v>3007</v>
      </c>
      <c r="H150" s="123">
        <v>8381</v>
      </c>
    </row>
    <row r="151" spans="1:8" ht="31.5" x14ac:dyDescent="0.25">
      <c r="A151" s="134" t="s">
        <v>11792</v>
      </c>
      <c r="B151" s="134" t="s">
        <v>11824</v>
      </c>
      <c r="C151" s="134" t="s">
        <v>11823</v>
      </c>
      <c r="D151" s="134" t="s">
        <v>7240</v>
      </c>
      <c r="E151" s="139">
        <v>20.69</v>
      </c>
      <c r="F151" s="134" t="s">
        <v>7239</v>
      </c>
      <c r="G151" s="134" t="s">
        <v>3007</v>
      </c>
      <c r="H151" s="123">
        <v>8382</v>
      </c>
    </row>
    <row r="152" spans="1:8" ht="31.5" x14ac:dyDescent="0.25">
      <c r="A152" s="134" t="s">
        <v>11792</v>
      </c>
      <c r="B152" s="134" t="s">
        <v>9813</v>
      </c>
      <c r="C152" s="134" t="s">
        <v>11822</v>
      </c>
      <c r="D152" s="134" t="s">
        <v>3739</v>
      </c>
      <c r="E152" s="139">
        <v>8.8800000000000008</v>
      </c>
      <c r="F152" s="134" t="s">
        <v>3738</v>
      </c>
      <c r="G152" s="134" t="s">
        <v>3007</v>
      </c>
      <c r="H152" s="123">
        <v>8383</v>
      </c>
    </row>
    <row r="153" spans="1:8" ht="31.5" x14ac:dyDescent="0.25">
      <c r="A153" s="134" t="s">
        <v>11792</v>
      </c>
      <c r="B153" s="134" t="s">
        <v>11821</v>
      </c>
      <c r="C153" s="134" t="s">
        <v>11820</v>
      </c>
      <c r="D153" s="134" t="s">
        <v>7333</v>
      </c>
      <c r="E153" s="139">
        <v>40.98</v>
      </c>
      <c r="F153" s="134" t="s">
        <v>7332</v>
      </c>
      <c r="G153" s="134" t="s">
        <v>3007</v>
      </c>
      <c r="H153" s="123">
        <v>8384</v>
      </c>
    </row>
    <row r="154" spans="1:8" ht="31.5" x14ac:dyDescent="0.25">
      <c r="A154" s="134" t="s">
        <v>11792</v>
      </c>
      <c r="B154" s="134" t="s">
        <v>11819</v>
      </c>
      <c r="C154" s="134" t="s">
        <v>11818</v>
      </c>
      <c r="D154" s="134" t="s">
        <v>5259</v>
      </c>
      <c r="E154" s="139">
        <v>8.4600000000000009</v>
      </c>
      <c r="F154" s="134" t="s">
        <v>5258</v>
      </c>
      <c r="G154" s="134" t="s">
        <v>3007</v>
      </c>
      <c r="H154" s="123">
        <v>8385</v>
      </c>
    </row>
    <row r="155" spans="1:8" ht="31.5" x14ac:dyDescent="0.25">
      <c r="A155" s="134" t="s">
        <v>11792</v>
      </c>
      <c r="B155" s="134" t="s">
        <v>11817</v>
      </c>
      <c r="C155" s="134" t="s">
        <v>11816</v>
      </c>
      <c r="D155" s="134" t="s">
        <v>4281</v>
      </c>
      <c r="E155" s="139">
        <v>4.55</v>
      </c>
      <c r="F155" s="134" t="s">
        <v>4280</v>
      </c>
      <c r="G155" s="134" t="s">
        <v>3007</v>
      </c>
      <c r="H155" s="123">
        <v>8386</v>
      </c>
    </row>
    <row r="156" spans="1:8" ht="31.5" x14ac:dyDescent="0.25">
      <c r="A156" s="134" t="s">
        <v>11792</v>
      </c>
      <c r="B156" s="134" t="s">
        <v>11815</v>
      </c>
      <c r="C156" s="134" t="s">
        <v>11814</v>
      </c>
      <c r="D156" s="134" t="s">
        <v>7103</v>
      </c>
      <c r="E156" s="139">
        <v>21.75</v>
      </c>
      <c r="F156" s="134" t="s">
        <v>7102</v>
      </c>
      <c r="G156" s="134" t="s">
        <v>3007</v>
      </c>
      <c r="H156" s="123">
        <v>8387</v>
      </c>
    </row>
    <row r="157" spans="1:8" ht="31.5" x14ac:dyDescent="0.25">
      <c r="A157" s="134" t="s">
        <v>11792</v>
      </c>
      <c r="B157" s="134" t="s">
        <v>9963</v>
      </c>
      <c r="C157" s="134" t="s">
        <v>11813</v>
      </c>
      <c r="D157" s="134" t="s">
        <v>3595</v>
      </c>
      <c r="E157" s="139">
        <v>8.94</v>
      </c>
      <c r="F157" s="134" t="s">
        <v>3594</v>
      </c>
      <c r="G157" s="134" t="s">
        <v>3007</v>
      </c>
      <c r="H157" s="123">
        <v>8388</v>
      </c>
    </row>
    <row r="158" spans="1:8" ht="31.5" x14ac:dyDescent="0.25">
      <c r="A158" s="134" t="s">
        <v>11792</v>
      </c>
      <c r="B158" s="134" t="s">
        <v>11812</v>
      </c>
      <c r="C158" s="134" t="s">
        <v>11811</v>
      </c>
      <c r="D158" s="134" t="s">
        <v>4823</v>
      </c>
      <c r="E158" s="139">
        <v>12.15</v>
      </c>
      <c r="F158" s="134" t="s">
        <v>4822</v>
      </c>
      <c r="G158" s="134" t="s">
        <v>3007</v>
      </c>
      <c r="H158" s="123">
        <v>8389</v>
      </c>
    </row>
    <row r="159" spans="1:8" ht="31.5" x14ac:dyDescent="0.25">
      <c r="A159" s="134" t="s">
        <v>11792</v>
      </c>
      <c r="B159" s="134" t="s">
        <v>11810</v>
      </c>
      <c r="C159" s="134" t="s">
        <v>11809</v>
      </c>
      <c r="D159" s="134" t="s">
        <v>10278</v>
      </c>
      <c r="E159" s="139">
        <v>2.74</v>
      </c>
      <c r="F159" s="134" t="s">
        <v>10277</v>
      </c>
      <c r="G159" s="134" t="s">
        <v>3007</v>
      </c>
      <c r="H159" s="123">
        <v>8390</v>
      </c>
    </row>
    <row r="160" spans="1:8" ht="31.5" x14ac:dyDescent="0.25">
      <c r="A160" s="134" t="s">
        <v>11792</v>
      </c>
      <c r="B160" s="134" t="s">
        <v>11808</v>
      </c>
      <c r="C160" s="134" t="s">
        <v>11807</v>
      </c>
      <c r="D160" s="134" t="s">
        <v>3763</v>
      </c>
      <c r="E160" s="139">
        <v>4.5</v>
      </c>
      <c r="F160" s="134" t="s">
        <v>3762</v>
      </c>
      <c r="G160" s="134" t="s">
        <v>3007</v>
      </c>
      <c r="H160" s="123">
        <v>8391</v>
      </c>
    </row>
    <row r="161" spans="1:8" ht="31.5" x14ac:dyDescent="0.25">
      <c r="A161" s="134" t="s">
        <v>11792</v>
      </c>
      <c r="B161" s="134" t="s">
        <v>11806</v>
      </c>
      <c r="C161" s="134" t="s">
        <v>11805</v>
      </c>
      <c r="D161" s="134" t="s">
        <v>3828</v>
      </c>
      <c r="E161" s="139">
        <v>44.82</v>
      </c>
      <c r="F161" s="134" t="s">
        <v>3827</v>
      </c>
      <c r="G161" s="134" t="s">
        <v>3007</v>
      </c>
      <c r="H161" s="123">
        <v>8392</v>
      </c>
    </row>
    <row r="162" spans="1:8" ht="31.5" x14ac:dyDescent="0.25">
      <c r="A162" s="134" t="s">
        <v>11792</v>
      </c>
      <c r="B162" s="134" t="s">
        <v>11804</v>
      </c>
      <c r="C162" s="134" t="s">
        <v>11803</v>
      </c>
      <c r="D162" s="134" t="s">
        <v>3195</v>
      </c>
      <c r="E162" s="139">
        <v>2.48</v>
      </c>
      <c r="F162" s="134" t="s">
        <v>3194</v>
      </c>
      <c r="G162" s="134" t="s">
        <v>3007</v>
      </c>
      <c r="H162" s="123">
        <v>8393</v>
      </c>
    </row>
    <row r="163" spans="1:8" ht="31.5" x14ac:dyDescent="0.25">
      <c r="A163" s="134" t="s">
        <v>11792</v>
      </c>
      <c r="B163" s="134" t="s">
        <v>11802</v>
      </c>
      <c r="C163" s="134" t="s">
        <v>11801</v>
      </c>
      <c r="D163" s="134" t="s">
        <v>5396</v>
      </c>
      <c r="E163" s="139">
        <v>3.8</v>
      </c>
      <c r="F163" s="134" t="s">
        <v>5395</v>
      </c>
      <c r="G163" s="134" t="s">
        <v>3007</v>
      </c>
      <c r="H163" s="123">
        <v>8394</v>
      </c>
    </row>
    <row r="164" spans="1:8" ht="31.5" x14ac:dyDescent="0.25">
      <c r="A164" s="134" t="s">
        <v>11792</v>
      </c>
      <c r="B164" s="134" t="s">
        <v>11800</v>
      </c>
      <c r="C164" s="134" t="s">
        <v>11799</v>
      </c>
      <c r="D164" s="134" t="s">
        <v>11798</v>
      </c>
      <c r="E164" s="139">
        <v>24.99</v>
      </c>
      <c r="F164" s="134" t="s">
        <v>11797</v>
      </c>
      <c r="G164" s="134" t="s">
        <v>3007</v>
      </c>
      <c r="H164" s="123">
        <v>8395</v>
      </c>
    </row>
    <row r="165" spans="1:8" ht="31.5" x14ac:dyDescent="0.25">
      <c r="A165" s="134" t="s">
        <v>11792</v>
      </c>
      <c r="B165" s="134" t="s">
        <v>11796</v>
      </c>
      <c r="C165" s="134" t="s">
        <v>11795</v>
      </c>
      <c r="D165" s="134" t="s">
        <v>7657</v>
      </c>
      <c r="E165" s="139">
        <v>6.87</v>
      </c>
      <c r="F165" s="134" t="s">
        <v>7656</v>
      </c>
      <c r="G165" s="134" t="s">
        <v>3007</v>
      </c>
      <c r="H165" s="123">
        <v>8396</v>
      </c>
    </row>
    <row r="166" spans="1:8" ht="31.5" x14ac:dyDescent="0.25">
      <c r="A166" s="134" t="s">
        <v>11792</v>
      </c>
      <c r="B166" s="134" t="s">
        <v>11794</v>
      </c>
      <c r="C166" s="134" t="s">
        <v>11793</v>
      </c>
      <c r="D166" s="134" t="s">
        <v>3832</v>
      </c>
      <c r="E166" s="139">
        <v>24.81</v>
      </c>
      <c r="F166" s="134" t="s">
        <v>3831</v>
      </c>
      <c r="G166" s="134" t="s">
        <v>3007</v>
      </c>
      <c r="H166" s="123">
        <v>8397</v>
      </c>
    </row>
    <row r="167" spans="1:8" ht="31.5" x14ac:dyDescent="0.25">
      <c r="A167" s="134" t="s">
        <v>11792</v>
      </c>
      <c r="B167" s="134" t="s">
        <v>11791</v>
      </c>
      <c r="C167" s="134" t="s">
        <v>11790</v>
      </c>
      <c r="D167" s="134" t="s">
        <v>5510</v>
      </c>
      <c r="E167" s="139">
        <v>7.92</v>
      </c>
      <c r="F167" s="134" t="s">
        <v>5509</v>
      </c>
      <c r="G167" s="134" t="s">
        <v>3007</v>
      </c>
      <c r="H167" s="123">
        <v>8398</v>
      </c>
    </row>
    <row r="168" spans="1:8" s="200" customFormat="1" x14ac:dyDescent="0.25">
      <c r="A168" s="198"/>
      <c r="B168" s="198"/>
      <c r="C168" s="198" t="s">
        <v>5691</v>
      </c>
      <c r="D168" s="198" t="s">
        <v>14408</v>
      </c>
      <c r="E168" s="199">
        <f>SUM(E3:E167)</f>
        <v>1611.9800000000002</v>
      </c>
      <c r="F168" s="198"/>
      <c r="G168" s="198"/>
      <c r="H168" s="172"/>
    </row>
    <row r="169" spans="1:8" s="195" customFormat="1" ht="16.5" thickBot="1" x14ac:dyDescent="0.3">
      <c r="A169" s="193"/>
      <c r="B169" s="193"/>
      <c r="C169" s="193" t="s">
        <v>14410</v>
      </c>
      <c r="D169" s="193"/>
      <c r="E169" s="197">
        <v>-68.17</v>
      </c>
      <c r="F169" s="193"/>
      <c r="G169" s="193"/>
      <c r="H169" s="123"/>
    </row>
    <row r="170" spans="1:8" s="195" customFormat="1" x14ac:dyDescent="0.25">
      <c r="A170" s="193"/>
      <c r="B170" s="193"/>
      <c r="C170" s="193" t="s">
        <v>5691</v>
      </c>
      <c r="D170" s="193"/>
      <c r="E170" s="196">
        <f>SUM(E168:E169)</f>
        <v>1543.8100000000002</v>
      </c>
      <c r="F170" s="193"/>
      <c r="G170" s="193"/>
      <c r="H170" s="123"/>
    </row>
    <row r="171" spans="1:8" s="195" customFormat="1" x14ac:dyDescent="0.25">
      <c r="A171" s="193"/>
      <c r="B171" s="193"/>
      <c r="C171" s="193"/>
      <c r="D171" s="193"/>
      <c r="E171" s="196"/>
      <c r="F171" s="193"/>
      <c r="G171" s="193"/>
      <c r="H171" s="123"/>
    </row>
    <row r="172" spans="1:8" ht="31.5" x14ac:dyDescent="0.25">
      <c r="A172" s="134" t="s">
        <v>11773</v>
      </c>
      <c r="B172" s="134" t="s">
        <v>11789</v>
      </c>
      <c r="C172" s="134" t="s">
        <v>11788</v>
      </c>
      <c r="D172" s="134" t="s">
        <v>3783</v>
      </c>
      <c r="E172" s="139">
        <v>13.2</v>
      </c>
      <c r="F172" s="134" t="s">
        <v>3782</v>
      </c>
      <c r="G172" s="134" t="s">
        <v>3007</v>
      </c>
      <c r="H172" s="123">
        <v>8426</v>
      </c>
    </row>
    <row r="173" spans="1:8" ht="31.5" x14ac:dyDescent="0.25">
      <c r="A173" s="134" t="s">
        <v>11773</v>
      </c>
      <c r="B173" s="134" t="s">
        <v>11787</v>
      </c>
      <c r="C173" s="134" t="s">
        <v>11786</v>
      </c>
      <c r="D173" s="134" t="s">
        <v>5506</v>
      </c>
      <c r="E173" s="139">
        <v>1.87</v>
      </c>
      <c r="F173" s="134" t="s">
        <v>5505</v>
      </c>
      <c r="G173" s="134" t="s">
        <v>3007</v>
      </c>
      <c r="H173" s="123">
        <v>8427</v>
      </c>
    </row>
    <row r="174" spans="1:8" ht="31.5" x14ac:dyDescent="0.25">
      <c r="A174" s="134" t="s">
        <v>11773</v>
      </c>
      <c r="B174" s="134" t="s">
        <v>11785</v>
      </c>
      <c r="C174" s="134" t="s">
        <v>11784</v>
      </c>
      <c r="D174" s="134" t="s">
        <v>3615</v>
      </c>
      <c r="E174" s="139">
        <v>3.54</v>
      </c>
      <c r="F174" s="134" t="s">
        <v>3614</v>
      </c>
      <c r="G174" s="134" t="s">
        <v>3007</v>
      </c>
      <c r="H174" s="123">
        <v>8428</v>
      </c>
    </row>
    <row r="175" spans="1:8" ht="31.5" x14ac:dyDescent="0.25">
      <c r="A175" s="134" t="s">
        <v>11773</v>
      </c>
      <c r="B175" s="134" t="s">
        <v>11783</v>
      </c>
      <c r="C175" s="134" t="s">
        <v>11782</v>
      </c>
      <c r="D175" s="134" t="s">
        <v>7585</v>
      </c>
      <c r="E175" s="139">
        <v>4.47</v>
      </c>
      <c r="F175" s="134" t="s">
        <v>7584</v>
      </c>
      <c r="G175" s="134" t="s">
        <v>3007</v>
      </c>
      <c r="H175" s="123">
        <v>8429</v>
      </c>
    </row>
    <row r="176" spans="1:8" ht="31.5" x14ac:dyDescent="0.25">
      <c r="A176" s="134" t="s">
        <v>11773</v>
      </c>
      <c r="B176" s="134" t="s">
        <v>11781</v>
      </c>
      <c r="C176" s="134" t="s">
        <v>11780</v>
      </c>
      <c r="D176" s="134" t="s">
        <v>3884</v>
      </c>
      <c r="E176" s="139">
        <v>19.72</v>
      </c>
      <c r="F176" s="134" t="s">
        <v>3883</v>
      </c>
      <c r="G176" s="134" t="s">
        <v>3007</v>
      </c>
      <c r="H176" s="123">
        <v>8430</v>
      </c>
    </row>
    <row r="177" spans="1:8" ht="31.5" x14ac:dyDescent="0.25">
      <c r="A177" s="134" t="s">
        <v>11773</v>
      </c>
      <c r="B177" s="134" t="s">
        <v>11779</v>
      </c>
      <c r="C177" s="134" t="s">
        <v>11778</v>
      </c>
      <c r="D177" s="134" t="s">
        <v>3579</v>
      </c>
      <c r="E177" s="139">
        <v>6.35</v>
      </c>
      <c r="F177" s="134" t="s">
        <v>3578</v>
      </c>
      <c r="G177" s="134" t="s">
        <v>3007</v>
      </c>
      <c r="H177" s="123">
        <v>8431</v>
      </c>
    </row>
    <row r="178" spans="1:8" ht="31.5" x14ac:dyDescent="0.25">
      <c r="A178" s="134" t="s">
        <v>11773</v>
      </c>
      <c r="B178" s="134" t="s">
        <v>11777</v>
      </c>
      <c r="C178" s="134" t="s">
        <v>11776</v>
      </c>
      <c r="D178" s="134" t="s">
        <v>3154</v>
      </c>
      <c r="E178" s="139">
        <v>3.77</v>
      </c>
      <c r="F178" s="134" t="s">
        <v>3153</v>
      </c>
      <c r="G178" s="134" t="s">
        <v>3007</v>
      </c>
      <c r="H178" s="123">
        <v>8432</v>
      </c>
    </row>
    <row r="179" spans="1:8" ht="31.5" x14ac:dyDescent="0.25">
      <c r="A179" s="134" t="s">
        <v>11773</v>
      </c>
      <c r="B179" s="134" t="s">
        <v>11775</v>
      </c>
      <c r="C179" s="134" t="s">
        <v>11774</v>
      </c>
      <c r="D179" s="134" t="s">
        <v>4229</v>
      </c>
      <c r="E179" s="139">
        <v>6.51</v>
      </c>
      <c r="F179" s="134" t="s">
        <v>4228</v>
      </c>
      <c r="G179" s="134" t="s">
        <v>3007</v>
      </c>
      <c r="H179" s="123">
        <v>8433</v>
      </c>
    </row>
    <row r="180" spans="1:8" ht="31.5" x14ac:dyDescent="0.25">
      <c r="A180" s="134" t="s">
        <v>11773</v>
      </c>
      <c r="B180" s="134" t="s">
        <v>11772</v>
      </c>
      <c r="C180" s="134" t="s">
        <v>11771</v>
      </c>
      <c r="D180" s="134" t="s">
        <v>3009</v>
      </c>
      <c r="E180" s="139">
        <v>2.0299999999999998</v>
      </c>
      <c r="F180" s="134" t="s">
        <v>3008</v>
      </c>
      <c r="G180" s="134" t="s">
        <v>3007</v>
      </c>
      <c r="H180" s="123">
        <v>8434</v>
      </c>
    </row>
    <row r="181" spans="1:8" ht="31.5" x14ac:dyDescent="0.25">
      <c r="A181" s="134" t="s">
        <v>11764</v>
      </c>
      <c r="B181" s="134" t="s">
        <v>11770</v>
      </c>
      <c r="C181" s="134" t="s">
        <v>11769</v>
      </c>
      <c r="D181" s="134" t="s">
        <v>3377</v>
      </c>
      <c r="E181" s="139">
        <v>9.06</v>
      </c>
      <c r="F181" s="134" t="s">
        <v>3376</v>
      </c>
      <c r="G181" s="134" t="s">
        <v>3007</v>
      </c>
      <c r="H181" s="123">
        <v>8452</v>
      </c>
    </row>
    <row r="182" spans="1:8" ht="31.5" x14ac:dyDescent="0.25">
      <c r="A182" s="134" t="s">
        <v>11764</v>
      </c>
      <c r="B182" s="134" t="s">
        <v>11768</v>
      </c>
      <c r="C182" s="134" t="s">
        <v>11767</v>
      </c>
      <c r="D182" s="134" t="s">
        <v>9351</v>
      </c>
      <c r="E182" s="139">
        <v>2.08</v>
      </c>
      <c r="F182" s="134" t="s">
        <v>9350</v>
      </c>
      <c r="G182" s="134" t="s">
        <v>3007</v>
      </c>
      <c r="H182" s="123">
        <v>8453</v>
      </c>
    </row>
    <row r="183" spans="1:8" ht="31.5" x14ac:dyDescent="0.25">
      <c r="A183" s="134" t="s">
        <v>11764</v>
      </c>
      <c r="B183" s="134" t="s">
        <v>11766</v>
      </c>
      <c r="C183" s="134" t="s">
        <v>11765</v>
      </c>
      <c r="D183" s="134" t="s">
        <v>10066</v>
      </c>
      <c r="E183" s="139">
        <v>8.1300000000000008</v>
      </c>
      <c r="F183" s="134" t="s">
        <v>10065</v>
      </c>
      <c r="G183" s="134" t="s">
        <v>3007</v>
      </c>
      <c r="H183" s="123">
        <v>8454</v>
      </c>
    </row>
    <row r="184" spans="1:8" ht="31.5" x14ac:dyDescent="0.25">
      <c r="A184" s="134" t="s">
        <v>11764</v>
      </c>
      <c r="B184" s="134" t="s">
        <v>11763</v>
      </c>
      <c r="C184" s="134" t="s">
        <v>11762</v>
      </c>
      <c r="D184" s="134" t="s">
        <v>10109</v>
      </c>
      <c r="E184" s="139">
        <v>3.36</v>
      </c>
      <c r="F184" s="134" t="s">
        <v>10108</v>
      </c>
      <c r="G184" s="134" t="s">
        <v>3007</v>
      </c>
      <c r="H184" s="123">
        <v>8455</v>
      </c>
    </row>
    <row r="185" spans="1:8" ht="31.5" x14ac:dyDescent="0.25">
      <c r="A185" s="134" t="s">
        <v>11761</v>
      </c>
      <c r="B185" s="134" t="s">
        <v>11760</v>
      </c>
      <c r="C185" s="134" t="s">
        <v>11759</v>
      </c>
      <c r="D185" s="134" t="s">
        <v>4652</v>
      </c>
      <c r="E185" s="139">
        <v>5.82</v>
      </c>
      <c r="F185" s="134" t="s">
        <v>4651</v>
      </c>
      <c r="G185" s="134" t="s">
        <v>3007</v>
      </c>
      <c r="H185" s="123">
        <v>8456</v>
      </c>
    </row>
    <row r="186" spans="1:8" ht="31.5" x14ac:dyDescent="0.25">
      <c r="A186" s="134" t="s">
        <v>11743</v>
      </c>
      <c r="B186" s="134" t="s">
        <v>11758</v>
      </c>
      <c r="C186" s="134" t="s">
        <v>11757</v>
      </c>
      <c r="D186" s="134" t="s">
        <v>6234</v>
      </c>
      <c r="E186" s="139">
        <v>2.37</v>
      </c>
      <c r="F186" s="134" t="s">
        <v>6233</v>
      </c>
      <c r="G186" s="134" t="s">
        <v>3007</v>
      </c>
      <c r="H186" s="123">
        <v>8476</v>
      </c>
    </row>
    <row r="187" spans="1:8" ht="31.5" x14ac:dyDescent="0.25">
      <c r="A187" s="134" t="s">
        <v>11743</v>
      </c>
      <c r="B187" s="134" t="s">
        <v>11756</v>
      </c>
      <c r="C187" s="134" t="s">
        <v>11755</v>
      </c>
      <c r="D187" s="134" t="s">
        <v>6117</v>
      </c>
      <c r="E187" s="139">
        <v>10.63</v>
      </c>
      <c r="F187" s="134" t="s">
        <v>6116</v>
      </c>
      <c r="G187" s="134" t="s">
        <v>3007</v>
      </c>
      <c r="H187" s="123">
        <v>8477</v>
      </c>
    </row>
    <row r="188" spans="1:8" ht="31.5" x14ac:dyDescent="0.25">
      <c r="A188" s="134" t="s">
        <v>11743</v>
      </c>
      <c r="B188" s="134" t="s">
        <v>11754</v>
      </c>
      <c r="C188" s="134" t="s">
        <v>11753</v>
      </c>
      <c r="D188" s="134" t="s">
        <v>4867</v>
      </c>
      <c r="E188" s="139">
        <v>7.83</v>
      </c>
      <c r="F188" s="134" t="s">
        <v>4866</v>
      </c>
      <c r="G188" s="134" t="s">
        <v>3007</v>
      </c>
      <c r="H188" s="123">
        <v>8478</v>
      </c>
    </row>
    <row r="189" spans="1:8" ht="31.5" x14ac:dyDescent="0.25">
      <c r="A189" s="134" t="s">
        <v>11743</v>
      </c>
      <c r="B189" s="134" t="s">
        <v>11752</v>
      </c>
      <c r="C189" s="134" t="s">
        <v>11751</v>
      </c>
      <c r="D189" s="134" t="s">
        <v>3563</v>
      </c>
      <c r="E189" s="139">
        <v>6.94</v>
      </c>
      <c r="F189" s="134" t="s">
        <v>3562</v>
      </c>
      <c r="G189" s="134" t="s">
        <v>3007</v>
      </c>
      <c r="H189" s="123">
        <v>8479</v>
      </c>
    </row>
    <row r="190" spans="1:8" ht="31.5" x14ac:dyDescent="0.25">
      <c r="A190" s="134" t="s">
        <v>11743</v>
      </c>
      <c r="B190" s="134" t="s">
        <v>11750</v>
      </c>
      <c r="C190" s="134" t="s">
        <v>11749</v>
      </c>
      <c r="D190" s="134" t="s">
        <v>7602</v>
      </c>
      <c r="E190" s="139">
        <v>11.64</v>
      </c>
      <c r="F190" s="134" t="s">
        <v>7601</v>
      </c>
      <c r="G190" s="134" t="s">
        <v>3007</v>
      </c>
      <c r="H190" s="123">
        <v>8480</v>
      </c>
    </row>
    <row r="191" spans="1:8" ht="31.5" x14ac:dyDescent="0.25">
      <c r="A191" s="134" t="s">
        <v>11743</v>
      </c>
      <c r="B191" s="134" t="s">
        <v>11748</v>
      </c>
      <c r="C191" s="134" t="s">
        <v>11747</v>
      </c>
      <c r="D191" s="134" t="s">
        <v>5317</v>
      </c>
      <c r="E191" s="139">
        <v>2.4900000000000002</v>
      </c>
      <c r="F191" s="134" t="s">
        <v>5316</v>
      </c>
      <c r="G191" s="134" t="s">
        <v>3007</v>
      </c>
      <c r="H191" s="123">
        <v>8481</v>
      </c>
    </row>
    <row r="192" spans="1:8" ht="31.5" x14ac:dyDescent="0.25">
      <c r="A192" s="134" t="s">
        <v>11743</v>
      </c>
      <c r="B192" s="134" t="s">
        <v>11746</v>
      </c>
      <c r="C192" s="134" t="s">
        <v>11745</v>
      </c>
      <c r="D192" s="134" t="s">
        <v>3158</v>
      </c>
      <c r="E192" s="139">
        <v>8.2899999999999991</v>
      </c>
      <c r="F192" s="134" t="s">
        <v>3157</v>
      </c>
      <c r="G192" s="134" t="s">
        <v>3007</v>
      </c>
      <c r="H192" s="123">
        <v>8482</v>
      </c>
    </row>
    <row r="193" spans="1:8" ht="31.5" x14ac:dyDescent="0.25">
      <c r="A193" s="134" t="s">
        <v>11743</v>
      </c>
      <c r="B193" s="134" t="s">
        <v>9730</v>
      </c>
      <c r="C193" s="134" t="s">
        <v>11744</v>
      </c>
      <c r="D193" s="134" t="s">
        <v>8439</v>
      </c>
      <c r="E193" s="139">
        <v>6.84</v>
      </c>
      <c r="F193" s="134" t="s">
        <v>8438</v>
      </c>
      <c r="G193" s="134" t="s">
        <v>3007</v>
      </c>
      <c r="H193" s="123">
        <v>8483</v>
      </c>
    </row>
    <row r="194" spans="1:8" ht="31.5" x14ac:dyDescent="0.25">
      <c r="A194" s="134" t="s">
        <v>11743</v>
      </c>
      <c r="B194" s="134" t="s">
        <v>11742</v>
      </c>
      <c r="C194" s="134" t="s">
        <v>11741</v>
      </c>
      <c r="D194" s="134" t="s">
        <v>5106</v>
      </c>
      <c r="E194" s="139">
        <v>5.96</v>
      </c>
      <c r="F194" s="134" t="s">
        <v>5105</v>
      </c>
      <c r="G194" s="134" t="s">
        <v>3007</v>
      </c>
      <c r="H194" s="123">
        <v>8484</v>
      </c>
    </row>
    <row r="195" spans="1:8" ht="31.5" x14ac:dyDescent="0.25">
      <c r="A195" s="134" t="s">
        <v>11707</v>
      </c>
      <c r="B195" s="134" t="s">
        <v>11740</v>
      </c>
      <c r="C195" s="134" t="s">
        <v>11739</v>
      </c>
      <c r="D195" s="134" t="s">
        <v>10173</v>
      </c>
      <c r="E195" s="139">
        <v>7.37</v>
      </c>
      <c r="F195" s="134" t="s">
        <v>10172</v>
      </c>
      <c r="G195" s="134" t="s">
        <v>3007</v>
      </c>
      <c r="H195" s="123">
        <v>8502</v>
      </c>
    </row>
    <row r="196" spans="1:8" ht="31.5" x14ac:dyDescent="0.25">
      <c r="A196" s="134" t="s">
        <v>11707</v>
      </c>
      <c r="B196" s="134" t="s">
        <v>11738</v>
      </c>
      <c r="C196" s="134" t="s">
        <v>11737</v>
      </c>
      <c r="D196" s="134" t="s">
        <v>5102</v>
      </c>
      <c r="E196" s="139">
        <v>26.58</v>
      </c>
      <c r="F196" s="134" t="s">
        <v>5101</v>
      </c>
      <c r="G196" s="134" t="s">
        <v>3007</v>
      </c>
      <c r="H196" s="123">
        <v>8503</v>
      </c>
    </row>
    <row r="197" spans="1:8" ht="31.5" x14ac:dyDescent="0.25">
      <c r="A197" s="134" t="s">
        <v>11707</v>
      </c>
      <c r="B197" s="134" t="s">
        <v>11736</v>
      </c>
      <c r="C197" s="134" t="s">
        <v>11735</v>
      </c>
      <c r="D197" s="134" t="s">
        <v>6957</v>
      </c>
      <c r="E197" s="139">
        <v>16.739999999999998</v>
      </c>
      <c r="F197" s="134" t="s">
        <v>6956</v>
      </c>
      <c r="G197" s="134" t="s">
        <v>3007</v>
      </c>
      <c r="H197" s="123">
        <v>8504</v>
      </c>
    </row>
    <row r="198" spans="1:8" ht="31.5" x14ac:dyDescent="0.25">
      <c r="A198" s="134" t="s">
        <v>11707</v>
      </c>
      <c r="B198" s="134" t="s">
        <v>7758</v>
      </c>
      <c r="C198" s="134" t="s">
        <v>11734</v>
      </c>
      <c r="D198" s="134" t="s">
        <v>11733</v>
      </c>
      <c r="E198" s="139">
        <v>50.21</v>
      </c>
      <c r="F198" s="134" t="s">
        <v>11732</v>
      </c>
      <c r="G198" s="134" t="s">
        <v>3007</v>
      </c>
      <c r="H198" s="123">
        <v>8505</v>
      </c>
    </row>
    <row r="199" spans="1:8" ht="31.5" x14ac:dyDescent="0.25">
      <c r="A199" s="134" t="s">
        <v>11707</v>
      </c>
      <c r="B199" s="134" t="s">
        <v>11731</v>
      </c>
      <c r="C199" s="134" t="s">
        <v>11730</v>
      </c>
      <c r="D199" s="134" t="s">
        <v>3851</v>
      </c>
      <c r="E199" s="139">
        <v>56.73</v>
      </c>
      <c r="F199" s="134" t="s">
        <v>3847</v>
      </c>
      <c r="G199" s="134" t="s">
        <v>3007</v>
      </c>
      <c r="H199" s="123">
        <v>8506</v>
      </c>
    </row>
    <row r="200" spans="1:8" ht="31.5" x14ac:dyDescent="0.25">
      <c r="A200" s="134" t="s">
        <v>11707</v>
      </c>
      <c r="B200" s="134" t="s">
        <v>11729</v>
      </c>
      <c r="C200" s="134" t="s">
        <v>11728</v>
      </c>
      <c r="D200" s="134" t="s">
        <v>3848</v>
      </c>
      <c r="E200" s="139">
        <v>7.12</v>
      </c>
      <c r="F200" s="134" t="s">
        <v>3847</v>
      </c>
      <c r="G200" s="134" t="s">
        <v>3007</v>
      </c>
      <c r="H200" s="123">
        <v>8507</v>
      </c>
    </row>
    <row r="201" spans="1:8" ht="31.5" x14ac:dyDescent="0.25">
      <c r="A201" s="134" t="s">
        <v>11707</v>
      </c>
      <c r="B201" s="134" t="s">
        <v>11727</v>
      </c>
      <c r="C201" s="134" t="s">
        <v>11726</v>
      </c>
      <c r="D201" s="134" t="s">
        <v>3187</v>
      </c>
      <c r="E201" s="139">
        <v>8.58</v>
      </c>
      <c r="F201" s="134" t="s">
        <v>3186</v>
      </c>
      <c r="G201" s="134" t="s">
        <v>3007</v>
      </c>
      <c r="H201" s="123">
        <v>8508</v>
      </c>
    </row>
    <row r="202" spans="1:8" ht="31.5" x14ac:dyDescent="0.25">
      <c r="A202" s="134" t="s">
        <v>11707</v>
      </c>
      <c r="B202" s="134" t="s">
        <v>11725</v>
      </c>
      <c r="C202" s="134" t="s">
        <v>11724</v>
      </c>
      <c r="D202" s="134" t="s">
        <v>11723</v>
      </c>
      <c r="E202" s="139">
        <v>12.42</v>
      </c>
      <c r="F202" s="134" t="s">
        <v>11722</v>
      </c>
      <c r="G202" s="134" t="s">
        <v>3007</v>
      </c>
      <c r="H202" s="123">
        <v>8509</v>
      </c>
    </row>
    <row r="203" spans="1:8" ht="31.5" x14ac:dyDescent="0.25">
      <c r="A203" s="134" t="s">
        <v>11707</v>
      </c>
      <c r="B203" s="134" t="s">
        <v>11721</v>
      </c>
      <c r="C203" s="134" t="s">
        <v>11720</v>
      </c>
      <c r="D203" s="134" t="s">
        <v>11719</v>
      </c>
      <c r="E203" s="139">
        <v>7.96</v>
      </c>
      <c r="F203" s="134" t="s">
        <v>11718</v>
      </c>
      <c r="G203" s="134" t="s">
        <v>3007</v>
      </c>
      <c r="H203" s="123">
        <v>8510</v>
      </c>
    </row>
    <row r="204" spans="1:8" ht="31.5" x14ac:dyDescent="0.25">
      <c r="A204" s="134" t="s">
        <v>11707</v>
      </c>
      <c r="B204" s="134" t="s">
        <v>11717</v>
      </c>
      <c r="C204" s="134" t="s">
        <v>11716</v>
      </c>
      <c r="D204" s="134" t="s">
        <v>10937</v>
      </c>
      <c r="E204" s="139">
        <v>26.63</v>
      </c>
      <c r="F204" s="134" t="s">
        <v>10933</v>
      </c>
      <c r="G204" s="134" t="s">
        <v>3007</v>
      </c>
      <c r="H204" s="123">
        <v>8511</v>
      </c>
    </row>
    <row r="205" spans="1:8" ht="31.5" x14ac:dyDescent="0.25">
      <c r="A205" s="134" t="s">
        <v>11707</v>
      </c>
      <c r="B205" s="134" t="s">
        <v>11715</v>
      </c>
      <c r="C205" s="134" t="s">
        <v>11714</v>
      </c>
      <c r="D205" s="134" t="s">
        <v>10934</v>
      </c>
      <c r="E205" s="139">
        <v>11.59</v>
      </c>
      <c r="F205" s="134" t="s">
        <v>10933</v>
      </c>
      <c r="G205" s="134" t="s">
        <v>3007</v>
      </c>
      <c r="H205" s="123">
        <v>8512</v>
      </c>
    </row>
    <row r="206" spans="1:8" ht="31.5" x14ac:dyDescent="0.25">
      <c r="A206" s="134" t="s">
        <v>11707</v>
      </c>
      <c r="B206" s="134" t="s">
        <v>11713</v>
      </c>
      <c r="C206" s="134" t="s">
        <v>11712</v>
      </c>
      <c r="D206" s="134" t="s">
        <v>11711</v>
      </c>
      <c r="E206" s="139">
        <v>38.71</v>
      </c>
      <c r="F206" s="134" t="s">
        <v>11710</v>
      </c>
      <c r="G206" s="134" t="s">
        <v>3007</v>
      </c>
      <c r="H206" s="123">
        <v>8513</v>
      </c>
    </row>
    <row r="207" spans="1:8" ht="31.5" x14ac:dyDescent="0.25">
      <c r="A207" s="134" t="s">
        <v>11707</v>
      </c>
      <c r="B207" s="134" t="s">
        <v>11709</v>
      </c>
      <c r="C207" s="134" t="s">
        <v>11708</v>
      </c>
      <c r="D207" s="134" t="s">
        <v>10305</v>
      </c>
      <c r="E207" s="139">
        <v>14.53</v>
      </c>
      <c r="F207" s="134" t="s">
        <v>10304</v>
      </c>
      <c r="G207" s="134" t="s">
        <v>3007</v>
      </c>
      <c r="H207" s="123">
        <v>8514</v>
      </c>
    </row>
    <row r="208" spans="1:8" ht="31.5" x14ac:dyDescent="0.25">
      <c r="A208" s="134" t="s">
        <v>11707</v>
      </c>
      <c r="B208" s="134" t="s">
        <v>11706</v>
      </c>
      <c r="C208" s="134" t="s">
        <v>11705</v>
      </c>
      <c r="D208" s="134" t="s">
        <v>5143</v>
      </c>
      <c r="E208" s="139">
        <v>3.72</v>
      </c>
      <c r="F208" s="134" t="s">
        <v>5142</v>
      </c>
      <c r="G208" s="134" t="s">
        <v>3007</v>
      </c>
      <c r="H208" s="123">
        <v>8515</v>
      </c>
    </row>
    <row r="209" spans="1:8" ht="31.5" x14ac:dyDescent="0.25">
      <c r="A209" s="134" t="s">
        <v>11680</v>
      </c>
      <c r="B209" s="134" t="s">
        <v>11704</v>
      </c>
      <c r="C209" s="134" t="s">
        <v>11703</v>
      </c>
      <c r="D209" s="134" t="s">
        <v>7701</v>
      </c>
      <c r="E209" s="139">
        <v>1.95</v>
      </c>
      <c r="F209" s="134" t="s">
        <v>7700</v>
      </c>
      <c r="G209" s="134" t="s">
        <v>3007</v>
      </c>
      <c r="H209" s="123">
        <v>8535</v>
      </c>
    </row>
    <row r="210" spans="1:8" ht="31.5" x14ac:dyDescent="0.25">
      <c r="A210" s="134" t="s">
        <v>11680</v>
      </c>
      <c r="B210" s="134" t="s">
        <v>11702</v>
      </c>
      <c r="C210" s="134" t="s">
        <v>11701</v>
      </c>
      <c r="D210" s="134" t="s">
        <v>11700</v>
      </c>
      <c r="E210" s="139">
        <v>16.55</v>
      </c>
      <c r="F210" s="134" t="s">
        <v>11699</v>
      </c>
      <c r="G210" s="134" t="s">
        <v>3007</v>
      </c>
      <c r="H210" s="123">
        <v>8536</v>
      </c>
    </row>
    <row r="211" spans="1:8" ht="31.5" x14ac:dyDescent="0.25">
      <c r="A211" s="134" t="s">
        <v>11680</v>
      </c>
      <c r="B211" s="134" t="s">
        <v>11062</v>
      </c>
      <c r="C211" s="134" t="s">
        <v>11698</v>
      </c>
      <c r="D211" s="134" t="s">
        <v>8399</v>
      </c>
      <c r="E211" s="139">
        <v>26.73</v>
      </c>
      <c r="F211" s="134" t="s">
        <v>8398</v>
      </c>
      <c r="G211" s="134" t="s">
        <v>3007</v>
      </c>
      <c r="H211" s="123">
        <v>8537</v>
      </c>
    </row>
    <row r="212" spans="1:8" ht="31.5" x14ac:dyDescent="0.25">
      <c r="A212" s="134" t="s">
        <v>11680</v>
      </c>
      <c r="B212" s="134" t="s">
        <v>11697</v>
      </c>
      <c r="C212" s="134" t="s">
        <v>11696</v>
      </c>
      <c r="D212" s="134" t="s">
        <v>10092</v>
      </c>
      <c r="E212" s="139">
        <v>4.32</v>
      </c>
      <c r="F212" s="134" t="s">
        <v>10091</v>
      </c>
      <c r="G212" s="134" t="s">
        <v>3007</v>
      </c>
      <c r="H212" s="123">
        <v>8538</v>
      </c>
    </row>
    <row r="213" spans="1:8" ht="31.5" x14ac:dyDescent="0.25">
      <c r="A213" s="134" t="s">
        <v>11680</v>
      </c>
      <c r="B213" s="134" t="s">
        <v>11695</v>
      </c>
      <c r="C213" s="134" t="s">
        <v>11694</v>
      </c>
      <c r="D213" s="134" t="s">
        <v>4317</v>
      </c>
      <c r="E213" s="139">
        <v>1.69</v>
      </c>
      <c r="F213" s="134" t="s">
        <v>4316</v>
      </c>
      <c r="G213" s="134" t="s">
        <v>3007</v>
      </c>
      <c r="H213" s="123">
        <v>8539</v>
      </c>
    </row>
    <row r="214" spans="1:8" ht="31.5" x14ac:dyDescent="0.25">
      <c r="A214" s="134" t="s">
        <v>11680</v>
      </c>
      <c r="B214" s="134" t="s">
        <v>11693</v>
      </c>
      <c r="C214" s="134" t="s">
        <v>11692</v>
      </c>
      <c r="D214" s="134" t="s">
        <v>3414</v>
      </c>
      <c r="E214" s="139">
        <v>11.79</v>
      </c>
      <c r="F214" s="134" t="s">
        <v>3413</v>
      </c>
      <c r="G214" s="134" t="s">
        <v>3007</v>
      </c>
      <c r="H214" s="123">
        <v>8540</v>
      </c>
    </row>
    <row r="215" spans="1:8" ht="31.5" x14ac:dyDescent="0.25">
      <c r="A215" s="134" t="s">
        <v>11680</v>
      </c>
      <c r="B215" s="134" t="s">
        <v>11691</v>
      </c>
      <c r="C215" s="134" t="s">
        <v>11690</v>
      </c>
      <c r="D215" s="134" t="s">
        <v>4342</v>
      </c>
      <c r="E215" s="139">
        <v>9.2100000000000009</v>
      </c>
      <c r="F215" s="134" t="s">
        <v>4341</v>
      </c>
      <c r="G215" s="134" t="s">
        <v>3007</v>
      </c>
      <c r="H215" s="123">
        <v>8541</v>
      </c>
    </row>
    <row r="216" spans="1:8" ht="31.5" x14ac:dyDescent="0.25">
      <c r="A216" s="134" t="s">
        <v>11680</v>
      </c>
      <c r="B216" s="134" t="s">
        <v>7735</v>
      </c>
      <c r="C216" s="134" t="s">
        <v>11689</v>
      </c>
      <c r="D216" s="134" t="s">
        <v>4480</v>
      </c>
      <c r="E216" s="139">
        <v>4.83</v>
      </c>
      <c r="F216" s="134" t="s">
        <v>4476</v>
      </c>
      <c r="G216" s="134" t="s">
        <v>3007</v>
      </c>
      <c r="H216" s="123">
        <v>8542</v>
      </c>
    </row>
    <row r="217" spans="1:8" ht="31.5" x14ac:dyDescent="0.25">
      <c r="A217" s="134" t="s">
        <v>11680</v>
      </c>
      <c r="B217" s="134" t="s">
        <v>11688</v>
      </c>
      <c r="C217" s="134" t="s">
        <v>11687</v>
      </c>
      <c r="D217" s="134" t="s">
        <v>4477</v>
      </c>
      <c r="E217" s="139">
        <v>2</v>
      </c>
      <c r="F217" s="134" t="s">
        <v>4476</v>
      </c>
      <c r="G217" s="134" t="s">
        <v>3007</v>
      </c>
      <c r="H217" s="123">
        <v>8543</v>
      </c>
    </row>
    <row r="218" spans="1:8" ht="31.5" x14ac:dyDescent="0.25">
      <c r="A218" s="134" t="s">
        <v>11680</v>
      </c>
      <c r="B218" s="134" t="s">
        <v>11686</v>
      </c>
      <c r="C218" s="134" t="s">
        <v>11685</v>
      </c>
      <c r="D218" s="134" t="s">
        <v>5122</v>
      </c>
      <c r="E218" s="139">
        <v>6</v>
      </c>
      <c r="F218" s="134" t="s">
        <v>5121</v>
      </c>
      <c r="G218" s="134" t="s">
        <v>3007</v>
      </c>
      <c r="H218" s="123">
        <v>8544</v>
      </c>
    </row>
    <row r="219" spans="1:8" ht="31.5" x14ac:dyDescent="0.25">
      <c r="A219" s="134" t="s">
        <v>11680</v>
      </c>
      <c r="B219" s="134" t="s">
        <v>11684</v>
      </c>
      <c r="C219" s="134" t="s">
        <v>11683</v>
      </c>
      <c r="D219" s="134" t="s">
        <v>6907</v>
      </c>
      <c r="E219" s="139">
        <v>8.4</v>
      </c>
      <c r="F219" s="134" t="s">
        <v>6906</v>
      </c>
      <c r="G219" s="134" t="s">
        <v>3007</v>
      </c>
      <c r="H219" s="123">
        <v>8545</v>
      </c>
    </row>
    <row r="220" spans="1:8" ht="31.5" x14ac:dyDescent="0.25">
      <c r="A220" s="134" t="s">
        <v>11680</v>
      </c>
      <c r="B220" s="134" t="s">
        <v>11682</v>
      </c>
      <c r="C220" s="134" t="s">
        <v>11681</v>
      </c>
      <c r="D220" s="134" t="s">
        <v>4305</v>
      </c>
      <c r="E220" s="139">
        <v>15.76</v>
      </c>
      <c r="F220" s="134" t="s">
        <v>4304</v>
      </c>
      <c r="G220" s="134" t="s">
        <v>3007</v>
      </c>
      <c r="H220" s="123">
        <v>8546</v>
      </c>
    </row>
    <row r="221" spans="1:8" ht="31.5" x14ac:dyDescent="0.25">
      <c r="A221" s="134" t="s">
        <v>11680</v>
      </c>
      <c r="B221" s="134" t="s">
        <v>11679</v>
      </c>
      <c r="C221" s="134" t="s">
        <v>11678</v>
      </c>
      <c r="D221" s="134" t="s">
        <v>3107</v>
      </c>
      <c r="E221" s="139">
        <v>5.67</v>
      </c>
      <c r="F221" s="134" t="s">
        <v>3106</v>
      </c>
      <c r="G221" s="134" t="s">
        <v>3007</v>
      </c>
      <c r="H221" s="123">
        <v>8547</v>
      </c>
    </row>
    <row r="222" spans="1:8" ht="31.5" x14ac:dyDescent="0.25">
      <c r="A222" s="134" t="s">
        <v>11646</v>
      </c>
      <c r="B222" s="134" t="s">
        <v>11677</v>
      </c>
      <c r="C222" s="134" t="s">
        <v>11676</v>
      </c>
      <c r="D222" s="134" t="s">
        <v>6695</v>
      </c>
      <c r="E222" s="139">
        <v>3.43</v>
      </c>
      <c r="F222" s="134" t="s">
        <v>6694</v>
      </c>
      <c r="G222" s="134" t="s">
        <v>3007</v>
      </c>
      <c r="H222" s="123">
        <v>8574</v>
      </c>
    </row>
    <row r="223" spans="1:8" ht="31.5" x14ac:dyDescent="0.25">
      <c r="A223" s="134" t="s">
        <v>11646</v>
      </c>
      <c r="B223" s="134" t="s">
        <v>11675</v>
      </c>
      <c r="C223" s="134" t="s">
        <v>11674</v>
      </c>
      <c r="D223" s="134" t="s">
        <v>7909</v>
      </c>
      <c r="E223" s="139">
        <v>4.62</v>
      </c>
      <c r="F223" s="134" t="s">
        <v>7908</v>
      </c>
      <c r="G223" s="134" t="s">
        <v>3007</v>
      </c>
      <c r="H223" s="123">
        <v>8575</v>
      </c>
    </row>
    <row r="224" spans="1:8" ht="31.5" x14ac:dyDescent="0.25">
      <c r="A224" s="134" t="s">
        <v>11646</v>
      </c>
      <c r="B224" s="134" t="s">
        <v>11673</v>
      </c>
      <c r="C224" s="134" t="s">
        <v>11672</v>
      </c>
      <c r="D224" s="134" t="s">
        <v>4212</v>
      </c>
      <c r="E224" s="139">
        <v>30.53</v>
      </c>
      <c r="F224" s="134" t="s">
        <v>4211</v>
      </c>
      <c r="G224" s="134" t="s">
        <v>3007</v>
      </c>
      <c r="H224" s="123">
        <v>8576</v>
      </c>
    </row>
    <row r="225" spans="1:8" ht="31.5" x14ac:dyDescent="0.25">
      <c r="A225" s="134" t="s">
        <v>11646</v>
      </c>
      <c r="B225" s="134" t="s">
        <v>11671</v>
      </c>
      <c r="C225" s="134" t="s">
        <v>11670</v>
      </c>
      <c r="D225" s="134" t="s">
        <v>11669</v>
      </c>
      <c r="E225" s="139">
        <v>3.36</v>
      </c>
      <c r="F225" s="134" t="s">
        <v>11668</v>
      </c>
      <c r="G225" s="134" t="s">
        <v>3007</v>
      </c>
      <c r="H225" s="123">
        <v>8577</v>
      </c>
    </row>
    <row r="226" spans="1:8" ht="31.5" x14ac:dyDescent="0.25">
      <c r="A226" s="134" t="s">
        <v>11646</v>
      </c>
      <c r="B226" s="134" t="s">
        <v>11667</v>
      </c>
      <c r="C226" s="134" t="s">
        <v>11666</v>
      </c>
      <c r="D226" s="134" t="s">
        <v>7592</v>
      </c>
      <c r="E226" s="139">
        <v>6.8</v>
      </c>
      <c r="F226" s="134" t="s">
        <v>7588</v>
      </c>
      <c r="G226" s="134" t="s">
        <v>3007</v>
      </c>
      <c r="H226" s="123">
        <v>8578</v>
      </c>
    </row>
    <row r="227" spans="1:8" ht="31.5" x14ac:dyDescent="0.25">
      <c r="A227" s="134" t="s">
        <v>11646</v>
      </c>
      <c r="B227" s="134" t="s">
        <v>11665</v>
      </c>
      <c r="C227" s="134" t="s">
        <v>11664</v>
      </c>
      <c r="D227" s="134" t="s">
        <v>4461</v>
      </c>
      <c r="E227" s="139">
        <v>11.01</v>
      </c>
      <c r="F227" s="134" t="s">
        <v>4460</v>
      </c>
      <c r="G227" s="134" t="s">
        <v>3007</v>
      </c>
      <c r="H227" s="123">
        <v>8579</v>
      </c>
    </row>
    <row r="228" spans="1:8" ht="31.5" x14ac:dyDescent="0.25">
      <c r="A228" s="134" t="s">
        <v>11646</v>
      </c>
      <c r="B228" s="134" t="s">
        <v>11663</v>
      </c>
      <c r="C228" s="134" t="s">
        <v>11662</v>
      </c>
      <c r="D228" s="134" t="s">
        <v>8221</v>
      </c>
      <c r="E228" s="139">
        <v>10.26</v>
      </c>
      <c r="F228" s="134" t="s">
        <v>8220</v>
      </c>
      <c r="G228" s="134" t="s">
        <v>3007</v>
      </c>
      <c r="H228" s="123">
        <v>8580</v>
      </c>
    </row>
    <row r="229" spans="1:8" ht="31.5" x14ac:dyDescent="0.25">
      <c r="A229" s="134" t="s">
        <v>11646</v>
      </c>
      <c r="B229" s="134" t="s">
        <v>11661</v>
      </c>
      <c r="C229" s="134" t="s">
        <v>11660</v>
      </c>
      <c r="D229" s="134" t="s">
        <v>8912</v>
      </c>
      <c r="E229" s="139">
        <v>3.62</v>
      </c>
      <c r="F229" s="134" t="s">
        <v>8911</v>
      </c>
      <c r="G229" s="134" t="s">
        <v>3007</v>
      </c>
      <c r="H229" s="123">
        <v>8581</v>
      </c>
    </row>
    <row r="230" spans="1:8" ht="31.5" x14ac:dyDescent="0.25">
      <c r="A230" s="134" t="s">
        <v>11646</v>
      </c>
      <c r="B230" s="134" t="s">
        <v>11659</v>
      </c>
      <c r="C230" s="134" t="s">
        <v>11658</v>
      </c>
      <c r="D230" s="134" t="s">
        <v>7444</v>
      </c>
      <c r="E230" s="139">
        <v>0.21</v>
      </c>
      <c r="F230" s="134" t="s">
        <v>11211</v>
      </c>
      <c r="G230" s="134" t="s">
        <v>3007</v>
      </c>
      <c r="H230" s="123">
        <v>8582</v>
      </c>
    </row>
    <row r="231" spans="1:8" ht="31.5" x14ac:dyDescent="0.25">
      <c r="A231" s="134" t="s">
        <v>11646</v>
      </c>
      <c r="B231" s="134" t="s">
        <v>11657</v>
      </c>
      <c r="C231" s="134" t="s">
        <v>11656</v>
      </c>
      <c r="D231" s="134" t="s">
        <v>5673</v>
      </c>
      <c r="E231" s="139">
        <v>1.68</v>
      </c>
      <c r="F231" s="134" t="s">
        <v>5672</v>
      </c>
      <c r="G231" s="134" t="s">
        <v>3007</v>
      </c>
      <c r="H231" s="123">
        <v>8583</v>
      </c>
    </row>
    <row r="232" spans="1:8" ht="31.5" x14ac:dyDescent="0.25">
      <c r="A232" s="134" t="s">
        <v>11646</v>
      </c>
      <c r="B232" s="134" t="s">
        <v>11655</v>
      </c>
      <c r="C232" s="134" t="s">
        <v>11654</v>
      </c>
      <c r="D232" s="134" t="s">
        <v>4257</v>
      </c>
      <c r="E232" s="139">
        <v>16.760000000000002</v>
      </c>
      <c r="F232" s="134" t="s">
        <v>4256</v>
      </c>
      <c r="G232" s="134" t="s">
        <v>3007</v>
      </c>
      <c r="H232" s="123">
        <v>8584</v>
      </c>
    </row>
    <row r="233" spans="1:8" ht="31.5" x14ac:dyDescent="0.25">
      <c r="A233" s="134" t="s">
        <v>11646</v>
      </c>
      <c r="B233" s="134" t="s">
        <v>8427</v>
      </c>
      <c r="C233" s="134" t="s">
        <v>11653</v>
      </c>
      <c r="D233" s="134" t="s">
        <v>3483</v>
      </c>
      <c r="E233" s="139">
        <v>25.14</v>
      </c>
      <c r="F233" s="134" t="s">
        <v>3482</v>
      </c>
      <c r="G233" s="134" t="s">
        <v>3007</v>
      </c>
      <c r="H233" s="123">
        <v>8585</v>
      </c>
    </row>
    <row r="234" spans="1:8" ht="31.5" x14ac:dyDescent="0.25">
      <c r="A234" s="134" t="s">
        <v>11646</v>
      </c>
      <c r="B234" s="134" t="s">
        <v>11652</v>
      </c>
      <c r="C234" s="134" t="s">
        <v>11651</v>
      </c>
      <c r="D234" s="134" t="s">
        <v>3438</v>
      </c>
      <c r="E234" s="139">
        <v>5.42</v>
      </c>
      <c r="F234" s="134" t="s">
        <v>3437</v>
      </c>
      <c r="G234" s="134" t="s">
        <v>3007</v>
      </c>
      <c r="H234" s="123">
        <v>8586</v>
      </c>
    </row>
    <row r="235" spans="1:8" ht="31.5" x14ac:dyDescent="0.25">
      <c r="A235" s="134" t="s">
        <v>11646</v>
      </c>
      <c r="B235" s="134" t="s">
        <v>11650</v>
      </c>
      <c r="C235" s="134" t="s">
        <v>11649</v>
      </c>
      <c r="D235" s="134" t="s">
        <v>11410</v>
      </c>
      <c r="E235" s="139">
        <v>14.11</v>
      </c>
      <c r="F235" s="134" t="s">
        <v>11409</v>
      </c>
      <c r="G235" s="134" t="s">
        <v>3007</v>
      </c>
      <c r="H235" s="123">
        <v>8587</v>
      </c>
    </row>
    <row r="236" spans="1:8" ht="31.5" x14ac:dyDescent="0.25">
      <c r="A236" s="134" t="s">
        <v>11646</v>
      </c>
      <c r="B236" s="134" t="s">
        <v>11648</v>
      </c>
      <c r="C236" s="134" t="s">
        <v>11647</v>
      </c>
      <c r="D236" s="134" t="s">
        <v>4245</v>
      </c>
      <c r="E236" s="139">
        <v>14.53</v>
      </c>
      <c r="F236" s="134" t="s">
        <v>4244</v>
      </c>
      <c r="G236" s="134" t="s">
        <v>3007</v>
      </c>
      <c r="H236" s="123">
        <v>8588</v>
      </c>
    </row>
    <row r="237" spans="1:8" ht="31.5" x14ac:dyDescent="0.25">
      <c r="A237" s="134" t="s">
        <v>11646</v>
      </c>
      <c r="B237" s="134" t="s">
        <v>11645</v>
      </c>
      <c r="C237" s="134" t="s">
        <v>11644</v>
      </c>
      <c r="D237" s="134" t="s">
        <v>11643</v>
      </c>
      <c r="E237" s="139">
        <v>36.9</v>
      </c>
      <c r="F237" s="134" t="s">
        <v>11642</v>
      </c>
      <c r="G237" s="134" t="s">
        <v>3007</v>
      </c>
      <c r="H237" s="123">
        <v>8589</v>
      </c>
    </row>
    <row r="238" spans="1:8" s="200" customFormat="1" x14ac:dyDescent="0.25">
      <c r="A238" s="198"/>
      <c r="B238" s="198"/>
      <c r="C238" s="198" t="s">
        <v>5691</v>
      </c>
      <c r="D238" s="198" t="s">
        <v>14409</v>
      </c>
      <c r="E238" s="199">
        <f>SUM(E172:E237)</f>
        <v>745.06999999999971</v>
      </c>
      <c r="F238" s="198"/>
      <c r="G238" s="198"/>
      <c r="H238" s="172"/>
    </row>
    <row r="239" spans="1:8" s="200" customFormat="1" x14ac:dyDescent="0.25">
      <c r="A239" s="198"/>
      <c r="B239" s="198"/>
      <c r="C239" s="198"/>
      <c r="D239" s="198"/>
      <c r="E239" s="199"/>
      <c r="F239" s="198"/>
      <c r="G239" s="198"/>
      <c r="H239" s="172"/>
    </row>
    <row r="240" spans="1:8" ht="31.5" x14ac:dyDescent="0.25">
      <c r="A240" s="134" t="s">
        <v>11623</v>
      </c>
      <c r="B240" s="134" t="s">
        <v>11641</v>
      </c>
      <c r="C240" s="134" t="s">
        <v>11640</v>
      </c>
      <c r="D240" s="134" t="s">
        <v>11639</v>
      </c>
      <c r="E240" s="139">
        <v>5.04</v>
      </c>
      <c r="F240" s="134" t="s">
        <v>11638</v>
      </c>
      <c r="G240" s="134" t="s">
        <v>3007</v>
      </c>
      <c r="H240" s="123">
        <v>8622</v>
      </c>
    </row>
    <row r="241" spans="1:8" ht="31.5" x14ac:dyDescent="0.25">
      <c r="A241" s="134" t="s">
        <v>11623</v>
      </c>
      <c r="B241" s="134" t="s">
        <v>11637</v>
      </c>
      <c r="C241" s="134" t="s">
        <v>11636</v>
      </c>
      <c r="D241" s="134" t="s">
        <v>4241</v>
      </c>
      <c r="E241" s="139">
        <v>6.83</v>
      </c>
      <c r="F241" s="134" t="s">
        <v>4240</v>
      </c>
      <c r="G241" s="134" t="s">
        <v>3007</v>
      </c>
      <c r="H241" s="123">
        <v>8623</v>
      </c>
    </row>
    <row r="242" spans="1:8" ht="31.5" x14ac:dyDescent="0.25">
      <c r="A242" s="134" t="s">
        <v>11623</v>
      </c>
      <c r="B242" s="134" t="s">
        <v>11635</v>
      </c>
      <c r="C242" s="134" t="s">
        <v>11634</v>
      </c>
      <c r="D242" s="134" t="s">
        <v>4701</v>
      </c>
      <c r="E242" s="139">
        <v>9.3699999999999992</v>
      </c>
      <c r="F242" s="134" t="s">
        <v>4700</v>
      </c>
      <c r="G242" s="134" t="s">
        <v>3007</v>
      </c>
      <c r="H242" s="123">
        <v>8624</v>
      </c>
    </row>
    <row r="243" spans="1:8" ht="31.5" x14ac:dyDescent="0.25">
      <c r="A243" s="134" t="s">
        <v>11623</v>
      </c>
      <c r="B243" s="134" t="s">
        <v>11633</v>
      </c>
      <c r="C243" s="134" t="s">
        <v>11632</v>
      </c>
      <c r="D243" s="134" t="s">
        <v>5478</v>
      </c>
      <c r="E243" s="139">
        <v>4.46</v>
      </c>
      <c r="F243" s="134" t="s">
        <v>5477</v>
      </c>
      <c r="G243" s="134" t="s">
        <v>3007</v>
      </c>
      <c r="H243" s="123">
        <v>8625</v>
      </c>
    </row>
    <row r="244" spans="1:8" ht="31.5" x14ac:dyDescent="0.25">
      <c r="A244" s="134" t="s">
        <v>11623</v>
      </c>
      <c r="B244" s="134" t="s">
        <v>11631</v>
      </c>
      <c r="C244" s="134" t="s">
        <v>11630</v>
      </c>
      <c r="D244" s="134" t="s">
        <v>4021</v>
      </c>
      <c r="E244" s="139">
        <v>4.18</v>
      </c>
      <c r="F244" s="134" t="s">
        <v>4020</v>
      </c>
      <c r="G244" s="134" t="s">
        <v>3007</v>
      </c>
      <c r="H244" s="123">
        <v>8626</v>
      </c>
    </row>
    <row r="245" spans="1:8" ht="31.5" x14ac:dyDescent="0.25">
      <c r="A245" s="134" t="s">
        <v>11623</v>
      </c>
      <c r="B245" s="134" t="s">
        <v>11629</v>
      </c>
      <c r="C245" s="134" t="s">
        <v>11628</v>
      </c>
      <c r="D245" s="134" t="s">
        <v>5198</v>
      </c>
      <c r="E245" s="139">
        <v>3.72</v>
      </c>
      <c r="F245" s="134" t="s">
        <v>5197</v>
      </c>
      <c r="G245" s="134" t="s">
        <v>3007</v>
      </c>
      <c r="H245" s="123">
        <v>8627</v>
      </c>
    </row>
    <row r="246" spans="1:8" ht="31.5" x14ac:dyDescent="0.25">
      <c r="A246" s="134" t="s">
        <v>11623</v>
      </c>
      <c r="B246" s="134" t="s">
        <v>11627</v>
      </c>
      <c r="C246" s="134" t="s">
        <v>11626</v>
      </c>
      <c r="D246" s="134" t="s">
        <v>5550</v>
      </c>
      <c r="E246" s="139">
        <v>1.72</v>
      </c>
      <c r="F246" s="134" t="s">
        <v>5549</v>
      </c>
      <c r="G246" s="134" t="s">
        <v>3007</v>
      </c>
      <c r="H246" s="123">
        <v>8628</v>
      </c>
    </row>
    <row r="247" spans="1:8" ht="31.5" x14ac:dyDescent="0.25">
      <c r="A247" s="134" t="s">
        <v>11623</v>
      </c>
      <c r="B247" s="134" t="s">
        <v>11625</v>
      </c>
      <c r="C247" s="134" t="s">
        <v>11624</v>
      </c>
      <c r="D247" s="134" t="s">
        <v>5358</v>
      </c>
      <c r="E247" s="139">
        <v>3.39</v>
      </c>
      <c r="F247" s="134" t="s">
        <v>5357</v>
      </c>
      <c r="G247" s="134" t="s">
        <v>3007</v>
      </c>
      <c r="H247" s="123">
        <v>8629</v>
      </c>
    </row>
    <row r="248" spans="1:8" ht="31.5" x14ac:dyDescent="0.25">
      <c r="A248" s="134" t="s">
        <v>11623</v>
      </c>
      <c r="B248" s="134" t="s">
        <v>11622</v>
      </c>
      <c r="C248" s="134" t="s">
        <v>11621</v>
      </c>
      <c r="D248" s="134" t="s">
        <v>7788</v>
      </c>
      <c r="E248" s="139">
        <v>10.26</v>
      </c>
      <c r="F248" s="134" t="s">
        <v>7787</v>
      </c>
      <c r="G248" s="134" t="s">
        <v>3007</v>
      </c>
      <c r="H248" s="123">
        <v>8630</v>
      </c>
    </row>
    <row r="249" spans="1:8" ht="31.5" x14ac:dyDescent="0.25">
      <c r="A249" s="134" t="s">
        <v>11612</v>
      </c>
      <c r="B249" s="134" t="s">
        <v>11620</v>
      </c>
      <c r="C249" s="134" t="s">
        <v>11619</v>
      </c>
      <c r="D249" s="134" t="s">
        <v>3928</v>
      </c>
      <c r="E249" s="139">
        <v>12.12</v>
      </c>
      <c r="F249" s="134" t="s">
        <v>3927</v>
      </c>
      <c r="G249" s="134" t="s">
        <v>3007</v>
      </c>
      <c r="H249" s="123">
        <v>8640</v>
      </c>
    </row>
    <row r="250" spans="1:8" ht="31.5" x14ac:dyDescent="0.25">
      <c r="A250" s="134" t="s">
        <v>11612</v>
      </c>
      <c r="B250" s="134" t="s">
        <v>11618</v>
      </c>
      <c r="C250" s="134" t="s">
        <v>11617</v>
      </c>
      <c r="D250" s="134" t="s">
        <v>6720</v>
      </c>
      <c r="E250" s="139">
        <v>27.75</v>
      </c>
      <c r="F250" s="134" t="s">
        <v>6719</v>
      </c>
      <c r="G250" s="134" t="s">
        <v>3007</v>
      </c>
      <c r="H250" s="123">
        <v>8641</v>
      </c>
    </row>
    <row r="251" spans="1:8" ht="31.5" x14ac:dyDescent="0.25">
      <c r="A251" s="134" t="s">
        <v>11612</v>
      </c>
      <c r="B251" s="134" t="s">
        <v>11616</v>
      </c>
      <c r="C251" s="134" t="s">
        <v>11615</v>
      </c>
      <c r="D251" s="134" t="s">
        <v>4638</v>
      </c>
      <c r="E251" s="139">
        <v>27.43</v>
      </c>
      <c r="F251" s="134" t="s">
        <v>4637</v>
      </c>
      <c r="G251" s="134" t="s">
        <v>3007</v>
      </c>
      <c r="H251" s="123">
        <v>8642</v>
      </c>
    </row>
    <row r="252" spans="1:8" ht="31.5" x14ac:dyDescent="0.25">
      <c r="A252" s="134" t="s">
        <v>11612</v>
      </c>
      <c r="B252" s="134" t="s">
        <v>11614</v>
      </c>
      <c r="C252" s="134" t="s">
        <v>11613</v>
      </c>
      <c r="D252" s="134" t="s">
        <v>7733</v>
      </c>
      <c r="E252" s="139">
        <v>4.18</v>
      </c>
      <c r="F252" s="134" t="s">
        <v>7732</v>
      </c>
      <c r="G252" s="134" t="s">
        <v>3007</v>
      </c>
      <c r="H252" s="123">
        <v>8643</v>
      </c>
    </row>
    <row r="253" spans="1:8" ht="31.5" x14ac:dyDescent="0.25">
      <c r="A253" s="134" t="s">
        <v>11612</v>
      </c>
      <c r="B253" s="134" t="s">
        <v>11611</v>
      </c>
      <c r="C253" s="134" t="s">
        <v>11610</v>
      </c>
      <c r="D253" s="134" t="s">
        <v>6520</v>
      </c>
      <c r="E253" s="139">
        <v>2.36</v>
      </c>
      <c r="F253" s="134" t="s">
        <v>6519</v>
      </c>
      <c r="G253" s="134" t="s">
        <v>3007</v>
      </c>
      <c r="H253" s="123">
        <v>8644</v>
      </c>
    </row>
    <row r="254" spans="1:8" ht="31.5" x14ac:dyDescent="0.25">
      <c r="A254" s="134" t="s">
        <v>11594</v>
      </c>
      <c r="B254" s="134" t="s">
        <v>11609</v>
      </c>
      <c r="C254" s="134" t="s">
        <v>11608</v>
      </c>
      <c r="D254" s="134" t="s">
        <v>7697</v>
      </c>
      <c r="E254" s="139">
        <v>11.42</v>
      </c>
      <c r="F254" s="134" t="s">
        <v>7696</v>
      </c>
      <c r="G254" s="134" t="s">
        <v>3007</v>
      </c>
      <c r="H254" s="123">
        <v>8645</v>
      </c>
    </row>
    <row r="255" spans="1:8" ht="31.5" x14ac:dyDescent="0.25">
      <c r="A255" s="134" t="s">
        <v>11594</v>
      </c>
      <c r="B255" s="134" t="s">
        <v>11607</v>
      </c>
      <c r="C255" s="134" t="s">
        <v>11606</v>
      </c>
      <c r="D255" s="134" t="s">
        <v>6066</v>
      </c>
      <c r="E255" s="139">
        <v>6.98</v>
      </c>
      <c r="F255" s="134" t="s">
        <v>3266</v>
      </c>
      <c r="G255" s="134" t="s">
        <v>3007</v>
      </c>
      <c r="H255" s="123" t="s">
        <v>11605</v>
      </c>
    </row>
    <row r="256" spans="1:8" ht="31.5" x14ac:dyDescent="0.25">
      <c r="A256" s="134" t="s">
        <v>11594</v>
      </c>
      <c r="B256" s="134" t="s">
        <v>11604</v>
      </c>
      <c r="C256" s="134" t="s">
        <v>11603</v>
      </c>
      <c r="D256" s="134" t="s">
        <v>11602</v>
      </c>
      <c r="E256" s="139">
        <v>14.36</v>
      </c>
      <c r="F256" s="134" t="s">
        <v>11601</v>
      </c>
      <c r="G256" s="134" t="s">
        <v>3007</v>
      </c>
      <c r="H256" s="123">
        <v>8646</v>
      </c>
    </row>
    <row r="257" spans="1:8" ht="31.5" x14ac:dyDescent="0.25">
      <c r="A257" s="134" t="s">
        <v>11594</v>
      </c>
      <c r="B257" s="134" t="s">
        <v>11600</v>
      </c>
      <c r="C257" s="134" t="s">
        <v>11599</v>
      </c>
      <c r="D257" s="134" t="s">
        <v>11598</v>
      </c>
      <c r="E257" s="139">
        <v>5.04</v>
      </c>
      <c r="F257" s="134" t="s">
        <v>11597</v>
      </c>
      <c r="G257" s="134" t="s">
        <v>3007</v>
      </c>
      <c r="H257" s="123">
        <v>8647</v>
      </c>
    </row>
    <row r="258" spans="1:8" ht="31.5" x14ac:dyDescent="0.25">
      <c r="A258" s="134" t="s">
        <v>11594</v>
      </c>
      <c r="B258" s="134" t="s">
        <v>11596</v>
      </c>
      <c r="C258" s="134" t="s">
        <v>11595</v>
      </c>
      <c r="D258" s="134" t="s">
        <v>3369</v>
      </c>
      <c r="E258" s="139">
        <v>2.76</v>
      </c>
      <c r="F258" s="134" t="s">
        <v>3368</v>
      </c>
      <c r="G258" s="134" t="s">
        <v>3007</v>
      </c>
      <c r="H258" s="123">
        <v>8648</v>
      </c>
    </row>
    <row r="259" spans="1:8" ht="31.5" x14ac:dyDescent="0.25">
      <c r="A259" s="134" t="s">
        <v>11594</v>
      </c>
      <c r="B259" s="134" t="s">
        <v>11593</v>
      </c>
      <c r="C259" s="134" t="s">
        <v>11592</v>
      </c>
      <c r="D259" s="134" t="s">
        <v>11591</v>
      </c>
      <c r="E259" s="139">
        <v>2.2400000000000002</v>
      </c>
      <c r="F259" s="134" t="s">
        <v>11590</v>
      </c>
      <c r="G259" s="134" t="s">
        <v>3007</v>
      </c>
      <c r="H259" s="123">
        <v>8649</v>
      </c>
    </row>
    <row r="260" spans="1:8" ht="31.5" x14ac:dyDescent="0.25">
      <c r="A260" s="134" t="s">
        <v>11563</v>
      </c>
      <c r="B260" s="134" t="s">
        <v>11589</v>
      </c>
      <c r="C260" s="134" t="s">
        <v>11588</v>
      </c>
      <c r="D260" s="134" t="s">
        <v>5294</v>
      </c>
      <c r="E260" s="139">
        <v>3.68</v>
      </c>
      <c r="F260" s="134" t="s">
        <v>5293</v>
      </c>
      <c r="G260" s="134" t="s">
        <v>3007</v>
      </c>
      <c r="H260" s="123">
        <v>8674</v>
      </c>
    </row>
    <row r="261" spans="1:8" ht="31.5" x14ac:dyDescent="0.25">
      <c r="A261" s="134" t="s">
        <v>11563</v>
      </c>
      <c r="B261" s="134" t="s">
        <v>11587</v>
      </c>
      <c r="C261" s="134" t="s">
        <v>11586</v>
      </c>
      <c r="D261" s="134" t="s">
        <v>4224</v>
      </c>
      <c r="E261" s="139">
        <v>9.84</v>
      </c>
      <c r="F261" s="134" t="s">
        <v>4223</v>
      </c>
      <c r="G261" s="134" t="s">
        <v>3007</v>
      </c>
      <c r="H261" s="123">
        <v>8675</v>
      </c>
    </row>
    <row r="262" spans="1:8" ht="31.5" x14ac:dyDescent="0.25">
      <c r="A262" s="134" t="s">
        <v>11563</v>
      </c>
      <c r="B262" s="134" t="s">
        <v>11585</v>
      </c>
      <c r="C262" s="134" t="s">
        <v>11584</v>
      </c>
      <c r="D262" s="134" t="s">
        <v>11583</v>
      </c>
      <c r="E262" s="139">
        <v>0.17</v>
      </c>
      <c r="F262" s="134" t="s">
        <v>11582</v>
      </c>
      <c r="G262" s="134" t="s">
        <v>3007</v>
      </c>
      <c r="H262" s="123">
        <v>8676</v>
      </c>
    </row>
    <row r="263" spans="1:8" ht="31.5" x14ac:dyDescent="0.25">
      <c r="A263" s="134" t="s">
        <v>11563</v>
      </c>
      <c r="B263" s="134" t="s">
        <v>11581</v>
      </c>
      <c r="C263" s="134" t="s">
        <v>11580</v>
      </c>
      <c r="D263" s="134" t="s">
        <v>6510</v>
      </c>
      <c r="E263" s="139">
        <v>9.7200000000000006</v>
      </c>
      <c r="F263" s="134" t="s">
        <v>6509</v>
      </c>
      <c r="G263" s="134" t="s">
        <v>3007</v>
      </c>
      <c r="H263" s="123">
        <v>8677</v>
      </c>
    </row>
    <row r="264" spans="1:8" ht="31.5" x14ac:dyDescent="0.25">
      <c r="A264" s="134" t="s">
        <v>11563</v>
      </c>
      <c r="B264" s="134" t="s">
        <v>11579</v>
      </c>
      <c r="C264" s="134" t="s">
        <v>11578</v>
      </c>
      <c r="D264" s="134" t="s">
        <v>11577</v>
      </c>
      <c r="E264" s="139">
        <v>1.32</v>
      </c>
      <c r="F264" s="134" t="s">
        <v>11576</v>
      </c>
      <c r="G264" s="134" t="s">
        <v>3007</v>
      </c>
      <c r="H264" s="123">
        <v>8678</v>
      </c>
    </row>
    <row r="265" spans="1:8" ht="31.5" x14ac:dyDescent="0.25">
      <c r="A265" s="134" t="s">
        <v>11563</v>
      </c>
      <c r="B265" s="134" t="s">
        <v>11575</v>
      </c>
      <c r="C265" s="134" t="s">
        <v>11574</v>
      </c>
      <c r="D265" s="134" t="s">
        <v>3066</v>
      </c>
      <c r="E265" s="139">
        <v>9.1300000000000008</v>
      </c>
      <c r="F265" s="134" t="s">
        <v>3065</v>
      </c>
      <c r="G265" s="134" t="s">
        <v>3007</v>
      </c>
      <c r="H265" s="123">
        <v>8679</v>
      </c>
    </row>
    <row r="266" spans="1:8" ht="31.5" x14ac:dyDescent="0.25">
      <c r="A266" s="134" t="s">
        <v>11563</v>
      </c>
      <c r="B266" s="134" t="s">
        <v>11573</v>
      </c>
      <c r="C266" s="134" t="s">
        <v>11572</v>
      </c>
      <c r="D266" s="134" t="s">
        <v>9601</v>
      </c>
      <c r="E266" s="139">
        <v>15.3</v>
      </c>
      <c r="F266" s="134" t="s">
        <v>9600</v>
      </c>
      <c r="G266" s="134" t="s">
        <v>3007</v>
      </c>
      <c r="H266" s="123">
        <v>8680</v>
      </c>
    </row>
    <row r="267" spans="1:8" ht="31.5" x14ac:dyDescent="0.25">
      <c r="A267" s="134" t="s">
        <v>11563</v>
      </c>
      <c r="B267" s="134" t="s">
        <v>11571</v>
      </c>
      <c r="C267" s="134" t="s">
        <v>11570</v>
      </c>
      <c r="D267" s="134" t="s">
        <v>5064</v>
      </c>
      <c r="E267" s="139">
        <v>1.72</v>
      </c>
      <c r="F267" s="134" t="s">
        <v>5063</v>
      </c>
      <c r="G267" s="134" t="s">
        <v>3007</v>
      </c>
      <c r="H267" s="123">
        <v>8681</v>
      </c>
    </row>
    <row r="268" spans="1:8" ht="31.5" x14ac:dyDescent="0.25">
      <c r="A268" s="134" t="s">
        <v>11563</v>
      </c>
      <c r="B268" s="134" t="s">
        <v>11569</v>
      </c>
      <c r="C268" s="134" t="s">
        <v>11568</v>
      </c>
      <c r="D268" s="134" t="s">
        <v>10496</v>
      </c>
      <c r="E268" s="139">
        <v>3.86</v>
      </c>
      <c r="F268" s="134" t="s">
        <v>10495</v>
      </c>
      <c r="G268" s="134" t="s">
        <v>3007</v>
      </c>
      <c r="H268" s="123">
        <v>8682</v>
      </c>
    </row>
    <row r="269" spans="1:8" ht="31.5" x14ac:dyDescent="0.25">
      <c r="A269" s="134" t="s">
        <v>11563</v>
      </c>
      <c r="B269" s="134" t="s">
        <v>11567</v>
      </c>
      <c r="C269" s="134" t="s">
        <v>11566</v>
      </c>
      <c r="D269" s="134" t="s">
        <v>11565</v>
      </c>
      <c r="E269" s="139">
        <v>10.63</v>
      </c>
      <c r="F269" s="134" t="s">
        <v>11564</v>
      </c>
      <c r="G269" s="134" t="s">
        <v>3007</v>
      </c>
      <c r="H269" s="123">
        <v>8683</v>
      </c>
    </row>
    <row r="270" spans="1:8" ht="31.5" x14ac:dyDescent="0.25">
      <c r="A270" s="134" t="s">
        <v>11563</v>
      </c>
      <c r="B270" s="134" t="s">
        <v>11562</v>
      </c>
      <c r="C270" s="134" t="s">
        <v>11561</v>
      </c>
      <c r="D270" s="134" t="s">
        <v>3965</v>
      </c>
      <c r="E270" s="139">
        <v>2.15</v>
      </c>
      <c r="F270" s="134" t="s">
        <v>3964</v>
      </c>
      <c r="G270" s="134" t="s">
        <v>3007</v>
      </c>
      <c r="H270" s="123">
        <v>8684</v>
      </c>
    </row>
    <row r="271" spans="1:8" ht="31.5" x14ac:dyDescent="0.25">
      <c r="A271" s="134" t="s">
        <v>11560</v>
      </c>
      <c r="B271" s="134" t="s">
        <v>11105</v>
      </c>
      <c r="C271" s="134" t="s">
        <v>11559</v>
      </c>
      <c r="D271" s="134" t="s">
        <v>11558</v>
      </c>
      <c r="E271" s="139">
        <v>7.24</v>
      </c>
      <c r="F271" s="134" t="s">
        <v>11557</v>
      </c>
      <c r="G271" s="134" t="s">
        <v>3007</v>
      </c>
      <c r="H271" s="123">
        <v>8728</v>
      </c>
    </row>
    <row r="272" spans="1:8" ht="31.5" x14ac:dyDescent="0.25">
      <c r="A272" s="134" t="s">
        <v>11515</v>
      </c>
      <c r="B272" s="134" t="s">
        <v>11556</v>
      </c>
      <c r="C272" s="134" t="s">
        <v>11555</v>
      </c>
      <c r="D272" s="134" t="s">
        <v>9831</v>
      </c>
      <c r="E272" s="139">
        <v>3.73</v>
      </c>
      <c r="F272" s="134" t="s">
        <v>9830</v>
      </c>
      <c r="G272" s="134" t="s">
        <v>3007</v>
      </c>
      <c r="H272" s="123">
        <v>8763</v>
      </c>
    </row>
    <row r="273" spans="1:8" ht="31.5" x14ac:dyDescent="0.25">
      <c r="A273" s="134" t="s">
        <v>11515</v>
      </c>
      <c r="B273" s="134" t="s">
        <v>11554</v>
      </c>
      <c r="C273" s="134" t="s">
        <v>11553</v>
      </c>
      <c r="D273" s="134" t="s">
        <v>3341</v>
      </c>
      <c r="E273" s="139">
        <v>5.42</v>
      </c>
      <c r="F273" s="134" t="s">
        <v>3340</v>
      </c>
      <c r="G273" s="134" t="s">
        <v>3007</v>
      </c>
      <c r="H273" s="123">
        <v>8764</v>
      </c>
    </row>
    <row r="274" spans="1:8" ht="31.5" x14ac:dyDescent="0.25">
      <c r="A274" s="134" t="s">
        <v>11515</v>
      </c>
      <c r="B274" s="134" t="s">
        <v>11552</v>
      </c>
      <c r="C274" s="134" t="s">
        <v>11551</v>
      </c>
      <c r="D274" s="134" t="s">
        <v>6296</v>
      </c>
      <c r="E274" s="139">
        <v>3.68</v>
      </c>
      <c r="F274" s="134" t="s">
        <v>6295</v>
      </c>
      <c r="G274" s="134" t="s">
        <v>3007</v>
      </c>
      <c r="H274" s="123">
        <v>8765</v>
      </c>
    </row>
    <row r="275" spans="1:8" ht="31.5" x14ac:dyDescent="0.25">
      <c r="A275" s="134" t="s">
        <v>11515</v>
      </c>
      <c r="B275" s="134" t="s">
        <v>11550</v>
      </c>
      <c r="C275" s="134" t="s">
        <v>11549</v>
      </c>
      <c r="D275" s="134" t="s">
        <v>4540</v>
      </c>
      <c r="E275" s="139">
        <v>42.24</v>
      </c>
      <c r="F275" s="134" t="s">
        <v>4539</v>
      </c>
      <c r="G275" s="134" t="s">
        <v>3007</v>
      </c>
      <c r="H275" s="123">
        <v>8766</v>
      </c>
    </row>
    <row r="276" spans="1:8" ht="31.5" x14ac:dyDescent="0.25">
      <c r="A276" s="134" t="s">
        <v>11515</v>
      </c>
      <c r="B276" s="134" t="s">
        <v>11548</v>
      </c>
      <c r="C276" s="134" t="s">
        <v>11547</v>
      </c>
      <c r="D276" s="134" t="s">
        <v>3373</v>
      </c>
      <c r="E276" s="139">
        <v>5.44</v>
      </c>
      <c r="F276" s="134" t="s">
        <v>3372</v>
      </c>
      <c r="G276" s="134" t="s">
        <v>3007</v>
      </c>
      <c r="H276" s="123">
        <v>8767</v>
      </c>
    </row>
    <row r="277" spans="1:8" ht="31.5" x14ac:dyDescent="0.25">
      <c r="A277" s="134" t="s">
        <v>11515</v>
      </c>
      <c r="B277" s="134" t="s">
        <v>11546</v>
      </c>
      <c r="C277" s="134" t="s">
        <v>11545</v>
      </c>
      <c r="D277" s="134" t="s">
        <v>8355</v>
      </c>
      <c r="E277" s="139">
        <v>21.48</v>
      </c>
      <c r="F277" s="134" t="s">
        <v>8354</v>
      </c>
      <c r="G277" s="134" t="s">
        <v>3007</v>
      </c>
      <c r="H277" s="123">
        <v>8768</v>
      </c>
    </row>
    <row r="278" spans="1:8" ht="31.5" x14ac:dyDescent="0.25">
      <c r="A278" s="134" t="s">
        <v>11515</v>
      </c>
      <c r="B278" s="134" t="s">
        <v>11544</v>
      </c>
      <c r="C278" s="134" t="s">
        <v>11543</v>
      </c>
      <c r="D278" s="134" t="s">
        <v>11542</v>
      </c>
      <c r="E278" s="139">
        <v>3.66</v>
      </c>
      <c r="F278" s="134" t="s">
        <v>11541</v>
      </c>
      <c r="G278" s="134" t="s">
        <v>3007</v>
      </c>
      <c r="H278" s="123">
        <v>8769</v>
      </c>
    </row>
    <row r="279" spans="1:8" ht="31.5" x14ac:dyDescent="0.25">
      <c r="A279" s="134" t="s">
        <v>11515</v>
      </c>
      <c r="B279" s="134" t="s">
        <v>11540</v>
      </c>
      <c r="C279" s="134" t="s">
        <v>11539</v>
      </c>
      <c r="D279" s="134" t="s">
        <v>3587</v>
      </c>
      <c r="E279" s="139">
        <v>52.25</v>
      </c>
      <c r="F279" s="134" t="s">
        <v>3586</v>
      </c>
      <c r="G279" s="134" t="s">
        <v>3007</v>
      </c>
      <c r="H279" s="123">
        <v>8770</v>
      </c>
    </row>
    <row r="280" spans="1:8" ht="31.5" x14ac:dyDescent="0.25">
      <c r="A280" s="134" t="s">
        <v>11515</v>
      </c>
      <c r="B280" s="134" t="s">
        <v>11538</v>
      </c>
      <c r="C280" s="134" t="s">
        <v>11537</v>
      </c>
      <c r="D280" s="134" t="s">
        <v>4132</v>
      </c>
      <c r="E280" s="139">
        <v>6.2</v>
      </c>
      <c r="F280" s="134" t="s">
        <v>4131</v>
      </c>
      <c r="G280" s="134" t="s">
        <v>3007</v>
      </c>
      <c r="H280" s="123">
        <v>8771</v>
      </c>
    </row>
    <row r="281" spans="1:8" ht="31.5" x14ac:dyDescent="0.25">
      <c r="A281" s="134" t="s">
        <v>11515</v>
      </c>
      <c r="B281" s="134" t="s">
        <v>11536</v>
      </c>
      <c r="C281" s="134" t="s">
        <v>11535</v>
      </c>
      <c r="D281" s="134" t="s">
        <v>4309</v>
      </c>
      <c r="E281" s="139">
        <v>4.1900000000000004</v>
      </c>
      <c r="F281" s="134" t="s">
        <v>4308</v>
      </c>
      <c r="G281" s="134" t="s">
        <v>3007</v>
      </c>
      <c r="H281" s="123">
        <v>8772</v>
      </c>
    </row>
    <row r="282" spans="1:8" ht="31.5" x14ac:dyDescent="0.25">
      <c r="A282" s="134" t="s">
        <v>11515</v>
      </c>
      <c r="B282" s="134" t="s">
        <v>11534</v>
      </c>
      <c r="C282" s="134" t="s">
        <v>11533</v>
      </c>
      <c r="D282" s="134" t="s">
        <v>7474</v>
      </c>
      <c r="E282" s="139">
        <v>34.880000000000003</v>
      </c>
      <c r="F282" s="134" t="s">
        <v>7473</v>
      </c>
      <c r="G282" s="134" t="s">
        <v>3007</v>
      </c>
      <c r="H282" s="123">
        <v>8773</v>
      </c>
    </row>
    <row r="283" spans="1:8" ht="31.5" x14ac:dyDescent="0.25">
      <c r="A283" s="134" t="s">
        <v>11515</v>
      </c>
      <c r="B283" s="134" t="s">
        <v>11532</v>
      </c>
      <c r="C283" s="134" t="s">
        <v>11531</v>
      </c>
      <c r="D283" s="134" t="s">
        <v>3993</v>
      </c>
      <c r="E283" s="139">
        <v>8.3800000000000008</v>
      </c>
      <c r="F283" s="134" t="s">
        <v>3992</v>
      </c>
      <c r="G283" s="134" t="s">
        <v>3007</v>
      </c>
      <c r="H283" s="123">
        <v>8774</v>
      </c>
    </row>
    <row r="284" spans="1:8" ht="31.5" x14ac:dyDescent="0.25">
      <c r="A284" s="134" t="s">
        <v>11515</v>
      </c>
      <c r="B284" s="134" t="s">
        <v>4459</v>
      </c>
      <c r="C284" s="134" t="s">
        <v>11530</v>
      </c>
      <c r="D284" s="134" t="s">
        <v>3333</v>
      </c>
      <c r="E284" s="139">
        <v>15.14</v>
      </c>
      <c r="F284" s="134" t="s">
        <v>3332</v>
      </c>
      <c r="G284" s="134" t="s">
        <v>3007</v>
      </c>
      <c r="H284" s="123">
        <v>8775</v>
      </c>
    </row>
    <row r="285" spans="1:8" ht="31.5" x14ac:dyDescent="0.25">
      <c r="A285" s="134" t="s">
        <v>11515</v>
      </c>
      <c r="B285" s="134" t="s">
        <v>11529</v>
      </c>
      <c r="C285" s="134" t="s">
        <v>11528</v>
      </c>
      <c r="D285" s="134" t="s">
        <v>6317</v>
      </c>
      <c r="E285" s="139">
        <v>5.44</v>
      </c>
      <c r="F285" s="134" t="s">
        <v>6316</v>
      </c>
      <c r="G285" s="134" t="s">
        <v>3007</v>
      </c>
      <c r="H285" s="123">
        <v>8776</v>
      </c>
    </row>
    <row r="286" spans="1:8" ht="31.5" x14ac:dyDescent="0.25">
      <c r="A286" s="134" t="s">
        <v>11515</v>
      </c>
      <c r="B286" s="134" t="s">
        <v>11527</v>
      </c>
      <c r="C286" s="134" t="s">
        <v>11526</v>
      </c>
      <c r="D286" s="134" t="s">
        <v>11525</v>
      </c>
      <c r="E286" s="139">
        <v>3</v>
      </c>
      <c r="F286" s="134" t="s">
        <v>11524</v>
      </c>
      <c r="G286" s="134" t="s">
        <v>3007</v>
      </c>
      <c r="H286" s="123">
        <v>8777</v>
      </c>
    </row>
    <row r="287" spans="1:8" ht="31.5" x14ac:dyDescent="0.25">
      <c r="A287" s="134" t="s">
        <v>11515</v>
      </c>
      <c r="B287" s="134" t="s">
        <v>11523</v>
      </c>
      <c r="C287" s="134" t="s">
        <v>11522</v>
      </c>
      <c r="D287" s="134" t="s">
        <v>6467</v>
      </c>
      <c r="E287" s="139">
        <v>8.3800000000000008</v>
      </c>
      <c r="F287" s="134" t="s">
        <v>6466</v>
      </c>
      <c r="G287" s="134" t="s">
        <v>3007</v>
      </c>
      <c r="H287" s="123">
        <v>8778</v>
      </c>
    </row>
    <row r="288" spans="1:8" ht="31.5" x14ac:dyDescent="0.25">
      <c r="A288" s="134" t="s">
        <v>11515</v>
      </c>
      <c r="B288" s="134" t="s">
        <v>11521</v>
      </c>
      <c r="C288" s="134" t="s">
        <v>11520</v>
      </c>
      <c r="D288" s="134" t="s">
        <v>3836</v>
      </c>
      <c r="E288" s="139">
        <v>14.89</v>
      </c>
      <c r="F288" s="134" t="s">
        <v>3835</v>
      </c>
      <c r="G288" s="134" t="s">
        <v>3007</v>
      </c>
      <c r="H288" s="123">
        <v>8779</v>
      </c>
    </row>
    <row r="289" spans="1:8" ht="31.5" x14ac:dyDescent="0.25">
      <c r="A289" s="134" t="s">
        <v>11515</v>
      </c>
      <c r="B289" s="134" t="s">
        <v>11519</v>
      </c>
      <c r="C289" s="134" t="s">
        <v>11518</v>
      </c>
      <c r="D289" s="134" t="s">
        <v>4220</v>
      </c>
      <c r="E289" s="139">
        <v>5.86</v>
      </c>
      <c r="F289" s="134" t="s">
        <v>4219</v>
      </c>
      <c r="G289" s="134" t="s">
        <v>3007</v>
      </c>
      <c r="H289" s="123">
        <v>8780</v>
      </c>
    </row>
    <row r="290" spans="1:8" ht="31.5" x14ac:dyDescent="0.25">
      <c r="A290" s="134" t="s">
        <v>11515</v>
      </c>
      <c r="B290" s="134" t="s">
        <v>11517</v>
      </c>
      <c r="C290" s="134" t="s">
        <v>11516</v>
      </c>
      <c r="D290" s="134" t="s">
        <v>6402</v>
      </c>
      <c r="E290" s="139">
        <v>11.06</v>
      </c>
      <c r="F290" s="134" t="s">
        <v>6401</v>
      </c>
      <c r="G290" s="134" t="s">
        <v>3007</v>
      </c>
      <c r="H290" s="123">
        <v>8781</v>
      </c>
    </row>
    <row r="291" spans="1:8" ht="31.5" x14ac:dyDescent="0.25">
      <c r="A291" s="134" t="s">
        <v>11515</v>
      </c>
      <c r="B291" s="134" t="s">
        <v>9837</v>
      </c>
      <c r="C291" s="134" t="s">
        <v>11514</v>
      </c>
      <c r="D291" s="134" t="s">
        <v>9629</v>
      </c>
      <c r="E291" s="139">
        <v>2.59</v>
      </c>
      <c r="F291" s="134" t="s">
        <v>9628</v>
      </c>
      <c r="G291" s="134" t="s">
        <v>3007</v>
      </c>
      <c r="H291" s="123">
        <v>8782</v>
      </c>
    </row>
    <row r="292" spans="1:8" ht="31.5" x14ac:dyDescent="0.25">
      <c r="A292" s="134" t="s">
        <v>11489</v>
      </c>
      <c r="B292" s="134" t="s">
        <v>11513</v>
      </c>
      <c r="C292" s="134" t="s">
        <v>11512</v>
      </c>
      <c r="D292" s="134" t="s">
        <v>5626</v>
      </c>
      <c r="E292" s="139">
        <v>3.48</v>
      </c>
      <c r="F292" s="134" t="s">
        <v>5625</v>
      </c>
      <c r="G292" s="134" t="s">
        <v>3007</v>
      </c>
      <c r="H292" s="123">
        <v>8829</v>
      </c>
    </row>
    <row r="293" spans="1:8" ht="31.5" x14ac:dyDescent="0.25">
      <c r="A293" s="134" t="s">
        <v>11489</v>
      </c>
      <c r="B293" s="134" t="s">
        <v>11511</v>
      </c>
      <c r="C293" s="134" t="s">
        <v>11510</v>
      </c>
      <c r="D293" s="134" t="s">
        <v>3450</v>
      </c>
      <c r="E293" s="139">
        <v>6.96</v>
      </c>
      <c r="F293" s="134" t="s">
        <v>3449</v>
      </c>
      <c r="G293" s="134" t="s">
        <v>3007</v>
      </c>
      <c r="H293" s="123">
        <v>8830</v>
      </c>
    </row>
    <row r="294" spans="1:8" ht="31.5" x14ac:dyDescent="0.25">
      <c r="A294" s="134" t="s">
        <v>11489</v>
      </c>
      <c r="B294" s="134" t="s">
        <v>11509</v>
      </c>
      <c r="C294" s="134" t="s">
        <v>11508</v>
      </c>
      <c r="D294" s="134" t="s">
        <v>3211</v>
      </c>
      <c r="E294" s="139">
        <v>46.06</v>
      </c>
      <c r="F294" s="134" t="s">
        <v>3210</v>
      </c>
      <c r="G294" s="134" t="s">
        <v>3007</v>
      </c>
      <c r="H294" s="123">
        <v>8831</v>
      </c>
    </row>
    <row r="295" spans="1:8" ht="31.5" x14ac:dyDescent="0.25">
      <c r="A295" s="134" t="s">
        <v>11489</v>
      </c>
      <c r="B295" s="134" t="s">
        <v>11507</v>
      </c>
      <c r="C295" s="134" t="s">
        <v>11506</v>
      </c>
      <c r="D295" s="134" t="s">
        <v>3680</v>
      </c>
      <c r="E295" s="139">
        <v>17.34</v>
      </c>
      <c r="F295" s="134" t="s">
        <v>3679</v>
      </c>
      <c r="G295" s="134" t="s">
        <v>3007</v>
      </c>
      <c r="H295" s="123">
        <v>8832</v>
      </c>
    </row>
    <row r="296" spans="1:8" ht="31.5" x14ac:dyDescent="0.25">
      <c r="A296" s="134" t="s">
        <v>11489</v>
      </c>
      <c r="B296" s="134" t="s">
        <v>11505</v>
      </c>
      <c r="C296" s="134" t="s">
        <v>11504</v>
      </c>
      <c r="D296" s="134" t="s">
        <v>11219</v>
      </c>
      <c r="E296" s="139">
        <v>11.45</v>
      </c>
      <c r="F296" s="134" t="s">
        <v>11218</v>
      </c>
      <c r="G296" s="134" t="s">
        <v>3007</v>
      </c>
      <c r="H296" s="123">
        <v>8833</v>
      </c>
    </row>
    <row r="297" spans="1:8" ht="31.5" x14ac:dyDescent="0.25">
      <c r="A297" s="134" t="s">
        <v>11489</v>
      </c>
      <c r="B297" s="134" t="s">
        <v>11503</v>
      </c>
      <c r="C297" s="134" t="s">
        <v>11502</v>
      </c>
      <c r="D297" s="134" t="s">
        <v>3074</v>
      </c>
      <c r="E297" s="139">
        <v>3.36</v>
      </c>
      <c r="F297" s="134" t="s">
        <v>3073</v>
      </c>
      <c r="G297" s="134" t="s">
        <v>3007</v>
      </c>
      <c r="H297" s="123">
        <v>8834</v>
      </c>
    </row>
    <row r="298" spans="1:8" ht="31.5" x14ac:dyDescent="0.25">
      <c r="A298" s="134" t="s">
        <v>11489</v>
      </c>
      <c r="B298" s="134" t="s">
        <v>11501</v>
      </c>
      <c r="C298" s="134" t="s">
        <v>11500</v>
      </c>
      <c r="D298" s="134" t="s">
        <v>3158</v>
      </c>
      <c r="E298" s="139">
        <v>7.39</v>
      </c>
      <c r="F298" s="134" t="s">
        <v>3157</v>
      </c>
      <c r="G298" s="134" t="s">
        <v>3007</v>
      </c>
      <c r="H298" s="123">
        <v>8835</v>
      </c>
    </row>
    <row r="299" spans="1:8" ht="31.5" x14ac:dyDescent="0.25">
      <c r="A299" s="134" t="s">
        <v>11489</v>
      </c>
      <c r="B299" s="134" t="s">
        <v>11499</v>
      </c>
      <c r="C299" s="134" t="s">
        <v>11498</v>
      </c>
      <c r="D299" s="134" t="s">
        <v>7875</v>
      </c>
      <c r="E299" s="139">
        <v>50.98</v>
      </c>
      <c r="F299" s="134" t="s">
        <v>7874</v>
      </c>
      <c r="G299" s="134" t="s">
        <v>3007</v>
      </c>
      <c r="H299" s="123">
        <v>8836</v>
      </c>
    </row>
    <row r="300" spans="1:8" ht="31.5" x14ac:dyDescent="0.25">
      <c r="A300" s="134" t="s">
        <v>11489</v>
      </c>
      <c r="B300" s="134" t="s">
        <v>11497</v>
      </c>
      <c r="C300" s="134" t="s">
        <v>11496</v>
      </c>
      <c r="D300" s="134" t="s">
        <v>3086</v>
      </c>
      <c r="E300" s="139">
        <v>3.1</v>
      </c>
      <c r="F300" s="134" t="s">
        <v>3085</v>
      </c>
      <c r="G300" s="134" t="s">
        <v>3007</v>
      </c>
      <c r="H300" s="123">
        <v>8837</v>
      </c>
    </row>
    <row r="301" spans="1:8" ht="31.5" x14ac:dyDescent="0.25">
      <c r="A301" s="134" t="s">
        <v>11489</v>
      </c>
      <c r="B301" s="134" t="s">
        <v>11495</v>
      </c>
      <c r="C301" s="134" t="s">
        <v>11494</v>
      </c>
      <c r="D301" s="134" t="s">
        <v>9261</v>
      </c>
      <c r="E301" s="139">
        <v>16.760000000000002</v>
      </c>
      <c r="F301" s="134" t="s">
        <v>9260</v>
      </c>
      <c r="G301" s="134" t="s">
        <v>3007</v>
      </c>
      <c r="H301" s="123">
        <v>8838</v>
      </c>
    </row>
    <row r="302" spans="1:8" ht="31.5" x14ac:dyDescent="0.25">
      <c r="A302" s="134" t="s">
        <v>11489</v>
      </c>
      <c r="B302" s="134" t="s">
        <v>11493</v>
      </c>
      <c r="C302" s="134" t="s">
        <v>11492</v>
      </c>
      <c r="D302" s="134" t="s">
        <v>3563</v>
      </c>
      <c r="E302" s="139">
        <v>6.94</v>
      </c>
      <c r="F302" s="134" t="s">
        <v>3562</v>
      </c>
      <c r="G302" s="134" t="s">
        <v>3007</v>
      </c>
      <c r="H302" s="123">
        <v>8839</v>
      </c>
    </row>
    <row r="303" spans="1:8" ht="31.5" x14ac:dyDescent="0.25">
      <c r="A303" s="134" t="s">
        <v>11489</v>
      </c>
      <c r="B303" s="134" t="s">
        <v>11491</v>
      </c>
      <c r="C303" s="134" t="s">
        <v>11490</v>
      </c>
      <c r="D303" s="134" t="s">
        <v>4289</v>
      </c>
      <c r="E303" s="139">
        <v>8.99</v>
      </c>
      <c r="F303" s="134" t="s">
        <v>4288</v>
      </c>
      <c r="G303" s="134" t="s">
        <v>3007</v>
      </c>
      <c r="H303" s="123">
        <v>8840</v>
      </c>
    </row>
    <row r="304" spans="1:8" ht="31.5" x14ac:dyDescent="0.25">
      <c r="A304" s="134" t="s">
        <v>11489</v>
      </c>
      <c r="B304" s="134" t="s">
        <v>11488</v>
      </c>
      <c r="C304" s="134" t="s">
        <v>11487</v>
      </c>
      <c r="D304" s="134" t="s">
        <v>8950</v>
      </c>
      <c r="E304" s="139">
        <v>5.95</v>
      </c>
      <c r="F304" s="134" t="s">
        <v>8949</v>
      </c>
      <c r="G304" s="134" t="s">
        <v>3007</v>
      </c>
      <c r="H304" s="123">
        <v>8841</v>
      </c>
    </row>
    <row r="305" spans="1:8" ht="31.5" x14ac:dyDescent="0.25">
      <c r="A305" s="134" t="s">
        <v>11464</v>
      </c>
      <c r="B305" s="134" t="s">
        <v>11486</v>
      </c>
      <c r="C305" s="134" t="s">
        <v>11485</v>
      </c>
      <c r="D305" s="134" t="s">
        <v>9924</v>
      </c>
      <c r="E305" s="139">
        <v>7.2</v>
      </c>
      <c r="F305" s="134" t="s">
        <v>9923</v>
      </c>
      <c r="G305" s="134" t="s">
        <v>3007</v>
      </c>
      <c r="H305" s="123">
        <v>8842</v>
      </c>
    </row>
    <row r="306" spans="1:8" ht="31.5" x14ac:dyDescent="0.25">
      <c r="A306" s="134" t="s">
        <v>11464</v>
      </c>
      <c r="B306" s="134" t="s">
        <v>11484</v>
      </c>
      <c r="C306" s="134" t="s">
        <v>11483</v>
      </c>
      <c r="D306" s="134" t="s">
        <v>11482</v>
      </c>
      <c r="E306" s="139">
        <v>13.76</v>
      </c>
      <c r="F306" s="134" t="s">
        <v>11481</v>
      </c>
      <c r="G306" s="134" t="s">
        <v>3007</v>
      </c>
      <c r="H306" s="123">
        <v>8843</v>
      </c>
    </row>
    <row r="307" spans="1:8" ht="31.5" x14ac:dyDescent="0.25">
      <c r="A307" s="134" t="s">
        <v>11464</v>
      </c>
      <c r="B307" s="134" t="s">
        <v>11480</v>
      </c>
      <c r="C307" s="134" t="s">
        <v>11479</v>
      </c>
      <c r="D307" s="134" t="s">
        <v>5091</v>
      </c>
      <c r="E307" s="139">
        <v>1.99</v>
      </c>
      <c r="F307" s="134" t="s">
        <v>5090</v>
      </c>
      <c r="G307" s="134" t="s">
        <v>3007</v>
      </c>
      <c r="H307" s="123">
        <v>8844</v>
      </c>
    </row>
    <row r="308" spans="1:8" ht="31.5" x14ac:dyDescent="0.25">
      <c r="A308" s="134" t="s">
        <v>11464</v>
      </c>
      <c r="B308" s="134" t="s">
        <v>11478</v>
      </c>
      <c r="C308" s="134" t="s">
        <v>11477</v>
      </c>
      <c r="D308" s="134" t="s">
        <v>3530</v>
      </c>
      <c r="E308" s="139">
        <v>4.2300000000000004</v>
      </c>
      <c r="F308" s="134" t="s">
        <v>3526</v>
      </c>
      <c r="G308" s="134" t="s">
        <v>3007</v>
      </c>
      <c r="H308" s="123">
        <v>8845</v>
      </c>
    </row>
    <row r="309" spans="1:8" ht="31.5" x14ac:dyDescent="0.25">
      <c r="A309" s="134" t="s">
        <v>11464</v>
      </c>
      <c r="B309" s="134" t="s">
        <v>11476</v>
      </c>
      <c r="C309" s="134" t="s">
        <v>11475</v>
      </c>
      <c r="D309" s="134" t="s">
        <v>3527</v>
      </c>
      <c r="E309" s="139">
        <v>1.68</v>
      </c>
      <c r="F309" s="134" t="s">
        <v>3526</v>
      </c>
      <c r="G309" s="134" t="s">
        <v>3007</v>
      </c>
      <c r="H309" s="123">
        <v>8846</v>
      </c>
    </row>
    <row r="310" spans="1:8" ht="31.5" x14ac:dyDescent="0.25">
      <c r="A310" s="134" t="s">
        <v>11464</v>
      </c>
      <c r="B310" s="134" t="s">
        <v>11474</v>
      </c>
      <c r="C310" s="134" t="s">
        <v>11473</v>
      </c>
      <c r="D310" s="134" t="s">
        <v>6832</v>
      </c>
      <c r="E310" s="139">
        <v>5.4</v>
      </c>
      <c r="F310" s="134" t="s">
        <v>6831</v>
      </c>
      <c r="G310" s="134" t="s">
        <v>3007</v>
      </c>
      <c r="H310" s="124">
        <v>8847</v>
      </c>
    </row>
    <row r="311" spans="1:8" ht="31.5" x14ac:dyDescent="0.25">
      <c r="A311" s="134" t="s">
        <v>11464</v>
      </c>
      <c r="B311" s="134" t="s">
        <v>11472</v>
      </c>
      <c r="C311" s="134" t="s">
        <v>11471</v>
      </c>
      <c r="D311" s="134" t="s">
        <v>11470</v>
      </c>
      <c r="E311" s="139">
        <v>11.75</v>
      </c>
      <c r="F311" s="134" t="s">
        <v>11469</v>
      </c>
      <c r="G311" s="134" t="s">
        <v>3007</v>
      </c>
      <c r="H311" s="123">
        <v>8848</v>
      </c>
    </row>
    <row r="312" spans="1:8" ht="31.5" x14ac:dyDescent="0.25">
      <c r="A312" s="134" t="s">
        <v>11464</v>
      </c>
      <c r="B312" s="134" t="s">
        <v>11468</v>
      </c>
      <c r="C312" s="134" t="s">
        <v>11467</v>
      </c>
      <c r="D312" s="134" t="s">
        <v>5194</v>
      </c>
      <c r="E312" s="139">
        <v>7.26</v>
      </c>
      <c r="F312" s="134" t="s">
        <v>5193</v>
      </c>
      <c r="G312" s="134" t="s">
        <v>3007</v>
      </c>
      <c r="H312" s="123">
        <v>8849</v>
      </c>
    </row>
    <row r="313" spans="1:8" ht="31.5" x14ac:dyDescent="0.25">
      <c r="A313" s="134" t="s">
        <v>11464</v>
      </c>
      <c r="B313" s="134" t="s">
        <v>11466</v>
      </c>
      <c r="C313" s="134" t="s">
        <v>11465</v>
      </c>
      <c r="D313" s="134" t="s">
        <v>3936</v>
      </c>
      <c r="E313" s="139">
        <v>10.08</v>
      </c>
      <c r="F313" s="134" t="s">
        <v>3935</v>
      </c>
      <c r="G313" s="134" t="s">
        <v>3007</v>
      </c>
      <c r="H313" s="123">
        <v>8850</v>
      </c>
    </row>
    <row r="314" spans="1:8" ht="31.5" x14ac:dyDescent="0.25">
      <c r="A314" s="134" t="s">
        <v>11464</v>
      </c>
      <c r="B314" s="134" t="s">
        <v>11463</v>
      </c>
      <c r="C314" s="134" t="s">
        <v>11462</v>
      </c>
      <c r="D314" s="134" t="s">
        <v>3276</v>
      </c>
      <c r="E314" s="139">
        <v>3.51</v>
      </c>
      <c r="F314" s="134" t="s">
        <v>3275</v>
      </c>
      <c r="G314" s="134" t="s">
        <v>3007</v>
      </c>
      <c r="H314" s="123">
        <v>8851</v>
      </c>
    </row>
    <row r="315" spans="1:8" ht="31.5" x14ac:dyDescent="0.25">
      <c r="A315" s="134" t="s">
        <v>11447</v>
      </c>
      <c r="B315" s="134" t="s">
        <v>11461</v>
      </c>
      <c r="C315" s="134" t="s">
        <v>11460</v>
      </c>
      <c r="D315" s="134" t="s">
        <v>10578</v>
      </c>
      <c r="E315" s="139">
        <v>3.35</v>
      </c>
      <c r="F315" s="134" t="s">
        <v>10577</v>
      </c>
      <c r="G315" s="134" t="s">
        <v>3007</v>
      </c>
      <c r="H315" s="123">
        <v>8852</v>
      </c>
    </row>
    <row r="316" spans="1:8" ht="31.5" x14ac:dyDescent="0.25">
      <c r="A316" s="134" t="s">
        <v>11447</v>
      </c>
      <c r="B316" s="134" t="s">
        <v>11459</v>
      </c>
      <c r="C316" s="134" t="s">
        <v>11458</v>
      </c>
      <c r="D316" s="134" t="s">
        <v>9728</v>
      </c>
      <c r="E316" s="139">
        <v>2.63</v>
      </c>
      <c r="F316" s="134" t="s">
        <v>3490</v>
      </c>
      <c r="G316" s="134" t="s">
        <v>3007</v>
      </c>
      <c r="H316" s="123">
        <v>8853</v>
      </c>
    </row>
    <row r="317" spans="1:8" ht="31.5" x14ac:dyDescent="0.25">
      <c r="A317" s="134" t="s">
        <v>11447</v>
      </c>
      <c r="B317" s="134" t="s">
        <v>11457</v>
      </c>
      <c r="C317" s="134" t="s">
        <v>11456</v>
      </c>
      <c r="D317" s="134" t="s">
        <v>3139</v>
      </c>
      <c r="E317" s="139">
        <v>27.95</v>
      </c>
      <c r="F317" s="134" t="s">
        <v>3138</v>
      </c>
      <c r="G317" s="134" t="s">
        <v>3007</v>
      </c>
      <c r="H317" s="123">
        <v>8854</v>
      </c>
    </row>
    <row r="318" spans="1:8" ht="31.5" x14ac:dyDescent="0.25">
      <c r="A318" s="134" t="s">
        <v>11447</v>
      </c>
      <c r="B318" s="134" t="s">
        <v>11455</v>
      </c>
      <c r="C318" s="134" t="s">
        <v>11454</v>
      </c>
      <c r="D318" s="134" t="s">
        <v>11453</v>
      </c>
      <c r="E318" s="139">
        <v>5.51</v>
      </c>
      <c r="F318" s="134" t="s">
        <v>11452</v>
      </c>
      <c r="G318" s="134" t="s">
        <v>3007</v>
      </c>
      <c r="H318" s="123">
        <v>8855</v>
      </c>
    </row>
    <row r="319" spans="1:8" ht="31.5" x14ac:dyDescent="0.25">
      <c r="A319" s="134" t="s">
        <v>11447</v>
      </c>
      <c r="B319" s="134" t="s">
        <v>11451</v>
      </c>
      <c r="C319" s="134" t="s">
        <v>11450</v>
      </c>
      <c r="D319" s="134" t="s">
        <v>7912</v>
      </c>
      <c r="E319" s="139">
        <v>1.71</v>
      </c>
      <c r="F319" s="134" t="s">
        <v>7911</v>
      </c>
      <c r="G319" s="134" t="s">
        <v>3007</v>
      </c>
      <c r="H319" s="123">
        <v>8856</v>
      </c>
    </row>
    <row r="320" spans="1:8" ht="31.5" x14ac:dyDescent="0.25">
      <c r="A320" s="134" t="s">
        <v>11447</v>
      </c>
      <c r="B320" s="134" t="s">
        <v>11449</v>
      </c>
      <c r="C320" s="134" t="s">
        <v>11448</v>
      </c>
      <c r="D320" s="134" t="s">
        <v>4500</v>
      </c>
      <c r="E320" s="139">
        <v>11.97</v>
      </c>
      <c r="F320" s="134" t="s">
        <v>4499</v>
      </c>
      <c r="G320" s="134" t="s">
        <v>3007</v>
      </c>
      <c r="H320" s="123">
        <v>8857</v>
      </c>
    </row>
    <row r="321" spans="1:8" ht="31.5" x14ac:dyDescent="0.25">
      <c r="A321" s="134" t="s">
        <v>11447</v>
      </c>
      <c r="B321" s="134" t="s">
        <v>11446</v>
      </c>
      <c r="C321" s="134" t="s">
        <v>11445</v>
      </c>
      <c r="D321" s="134" t="s">
        <v>7733</v>
      </c>
      <c r="E321" s="139">
        <v>1.56</v>
      </c>
      <c r="F321" s="134" t="s">
        <v>7732</v>
      </c>
      <c r="G321" s="134" t="s">
        <v>3007</v>
      </c>
      <c r="H321" s="123">
        <v>8858</v>
      </c>
    </row>
    <row r="322" spans="1:8" ht="31.5" x14ac:dyDescent="0.25">
      <c r="A322" s="134" t="s">
        <v>11413</v>
      </c>
      <c r="B322" s="134" t="s">
        <v>11444</v>
      </c>
      <c r="C322" s="134" t="s">
        <v>11443</v>
      </c>
      <c r="D322" s="134" t="s">
        <v>6707</v>
      </c>
      <c r="E322" s="139">
        <v>15.02</v>
      </c>
      <c r="F322" s="134" t="s">
        <v>6706</v>
      </c>
      <c r="G322" s="134" t="s">
        <v>3007</v>
      </c>
      <c r="H322" s="123">
        <v>8932</v>
      </c>
    </row>
    <row r="323" spans="1:8" ht="31.5" x14ac:dyDescent="0.25">
      <c r="A323" s="134" t="s">
        <v>11413</v>
      </c>
      <c r="B323" s="134" t="s">
        <v>11442</v>
      </c>
      <c r="C323" s="134" t="s">
        <v>11441</v>
      </c>
      <c r="D323" s="134" t="s">
        <v>11440</v>
      </c>
      <c r="E323" s="139">
        <v>29.49</v>
      </c>
      <c r="F323" s="134" t="s">
        <v>11439</v>
      </c>
      <c r="G323" s="134" t="s">
        <v>3007</v>
      </c>
      <c r="H323" s="123">
        <v>8933</v>
      </c>
    </row>
    <row r="324" spans="1:8" ht="31.5" x14ac:dyDescent="0.25">
      <c r="A324" s="134" t="s">
        <v>11413</v>
      </c>
      <c r="B324" s="134" t="s">
        <v>11438</v>
      </c>
      <c r="C324" s="134" t="s">
        <v>11437</v>
      </c>
      <c r="D324" s="134" t="s">
        <v>6355</v>
      </c>
      <c r="E324" s="139">
        <v>3.49</v>
      </c>
      <c r="F324" s="134" t="s">
        <v>6354</v>
      </c>
      <c r="G324" s="134" t="s">
        <v>3007</v>
      </c>
      <c r="H324" s="123">
        <v>8934</v>
      </c>
    </row>
    <row r="325" spans="1:8" ht="31.5" x14ac:dyDescent="0.25">
      <c r="A325" s="134" t="s">
        <v>11413</v>
      </c>
      <c r="B325" s="134" t="s">
        <v>11436</v>
      </c>
      <c r="C325" s="134" t="s">
        <v>11435</v>
      </c>
      <c r="D325" s="134" t="s">
        <v>5642</v>
      </c>
      <c r="E325" s="139">
        <v>44.3</v>
      </c>
      <c r="F325" s="134" t="s">
        <v>5641</v>
      </c>
      <c r="G325" s="134" t="s">
        <v>3007</v>
      </c>
      <c r="H325" s="123">
        <v>8935</v>
      </c>
    </row>
    <row r="326" spans="1:8" ht="31.5" x14ac:dyDescent="0.25">
      <c r="A326" s="134" t="s">
        <v>11413</v>
      </c>
      <c r="B326" s="134" t="s">
        <v>11434</v>
      </c>
      <c r="C326" s="134" t="s">
        <v>11433</v>
      </c>
      <c r="D326" s="134" t="s">
        <v>3381</v>
      </c>
      <c r="E326" s="139">
        <v>6.65</v>
      </c>
      <c r="F326" s="134" t="s">
        <v>3380</v>
      </c>
      <c r="G326" s="134" t="s">
        <v>3007</v>
      </c>
      <c r="H326" s="123">
        <v>8936</v>
      </c>
    </row>
    <row r="327" spans="1:8" ht="31.5" x14ac:dyDescent="0.25">
      <c r="A327" s="134" t="s">
        <v>11413</v>
      </c>
      <c r="B327" s="134" t="s">
        <v>11432</v>
      </c>
      <c r="C327" s="134" t="s">
        <v>11431</v>
      </c>
      <c r="D327" s="134" t="s">
        <v>3231</v>
      </c>
      <c r="E327" s="139">
        <v>37.43</v>
      </c>
      <c r="F327" s="134" t="s">
        <v>3230</v>
      </c>
      <c r="G327" s="134" t="s">
        <v>3007</v>
      </c>
      <c r="H327" s="123">
        <v>8937</v>
      </c>
    </row>
    <row r="328" spans="1:8" ht="31.5" x14ac:dyDescent="0.25">
      <c r="A328" s="134" t="s">
        <v>11413</v>
      </c>
      <c r="B328" s="134" t="s">
        <v>8139</v>
      </c>
      <c r="C328" s="134" t="s">
        <v>11430</v>
      </c>
      <c r="D328" s="134" t="s">
        <v>3227</v>
      </c>
      <c r="E328" s="139">
        <v>10.6</v>
      </c>
      <c r="F328" s="134" t="s">
        <v>3226</v>
      </c>
      <c r="G328" s="134" t="s">
        <v>3007</v>
      </c>
      <c r="H328" s="123">
        <v>8938</v>
      </c>
    </row>
    <row r="329" spans="1:8" ht="31.5" x14ac:dyDescent="0.25">
      <c r="A329" s="134" t="s">
        <v>11413</v>
      </c>
      <c r="B329" s="134" t="s">
        <v>10519</v>
      </c>
      <c r="C329" s="134" t="s">
        <v>11429</v>
      </c>
      <c r="D329" s="134" t="s">
        <v>3672</v>
      </c>
      <c r="E329" s="139">
        <v>40.340000000000003</v>
      </c>
      <c r="F329" s="134" t="s">
        <v>3671</v>
      </c>
      <c r="G329" s="134" t="s">
        <v>3007</v>
      </c>
      <c r="H329" s="123">
        <v>8939</v>
      </c>
    </row>
    <row r="330" spans="1:8" ht="31.5" x14ac:dyDescent="0.25">
      <c r="A330" s="134" t="s">
        <v>11413</v>
      </c>
      <c r="B330" s="134" t="s">
        <v>11428</v>
      </c>
      <c r="C330" s="134" t="s">
        <v>11427</v>
      </c>
      <c r="D330" s="134" t="s">
        <v>7464</v>
      </c>
      <c r="E330" s="139">
        <v>8.09</v>
      </c>
      <c r="F330" s="134" t="s">
        <v>7463</v>
      </c>
      <c r="G330" s="134" t="s">
        <v>3007</v>
      </c>
      <c r="H330" s="123">
        <v>8940</v>
      </c>
    </row>
    <row r="331" spans="1:8" ht="31.5" x14ac:dyDescent="0.25">
      <c r="A331" s="134" t="s">
        <v>11413</v>
      </c>
      <c r="B331" s="134" t="s">
        <v>11426</v>
      </c>
      <c r="C331" s="134" t="s">
        <v>11425</v>
      </c>
      <c r="D331" s="134" t="s">
        <v>5024</v>
      </c>
      <c r="E331" s="139">
        <v>8.3800000000000008</v>
      </c>
      <c r="F331" s="134" t="s">
        <v>5023</v>
      </c>
      <c r="G331" s="134" t="s">
        <v>3007</v>
      </c>
      <c r="H331" s="123">
        <v>8941</v>
      </c>
    </row>
    <row r="332" spans="1:8" ht="31.5" x14ac:dyDescent="0.25">
      <c r="A332" s="134" t="s">
        <v>11413</v>
      </c>
      <c r="B332" s="134" t="s">
        <v>11424</v>
      </c>
      <c r="C332" s="134" t="s">
        <v>11423</v>
      </c>
      <c r="D332" s="134" t="s">
        <v>5160</v>
      </c>
      <c r="E332" s="139">
        <v>8.4</v>
      </c>
      <c r="F332" s="134" t="s">
        <v>5159</v>
      </c>
      <c r="G332" s="134" t="s">
        <v>3007</v>
      </c>
      <c r="H332" s="123">
        <v>8942</v>
      </c>
    </row>
    <row r="333" spans="1:8" ht="31.5" x14ac:dyDescent="0.25">
      <c r="A333" s="134" t="s">
        <v>11413</v>
      </c>
      <c r="B333" s="134" t="s">
        <v>11422</v>
      </c>
      <c r="C333" s="134" t="s">
        <v>11421</v>
      </c>
      <c r="D333" s="134" t="s">
        <v>10408</v>
      </c>
      <c r="E333" s="139">
        <v>1.68</v>
      </c>
      <c r="F333" s="134" t="s">
        <v>10407</v>
      </c>
      <c r="G333" s="134" t="s">
        <v>3007</v>
      </c>
      <c r="H333" s="123">
        <v>8943</v>
      </c>
    </row>
    <row r="334" spans="1:8" ht="31.5" x14ac:dyDescent="0.25">
      <c r="A334" s="134" t="s">
        <v>11413</v>
      </c>
      <c r="B334" s="134" t="s">
        <v>11420</v>
      </c>
      <c r="C334" s="134" t="s">
        <v>11419</v>
      </c>
      <c r="D334" s="134" t="s">
        <v>3434</v>
      </c>
      <c r="E334" s="139">
        <v>8.3800000000000008</v>
      </c>
      <c r="F334" s="134" t="s">
        <v>3433</v>
      </c>
      <c r="G334" s="134" t="s">
        <v>3007</v>
      </c>
      <c r="H334" s="123">
        <v>8944</v>
      </c>
    </row>
    <row r="335" spans="1:8" ht="31.5" x14ac:dyDescent="0.25">
      <c r="A335" s="134" t="s">
        <v>11413</v>
      </c>
      <c r="B335" s="134" t="s">
        <v>11418</v>
      </c>
      <c r="C335" s="134" t="s">
        <v>11417</v>
      </c>
      <c r="D335" s="134" t="s">
        <v>7283</v>
      </c>
      <c r="E335" s="139">
        <v>16.760000000000002</v>
      </c>
      <c r="F335" s="134" t="s">
        <v>7282</v>
      </c>
      <c r="G335" s="134" t="s">
        <v>3007</v>
      </c>
      <c r="H335" s="123">
        <v>8945</v>
      </c>
    </row>
    <row r="336" spans="1:8" ht="31.5" x14ac:dyDescent="0.25">
      <c r="A336" s="134" t="s">
        <v>11413</v>
      </c>
      <c r="B336" s="134" t="s">
        <v>11031</v>
      </c>
      <c r="C336" s="134" t="s">
        <v>11416</v>
      </c>
      <c r="D336" s="134" t="s">
        <v>3723</v>
      </c>
      <c r="E336" s="139">
        <v>16.760000000000002</v>
      </c>
      <c r="F336" s="134" t="s">
        <v>3722</v>
      </c>
      <c r="G336" s="134" t="s">
        <v>3007</v>
      </c>
      <c r="H336" s="123">
        <v>8946</v>
      </c>
    </row>
    <row r="337" spans="1:8" ht="31.5" x14ac:dyDescent="0.25">
      <c r="A337" s="134" t="s">
        <v>11413</v>
      </c>
      <c r="B337" s="134" t="s">
        <v>11415</v>
      </c>
      <c r="C337" s="134" t="s">
        <v>11414</v>
      </c>
      <c r="D337" s="134" t="s">
        <v>10944</v>
      </c>
      <c r="E337" s="139">
        <v>9.91</v>
      </c>
      <c r="F337" s="134" t="s">
        <v>10943</v>
      </c>
      <c r="G337" s="134" t="s">
        <v>3007</v>
      </c>
      <c r="H337" s="123">
        <v>8947</v>
      </c>
    </row>
    <row r="338" spans="1:8" ht="31.5" x14ac:dyDescent="0.25">
      <c r="A338" s="134" t="s">
        <v>11413</v>
      </c>
      <c r="B338" s="134" t="s">
        <v>11412</v>
      </c>
      <c r="C338" s="134" t="s">
        <v>11411</v>
      </c>
      <c r="D338" s="134" t="s">
        <v>11410</v>
      </c>
      <c r="E338" s="139">
        <v>6.94</v>
      </c>
      <c r="F338" s="134" t="s">
        <v>11409</v>
      </c>
      <c r="G338" s="134" t="s">
        <v>3007</v>
      </c>
      <c r="H338" s="123">
        <v>8948</v>
      </c>
    </row>
    <row r="339" spans="1:8" ht="31.5" x14ac:dyDescent="0.25">
      <c r="A339" s="134" t="s">
        <v>11354</v>
      </c>
      <c r="B339" s="134" t="s">
        <v>11408</v>
      </c>
      <c r="C339" s="134" t="s">
        <v>11407</v>
      </c>
      <c r="D339" s="134" t="s">
        <v>11406</v>
      </c>
      <c r="E339" s="139">
        <v>8.4600000000000009</v>
      </c>
      <c r="F339" s="134" t="s">
        <v>11405</v>
      </c>
      <c r="G339" s="134" t="s">
        <v>3007</v>
      </c>
      <c r="H339" s="123">
        <v>8985</v>
      </c>
    </row>
    <row r="340" spans="1:8" ht="31.5" x14ac:dyDescent="0.25">
      <c r="A340" s="134" t="s">
        <v>11354</v>
      </c>
      <c r="B340" s="134" t="s">
        <v>11404</v>
      </c>
      <c r="C340" s="134" t="s">
        <v>11403</v>
      </c>
      <c r="D340" s="134" t="s">
        <v>11402</v>
      </c>
      <c r="E340" s="139">
        <v>7.94</v>
      </c>
      <c r="F340" s="134" t="s">
        <v>11401</v>
      </c>
      <c r="G340" s="134" t="s">
        <v>3007</v>
      </c>
      <c r="H340" s="123">
        <v>8986</v>
      </c>
    </row>
    <row r="341" spans="1:8" ht="31.5" x14ac:dyDescent="0.25">
      <c r="A341" s="134" t="s">
        <v>11354</v>
      </c>
      <c r="B341" s="134" t="s">
        <v>11400</v>
      </c>
      <c r="C341" s="134" t="s">
        <v>11399</v>
      </c>
      <c r="D341" s="134" t="s">
        <v>4293</v>
      </c>
      <c r="E341" s="139">
        <v>11.1</v>
      </c>
      <c r="F341" s="134" t="s">
        <v>4292</v>
      </c>
      <c r="G341" s="134" t="s">
        <v>3007</v>
      </c>
      <c r="H341" s="123">
        <v>8987</v>
      </c>
    </row>
    <row r="342" spans="1:8" ht="31.5" x14ac:dyDescent="0.25">
      <c r="A342" s="134" t="s">
        <v>11354</v>
      </c>
      <c r="B342" s="134" t="s">
        <v>11398</v>
      </c>
      <c r="C342" s="134" t="s">
        <v>11397</v>
      </c>
      <c r="D342" s="134" t="s">
        <v>6961</v>
      </c>
      <c r="E342" s="139">
        <v>19.239999999999998</v>
      </c>
      <c r="F342" s="134" t="s">
        <v>6960</v>
      </c>
      <c r="G342" s="134" t="s">
        <v>3007</v>
      </c>
      <c r="H342" s="123">
        <v>8988</v>
      </c>
    </row>
    <row r="343" spans="1:8" ht="31.5" x14ac:dyDescent="0.25">
      <c r="A343" s="134" t="s">
        <v>11354</v>
      </c>
      <c r="B343" s="134" t="s">
        <v>11396</v>
      </c>
      <c r="C343" s="134" t="s">
        <v>11395</v>
      </c>
      <c r="D343" s="134" t="s">
        <v>4751</v>
      </c>
      <c r="E343" s="139">
        <v>34.700000000000003</v>
      </c>
      <c r="F343" s="134" t="s">
        <v>4750</v>
      </c>
      <c r="G343" s="134" t="s">
        <v>3007</v>
      </c>
      <c r="H343" s="123">
        <v>8989</v>
      </c>
    </row>
    <row r="344" spans="1:8" ht="31.5" x14ac:dyDescent="0.25">
      <c r="A344" s="134" t="s">
        <v>11354</v>
      </c>
      <c r="B344" s="134" t="s">
        <v>3613</v>
      </c>
      <c r="C344" s="134" t="s">
        <v>11394</v>
      </c>
      <c r="D344" s="134" t="s">
        <v>6306</v>
      </c>
      <c r="E344" s="139">
        <v>30.43</v>
      </c>
      <c r="F344" s="134" t="s">
        <v>6305</v>
      </c>
      <c r="G344" s="134" t="s">
        <v>3007</v>
      </c>
      <c r="H344" s="123">
        <v>8990</v>
      </c>
    </row>
    <row r="345" spans="1:8" ht="31.5" x14ac:dyDescent="0.25">
      <c r="A345" s="134" t="s">
        <v>11354</v>
      </c>
      <c r="B345" s="134" t="s">
        <v>11393</v>
      </c>
      <c r="C345" s="134" t="s">
        <v>11392</v>
      </c>
      <c r="D345" s="134" t="s">
        <v>11391</v>
      </c>
      <c r="E345" s="139">
        <v>28.42</v>
      </c>
      <c r="F345" s="134" t="s">
        <v>11390</v>
      </c>
      <c r="G345" s="134" t="s">
        <v>3007</v>
      </c>
      <c r="H345" s="123">
        <v>8991</v>
      </c>
    </row>
    <row r="346" spans="1:8" ht="31.5" x14ac:dyDescent="0.25">
      <c r="A346" s="134" t="s">
        <v>11354</v>
      </c>
      <c r="B346" s="134" t="s">
        <v>11389</v>
      </c>
      <c r="C346" s="134" t="s">
        <v>11388</v>
      </c>
      <c r="D346" s="134" t="s">
        <v>9498</v>
      </c>
      <c r="E346" s="139">
        <v>2.5299999999999998</v>
      </c>
      <c r="F346" s="134" t="s">
        <v>9497</v>
      </c>
      <c r="G346" s="134" t="s">
        <v>3007</v>
      </c>
      <c r="H346" s="123">
        <v>8992</v>
      </c>
    </row>
    <row r="347" spans="1:8" ht="31.5" x14ac:dyDescent="0.25">
      <c r="A347" s="134" t="s">
        <v>11354</v>
      </c>
      <c r="B347" s="134" t="s">
        <v>11387</v>
      </c>
      <c r="C347" s="134" t="s">
        <v>11386</v>
      </c>
      <c r="D347" s="134" t="s">
        <v>4257</v>
      </c>
      <c r="E347" s="139">
        <v>8.3800000000000008</v>
      </c>
      <c r="F347" s="134" t="s">
        <v>4256</v>
      </c>
      <c r="G347" s="134" t="s">
        <v>3007</v>
      </c>
      <c r="H347" s="123">
        <v>8993</v>
      </c>
    </row>
    <row r="348" spans="1:8" ht="31.5" x14ac:dyDescent="0.25">
      <c r="A348" s="134" t="s">
        <v>11354</v>
      </c>
      <c r="B348" s="134" t="s">
        <v>11385</v>
      </c>
      <c r="C348" s="134" t="s">
        <v>11384</v>
      </c>
      <c r="D348" s="134" t="s">
        <v>3559</v>
      </c>
      <c r="E348" s="139">
        <v>3.38</v>
      </c>
      <c r="F348" s="134" t="s">
        <v>3558</v>
      </c>
      <c r="G348" s="134" t="s">
        <v>3007</v>
      </c>
      <c r="H348" s="123">
        <v>8994</v>
      </c>
    </row>
    <row r="349" spans="1:8" ht="31.5" x14ac:dyDescent="0.25">
      <c r="A349" s="134" t="s">
        <v>11354</v>
      </c>
      <c r="B349" s="134" t="s">
        <v>4486</v>
      </c>
      <c r="C349" s="134" t="s">
        <v>11383</v>
      </c>
      <c r="D349" s="134" t="s">
        <v>10450</v>
      </c>
      <c r="E349" s="139">
        <v>2.31</v>
      </c>
      <c r="F349" s="134" t="s">
        <v>10449</v>
      </c>
      <c r="G349" s="134" t="s">
        <v>3007</v>
      </c>
      <c r="H349" s="123">
        <v>8995</v>
      </c>
    </row>
    <row r="350" spans="1:8" ht="31.5" x14ac:dyDescent="0.25">
      <c r="A350" s="134" t="s">
        <v>11354</v>
      </c>
      <c r="B350" s="134" t="s">
        <v>10474</v>
      </c>
      <c r="C350" s="134" t="s">
        <v>11382</v>
      </c>
      <c r="D350" s="134" t="s">
        <v>8958</v>
      </c>
      <c r="E350" s="139">
        <v>4.82</v>
      </c>
      <c r="F350" s="134" t="s">
        <v>8957</v>
      </c>
      <c r="G350" s="134" t="s">
        <v>3007</v>
      </c>
      <c r="H350" s="123">
        <v>8996</v>
      </c>
    </row>
    <row r="351" spans="1:8" ht="31.5" x14ac:dyDescent="0.25">
      <c r="A351" s="134" t="s">
        <v>11354</v>
      </c>
      <c r="B351" s="134" t="s">
        <v>11381</v>
      </c>
      <c r="C351" s="134" t="s">
        <v>11380</v>
      </c>
      <c r="D351" s="134" t="s">
        <v>11379</v>
      </c>
      <c r="E351" s="139">
        <v>1.68</v>
      </c>
      <c r="F351" s="134" t="s">
        <v>11378</v>
      </c>
      <c r="G351" s="134" t="s">
        <v>3007</v>
      </c>
      <c r="H351" s="123">
        <v>8997</v>
      </c>
    </row>
    <row r="352" spans="1:8" ht="31.5" x14ac:dyDescent="0.25">
      <c r="A352" s="134" t="s">
        <v>11354</v>
      </c>
      <c r="B352" s="134" t="s">
        <v>11377</v>
      </c>
      <c r="C352" s="134" t="s">
        <v>11376</v>
      </c>
      <c r="D352" s="134" t="s">
        <v>3317</v>
      </c>
      <c r="E352" s="139">
        <v>2.0299999999999998</v>
      </c>
      <c r="F352" s="134" t="s">
        <v>3316</v>
      </c>
      <c r="G352" s="134" t="s">
        <v>3007</v>
      </c>
      <c r="H352" s="123">
        <v>8998</v>
      </c>
    </row>
    <row r="353" spans="1:8" ht="31.5" x14ac:dyDescent="0.25">
      <c r="A353" s="134" t="s">
        <v>11354</v>
      </c>
      <c r="B353" s="134" t="s">
        <v>11375</v>
      </c>
      <c r="C353" s="134" t="s">
        <v>11374</v>
      </c>
      <c r="D353" s="134" t="s">
        <v>3916</v>
      </c>
      <c r="E353" s="139">
        <v>25.14</v>
      </c>
      <c r="F353" s="134" t="s">
        <v>3915</v>
      </c>
      <c r="G353" s="134" t="s">
        <v>3007</v>
      </c>
      <c r="H353" s="123">
        <v>8999</v>
      </c>
    </row>
    <row r="354" spans="1:8" ht="31.5" x14ac:dyDescent="0.25">
      <c r="A354" s="134" t="s">
        <v>11354</v>
      </c>
      <c r="B354" s="134" t="s">
        <v>11373</v>
      </c>
      <c r="C354" s="134" t="s">
        <v>11372</v>
      </c>
      <c r="D354" s="134" t="s">
        <v>5584</v>
      </c>
      <c r="E354" s="139">
        <v>5.67</v>
      </c>
      <c r="F354" s="134" t="s">
        <v>5583</v>
      </c>
      <c r="G354" s="134" t="s">
        <v>3007</v>
      </c>
      <c r="H354" s="123">
        <v>9000</v>
      </c>
    </row>
    <row r="355" spans="1:8" ht="31.5" x14ac:dyDescent="0.25">
      <c r="A355" s="134" t="s">
        <v>11354</v>
      </c>
      <c r="B355" s="134" t="s">
        <v>6531</v>
      </c>
      <c r="C355" s="134" t="s">
        <v>11371</v>
      </c>
      <c r="D355" s="134" t="s">
        <v>3660</v>
      </c>
      <c r="E355" s="139">
        <v>7.05</v>
      </c>
      <c r="F355" s="134" t="s">
        <v>3659</v>
      </c>
      <c r="G355" s="134" t="s">
        <v>3007</v>
      </c>
      <c r="H355" s="123">
        <v>9001</v>
      </c>
    </row>
    <row r="356" spans="1:8" ht="31.5" x14ac:dyDescent="0.25">
      <c r="A356" s="134" t="s">
        <v>11354</v>
      </c>
      <c r="B356" s="134" t="s">
        <v>11370</v>
      </c>
      <c r="C356" s="134" t="s">
        <v>11369</v>
      </c>
      <c r="D356" s="134" t="s">
        <v>3611</v>
      </c>
      <c r="E356" s="139">
        <v>4.0199999999999996</v>
      </c>
      <c r="F356" s="134" t="s">
        <v>3610</v>
      </c>
      <c r="G356" s="134" t="s">
        <v>3007</v>
      </c>
      <c r="H356" s="123">
        <v>9002</v>
      </c>
    </row>
    <row r="357" spans="1:8" ht="31.5" x14ac:dyDescent="0.25">
      <c r="A357" s="134" t="s">
        <v>11354</v>
      </c>
      <c r="B357" s="134" t="s">
        <v>11368</v>
      </c>
      <c r="C357" s="134" t="s">
        <v>11367</v>
      </c>
      <c r="D357" s="134" t="s">
        <v>4457</v>
      </c>
      <c r="E357" s="139">
        <v>4.6399999999999997</v>
      </c>
      <c r="F357" s="134" t="s">
        <v>4456</v>
      </c>
      <c r="G357" s="134" t="s">
        <v>3007</v>
      </c>
      <c r="H357" s="123">
        <v>9003</v>
      </c>
    </row>
    <row r="358" spans="1:8" ht="31.5" x14ac:dyDescent="0.25">
      <c r="A358" s="134" t="s">
        <v>11354</v>
      </c>
      <c r="B358" s="134" t="s">
        <v>11366</v>
      </c>
      <c r="C358" s="134" t="s">
        <v>11365</v>
      </c>
      <c r="D358" s="134" t="s">
        <v>4669</v>
      </c>
      <c r="E358" s="139">
        <v>5.16</v>
      </c>
      <c r="F358" s="134" t="s">
        <v>4668</v>
      </c>
      <c r="G358" s="134" t="s">
        <v>3007</v>
      </c>
      <c r="H358" s="123">
        <v>9004</v>
      </c>
    </row>
    <row r="359" spans="1:8" ht="31.5" x14ac:dyDescent="0.25">
      <c r="A359" s="134" t="s">
        <v>11354</v>
      </c>
      <c r="B359" s="134" t="s">
        <v>11364</v>
      </c>
      <c r="C359" s="134" t="s">
        <v>11363</v>
      </c>
      <c r="D359" s="134" t="s">
        <v>11362</v>
      </c>
      <c r="E359" s="139">
        <v>13.05</v>
      </c>
      <c r="F359" s="134" t="s">
        <v>11361</v>
      </c>
      <c r="G359" s="134" t="s">
        <v>3007</v>
      </c>
      <c r="H359" s="123">
        <v>9005</v>
      </c>
    </row>
    <row r="360" spans="1:8" ht="31.5" x14ac:dyDescent="0.25">
      <c r="A360" s="134" t="s">
        <v>11354</v>
      </c>
      <c r="B360" s="134" t="s">
        <v>11360</v>
      </c>
      <c r="C360" s="134" t="s">
        <v>11359</v>
      </c>
      <c r="D360" s="134" t="s">
        <v>7833</v>
      </c>
      <c r="E360" s="139">
        <v>22.77</v>
      </c>
      <c r="F360" s="134" t="s">
        <v>7832</v>
      </c>
      <c r="G360" s="134" t="s">
        <v>3007</v>
      </c>
      <c r="H360" s="123">
        <v>9006</v>
      </c>
    </row>
    <row r="361" spans="1:8" ht="31.5" x14ac:dyDescent="0.25">
      <c r="A361" s="134" t="s">
        <v>11354</v>
      </c>
      <c r="B361" s="134" t="s">
        <v>11358</v>
      </c>
      <c r="C361" s="134" t="s">
        <v>11357</v>
      </c>
      <c r="D361" s="134" t="s">
        <v>3170</v>
      </c>
      <c r="E361" s="139">
        <v>6.26</v>
      </c>
      <c r="F361" s="134" t="s">
        <v>3169</v>
      </c>
      <c r="G361" s="134" t="s">
        <v>3007</v>
      </c>
      <c r="H361" s="123">
        <v>9007</v>
      </c>
    </row>
    <row r="362" spans="1:8" ht="31.5" x14ac:dyDescent="0.25">
      <c r="A362" s="134" t="s">
        <v>11354</v>
      </c>
      <c r="B362" s="134" t="s">
        <v>11356</v>
      </c>
      <c r="C362" s="134" t="s">
        <v>11355</v>
      </c>
      <c r="D362" s="134" t="s">
        <v>4697</v>
      </c>
      <c r="E362" s="139">
        <v>3.86</v>
      </c>
      <c r="F362" s="134" t="s">
        <v>4696</v>
      </c>
      <c r="G362" s="134" t="s">
        <v>3007</v>
      </c>
      <c r="H362" s="123">
        <v>9008</v>
      </c>
    </row>
    <row r="363" spans="1:8" ht="31.5" x14ac:dyDescent="0.25">
      <c r="A363" s="134" t="s">
        <v>11354</v>
      </c>
      <c r="B363" s="134" t="s">
        <v>11353</v>
      </c>
      <c r="C363" s="134" t="s">
        <v>11352</v>
      </c>
      <c r="D363" s="134" t="s">
        <v>9565</v>
      </c>
      <c r="E363" s="139">
        <v>1.68</v>
      </c>
      <c r="F363" s="134" t="s">
        <v>9564</v>
      </c>
      <c r="G363" s="134" t="s">
        <v>3007</v>
      </c>
      <c r="H363" s="123">
        <v>9009</v>
      </c>
    </row>
    <row r="364" spans="1:8" ht="31.5" x14ac:dyDescent="0.25">
      <c r="A364" s="134" t="s">
        <v>11308</v>
      </c>
      <c r="B364" s="134" t="s">
        <v>11351</v>
      </c>
      <c r="C364" s="134" t="s">
        <v>11350</v>
      </c>
      <c r="D364" s="134" t="s">
        <v>8597</v>
      </c>
      <c r="E364" s="139">
        <v>14.27</v>
      </c>
      <c r="F364" s="134" t="s">
        <v>8596</v>
      </c>
      <c r="G364" s="134" t="s">
        <v>3007</v>
      </c>
      <c r="H364" s="123">
        <v>9050</v>
      </c>
    </row>
    <row r="365" spans="1:8" ht="31.5" x14ac:dyDescent="0.25">
      <c r="A365" s="134" t="s">
        <v>11308</v>
      </c>
      <c r="B365" s="134" t="s">
        <v>11349</v>
      </c>
      <c r="C365" s="134" t="s">
        <v>11348</v>
      </c>
      <c r="D365" s="134" t="s">
        <v>6967</v>
      </c>
      <c r="E365" s="139">
        <v>44.89</v>
      </c>
      <c r="F365" s="134" t="s">
        <v>6966</v>
      </c>
      <c r="G365" s="134" t="s">
        <v>3007</v>
      </c>
      <c r="H365" s="123">
        <v>9051</v>
      </c>
    </row>
    <row r="366" spans="1:8" ht="31.5" x14ac:dyDescent="0.25">
      <c r="A366" s="134" t="s">
        <v>11308</v>
      </c>
      <c r="B366" s="134" t="s">
        <v>8013</v>
      </c>
      <c r="C366" s="134" t="s">
        <v>11347</v>
      </c>
      <c r="D366" s="134" t="s">
        <v>11346</v>
      </c>
      <c r="E366" s="139">
        <v>1.68</v>
      </c>
      <c r="F366" s="134" t="s">
        <v>11345</v>
      </c>
      <c r="G366" s="134" t="s">
        <v>3007</v>
      </c>
      <c r="H366" s="123">
        <v>9052</v>
      </c>
    </row>
    <row r="367" spans="1:8" ht="31.5" x14ac:dyDescent="0.25">
      <c r="A367" s="134" t="s">
        <v>11308</v>
      </c>
      <c r="B367" s="134" t="s">
        <v>11060</v>
      </c>
      <c r="C367" s="134" t="s">
        <v>11344</v>
      </c>
      <c r="D367" s="134" t="s">
        <v>11343</v>
      </c>
      <c r="E367" s="139">
        <v>1.68</v>
      </c>
      <c r="F367" s="134" t="s">
        <v>11342</v>
      </c>
      <c r="G367" s="134" t="s">
        <v>3007</v>
      </c>
      <c r="H367" s="123">
        <v>9053</v>
      </c>
    </row>
    <row r="368" spans="1:8" ht="31.5" x14ac:dyDescent="0.25">
      <c r="A368" s="134" t="s">
        <v>11308</v>
      </c>
      <c r="B368" s="134" t="s">
        <v>11341</v>
      </c>
      <c r="C368" s="134" t="s">
        <v>11340</v>
      </c>
      <c r="D368" s="134" t="s">
        <v>4372</v>
      </c>
      <c r="E368" s="139">
        <v>5.01</v>
      </c>
      <c r="F368" s="134" t="s">
        <v>4371</v>
      </c>
      <c r="G368" s="134" t="s">
        <v>3007</v>
      </c>
      <c r="H368" s="123">
        <v>9054</v>
      </c>
    </row>
    <row r="369" spans="1:8" ht="31.5" x14ac:dyDescent="0.25">
      <c r="A369" s="134" t="s">
        <v>11308</v>
      </c>
      <c r="B369" s="134" t="s">
        <v>11339</v>
      </c>
      <c r="C369" s="134" t="s">
        <v>11338</v>
      </c>
      <c r="D369" s="134" t="s">
        <v>10799</v>
      </c>
      <c r="E369" s="139">
        <v>2.08</v>
      </c>
      <c r="F369" s="134" t="s">
        <v>10798</v>
      </c>
      <c r="G369" s="134" t="s">
        <v>3007</v>
      </c>
      <c r="H369" s="123">
        <v>9055</v>
      </c>
    </row>
    <row r="370" spans="1:8" ht="31.5" x14ac:dyDescent="0.25">
      <c r="A370" s="134" t="s">
        <v>11308</v>
      </c>
      <c r="B370" s="134" t="s">
        <v>11337</v>
      </c>
      <c r="C370" s="134" t="s">
        <v>11336</v>
      </c>
      <c r="D370" s="134" t="s">
        <v>11335</v>
      </c>
      <c r="E370" s="139">
        <v>8.9</v>
      </c>
      <c r="F370" s="134" t="s">
        <v>11334</v>
      </c>
      <c r="G370" s="134" t="s">
        <v>3007</v>
      </c>
      <c r="H370" s="123">
        <v>9056</v>
      </c>
    </row>
    <row r="371" spans="1:8" ht="31.5" x14ac:dyDescent="0.25">
      <c r="A371" s="134" t="s">
        <v>11308</v>
      </c>
      <c r="B371" s="134" t="s">
        <v>11333</v>
      </c>
      <c r="C371" s="134" t="s">
        <v>11332</v>
      </c>
      <c r="D371" s="134" t="s">
        <v>11331</v>
      </c>
      <c r="E371" s="139">
        <v>12.66</v>
      </c>
      <c r="F371" s="134" t="s">
        <v>11330</v>
      </c>
      <c r="G371" s="134" t="s">
        <v>3007</v>
      </c>
      <c r="H371" s="123">
        <v>9057</v>
      </c>
    </row>
    <row r="372" spans="1:8" ht="31.5" x14ac:dyDescent="0.25">
      <c r="A372" s="134" t="s">
        <v>11308</v>
      </c>
      <c r="B372" s="134" t="s">
        <v>11329</v>
      </c>
      <c r="C372" s="134" t="s">
        <v>11328</v>
      </c>
      <c r="D372" s="134" t="s">
        <v>3767</v>
      </c>
      <c r="E372" s="139">
        <v>7.9</v>
      </c>
      <c r="F372" s="134" t="s">
        <v>3766</v>
      </c>
      <c r="G372" s="134" t="s">
        <v>3007</v>
      </c>
      <c r="H372" s="123">
        <v>9058</v>
      </c>
    </row>
    <row r="373" spans="1:8" ht="31.5" x14ac:dyDescent="0.25">
      <c r="A373" s="134" t="s">
        <v>11308</v>
      </c>
      <c r="B373" s="134" t="s">
        <v>11327</v>
      </c>
      <c r="C373" s="134" t="s">
        <v>11326</v>
      </c>
      <c r="D373" s="134" t="s">
        <v>6580</v>
      </c>
      <c r="E373" s="139">
        <v>4.6399999999999997</v>
      </c>
      <c r="F373" s="134" t="s">
        <v>6579</v>
      </c>
      <c r="G373" s="134" t="s">
        <v>3007</v>
      </c>
      <c r="H373" s="123">
        <v>9059</v>
      </c>
    </row>
    <row r="374" spans="1:8" ht="31.5" x14ac:dyDescent="0.25">
      <c r="A374" s="134" t="s">
        <v>11308</v>
      </c>
      <c r="B374" s="134" t="s">
        <v>11091</v>
      </c>
      <c r="C374" s="134" t="s">
        <v>11325</v>
      </c>
      <c r="D374" s="134" t="s">
        <v>11324</v>
      </c>
      <c r="E374" s="139">
        <v>8.3800000000000008</v>
      </c>
      <c r="F374" s="134" t="s">
        <v>11323</v>
      </c>
      <c r="G374" s="134" t="s">
        <v>3007</v>
      </c>
      <c r="H374" s="123">
        <v>9060</v>
      </c>
    </row>
    <row r="375" spans="1:8" ht="31.5" x14ac:dyDescent="0.25">
      <c r="A375" s="134" t="s">
        <v>11308</v>
      </c>
      <c r="B375" s="134" t="s">
        <v>11322</v>
      </c>
      <c r="C375" s="134" t="s">
        <v>11321</v>
      </c>
      <c r="D375" s="134" t="s">
        <v>3631</v>
      </c>
      <c r="E375" s="139">
        <v>32.03</v>
      </c>
      <c r="F375" s="134" t="s">
        <v>3630</v>
      </c>
      <c r="G375" s="134" t="s">
        <v>3007</v>
      </c>
      <c r="H375" s="123">
        <v>9061</v>
      </c>
    </row>
    <row r="376" spans="1:8" ht="31.5" x14ac:dyDescent="0.25">
      <c r="A376" s="134" t="s">
        <v>11308</v>
      </c>
      <c r="B376" s="134" t="s">
        <v>11320</v>
      </c>
      <c r="C376" s="134" t="s">
        <v>11319</v>
      </c>
      <c r="D376" s="134" t="s">
        <v>6695</v>
      </c>
      <c r="E376" s="139">
        <v>6.05</v>
      </c>
      <c r="F376" s="134" t="s">
        <v>6694</v>
      </c>
      <c r="G376" s="134" t="s">
        <v>3007</v>
      </c>
      <c r="H376" s="123">
        <v>9062</v>
      </c>
    </row>
    <row r="377" spans="1:8" ht="31.5" x14ac:dyDescent="0.25">
      <c r="A377" s="134" t="s">
        <v>11308</v>
      </c>
      <c r="B377" s="134" t="s">
        <v>11318</v>
      </c>
      <c r="C377" s="134" t="s">
        <v>11317</v>
      </c>
      <c r="D377" s="134" t="s">
        <v>6037</v>
      </c>
      <c r="E377" s="139">
        <v>25.04</v>
      </c>
      <c r="F377" s="134" t="s">
        <v>6036</v>
      </c>
      <c r="G377" s="134" t="s">
        <v>3007</v>
      </c>
      <c r="H377" s="123">
        <v>9063</v>
      </c>
    </row>
    <row r="378" spans="1:8" ht="31.5" x14ac:dyDescent="0.25">
      <c r="A378" s="134" t="s">
        <v>11308</v>
      </c>
      <c r="B378" s="134" t="s">
        <v>11316</v>
      </c>
      <c r="C378" s="134" t="s">
        <v>11315</v>
      </c>
      <c r="D378" s="134" t="s">
        <v>3255</v>
      </c>
      <c r="E378" s="139">
        <v>23.78</v>
      </c>
      <c r="F378" s="134" t="s">
        <v>3254</v>
      </c>
      <c r="G378" s="134" t="s">
        <v>3007</v>
      </c>
      <c r="H378" s="123">
        <v>9064</v>
      </c>
    </row>
    <row r="379" spans="1:8" ht="31.5" x14ac:dyDescent="0.25">
      <c r="A379" s="134" t="s">
        <v>11308</v>
      </c>
      <c r="B379" s="134" t="s">
        <v>11314</v>
      </c>
      <c r="C379" s="134" t="s">
        <v>11313</v>
      </c>
      <c r="D379" s="134" t="s">
        <v>3042</v>
      </c>
      <c r="E379" s="139">
        <v>6.55</v>
      </c>
      <c r="F379" s="134" t="s">
        <v>3041</v>
      </c>
      <c r="G379" s="134" t="s">
        <v>3007</v>
      </c>
      <c r="H379" s="123">
        <v>9065</v>
      </c>
    </row>
    <row r="380" spans="1:8" ht="31.5" x14ac:dyDescent="0.25">
      <c r="A380" s="134" t="s">
        <v>11308</v>
      </c>
      <c r="B380" s="134" t="s">
        <v>11312</v>
      </c>
      <c r="C380" s="134" t="s">
        <v>11311</v>
      </c>
      <c r="D380" s="134" t="s">
        <v>3571</v>
      </c>
      <c r="E380" s="139">
        <v>4.01</v>
      </c>
      <c r="F380" s="134" t="s">
        <v>3570</v>
      </c>
      <c r="G380" s="134" t="s">
        <v>3007</v>
      </c>
      <c r="H380" s="123">
        <v>9066</v>
      </c>
    </row>
    <row r="381" spans="1:8" ht="31.5" x14ac:dyDescent="0.25">
      <c r="A381" s="134" t="s">
        <v>11308</v>
      </c>
      <c r="B381" s="134" t="s">
        <v>11310</v>
      </c>
      <c r="C381" s="134" t="s">
        <v>11309</v>
      </c>
      <c r="D381" s="134" t="s">
        <v>7637</v>
      </c>
      <c r="E381" s="139">
        <v>7.04</v>
      </c>
      <c r="F381" s="134" t="s">
        <v>7636</v>
      </c>
      <c r="G381" s="134" t="s">
        <v>3007</v>
      </c>
      <c r="H381" s="123">
        <v>9067</v>
      </c>
    </row>
    <row r="382" spans="1:8" ht="31.5" x14ac:dyDescent="0.25">
      <c r="A382" s="134" t="s">
        <v>11308</v>
      </c>
      <c r="B382" s="134" t="s">
        <v>11307</v>
      </c>
      <c r="C382" s="134" t="s">
        <v>11306</v>
      </c>
      <c r="D382" s="134" t="s">
        <v>3495</v>
      </c>
      <c r="E382" s="139">
        <v>46.92</v>
      </c>
      <c r="F382" s="134" t="s">
        <v>3494</v>
      </c>
      <c r="G382" s="134" t="s">
        <v>3007</v>
      </c>
      <c r="H382" s="123">
        <v>9068</v>
      </c>
    </row>
    <row r="383" spans="1:8" ht="31.5" x14ac:dyDescent="0.25">
      <c r="A383" s="134" t="s">
        <v>11270</v>
      </c>
      <c r="B383" s="134" t="s">
        <v>11305</v>
      </c>
      <c r="C383" s="134" t="s">
        <v>11304</v>
      </c>
      <c r="D383" s="134" t="s">
        <v>4720</v>
      </c>
      <c r="E383" s="139">
        <v>37.81</v>
      </c>
      <c r="F383" s="134" t="s">
        <v>4719</v>
      </c>
      <c r="G383" s="134" t="s">
        <v>3007</v>
      </c>
      <c r="H383" s="123">
        <v>9082</v>
      </c>
    </row>
    <row r="384" spans="1:8" ht="31.5" x14ac:dyDescent="0.25">
      <c r="A384" s="134" t="s">
        <v>11270</v>
      </c>
      <c r="B384" s="134" t="s">
        <v>11303</v>
      </c>
      <c r="C384" s="134" t="s">
        <v>11302</v>
      </c>
      <c r="D384" s="134" t="s">
        <v>3615</v>
      </c>
      <c r="E384" s="139">
        <v>4.6900000000000004</v>
      </c>
      <c r="F384" s="134" t="s">
        <v>3614</v>
      </c>
      <c r="G384" s="134" t="s">
        <v>3007</v>
      </c>
      <c r="H384" s="123">
        <v>9083</v>
      </c>
    </row>
    <row r="385" spans="1:8" ht="31.5" x14ac:dyDescent="0.25">
      <c r="A385" s="134" t="s">
        <v>11270</v>
      </c>
      <c r="B385" s="134" t="s">
        <v>11301</v>
      </c>
      <c r="C385" s="134" t="s">
        <v>11300</v>
      </c>
      <c r="D385" s="134" t="s">
        <v>7123</v>
      </c>
      <c r="E385" s="139">
        <v>2.93</v>
      </c>
      <c r="F385" s="134" t="s">
        <v>7122</v>
      </c>
      <c r="G385" s="134" t="s">
        <v>3007</v>
      </c>
      <c r="H385" s="123">
        <v>9084</v>
      </c>
    </row>
    <row r="386" spans="1:8" ht="31.5" x14ac:dyDescent="0.25">
      <c r="A386" s="134" t="s">
        <v>11270</v>
      </c>
      <c r="B386" s="134" t="s">
        <v>11299</v>
      </c>
      <c r="C386" s="134" t="s">
        <v>11298</v>
      </c>
      <c r="D386" s="134" t="s">
        <v>4771</v>
      </c>
      <c r="E386" s="139">
        <v>3.36</v>
      </c>
      <c r="F386" s="134" t="s">
        <v>4770</v>
      </c>
      <c r="G386" s="134" t="s">
        <v>3007</v>
      </c>
      <c r="H386" s="123">
        <v>9085</v>
      </c>
    </row>
    <row r="387" spans="1:8" ht="31.5" x14ac:dyDescent="0.25">
      <c r="A387" s="134" t="s">
        <v>11270</v>
      </c>
      <c r="B387" s="134" t="s">
        <v>11297</v>
      </c>
      <c r="C387" s="134" t="s">
        <v>11296</v>
      </c>
      <c r="D387" s="134" t="s">
        <v>9990</v>
      </c>
      <c r="E387" s="139">
        <v>3.81</v>
      </c>
      <c r="F387" s="134" t="s">
        <v>9989</v>
      </c>
      <c r="G387" s="134" t="s">
        <v>3007</v>
      </c>
      <c r="H387" s="123">
        <v>9086</v>
      </c>
    </row>
    <row r="388" spans="1:8" ht="31.5" x14ac:dyDescent="0.25">
      <c r="A388" s="134" t="s">
        <v>11270</v>
      </c>
      <c r="B388" s="134" t="s">
        <v>11295</v>
      </c>
      <c r="C388" s="134" t="s">
        <v>11294</v>
      </c>
      <c r="D388" s="134" t="s">
        <v>3127</v>
      </c>
      <c r="E388" s="139">
        <v>10.24</v>
      </c>
      <c r="F388" s="134" t="s">
        <v>3126</v>
      </c>
      <c r="G388" s="134" t="s">
        <v>3007</v>
      </c>
      <c r="H388" s="123">
        <v>9087</v>
      </c>
    </row>
    <row r="389" spans="1:8" ht="31.5" x14ac:dyDescent="0.25">
      <c r="A389" s="134" t="s">
        <v>11270</v>
      </c>
      <c r="B389" s="134" t="s">
        <v>11293</v>
      </c>
      <c r="C389" s="134" t="s">
        <v>11292</v>
      </c>
      <c r="D389" s="134" t="s">
        <v>7754</v>
      </c>
      <c r="E389" s="139">
        <v>5.4</v>
      </c>
      <c r="F389" s="134" t="s">
        <v>7753</v>
      </c>
      <c r="G389" s="134" t="s">
        <v>3007</v>
      </c>
      <c r="H389" s="123">
        <v>9088</v>
      </c>
    </row>
    <row r="390" spans="1:8" ht="31.5" x14ac:dyDescent="0.25">
      <c r="A390" s="134" t="s">
        <v>11270</v>
      </c>
      <c r="B390" s="134" t="s">
        <v>11291</v>
      </c>
      <c r="C390" s="134" t="s">
        <v>11290</v>
      </c>
      <c r="D390" s="134" t="s">
        <v>4689</v>
      </c>
      <c r="E390" s="139">
        <v>1.72</v>
      </c>
      <c r="F390" s="134" t="s">
        <v>4688</v>
      </c>
      <c r="G390" s="134" t="s">
        <v>3007</v>
      </c>
      <c r="H390" s="123">
        <v>9089</v>
      </c>
    </row>
    <row r="391" spans="1:8" ht="31.5" x14ac:dyDescent="0.25">
      <c r="A391" s="134" t="s">
        <v>11270</v>
      </c>
      <c r="B391" s="134" t="s">
        <v>11289</v>
      </c>
      <c r="C391" s="134" t="s">
        <v>11288</v>
      </c>
      <c r="D391" s="134" t="s">
        <v>9074</v>
      </c>
      <c r="E391" s="139">
        <v>19.38</v>
      </c>
      <c r="F391" s="134" t="s">
        <v>9073</v>
      </c>
      <c r="G391" s="134" t="s">
        <v>3007</v>
      </c>
      <c r="H391" s="123">
        <v>9090</v>
      </c>
    </row>
    <row r="392" spans="1:8" ht="31.5" x14ac:dyDescent="0.25">
      <c r="A392" s="134" t="s">
        <v>11270</v>
      </c>
      <c r="B392" s="134" t="s">
        <v>11287</v>
      </c>
      <c r="C392" s="134" t="s">
        <v>11286</v>
      </c>
      <c r="D392" s="134" t="s">
        <v>5052</v>
      </c>
      <c r="E392" s="139">
        <v>3.14</v>
      </c>
      <c r="F392" s="134" t="s">
        <v>5051</v>
      </c>
      <c r="G392" s="134" t="s">
        <v>3007</v>
      </c>
      <c r="H392" s="123">
        <v>9091</v>
      </c>
    </row>
    <row r="393" spans="1:8" ht="31.5" x14ac:dyDescent="0.25">
      <c r="A393" s="134" t="s">
        <v>11270</v>
      </c>
      <c r="B393" s="134" t="s">
        <v>11285</v>
      </c>
      <c r="C393" s="134" t="s">
        <v>11284</v>
      </c>
      <c r="D393" s="134" t="s">
        <v>11283</v>
      </c>
      <c r="E393" s="139">
        <v>13.94</v>
      </c>
      <c r="F393" s="134" t="s">
        <v>11282</v>
      </c>
      <c r="G393" s="134" t="s">
        <v>3007</v>
      </c>
      <c r="H393" s="123">
        <v>9092</v>
      </c>
    </row>
    <row r="394" spans="1:8" ht="31.5" x14ac:dyDescent="0.25">
      <c r="A394" s="134" t="s">
        <v>11270</v>
      </c>
      <c r="B394" s="134" t="s">
        <v>11281</v>
      </c>
      <c r="C394" s="134" t="s">
        <v>11280</v>
      </c>
      <c r="D394" s="134" t="s">
        <v>9686</v>
      </c>
      <c r="E394" s="139">
        <v>3.47</v>
      </c>
      <c r="F394" s="134" t="s">
        <v>9685</v>
      </c>
      <c r="G394" s="134" t="s">
        <v>3007</v>
      </c>
      <c r="H394" s="123">
        <v>9093</v>
      </c>
    </row>
    <row r="395" spans="1:8" ht="31.5" x14ac:dyDescent="0.25">
      <c r="A395" s="134" t="s">
        <v>11270</v>
      </c>
      <c r="B395" s="134" t="s">
        <v>11279</v>
      </c>
      <c r="C395" s="134" t="s">
        <v>11278</v>
      </c>
      <c r="D395" s="134" t="s">
        <v>11277</v>
      </c>
      <c r="E395" s="139">
        <v>4.09</v>
      </c>
      <c r="F395" s="134" t="s">
        <v>11276</v>
      </c>
      <c r="G395" s="134" t="s">
        <v>3007</v>
      </c>
      <c r="H395" s="123">
        <v>9094</v>
      </c>
    </row>
    <row r="396" spans="1:8" ht="31.5" x14ac:dyDescent="0.25">
      <c r="A396" s="134" t="s">
        <v>11270</v>
      </c>
      <c r="B396" s="134" t="s">
        <v>11275</v>
      </c>
      <c r="C396" s="134" t="s">
        <v>11274</v>
      </c>
      <c r="D396" s="134" t="s">
        <v>9174</v>
      </c>
      <c r="E396" s="139">
        <v>23.36</v>
      </c>
      <c r="F396" s="134" t="s">
        <v>9173</v>
      </c>
      <c r="G396" s="134" t="s">
        <v>3007</v>
      </c>
      <c r="H396" s="123">
        <v>9095</v>
      </c>
    </row>
    <row r="397" spans="1:8" ht="31.5" x14ac:dyDescent="0.25">
      <c r="A397" s="134" t="s">
        <v>11270</v>
      </c>
      <c r="B397" s="134" t="s">
        <v>9573</v>
      </c>
      <c r="C397" s="134" t="s">
        <v>11273</v>
      </c>
      <c r="D397" s="134" t="s">
        <v>5076</v>
      </c>
      <c r="E397" s="139">
        <v>5.05</v>
      </c>
      <c r="F397" s="134" t="s">
        <v>5075</v>
      </c>
      <c r="G397" s="134" t="s">
        <v>3007</v>
      </c>
      <c r="H397" s="123">
        <v>9096</v>
      </c>
    </row>
    <row r="398" spans="1:8" ht="31.5" x14ac:dyDescent="0.25">
      <c r="A398" s="134" t="s">
        <v>11270</v>
      </c>
      <c r="B398" s="134" t="s">
        <v>11272</v>
      </c>
      <c r="C398" s="134" t="s">
        <v>11271</v>
      </c>
      <c r="D398" s="134" t="s">
        <v>4835</v>
      </c>
      <c r="E398" s="139">
        <v>9.4</v>
      </c>
      <c r="F398" s="134" t="s">
        <v>4834</v>
      </c>
      <c r="G398" s="134" t="s">
        <v>3007</v>
      </c>
      <c r="H398" s="123">
        <v>9097</v>
      </c>
    </row>
    <row r="399" spans="1:8" ht="31.5" x14ac:dyDescent="0.25">
      <c r="A399" s="134" t="s">
        <v>11270</v>
      </c>
      <c r="B399" s="134" t="s">
        <v>11269</v>
      </c>
      <c r="C399" s="134" t="s">
        <v>11268</v>
      </c>
      <c r="D399" s="134" t="s">
        <v>7258</v>
      </c>
      <c r="E399" s="139">
        <v>30.6</v>
      </c>
      <c r="F399" s="134" t="s">
        <v>7257</v>
      </c>
      <c r="G399" s="134" t="s">
        <v>3007</v>
      </c>
      <c r="H399" s="123">
        <v>9098</v>
      </c>
    </row>
    <row r="400" spans="1:8" s="200" customFormat="1" x14ac:dyDescent="0.25">
      <c r="A400" s="198"/>
      <c r="B400" s="198"/>
      <c r="C400" s="198" t="s">
        <v>5691</v>
      </c>
      <c r="D400" s="198" t="s">
        <v>14412</v>
      </c>
      <c r="E400" s="199">
        <f>SUM(E240:E399)</f>
        <v>1791.8200000000013</v>
      </c>
      <c r="F400" s="198"/>
      <c r="G400" s="198"/>
      <c r="H400" s="172"/>
    </row>
    <row r="401" spans="1:8" s="200" customFormat="1" x14ac:dyDescent="0.25">
      <c r="A401" s="198"/>
      <c r="B401" s="198"/>
      <c r="C401" s="198"/>
      <c r="D401" s="198"/>
      <c r="E401" s="199"/>
      <c r="F401" s="198"/>
      <c r="G401" s="198"/>
      <c r="H401" s="172"/>
    </row>
    <row r="402" spans="1:8" ht="31.5" x14ac:dyDescent="0.25">
      <c r="A402" s="134" t="s">
        <v>11250</v>
      </c>
      <c r="B402" s="134" t="s">
        <v>11267</v>
      </c>
      <c r="C402" s="134" t="s">
        <v>11266</v>
      </c>
      <c r="D402" s="134" t="s">
        <v>9520</v>
      </c>
      <c r="E402" s="139">
        <v>0.57999999999999996</v>
      </c>
      <c r="F402" s="134" t="s">
        <v>9519</v>
      </c>
      <c r="G402" s="134" t="s">
        <v>3007</v>
      </c>
      <c r="H402" s="123">
        <v>9131</v>
      </c>
    </row>
    <row r="403" spans="1:8" ht="31.5" x14ac:dyDescent="0.25">
      <c r="A403" s="134" t="s">
        <v>11250</v>
      </c>
      <c r="B403" s="134" t="s">
        <v>4710</v>
      </c>
      <c r="C403" s="134" t="s">
        <v>11265</v>
      </c>
      <c r="D403" s="134" t="s">
        <v>7664</v>
      </c>
      <c r="E403" s="139">
        <v>9.42</v>
      </c>
      <c r="F403" s="134" t="s">
        <v>7663</v>
      </c>
      <c r="G403" s="134" t="s">
        <v>3007</v>
      </c>
      <c r="H403" s="123">
        <v>9132</v>
      </c>
    </row>
    <row r="404" spans="1:8" ht="31.5" x14ac:dyDescent="0.25">
      <c r="A404" s="134" t="s">
        <v>11250</v>
      </c>
      <c r="B404" s="134" t="s">
        <v>11264</v>
      </c>
      <c r="C404" s="134" t="s">
        <v>11263</v>
      </c>
      <c r="D404" s="134" t="s">
        <v>6053</v>
      </c>
      <c r="E404" s="139">
        <v>4.92</v>
      </c>
      <c r="F404" s="134" t="s">
        <v>6052</v>
      </c>
      <c r="G404" s="134" t="s">
        <v>3007</v>
      </c>
      <c r="H404" s="123">
        <v>9133</v>
      </c>
    </row>
    <row r="405" spans="1:8" ht="31.5" x14ac:dyDescent="0.25">
      <c r="A405" s="134" t="s">
        <v>11250</v>
      </c>
      <c r="B405" s="134" t="s">
        <v>11262</v>
      </c>
      <c r="C405" s="134" t="s">
        <v>11261</v>
      </c>
      <c r="D405" s="134" t="s">
        <v>9941</v>
      </c>
      <c r="E405" s="139">
        <v>43.85</v>
      </c>
      <c r="F405" s="134" t="s">
        <v>9940</v>
      </c>
      <c r="G405" s="134" t="s">
        <v>3007</v>
      </c>
      <c r="H405" s="123">
        <v>9134</v>
      </c>
    </row>
    <row r="406" spans="1:8" ht="31.5" x14ac:dyDescent="0.25">
      <c r="A406" s="134" t="s">
        <v>11250</v>
      </c>
      <c r="B406" s="134" t="s">
        <v>11260</v>
      </c>
      <c r="C406" s="134" t="s">
        <v>11259</v>
      </c>
      <c r="D406" s="134" t="s">
        <v>7993</v>
      </c>
      <c r="E406" s="139">
        <v>5.13</v>
      </c>
      <c r="F406" s="134" t="s">
        <v>7992</v>
      </c>
      <c r="G406" s="134" t="s">
        <v>3007</v>
      </c>
      <c r="H406" s="123">
        <v>9135</v>
      </c>
    </row>
    <row r="407" spans="1:8" ht="31.5" x14ac:dyDescent="0.25">
      <c r="A407" s="134" t="s">
        <v>11250</v>
      </c>
      <c r="B407" s="134" t="s">
        <v>11258</v>
      </c>
      <c r="C407" s="134" t="s">
        <v>11257</v>
      </c>
      <c r="D407" s="134" t="s">
        <v>10029</v>
      </c>
      <c r="E407" s="139">
        <v>18.190000000000001</v>
      </c>
      <c r="F407" s="134" t="s">
        <v>10028</v>
      </c>
      <c r="G407" s="134" t="s">
        <v>3007</v>
      </c>
      <c r="H407" s="123">
        <v>9136</v>
      </c>
    </row>
    <row r="408" spans="1:8" ht="31.5" x14ac:dyDescent="0.25">
      <c r="A408" s="134" t="s">
        <v>11250</v>
      </c>
      <c r="B408" s="134" t="s">
        <v>11256</v>
      </c>
      <c r="C408" s="134" t="s">
        <v>11255</v>
      </c>
      <c r="D408" s="134" t="s">
        <v>3692</v>
      </c>
      <c r="E408" s="139">
        <v>3.51</v>
      </c>
      <c r="F408" s="134" t="s">
        <v>3691</v>
      </c>
      <c r="G408" s="134" t="s">
        <v>3007</v>
      </c>
      <c r="H408" s="123">
        <v>9137</v>
      </c>
    </row>
    <row r="409" spans="1:8" ht="31.5" x14ac:dyDescent="0.25">
      <c r="A409" s="134" t="s">
        <v>11250</v>
      </c>
      <c r="B409" s="134" t="s">
        <v>11254</v>
      </c>
      <c r="C409" s="134" t="s">
        <v>11253</v>
      </c>
      <c r="D409" s="134" t="s">
        <v>3098</v>
      </c>
      <c r="E409" s="139">
        <v>3.15</v>
      </c>
      <c r="F409" s="134" t="s">
        <v>3097</v>
      </c>
      <c r="G409" s="134" t="s">
        <v>3007</v>
      </c>
      <c r="H409" s="123">
        <v>9138</v>
      </c>
    </row>
    <row r="410" spans="1:8" ht="31.5" x14ac:dyDescent="0.25">
      <c r="A410" s="134" t="s">
        <v>11250</v>
      </c>
      <c r="B410" s="134" t="s">
        <v>11252</v>
      </c>
      <c r="C410" s="134" t="s">
        <v>11251</v>
      </c>
      <c r="D410" s="134" t="s">
        <v>3166</v>
      </c>
      <c r="E410" s="139">
        <v>10.14</v>
      </c>
      <c r="F410" s="134" t="s">
        <v>3165</v>
      </c>
      <c r="G410" s="134" t="s">
        <v>3007</v>
      </c>
      <c r="H410" s="123">
        <v>9139</v>
      </c>
    </row>
    <row r="411" spans="1:8" ht="31.5" x14ac:dyDescent="0.25">
      <c r="A411" s="134" t="s">
        <v>11250</v>
      </c>
      <c r="B411" s="134" t="s">
        <v>11249</v>
      </c>
      <c r="C411" s="134" t="s">
        <v>11248</v>
      </c>
      <c r="D411" s="134" t="s">
        <v>11247</v>
      </c>
      <c r="E411" s="139">
        <v>13</v>
      </c>
      <c r="F411" s="134" t="s">
        <v>11246</v>
      </c>
      <c r="G411" s="134" t="s">
        <v>3007</v>
      </c>
      <c r="H411" s="123">
        <v>9140</v>
      </c>
    </row>
    <row r="412" spans="1:8" s="200" customFormat="1" x14ac:dyDescent="0.25">
      <c r="A412" s="198"/>
      <c r="B412" s="198"/>
      <c r="C412" s="198" t="s">
        <v>5691</v>
      </c>
      <c r="D412" s="198" t="s">
        <v>14413</v>
      </c>
      <c r="E412" s="199">
        <f>SUM(E402:E411)</f>
        <v>111.89000000000001</v>
      </c>
      <c r="F412" s="198"/>
      <c r="G412" s="198"/>
      <c r="H412" s="172"/>
    </row>
    <row r="413" spans="1:8" s="200" customFormat="1" x14ac:dyDescent="0.25">
      <c r="A413" s="198"/>
      <c r="B413" s="198"/>
      <c r="C413" s="198"/>
      <c r="D413" s="198"/>
      <c r="E413" s="199"/>
      <c r="F413" s="198"/>
      <c r="G413" s="198"/>
      <c r="H413" s="172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1" fitToHeight="5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39961-2623-4FBA-86A6-287D0E6294C4}">
  <sheetPr>
    <pageSetUpPr fitToPage="1"/>
  </sheetPr>
  <dimension ref="A1:L64"/>
  <sheetViews>
    <sheetView topLeftCell="A46" zoomScaleNormal="100" workbookViewId="0">
      <selection activeCell="D27" sqref="D27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8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8" x14ac:dyDescent="0.2">
      <c r="A2" s="1"/>
      <c r="B2" s="2"/>
      <c r="C2" s="3"/>
      <c r="D2" s="3"/>
      <c r="E2" s="3"/>
      <c r="F2" s="4"/>
      <c r="G2" s="3"/>
      <c r="H2" s="5"/>
    </row>
    <row r="3" spans="1:8" x14ac:dyDescent="0.2">
      <c r="A3" s="1"/>
      <c r="B3" s="2"/>
      <c r="C3" s="3"/>
      <c r="D3" s="3"/>
      <c r="E3" s="3"/>
      <c r="F3" s="4"/>
      <c r="G3" s="3"/>
      <c r="H3" s="5"/>
    </row>
    <row r="4" spans="1:8" x14ac:dyDescent="0.2">
      <c r="A4" s="1" t="s">
        <v>1</v>
      </c>
      <c r="B4" s="1"/>
      <c r="D4" s="6"/>
      <c r="E4" s="6"/>
      <c r="G4" s="6"/>
    </row>
    <row r="5" spans="1:8" x14ac:dyDescent="0.2">
      <c r="A5" s="8"/>
      <c r="B5" s="2"/>
      <c r="C5" s="3"/>
      <c r="D5" s="3"/>
      <c r="E5" s="3"/>
      <c r="F5" s="4"/>
      <c r="G5" s="3"/>
      <c r="H5" s="5"/>
    </row>
    <row r="6" spans="1:8" x14ac:dyDescent="0.2">
      <c r="A6" s="8"/>
      <c r="B6" s="2"/>
      <c r="C6" s="3"/>
      <c r="D6" s="3"/>
      <c r="E6" s="3"/>
      <c r="F6" s="4"/>
      <c r="G6" s="3"/>
      <c r="H6" s="5"/>
    </row>
    <row r="7" spans="1:8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8" x14ac:dyDescent="0.2">
      <c r="A8" s="8"/>
      <c r="B8" s="2"/>
      <c r="C8" s="3"/>
      <c r="D8" s="3"/>
      <c r="E8" s="3"/>
      <c r="F8" s="4"/>
      <c r="G8" s="3"/>
      <c r="H8" s="5"/>
    </row>
    <row r="9" spans="1:8" ht="13.5" customHeight="1" x14ac:dyDescent="0.2">
      <c r="A9" s="10" t="s">
        <v>22612</v>
      </c>
      <c r="B9" s="10"/>
      <c r="C9" s="11"/>
      <c r="D9" s="3"/>
      <c r="E9" s="3"/>
      <c r="F9" s="4"/>
      <c r="G9" s="12" t="s">
        <v>4</v>
      </c>
      <c r="H9" s="13">
        <v>83006.429999999993</v>
      </c>
    </row>
    <row r="10" spans="1:8" x14ac:dyDescent="0.2">
      <c r="A10" s="3"/>
      <c r="B10" s="9"/>
      <c r="C10" s="3"/>
      <c r="D10" s="3"/>
      <c r="E10" s="3"/>
      <c r="F10" s="4"/>
      <c r="G10" s="3"/>
      <c r="H10" s="5"/>
    </row>
    <row r="11" spans="1:8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8" ht="12.75" customHeight="1" x14ac:dyDescent="0.2">
      <c r="A12" s="14"/>
      <c r="B12" s="18" t="s">
        <v>19988</v>
      </c>
      <c r="C12" s="3"/>
      <c r="D12" s="16"/>
      <c r="E12" s="16"/>
      <c r="F12" s="17"/>
      <c r="G12" s="3"/>
      <c r="H12" s="5"/>
    </row>
    <row r="13" spans="1:8" x14ac:dyDescent="0.2">
      <c r="A13" s="14"/>
      <c r="B13" s="9"/>
      <c r="C13" s="3"/>
      <c r="D13" s="16"/>
      <c r="E13" s="16"/>
      <c r="F13" s="17"/>
      <c r="G13" s="3"/>
      <c r="H13" s="5"/>
    </row>
    <row r="14" spans="1:8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8" x14ac:dyDescent="0.2">
      <c r="A15" s="23"/>
      <c r="B15" s="24"/>
      <c r="C15" s="34"/>
      <c r="D15" s="35"/>
      <c r="E15" s="26"/>
      <c r="F15" s="36"/>
      <c r="G15" s="3"/>
      <c r="H15" s="5"/>
    </row>
    <row r="16" spans="1:8" x14ac:dyDescent="0.2">
      <c r="A16" s="37"/>
      <c r="B16" s="38"/>
      <c r="C16" s="39"/>
      <c r="D16" s="40"/>
      <c r="E16" s="22"/>
      <c r="F16" s="41"/>
      <c r="G16" s="3"/>
      <c r="H16" s="13">
        <f>SUM(F15:F15)</f>
        <v>0</v>
      </c>
    </row>
    <row r="17" spans="1:11" x14ac:dyDescent="0.2">
      <c r="A17" s="19"/>
      <c r="B17" s="42"/>
      <c r="C17" s="3"/>
      <c r="D17" s="22"/>
      <c r="E17" s="22"/>
      <c r="F17" s="43"/>
      <c r="G17" s="12"/>
      <c r="H17" s="5"/>
    </row>
    <row r="18" spans="1:11" x14ac:dyDescent="0.2">
      <c r="A18" s="3"/>
      <c r="B18" s="44" t="s">
        <v>5</v>
      </c>
      <c r="C18" s="3"/>
      <c r="D18" s="16"/>
      <c r="E18" s="16"/>
      <c r="F18" s="22" t="s">
        <v>11</v>
      </c>
      <c r="G18" s="3"/>
      <c r="H18" s="5"/>
    </row>
    <row r="19" spans="1:11" ht="13.5" customHeight="1" x14ac:dyDescent="0.2">
      <c r="A19" s="21" t="s">
        <v>7</v>
      </c>
      <c r="B19" s="18" t="s">
        <v>14</v>
      </c>
      <c r="C19" s="3"/>
      <c r="D19" s="16"/>
      <c r="E19" s="16"/>
      <c r="F19" s="43"/>
      <c r="G19" s="3"/>
      <c r="H19" s="5"/>
    </row>
    <row r="20" spans="1:11" ht="13.5" customHeight="1" x14ac:dyDescent="0.2">
      <c r="A20" s="45"/>
      <c r="B20" s="46"/>
      <c r="C20" s="3"/>
      <c r="D20" s="16"/>
      <c r="E20" s="16"/>
      <c r="F20" s="32"/>
      <c r="G20" s="3"/>
      <c r="H20" s="5"/>
    </row>
    <row r="21" spans="1:11" x14ac:dyDescent="0.2">
      <c r="A21" s="23"/>
      <c r="B21" s="24"/>
      <c r="C21" s="25"/>
      <c r="D21" s="25"/>
      <c r="E21" s="51"/>
      <c r="F21" s="32"/>
      <c r="G21" s="3"/>
      <c r="H21" s="5"/>
      <c r="K21" s="32"/>
    </row>
    <row r="22" spans="1:11" ht="13.5" customHeight="1" x14ac:dyDescent="0.2">
      <c r="A22" s="54"/>
      <c r="B22" s="55"/>
      <c r="D22" s="51"/>
      <c r="E22" s="51"/>
      <c r="F22" s="56"/>
      <c r="H22" s="57"/>
    </row>
    <row r="23" spans="1:11" x14ac:dyDescent="0.2">
      <c r="A23" s="58"/>
      <c r="D23" s="51"/>
      <c r="E23" s="51"/>
      <c r="F23" s="57"/>
      <c r="H23" s="60">
        <f>SUM(F21:F22)</f>
        <v>0</v>
      </c>
    </row>
    <row r="24" spans="1:11" s="64" customFormat="1" x14ac:dyDescent="0.2">
      <c r="A24" s="61"/>
      <c r="B24" s="62" t="s">
        <v>29</v>
      </c>
      <c r="C24" s="63"/>
      <c r="D24" s="63"/>
      <c r="E24" s="63"/>
      <c r="G24" s="65"/>
    </row>
    <row r="25" spans="1:11" s="64" customFormat="1" x14ac:dyDescent="0.2">
      <c r="A25" s="21" t="s">
        <v>7</v>
      </c>
      <c r="B25" s="62" t="s">
        <v>30</v>
      </c>
      <c r="C25" s="63"/>
      <c r="D25" s="63"/>
      <c r="E25" s="63"/>
      <c r="F25" s="22" t="s">
        <v>11</v>
      </c>
      <c r="G25" s="65"/>
    </row>
    <row r="26" spans="1:11" s="69" customFormat="1" x14ac:dyDescent="0.2">
      <c r="A26" s="45">
        <v>44043</v>
      </c>
      <c r="B26" s="66" t="s">
        <v>14460</v>
      </c>
      <c r="C26" s="67"/>
      <c r="D26" s="68"/>
      <c r="E26" s="51"/>
      <c r="F26" s="32"/>
      <c r="G26" s="3"/>
      <c r="I26" s="33"/>
    </row>
    <row r="27" spans="1:11" x14ac:dyDescent="0.2">
      <c r="A27" s="45"/>
      <c r="B27" s="66"/>
      <c r="D27" s="51"/>
      <c r="E27" s="51"/>
      <c r="F27" s="56"/>
      <c r="G27" s="3"/>
      <c r="H27" s="5"/>
    </row>
    <row r="28" spans="1:11" x14ac:dyDescent="0.2">
      <c r="A28" s="75"/>
      <c r="B28" s="2"/>
      <c r="C28" s="3"/>
      <c r="D28" s="16"/>
      <c r="E28" s="16"/>
      <c r="F28" s="76"/>
      <c r="G28" s="3"/>
      <c r="H28" s="60">
        <f>SUM(F26:F27)</f>
        <v>0</v>
      </c>
    </row>
    <row r="29" spans="1:11" x14ac:dyDescent="0.2">
      <c r="C29" s="3"/>
      <c r="D29" s="16"/>
      <c r="E29" s="16"/>
      <c r="F29" s="76"/>
      <c r="G29" s="3"/>
      <c r="H29" s="5"/>
    </row>
    <row r="30" spans="1:11" x14ac:dyDescent="0.2">
      <c r="B30" s="62" t="s">
        <v>29</v>
      </c>
      <c r="C30" s="3"/>
      <c r="D30" s="16"/>
      <c r="E30" s="16"/>
      <c r="F30" s="22" t="s">
        <v>11</v>
      </c>
      <c r="G30" s="3"/>
      <c r="H30" s="5"/>
    </row>
    <row r="31" spans="1:11" x14ac:dyDescent="0.2">
      <c r="A31" s="21" t="s">
        <v>7</v>
      </c>
      <c r="B31" s="18" t="s">
        <v>44</v>
      </c>
      <c r="C31" s="3"/>
      <c r="D31" s="16"/>
      <c r="E31" s="16"/>
      <c r="F31" s="12"/>
      <c r="G31" s="3"/>
      <c r="H31" s="5"/>
    </row>
    <row r="32" spans="1:11" ht="15" x14ac:dyDescent="0.2">
      <c r="A32" s="150">
        <v>43902</v>
      </c>
      <c r="B32" s="113" t="s">
        <v>16923</v>
      </c>
      <c r="C32" s="148" t="s">
        <v>16924</v>
      </c>
      <c r="D32" s="68"/>
      <c r="E32" s="25"/>
      <c r="F32" s="160">
        <v>8.3800000000000008</v>
      </c>
      <c r="G32" s="3"/>
      <c r="I32" s="33"/>
    </row>
    <row r="33" spans="1:9" ht="15" x14ac:dyDescent="0.2">
      <c r="A33" s="150">
        <v>43902</v>
      </c>
      <c r="B33" s="113" t="s">
        <v>16921</v>
      </c>
      <c r="C33" s="148" t="s">
        <v>16922</v>
      </c>
      <c r="D33" s="68"/>
      <c r="E33" s="25"/>
      <c r="F33" s="160">
        <v>15.32</v>
      </c>
      <c r="G33" s="3"/>
      <c r="I33" s="33"/>
    </row>
    <row r="34" spans="1:9" ht="15" x14ac:dyDescent="0.2">
      <c r="A34" s="150">
        <v>43902</v>
      </c>
      <c r="B34" s="113" t="s">
        <v>16919</v>
      </c>
      <c r="C34" s="148" t="s">
        <v>16920</v>
      </c>
      <c r="D34" s="68"/>
      <c r="E34" s="25"/>
      <c r="F34" s="160">
        <v>15.3</v>
      </c>
      <c r="G34" s="3"/>
      <c r="I34" s="33"/>
    </row>
    <row r="35" spans="1:9" ht="15" x14ac:dyDescent="0.2">
      <c r="A35" s="150">
        <v>43902</v>
      </c>
      <c r="B35" s="113" t="s">
        <v>16917</v>
      </c>
      <c r="C35" s="148" t="s">
        <v>16918</v>
      </c>
      <c r="D35" s="68"/>
      <c r="E35" s="25"/>
      <c r="F35" s="160">
        <v>1</v>
      </c>
      <c r="G35" s="3"/>
      <c r="I35" s="33"/>
    </row>
    <row r="36" spans="1:9" ht="15" x14ac:dyDescent="0.2">
      <c r="A36" s="150">
        <v>43902</v>
      </c>
      <c r="B36" s="113" t="s">
        <v>16915</v>
      </c>
      <c r="C36" s="148" t="s">
        <v>16916</v>
      </c>
      <c r="D36" s="68"/>
      <c r="E36" s="25"/>
      <c r="F36" s="160">
        <v>30.16</v>
      </c>
      <c r="G36" s="3"/>
      <c r="I36" s="33"/>
    </row>
    <row r="37" spans="1:9" ht="19.5" x14ac:dyDescent="0.2">
      <c r="A37" s="150">
        <v>43902</v>
      </c>
      <c r="B37" s="113" t="s">
        <v>16913</v>
      </c>
      <c r="C37" s="148" t="s">
        <v>16914</v>
      </c>
      <c r="D37" s="68"/>
      <c r="E37" s="25"/>
      <c r="F37" s="160">
        <v>9.82</v>
      </c>
      <c r="G37" s="3"/>
      <c r="I37" s="33"/>
    </row>
    <row r="38" spans="1:9" ht="19.5" x14ac:dyDescent="0.2">
      <c r="A38" s="150">
        <v>43903</v>
      </c>
      <c r="B38" s="113" t="s">
        <v>16785</v>
      </c>
      <c r="C38" s="148" t="s">
        <v>16786</v>
      </c>
      <c r="D38" s="68"/>
      <c r="E38" s="25"/>
      <c r="F38" s="160">
        <v>47.67</v>
      </c>
      <c r="G38" s="3"/>
      <c r="I38" s="33"/>
    </row>
    <row r="39" spans="1:9" ht="15" x14ac:dyDescent="0.2">
      <c r="A39" s="150">
        <v>43903</v>
      </c>
      <c r="B39" s="113" t="s">
        <v>16783</v>
      </c>
      <c r="C39" s="148" t="s">
        <v>16784</v>
      </c>
      <c r="D39" s="68"/>
      <c r="E39" s="25"/>
      <c r="F39" s="160">
        <v>44.13</v>
      </c>
      <c r="G39" s="3"/>
      <c r="I39" s="33"/>
    </row>
    <row r="40" spans="1:9" ht="15" x14ac:dyDescent="0.2">
      <c r="A40" s="150">
        <v>43903</v>
      </c>
      <c r="B40" s="113" t="s">
        <v>16777</v>
      </c>
      <c r="C40" s="148" t="s">
        <v>16778</v>
      </c>
      <c r="D40" s="68"/>
      <c r="E40" s="25"/>
      <c r="F40" s="160">
        <v>15.3</v>
      </c>
      <c r="G40" s="3"/>
      <c r="I40" s="33"/>
    </row>
    <row r="41" spans="1:9" ht="15" x14ac:dyDescent="0.2">
      <c r="A41" s="150">
        <v>43903</v>
      </c>
      <c r="B41" s="113" t="s">
        <v>16775</v>
      </c>
      <c r="C41" s="148" t="s">
        <v>16776</v>
      </c>
      <c r="D41" s="68"/>
      <c r="E41" s="25"/>
      <c r="F41" s="160">
        <v>75.319999999999993</v>
      </c>
      <c r="G41" s="3"/>
      <c r="I41" s="33"/>
    </row>
    <row r="42" spans="1:9" ht="15" x14ac:dyDescent="0.2">
      <c r="A42" s="150">
        <v>44043</v>
      </c>
      <c r="B42" s="113" t="s">
        <v>21334</v>
      </c>
      <c r="C42" s="148" t="s">
        <v>21335</v>
      </c>
      <c r="D42" s="68"/>
      <c r="E42" s="25"/>
      <c r="F42" s="258">
        <v>0.57999999999999996</v>
      </c>
      <c r="G42" s="3"/>
      <c r="I42" s="33"/>
    </row>
    <row r="43" spans="1:9" ht="19.5" x14ac:dyDescent="0.2">
      <c r="A43" s="150">
        <v>44043</v>
      </c>
      <c r="B43" s="113" t="s">
        <v>21332</v>
      </c>
      <c r="C43" s="148" t="s">
        <v>21333</v>
      </c>
      <c r="D43" s="68"/>
      <c r="E43" s="25"/>
      <c r="F43" s="258">
        <v>9.42</v>
      </c>
      <c r="G43" s="3"/>
      <c r="I43" s="33"/>
    </row>
    <row r="44" spans="1:9" ht="15" x14ac:dyDescent="0.2">
      <c r="A44" s="150">
        <v>44043</v>
      </c>
      <c r="B44" s="113" t="s">
        <v>21330</v>
      </c>
      <c r="C44" s="148" t="s">
        <v>21331</v>
      </c>
      <c r="D44" s="68"/>
      <c r="E44" s="25"/>
      <c r="F44" s="258">
        <v>4.92</v>
      </c>
      <c r="G44" s="3"/>
      <c r="I44" s="33"/>
    </row>
    <row r="45" spans="1:9" ht="15" x14ac:dyDescent="0.2">
      <c r="A45" s="150">
        <v>44043</v>
      </c>
      <c r="B45" s="113" t="s">
        <v>21328</v>
      </c>
      <c r="C45" s="148" t="s">
        <v>21329</v>
      </c>
      <c r="D45" s="68"/>
      <c r="E45" s="25"/>
      <c r="F45" s="258">
        <v>43.85</v>
      </c>
      <c r="G45" s="3"/>
      <c r="I45" s="33"/>
    </row>
    <row r="46" spans="1:9" ht="15" x14ac:dyDescent="0.2">
      <c r="A46" s="150">
        <v>44043</v>
      </c>
      <c r="B46" s="113" t="s">
        <v>21326</v>
      </c>
      <c r="C46" s="148" t="s">
        <v>21327</v>
      </c>
      <c r="D46" s="68"/>
      <c r="E46" s="25"/>
      <c r="F46" s="258">
        <v>5.13</v>
      </c>
      <c r="G46" s="3"/>
      <c r="I46" s="33"/>
    </row>
    <row r="47" spans="1:9" ht="19.5" x14ac:dyDescent="0.2">
      <c r="A47" s="150">
        <v>44043</v>
      </c>
      <c r="B47" s="113" t="s">
        <v>21324</v>
      </c>
      <c r="C47" s="148" t="s">
        <v>21325</v>
      </c>
      <c r="D47" s="68"/>
      <c r="E47" s="25"/>
      <c r="F47" s="258">
        <v>18.190000000000001</v>
      </c>
      <c r="G47" s="3"/>
      <c r="I47" s="33"/>
    </row>
    <row r="48" spans="1:9" ht="15" x14ac:dyDescent="0.2">
      <c r="A48" s="150">
        <v>44043</v>
      </c>
      <c r="B48" s="113" t="s">
        <v>21322</v>
      </c>
      <c r="C48" s="148" t="s">
        <v>21323</v>
      </c>
      <c r="D48" s="68"/>
      <c r="E48" s="25"/>
      <c r="F48" s="258">
        <v>3.51</v>
      </c>
      <c r="G48" s="3"/>
      <c r="I48" s="33"/>
    </row>
    <row r="49" spans="1:12" ht="15" x14ac:dyDescent="0.2">
      <c r="A49" s="150">
        <v>44043</v>
      </c>
      <c r="B49" s="113" t="s">
        <v>21320</v>
      </c>
      <c r="C49" s="148" t="s">
        <v>21321</v>
      </c>
      <c r="D49" s="68"/>
      <c r="E49" s="25"/>
      <c r="F49" s="258">
        <v>3.15</v>
      </c>
      <c r="G49" s="3"/>
      <c r="I49" s="33"/>
    </row>
    <row r="50" spans="1:12" ht="15" x14ac:dyDescent="0.2">
      <c r="A50" s="150">
        <v>44043</v>
      </c>
      <c r="B50" s="113" t="s">
        <v>21318</v>
      </c>
      <c r="C50" s="148" t="s">
        <v>21319</v>
      </c>
      <c r="D50" s="68"/>
      <c r="E50" s="25"/>
      <c r="F50" s="258">
        <v>10.14</v>
      </c>
      <c r="G50" s="3"/>
      <c r="I50" s="33"/>
    </row>
    <row r="51" spans="1:12" ht="76.5" x14ac:dyDescent="0.2">
      <c r="A51" s="325">
        <v>44043</v>
      </c>
      <c r="B51" s="326" t="s">
        <v>21316</v>
      </c>
      <c r="C51" s="324" t="s">
        <v>21317</v>
      </c>
      <c r="D51" s="68"/>
      <c r="E51" s="25"/>
      <c r="F51" s="331">
        <v>17.55</v>
      </c>
      <c r="G51" s="3"/>
      <c r="I51" s="33"/>
      <c r="J51" s="332" t="s">
        <v>22614</v>
      </c>
    </row>
    <row r="52" spans="1:12" ht="12.75" x14ac:dyDescent="0.2">
      <c r="A52" s="37"/>
      <c r="B52" s="91"/>
      <c r="C52" s="39"/>
      <c r="D52" s="16"/>
      <c r="E52" s="16"/>
      <c r="F52" s="92"/>
      <c r="G52" s="3"/>
      <c r="H52" s="301">
        <f>SUM(F32:F52)</f>
        <v>378.84</v>
      </c>
    </row>
    <row r="53" spans="1:12" x14ac:dyDescent="0.2">
      <c r="A53" s="3"/>
      <c r="B53" s="2"/>
      <c r="C53" s="3"/>
      <c r="D53" s="3"/>
      <c r="E53" s="3"/>
      <c r="F53" s="5"/>
      <c r="G53" s="3"/>
      <c r="H53" s="5"/>
    </row>
    <row r="54" spans="1:12" s="99" customFormat="1" ht="20.25" customHeight="1" thickBot="1" x14ac:dyDescent="0.3">
      <c r="A54" s="93"/>
      <c r="B54" s="94" t="s">
        <v>22611</v>
      </c>
      <c r="C54" s="95"/>
      <c r="D54" s="93"/>
      <c r="E54" s="93"/>
      <c r="F54" s="96"/>
      <c r="G54" s="97" t="s">
        <v>4</v>
      </c>
      <c r="H54" s="302">
        <f>+H9-H16-H23+H28+H52</f>
        <v>83385.26999999999</v>
      </c>
      <c r="I54" s="303"/>
      <c r="J54" s="303"/>
    </row>
    <row r="55" spans="1:12" ht="13.5" thickTop="1" x14ac:dyDescent="0.2">
      <c r="A55" s="3"/>
      <c r="B55" s="2"/>
      <c r="C55" s="3"/>
      <c r="D55" s="3"/>
      <c r="E55" s="3"/>
      <c r="F55" s="5"/>
      <c r="G55" s="3"/>
      <c r="H55" s="304"/>
      <c r="I55" s="305"/>
      <c r="J55" s="306">
        <f>+'BP JUL-20'!I689</f>
        <v>85041.789999999892</v>
      </c>
    </row>
    <row r="56" spans="1:12" ht="12.75" x14ac:dyDescent="0.2">
      <c r="A56" s="3"/>
      <c r="B56" s="2"/>
      <c r="C56" s="3"/>
      <c r="D56" s="3"/>
      <c r="E56" s="3"/>
      <c r="F56" s="5"/>
      <c r="G56" s="3"/>
      <c r="H56" s="305"/>
      <c r="I56" s="305"/>
      <c r="J56" s="304"/>
    </row>
    <row r="57" spans="1:12" ht="12.75" x14ac:dyDescent="0.2">
      <c r="A57" s="3"/>
      <c r="B57" s="2"/>
      <c r="C57" s="3"/>
      <c r="D57" s="3"/>
      <c r="E57" s="3"/>
      <c r="G57" s="3"/>
      <c r="H57" s="305"/>
      <c r="I57" s="305"/>
      <c r="J57" s="304"/>
    </row>
    <row r="58" spans="1:12" ht="23.25" customHeight="1" thickBot="1" x14ac:dyDescent="0.25">
      <c r="A58" s="3"/>
      <c r="C58" s="100"/>
      <c r="D58" s="101"/>
      <c r="E58" s="3"/>
      <c r="F58" s="102"/>
      <c r="G58" s="3"/>
      <c r="H58" s="304"/>
      <c r="I58" s="305"/>
      <c r="J58" s="302">
        <f>+H54-J55</f>
        <v>-1656.5199999999022</v>
      </c>
      <c r="L58" s="57"/>
    </row>
    <row r="59" spans="1:12" ht="26.25" customHeight="1" thickTop="1" x14ac:dyDescent="0.2">
      <c r="A59" s="3"/>
      <c r="C59" s="378" t="s">
        <v>314</v>
      </c>
      <c r="D59" s="378"/>
      <c r="E59" s="3"/>
      <c r="F59" s="378" t="s">
        <v>315</v>
      </c>
      <c r="G59" s="378"/>
      <c r="H59" s="304"/>
      <c r="I59" s="305"/>
      <c r="J59" s="305"/>
    </row>
    <row r="60" spans="1:12" ht="23.25" customHeight="1" thickBot="1" x14ac:dyDescent="0.25">
      <c r="H60" s="305"/>
      <c r="I60" s="305"/>
      <c r="J60" s="302">
        <f>+H54-J58</f>
        <v>85041.789999999892</v>
      </c>
    </row>
    <row r="61" spans="1:12" ht="13.5" thickTop="1" x14ac:dyDescent="0.2">
      <c r="H61" s="305"/>
      <c r="I61" s="305"/>
      <c r="J61" s="305"/>
      <c r="L61" s="57"/>
    </row>
    <row r="63" spans="1:12" x14ac:dyDescent="0.2">
      <c r="L63" s="57"/>
    </row>
    <row r="64" spans="1:12" x14ac:dyDescent="0.2">
      <c r="A64" s="6"/>
      <c r="B64" s="6"/>
      <c r="C64" s="6"/>
      <c r="D64" s="6"/>
      <c r="E64" s="6"/>
      <c r="G64" s="6"/>
      <c r="J64" s="57"/>
    </row>
  </sheetData>
  <mergeCells count="2">
    <mergeCell ref="C59:D59"/>
    <mergeCell ref="F59:G59"/>
  </mergeCells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AD596-EC85-44E9-8D43-20C2115D2D18}">
  <sheetPr filterMode="1"/>
  <dimension ref="A2:I640"/>
  <sheetViews>
    <sheetView topLeftCell="A16" workbookViewId="0">
      <pane xSplit="5" ySplit="2" topLeftCell="F603" activePane="bottomRight" state="frozen"/>
      <selection activeCell="A16" sqref="A16"/>
      <selection pane="topRight" activeCell="F16" sqref="F16"/>
      <selection pane="bottomLeft" activeCell="A18" sqref="A18"/>
      <selection pane="bottomRight" activeCell="I17" sqref="I17"/>
    </sheetView>
  </sheetViews>
  <sheetFormatPr baseColWidth="10" defaultColWidth="11.5703125" defaultRowHeight="15.75" x14ac:dyDescent="0.25"/>
  <cols>
    <col min="1" max="1" width="11.5703125" style="103"/>
    <col min="2" max="4" width="11.5703125" style="145"/>
    <col min="5" max="5" width="57.7109375" style="111" customWidth="1"/>
    <col min="6" max="6" width="8.28515625" style="257" customWidth="1"/>
    <col min="7" max="7" width="13.85546875" style="152" bestFit="1" customWidth="1"/>
    <col min="8" max="8" width="18.5703125" style="152" bestFit="1" customWidth="1"/>
    <col min="9" max="9" width="15.28515625" style="152" bestFit="1" customWidth="1"/>
    <col min="10" max="16384" width="11.5703125" style="103"/>
  </cols>
  <sheetData>
    <row r="2" spans="1:9" ht="19.5" x14ac:dyDescent="0.25">
      <c r="E2" s="320" t="s">
        <v>2771</v>
      </c>
      <c r="H2" s="149" t="s">
        <v>2770</v>
      </c>
      <c r="I2" s="154">
        <v>1</v>
      </c>
    </row>
    <row r="3" spans="1:9" x14ac:dyDescent="0.25">
      <c r="H3" s="149" t="s">
        <v>2769</v>
      </c>
      <c r="I3" s="155">
        <v>44171</v>
      </c>
    </row>
    <row r="5" spans="1:9" x14ac:dyDescent="0.25">
      <c r="A5" s="310" t="s">
        <v>2768</v>
      </c>
      <c r="B5" s="146" t="s">
        <v>23817</v>
      </c>
      <c r="C5" s="146" t="s">
        <v>2767</v>
      </c>
      <c r="D5" s="146" t="s">
        <v>23817</v>
      </c>
      <c r="H5" s="314">
        <v>0.51711805555555557</v>
      </c>
    </row>
    <row r="7" spans="1:9" x14ac:dyDescent="0.2">
      <c r="G7" s="149"/>
      <c r="H7" s="149" t="s">
        <v>2765</v>
      </c>
      <c r="I7" s="149" t="s">
        <v>2764</v>
      </c>
    </row>
    <row r="8" spans="1:9" x14ac:dyDescent="0.2">
      <c r="B8" s="147"/>
      <c r="C8" s="147" t="s">
        <v>2763</v>
      </c>
      <c r="D8" s="322" t="s">
        <v>2762</v>
      </c>
      <c r="G8" s="149" t="s">
        <v>2760</v>
      </c>
      <c r="H8" s="149" t="s">
        <v>2759</v>
      </c>
      <c r="I8" s="149"/>
    </row>
    <row r="9" spans="1:9" x14ac:dyDescent="0.2">
      <c r="G9" s="149" t="s">
        <v>2761</v>
      </c>
      <c r="H9" s="149" t="s">
        <v>2759</v>
      </c>
      <c r="I9" s="149"/>
    </row>
    <row r="10" spans="1:9" x14ac:dyDescent="0.2">
      <c r="G10" s="149"/>
      <c r="H10" s="149"/>
      <c r="I10" s="149"/>
    </row>
    <row r="11" spans="1:9" x14ac:dyDescent="0.2">
      <c r="A11" s="108" t="s">
        <v>2758</v>
      </c>
      <c r="B11" s="109"/>
      <c r="C11" s="109" t="s">
        <v>2757</v>
      </c>
      <c r="D11" s="109" t="s">
        <v>2756</v>
      </c>
      <c r="E11" s="149" t="s">
        <v>2755</v>
      </c>
      <c r="G11" s="149" t="s">
        <v>322</v>
      </c>
      <c r="H11" s="149" t="s">
        <v>321</v>
      </c>
      <c r="I11" s="149" t="s">
        <v>2754</v>
      </c>
    </row>
    <row r="14" spans="1:9" x14ac:dyDescent="0.25">
      <c r="A14" s="108" t="s">
        <v>2753</v>
      </c>
      <c r="B14" s="108" t="s">
        <v>2752</v>
      </c>
    </row>
    <row r="15" spans="1:9" x14ac:dyDescent="0.25">
      <c r="B15" s="108"/>
    </row>
    <row r="16" spans="1:9" x14ac:dyDescent="0.25">
      <c r="A16" s="107" t="s">
        <v>2751</v>
      </c>
      <c r="B16" s="108" t="s">
        <v>2750</v>
      </c>
      <c r="H16" s="153" t="s">
        <v>323</v>
      </c>
      <c r="I16" s="160">
        <v>85041.79</v>
      </c>
    </row>
    <row r="18" spans="2:9" ht="19.5" hidden="1" x14ac:dyDescent="0.25">
      <c r="B18" s="148"/>
      <c r="C18" s="148" t="s">
        <v>23816</v>
      </c>
      <c r="D18" s="150">
        <v>44044</v>
      </c>
      <c r="E18" s="113" t="s">
        <v>23815</v>
      </c>
      <c r="F18" s="257" t="s">
        <v>14408</v>
      </c>
      <c r="G18" s="258">
        <v>17.16</v>
      </c>
      <c r="I18" s="160">
        <f>+I16+G18-H18</f>
        <v>85058.95</v>
      </c>
    </row>
    <row r="19" spans="2:9" ht="19.5" hidden="1" x14ac:dyDescent="0.25">
      <c r="B19" s="148"/>
      <c r="C19" s="148" t="s">
        <v>23814</v>
      </c>
      <c r="D19" s="150">
        <v>44044</v>
      </c>
      <c r="E19" s="113" t="s">
        <v>23813</v>
      </c>
      <c r="F19" s="257" t="s">
        <v>14408</v>
      </c>
      <c r="G19" s="258">
        <v>12.99</v>
      </c>
      <c r="I19" s="160">
        <f>+I18+G19-H19</f>
        <v>85071.94</v>
      </c>
    </row>
    <row r="20" spans="2:9" ht="19.5" hidden="1" x14ac:dyDescent="0.25">
      <c r="B20" s="148"/>
      <c r="C20" s="148" t="s">
        <v>23812</v>
      </c>
      <c r="D20" s="150">
        <v>44044</v>
      </c>
      <c r="E20" s="113" t="s">
        <v>23811</v>
      </c>
      <c r="F20" s="257" t="s">
        <v>14408</v>
      </c>
      <c r="G20" s="258">
        <v>8.5</v>
      </c>
      <c r="I20" s="160">
        <f t="shared" ref="I20:I83" si="0">+I19+G20-H20</f>
        <v>85080.44</v>
      </c>
    </row>
    <row r="21" spans="2:9" hidden="1" x14ac:dyDescent="0.25">
      <c r="B21" s="148"/>
      <c r="C21" s="148" t="s">
        <v>23810</v>
      </c>
      <c r="D21" s="150">
        <v>44044</v>
      </c>
      <c r="E21" s="113" t="s">
        <v>23809</v>
      </c>
      <c r="F21" s="257" t="s">
        <v>14408</v>
      </c>
      <c r="G21" s="258">
        <v>2.02</v>
      </c>
      <c r="I21" s="160">
        <f t="shared" si="0"/>
        <v>85082.46</v>
      </c>
    </row>
    <row r="22" spans="2:9" hidden="1" x14ac:dyDescent="0.25">
      <c r="B22" s="148"/>
      <c r="C22" s="148" t="s">
        <v>23808</v>
      </c>
      <c r="D22" s="150">
        <v>44044</v>
      </c>
      <c r="E22" s="113" t="s">
        <v>23807</v>
      </c>
      <c r="F22" s="257" t="s">
        <v>14408</v>
      </c>
      <c r="G22" s="258">
        <v>7.09</v>
      </c>
      <c r="I22" s="160">
        <f t="shared" si="0"/>
        <v>85089.55</v>
      </c>
    </row>
    <row r="23" spans="2:9" hidden="1" x14ac:dyDescent="0.25">
      <c r="B23" s="148"/>
      <c r="C23" s="148" t="s">
        <v>23806</v>
      </c>
      <c r="D23" s="150">
        <v>44044</v>
      </c>
      <c r="E23" s="113" t="s">
        <v>23805</v>
      </c>
      <c r="F23" s="257" t="s">
        <v>14408</v>
      </c>
      <c r="G23" s="258">
        <v>10.89</v>
      </c>
      <c r="I23" s="160">
        <f t="shared" si="0"/>
        <v>85100.44</v>
      </c>
    </row>
    <row r="24" spans="2:9" hidden="1" x14ac:dyDescent="0.25">
      <c r="B24" s="148"/>
      <c r="C24" s="148" t="s">
        <v>23804</v>
      </c>
      <c r="D24" s="150">
        <v>44044</v>
      </c>
      <c r="E24" s="113" t="s">
        <v>23803</v>
      </c>
      <c r="F24" s="257" t="s">
        <v>14408</v>
      </c>
      <c r="G24" s="258">
        <v>5</v>
      </c>
      <c r="I24" s="160">
        <f t="shared" si="0"/>
        <v>85105.44</v>
      </c>
    </row>
    <row r="25" spans="2:9" hidden="1" x14ac:dyDescent="0.25">
      <c r="B25" s="148"/>
      <c r="C25" s="148" t="s">
        <v>23802</v>
      </c>
      <c r="D25" s="150">
        <v>44044</v>
      </c>
      <c r="E25" s="113" t="s">
        <v>23801</v>
      </c>
      <c r="F25" s="257" t="s">
        <v>14408</v>
      </c>
      <c r="G25" s="258">
        <v>4.29</v>
      </c>
      <c r="I25" s="160">
        <f t="shared" si="0"/>
        <v>85109.73</v>
      </c>
    </row>
    <row r="26" spans="2:9" hidden="1" x14ac:dyDescent="0.25">
      <c r="B26" s="148"/>
      <c r="C26" s="148" t="s">
        <v>23800</v>
      </c>
      <c r="D26" s="150">
        <v>44044</v>
      </c>
      <c r="E26" s="113" t="s">
        <v>23799</v>
      </c>
      <c r="F26" s="257" t="s">
        <v>14408</v>
      </c>
      <c r="G26" s="258">
        <v>4.09</v>
      </c>
      <c r="I26" s="160">
        <f t="shared" si="0"/>
        <v>85113.819999999992</v>
      </c>
    </row>
    <row r="27" spans="2:9" hidden="1" x14ac:dyDescent="0.25">
      <c r="B27" s="148"/>
      <c r="C27" s="148" t="s">
        <v>23798</v>
      </c>
      <c r="D27" s="150">
        <v>44044</v>
      </c>
      <c r="E27" s="113" t="s">
        <v>23797</v>
      </c>
      <c r="F27" s="257" t="s">
        <v>14408</v>
      </c>
      <c r="G27" s="258">
        <v>15.2</v>
      </c>
      <c r="I27" s="160">
        <f t="shared" si="0"/>
        <v>85129.01999999999</v>
      </c>
    </row>
    <row r="28" spans="2:9" hidden="1" x14ac:dyDescent="0.25">
      <c r="B28" s="148"/>
      <c r="C28" s="148" t="s">
        <v>23796</v>
      </c>
      <c r="D28" s="150">
        <v>44044</v>
      </c>
      <c r="E28" s="113" t="s">
        <v>23795</v>
      </c>
      <c r="F28" s="257" t="s">
        <v>14408</v>
      </c>
      <c r="G28" s="258">
        <v>2.1800000000000002</v>
      </c>
      <c r="I28" s="160">
        <f t="shared" si="0"/>
        <v>85131.199999999983</v>
      </c>
    </row>
    <row r="29" spans="2:9" hidden="1" x14ac:dyDescent="0.25">
      <c r="B29" s="148"/>
      <c r="C29" s="148" t="s">
        <v>23794</v>
      </c>
      <c r="D29" s="150">
        <v>44044</v>
      </c>
      <c r="E29" s="113" t="s">
        <v>23793</v>
      </c>
      <c r="F29" s="257" t="s">
        <v>14408</v>
      </c>
      <c r="G29" s="258">
        <v>2.72</v>
      </c>
      <c r="I29" s="160">
        <f t="shared" si="0"/>
        <v>85133.919999999984</v>
      </c>
    </row>
    <row r="30" spans="2:9" hidden="1" x14ac:dyDescent="0.25">
      <c r="B30" s="148"/>
      <c r="C30" s="148" t="s">
        <v>23792</v>
      </c>
      <c r="D30" s="150">
        <v>44044</v>
      </c>
      <c r="E30" s="113" t="s">
        <v>23791</v>
      </c>
      <c r="F30" s="257" t="s">
        <v>14408</v>
      </c>
      <c r="G30" s="258">
        <v>4.1900000000000004</v>
      </c>
      <c r="I30" s="160">
        <f t="shared" si="0"/>
        <v>85138.109999999986</v>
      </c>
    </row>
    <row r="31" spans="2:9" ht="19.5" hidden="1" x14ac:dyDescent="0.25">
      <c r="B31" s="148"/>
      <c r="C31" s="148" t="s">
        <v>23790</v>
      </c>
      <c r="D31" s="150">
        <v>44044</v>
      </c>
      <c r="E31" s="113" t="s">
        <v>23789</v>
      </c>
      <c r="F31" s="257" t="s">
        <v>14408</v>
      </c>
      <c r="G31" s="258">
        <v>14.4</v>
      </c>
      <c r="I31" s="160">
        <f t="shared" si="0"/>
        <v>85152.50999999998</v>
      </c>
    </row>
    <row r="32" spans="2:9" ht="19.5" hidden="1" x14ac:dyDescent="0.25">
      <c r="B32" s="148"/>
      <c r="C32" s="148" t="s">
        <v>23788</v>
      </c>
      <c r="D32" s="150">
        <v>44045</v>
      </c>
      <c r="E32" s="113" t="s">
        <v>21893</v>
      </c>
      <c r="F32" s="257" t="s">
        <v>14408</v>
      </c>
      <c r="G32" s="258">
        <v>3.56</v>
      </c>
      <c r="I32" s="160">
        <f t="shared" si="0"/>
        <v>85156.069999999978</v>
      </c>
    </row>
    <row r="33" spans="2:9" hidden="1" x14ac:dyDescent="0.25">
      <c r="B33" s="148"/>
      <c r="C33" s="148" t="s">
        <v>23787</v>
      </c>
      <c r="D33" s="150">
        <v>44045</v>
      </c>
      <c r="E33" s="113" t="s">
        <v>23786</v>
      </c>
      <c r="F33" s="257" t="s">
        <v>14408</v>
      </c>
      <c r="G33" s="258">
        <v>2.6</v>
      </c>
      <c r="I33" s="160">
        <f t="shared" si="0"/>
        <v>85158.669999999984</v>
      </c>
    </row>
    <row r="34" spans="2:9" hidden="1" x14ac:dyDescent="0.25">
      <c r="B34" s="148"/>
      <c r="C34" s="148" t="s">
        <v>23785</v>
      </c>
      <c r="D34" s="150">
        <v>44045</v>
      </c>
      <c r="E34" s="113" t="s">
        <v>23784</v>
      </c>
      <c r="F34" s="257" t="s">
        <v>14408</v>
      </c>
      <c r="G34" s="258">
        <v>3.36</v>
      </c>
      <c r="I34" s="160">
        <f t="shared" si="0"/>
        <v>85162.029999999984</v>
      </c>
    </row>
    <row r="35" spans="2:9" ht="19.5" hidden="1" x14ac:dyDescent="0.25">
      <c r="B35" s="148"/>
      <c r="C35" s="148" t="s">
        <v>23783</v>
      </c>
      <c r="D35" s="150">
        <v>44045</v>
      </c>
      <c r="E35" s="113" t="s">
        <v>23782</v>
      </c>
      <c r="F35" s="257" t="s">
        <v>14408</v>
      </c>
      <c r="G35" s="258">
        <v>3.44</v>
      </c>
      <c r="I35" s="160">
        <f t="shared" si="0"/>
        <v>85165.469999999987</v>
      </c>
    </row>
    <row r="36" spans="2:9" hidden="1" x14ac:dyDescent="0.25">
      <c r="B36" s="148"/>
      <c r="C36" s="148" t="s">
        <v>23781</v>
      </c>
      <c r="D36" s="150">
        <v>44045</v>
      </c>
      <c r="E36" s="113" t="s">
        <v>23780</v>
      </c>
      <c r="F36" s="257" t="s">
        <v>14408</v>
      </c>
      <c r="G36" s="258">
        <v>8.4700000000000006</v>
      </c>
      <c r="I36" s="160">
        <f t="shared" si="0"/>
        <v>85173.939999999988</v>
      </c>
    </row>
    <row r="37" spans="2:9" ht="19.5" hidden="1" x14ac:dyDescent="0.25">
      <c r="B37" s="148"/>
      <c r="C37" s="148" t="s">
        <v>23779</v>
      </c>
      <c r="D37" s="150">
        <v>44045</v>
      </c>
      <c r="E37" s="113" t="s">
        <v>23778</v>
      </c>
      <c r="F37" s="257" t="s">
        <v>14408</v>
      </c>
      <c r="G37" s="258">
        <v>11.76</v>
      </c>
      <c r="I37" s="160">
        <f t="shared" si="0"/>
        <v>85185.699999999983</v>
      </c>
    </row>
    <row r="38" spans="2:9" ht="19.5" hidden="1" x14ac:dyDescent="0.25">
      <c r="B38" s="148"/>
      <c r="C38" s="148" t="s">
        <v>23777</v>
      </c>
      <c r="D38" s="150">
        <v>44045</v>
      </c>
      <c r="E38" s="113" t="s">
        <v>23776</v>
      </c>
      <c r="F38" s="257" t="s">
        <v>14408</v>
      </c>
      <c r="G38" s="258">
        <v>12.94</v>
      </c>
      <c r="I38" s="160">
        <f t="shared" si="0"/>
        <v>85198.639999999985</v>
      </c>
    </row>
    <row r="39" spans="2:9" hidden="1" x14ac:dyDescent="0.25">
      <c r="B39" s="148"/>
      <c r="C39" s="148" t="s">
        <v>23775</v>
      </c>
      <c r="D39" s="150">
        <v>44045</v>
      </c>
      <c r="E39" s="113" t="s">
        <v>23774</v>
      </c>
      <c r="F39" s="257" t="s">
        <v>14408</v>
      </c>
      <c r="G39" s="258">
        <v>1.69</v>
      </c>
      <c r="I39" s="160">
        <f t="shared" si="0"/>
        <v>85200.329999999987</v>
      </c>
    </row>
    <row r="40" spans="2:9" hidden="1" x14ac:dyDescent="0.25">
      <c r="B40" s="148"/>
      <c r="C40" s="148" t="s">
        <v>23773</v>
      </c>
      <c r="D40" s="150">
        <v>44046</v>
      </c>
      <c r="E40" s="113" t="s">
        <v>23771</v>
      </c>
      <c r="F40" s="257" t="s">
        <v>14433</v>
      </c>
      <c r="H40" s="161">
        <v>13.18</v>
      </c>
      <c r="I40" s="160">
        <f t="shared" si="0"/>
        <v>85187.15</v>
      </c>
    </row>
    <row r="41" spans="2:9" hidden="1" x14ac:dyDescent="0.25">
      <c r="B41" s="148"/>
      <c r="C41" s="148" t="s">
        <v>23772</v>
      </c>
      <c r="D41" s="150">
        <v>44046</v>
      </c>
      <c r="E41" s="113" t="s">
        <v>23771</v>
      </c>
      <c r="F41" s="257" t="s">
        <v>14433</v>
      </c>
      <c r="H41" s="161">
        <v>35.65</v>
      </c>
      <c r="I41" s="160">
        <f t="shared" si="0"/>
        <v>85151.5</v>
      </c>
    </row>
    <row r="42" spans="2:9" hidden="1" x14ac:dyDescent="0.25">
      <c r="B42" s="148"/>
      <c r="C42" s="148" t="s">
        <v>23770</v>
      </c>
      <c r="D42" s="150">
        <v>44046</v>
      </c>
      <c r="E42" s="113" t="s">
        <v>23769</v>
      </c>
      <c r="F42" s="257" t="s">
        <v>14436</v>
      </c>
      <c r="G42" s="160">
        <v>63.87</v>
      </c>
      <c r="I42" s="160">
        <f t="shared" si="0"/>
        <v>85215.37</v>
      </c>
    </row>
    <row r="43" spans="2:9" hidden="1" x14ac:dyDescent="0.25">
      <c r="B43" s="148"/>
      <c r="C43" s="148" t="s">
        <v>23768</v>
      </c>
      <c r="D43" s="150">
        <v>44046</v>
      </c>
      <c r="E43" s="113" t="s">
        <v>23767</v>
      </c>
      <c r="F43" s="257" t="s">
        <v>14408</v>
      </c>
      <c r="G43" s="258">
        <v>6.69</v>
      </c>
      <c r="I43" s="160">
        <f t="shared" si="0"/>
        <v>85222.06</v>
      </c>
    </row>
    <row r="44" spans="2:9" hidden="1" x14ac:dyDescent="0.25">
      <c r="B44" s="148"/>
      <c r="C44" s="148" t="s">
        <v>23766</v>
      </c>
      <c r="D44" s="150">
        <v>44046</v>
      </c>
      <c r="E44" s="113" t="s">
        <v>23765</v>
      </c>
      <c r="F44" s="257" t="s">
        <v>14408</v>
      </c>
      <c r="G44" s="258">
        <v>10.74</v>
      </c>
      <c r="I44" s="160">
        <f t="shared" si="0"/>
        <v>85232.8</v>
      </c>
    </row>
    <row r="45" spans="2:9" hidden="1" x14ac:dyDescent="0.25">
      <c r="B45" s="148"/>
      <c r="C45" s="148" t="s">
        <v>23764</v>
      </c>
      <c r="D45" s="150">
        <v>44046</v>
      </c>
      <c r="E45" s="113" t="s">
        <v>23763</v>
      </c>
      <c r="F45" s="257" t="s">
        <v>14408</v>
      </c>
      <c r="G45" s="258">
        <v>14.51</v>
      </c>
      <c r="I45" s="160">
        <f t="shared" si="0"/>
        <v>85247.31</v>
      </c>
    </row>
    <row r="46" spans="2:9" hidden="1" x14ac:dyDescent="0.25">
      <c r="B46" s="148"/>
      <c r="C46" s="148" t="s">
        <v>23762</v>
      </c>
      <c r="D46" s="150">
        <v>44046</v>
      </c>
      <c r="E46" s="113" t="s">
        <v>23761</v>
      </c>
      <c r="F46" s="257" t="s">
        <v>14408</v>
      </c>
      <c r="G46" s="258">
        <v>4.72</v>
      </c>
      <c r="I46" s="160">
        <f t="shared" si="0"/>
        <v>85252.03</v>
      </c>
    </row>
    <row r="47" spans="2:9" hidden="1" x14ac:dyDescent="0.25">
      <c r="B47" s="148"/>
      <c r="C47" s="148" t="s">
        <v>23760</v>
      </c>
      <c r="D47" s="150">
        <v>44046</v>
      </c>
      <c r="E47" s="113" t="s">
        <v>23759</v>
      </c>
      <c r="F47" s="257" t="s">
        <v>14408</v>
      </c>
      <c r="G47" s="258">
        <v>3.79</v>
      </c>
      <c r="I47" s="160">
        <f t="shared" si="0"/>
        <v>85255.819999999992</v>
      </c>
    </row>
    <row r="48" spans="2:9" hidden="1" x14ac:dyDescent="0.25">
      <c r="B48" s="148"/>
      <c r="C48" s="148" t="s">
        <v>23758</v>
      </c>
      <c r="D48" s="150">
        <v>44046</v>
      </c>
      <c r="E48" s="113" t="s">
        <v>23757</v>
      </c>
      <c r="F48" s="257" t="s">
        <v>14408</v>
      </c>
      <c r="G48" s="258">
        <v>10.11</v>
      </c>
      <c r="I48" s="160">
        <f t="shared" si="0"/>
        <v>85265.93</v>
      </c>
    </row>
    <row r="49" spans="2:9" ht="19.5" hidden="1" x14ac:dyDescent="0.25">
      <c r="B49" s="148"/>
      <c r="C49" s="148" t="s">
        <v>23756</v>
      </c>
      <c r="D49" s="150">
        <v>44046</v>
      </c>
      <c r="E49" s="113" t="s">
        <v>23755</v>
      </c>
      <c r="F49" s="257" t="s">
        <v>14408</v>
      </c>
      <c r="G49" s="258">
        <v>3.36</v>
      </c>
      <c r="I49" s="160">
        <f t="shared" si="0"/>
        <v>85269.29</v>
      </c>
    </row>
    <row r="50" spans="2:9" hidden="1" x14ac:dyDescent="0.25">
      <c r="B50" s="148"/>
      <c r="C50" s="148" t="s">
        <v>23754</v>
      </c>
      <c r="D50" s="150">
        <v>44046</v>
      </c>
      <c r="E50" s="113" t="s">
        <v>23753</v>
      </c>
      <c r="F50" s="257" t="s">
        <v>14408</v>
      </c>
      <c r="G50" s="258">
        <v>4.01</v>
      </c>
      <c r="I50" s="160">
        <f t="shared" si="0"/>
        <v>85273.299999999988</v>
      </c>
    </row>
    <row r="51" spans="2:9" hidden="1" x14ac:dyDescent="0.25">
      <c r="B51" s="148"/>
      <c r="C51" s="148" t="s">
        <v>23752</v>
      </c>
      <c r="D51" s="150">
        <v>44046</v>
      </c>
      <c r="E51" s="113" t="s">
        <v>23751</v>
      </c>
      <c r="F51" s="257" t="s">
        <v>14408</v>
      </c>
      <c r="G51" s="258">
        <v>1.68</v>
      </c>
      <c r="I51" s="160">
        <f t="shared" si="0"/>
        <v>85274.979999999981</v>
      </c>
    </row>
    <row r="52" spans="2:9" hidden="1" x14ac:dyDescent="0.25">
      <c r="B52" s="148"/>
      <c r="C52" s="148" t="s">
        <v>23750</v>
      </c>
      <c r="D52" s="150">
        <v>44046</v>
      </c>
      <c r="E52" s="113" t="s">
        <v>23749</v>
      </c>
      <c r="F52" s="257" t="s">
        <v>14408</v>
      </c>
      <c r="G52" s="258">
        <v>1.68</v>
      </c>
      <c r="I52" s="160">
        <f t="shared" si="0"/>
        <v>85276.659999999974</v>
      </c>
    </row>
    <row r="53" spans="2:9" hidden="1" x14ac:dyDescent="0.25">
      <c r="B53" s="148"/>
      <c r="C53" s="148" t="s">
        <v>23748</v>
      </c>
      <c r="D53" s="150">
        <v>44046</v>
      </c>
      <c r="E53" s="113" t="s">
        <v>23747</v>
      </c>
      <c r="F53" s="257" t="s">
        <v>14408</v>
      </c>
      <c r="G53" s="258">
        <v>6.68</v>
      </c>
      <c r="I53" s="160">
        <f t="shared" si="0"/>
        <v>85283.339999999967</v>
      </c>
    </row>
    <row r="54" spans="2:9" ht="19.5" hidden="1" x14ac:dyDescent="0.25">
      <c r="B54" s="148"/>
      <c r="C54" s="148" t="s">
        <v>23746</v>
      </c>
      <c r="D54" s="150">
        <v>44046</v>
      </c>
      <c r="E54" s="113" t="s">
        <v>23745</v>
      </c>
      <c r="F54" s="257" t="s">
        <v>14408</v>
      </c>
      <c r="G54" s="258">
        <v>7.21</v>
      </c>
      <c r="I54" s="160">
        <f t="shared" si="0"/>
        <v>85290.549999999974</v>
      </c>
    </row>
    <row r="55" spans="2:9" hidden="1" x14ac:dyDescent="0.25">
      <c r="B55" s="148"/>
      <c r="C55" s="148" t="s">
        <v>23744</v>
      </c>
      <c r="D55" s="150">
        <v>44046</v>
      </c>
      <c r="E55" s="113" t="s">
        <v>23743</v>
      </c>
      <c r="F55" s="257" t="s">
        <v>14408</v>
      </c>
      <c r="G55" s="258">
        <v>30.6</v>
      </c>
      <c r="I55" s="160">
        <f t="shared" si="0"/>
        <v>85321.14999999998</v>
      </c>
    </row>
    <row r="56" spans="2:9" ht="19.5" hidden="1" x14ac:dyDescent="0.25">
      <c r="B56" s="148"/>
      <c r="C56" s="148" t="s">
        <v>23742</v>
      </c>
      <c r="D56" s="150">
        <v>44046</v>
      </c>
      <c r="E56" s="113" t="s">
        <v>23741</v>
      </c>
      <c r="F56" s="257" t="s">
        <v>14408</v>
      </c>
      <c r="G56" s="258">
        <v>41.9</v>
      </c>
      <c r="I56" s="160">
        <f t="shared" si="0"/>
        <v>85363.049999999974</v>
      </c>
    </row>
    <row r="57" spans="2:9" ht="19.5" hidden="1" x14ac:dyDescent="0.25">
      <c r="B57" s="148"/>
      <c r="C57" s="148" t="s">
        <v>23740</v>
      </c>
      <c r="D57" s="150">
        <v>44046</v>
      </c>
      <c r="E57" s="113" t="s">
        <v>23739</v>
      </c>
      <c r="F57" s="257" t="s">
        <v>14408</v>
      </c>
      <c r="G57" s="258">
        <v>34.700000000000003</v>
      </c>
      <c r="I57" s="160">
        <f t="shared" si="0"/>
        <v>85397.749999999971</v>
      </c>
    </row>
    <row r="58" spans="2:9" hidden="1" x14ac:dyDescent="0.25">
      <c r="B58" s="148"/>
      <c r="C58" s="148" t="s">
        <v>23738</v>
      </c>
      <c r="D58" s="150">
        <v>44046</v>
      </c>
      <c r="E58" s="113" t="s">
        <v>23737</v>
      </c>
      <c r="F58" s="257" t="s">
        <v>14408</v>
      </c>
      <c r="G58" s="258">
        <v>7.15</v>
      </c>
      <c r="I58" s="160">
        <f t="shared" si="0"/>
        <v>85404.899999999965</v>
      </c>
    </row>
    <row r="59" spans="2:9" hidden="1" x14ac:dyDescent="0.25">
      <c r="B59" s="148"/>
      <c r="C59" s="148" t="s">
        <v>23736</v>
      </c>
      <c r="D59" s="150">
        <v>44046</v>
      </c>
      <c r="E59" s="113" t="s">
        <v>23735</v>
      </c>
      <c r="F59" s="257" t="s">
        <v>14408</v>
      </c>
      <c r="G59" s="258">
        <v>10.02</v>
      </c>
      <c r="I59" s="160">
        <f t="shared" si="0"/>
        <v>85414.919999999969</v>
      </c>
    </row>
    <row r="60" spans="2:9" ht="19.5" hidden="1" x14ac:dyDescent="0.25">
      <c r="B60" s="148"/>
      <c r="C60" s="148" t="s">
        <v>23734</v>
      </c>
      <c r="D60" s="150">
        <v>44046</v>
      </c>
      <c r="E60" s="113" t="s">
        <v>23733</v>
      </c>
      <c r="F60" s="257" t="s">
        <v>14408</v>
      </c>
      <c r="G60" s="258">
        <v>13.18</v>
      </c>
      <c r="I60" s="160">
        <f t="shared" si="0"/>
        <v>85428.099999999962</v>
      </c>
    </row>
    <row r="61" spans="2:9" hidden="1" x14ac:dyDescent="0.25">
      <c r="B61" s="148"/>
      <c r="C61" s="148" t="s">
        <v>23732</v>
      </c>
      <c r="D61" s="150">
        <v>44046</v>
      </c>
      <c r="E61" s="113" t="s">
        <v>23731</v>
      </c>
      <c r="F61" s="257" t="s">
        <v>14408</v>
      </c>
      <c r="G61" s="258">
        <v>5.05</v>
      </c>
      <c r="I61" s="160">
        <f t="shared" si="0"/>
        <v>85433.149999999965</v>
      </c>
    </row>
    <row r="62" spans="2:9" ht="19.5" hidden="1" x14ac:dyDescent="0.25">
      <c r="B62" s="148"/>
      <c r="C62" s="148" t="s">
        <v>23730</v>
      </c>
      <c r="D62" s="150">
        <v>44046</v>
      </c>
      <c r="E62" s="113" t="s">
        <v>23729</v>
      </c>
      <c r="F62" s="257" t="s">
        <v>14408</v>
      </c>
      <c r="G62" s="258">
        <v>41.8</v>
      </c>
      <c r="I62" s="160">
        <f t="shared" si="0"/>
        <v>85474.949999999968</v>
      </c>
    </row>
    <row r="63" spans="2:9" hidden="1" x14ac:dyDescent="0.25">
      <c r="B63" s="148"/>
      <c r="C63" s="148" t="s">
        <v>23728</v>
      </c>
      <c r="D63" s="150">
        <v>44046</v>
      </c>
      <c r="E63" s="113" t="s">
        <v>23727</v>
      </c>
      <c r="F63" s="257" t="s">
        <v>14408</v>
      </c>
      <c r="G63" s="258">
        <v>1.68</v>
      </c>
      <c r="I63" s="160">
        <f t="shared" si="0"/>
        <v>85476.629999999961</v>
      </c>
    </row>
    <row r="64" spans="2:9" ht="19.5" hidden="1" x14ac:dyDescent="0.25">
      <c r="B64" s="148"/>
      <c r="C64" s="148" t="s">
        <v>23726</v>
      </c>
      <c r="D64" s="150">
        <v>44046</v>
      </c>
      <c r="E64" s="113" t="s">
        <v>23725</v>
      </c>
      <c r="F64" s="257" t="s">
        <v>14408</v>
      </c>
      <c r="G64" s="258">
        <v>30.3</v>
      </c>
      <c r="I64" s="160">
        <f t="shared" si="0"/>
        <v>85506.929999999964</v>
      </c>
    </row>
    <row r="65" spans="2:9" hidden="1" x14ac:dyDescent="0.25">
      <c r="B65" s="148"/>
      <c r="C65" s="148" t="s">
        <v>23724</v>
      </c>
      <c r="D65" s="150">
        <v>44046</v>
      </c>
      <c r="E65" s="113" t="s">
        <v>23723</v>
      </c>
      <c r="F65" s="257" t="s">
        <v>14408</v>
      </c>
      <c r="G65" s="258">
        <v>3.06</v>
      </c>
      <c r="I65" s="160">
        <f t="shared" si="0"/>
        <v>85509.989999999962</v>
      </c>
    </row>
    <row r="66" spans="2:9" ht="19.5" hidden="1" x14ac:dyDescent="0.25">
      <c r="B66" s="148"/>
      <c r="C66" s="148" t="s">
        <v>23722</v>
      </c>
      <c r="D66" s="150">
        <v>44046</v>
      </c>
      <c r="E66" s="113" t="s">
        <v>23721</v>
      </c>
      <c r="F66" s="257" t="s">
        <v>14408</v>
      </c>
      <c r="G66" s="258">
        <v>39.81</v>
      </c>
      <c r="I66" s="160">
        <f t="shared" si="0"/>
        <v>85549.799999999959</v>
      </c>
    </row>
    <row r="67" spans="2:9" hidden="1" x14ac:dyDescent="0.25">
      <c r="B67" s="148"/>
      <c r="C67" s="148" t="s">
        <v>23720</v>
      </c>
      <c r="D67" s="150">
        <v>44046</v>
      </c>
      <c r="E67" s="113" t="s">
        <v>23719</v>
      </c>
      <c r="F67" s="257" t="s">
        <v>14408</v>
      </c>
      <c r="G67" s="258">
        <v>1.74</v>
      </c>
      <c r="I67" s="160">
        <f t="shared" si="0"/>
        <v>85551.539999999964</v>
      </c>
    </row>
    <row r="68" spans="2:9" hidden="1" x14ac:dyDescent="0.25">
      <c r="B68" s="148"/>
      <c r="C68" s="148" t="s">
        <v>23718</v>
      </c>
      <c r="D68" s="150">
        <v>44046</v>
      </c>
      <c r="E68" s="113" t="s">
        <v>23717</v>
      </c>
      <c r="F68" s="257" t="s">
        <v>14408</v>
      </c>
      <c r="G68" s="258">
        <v>2.96</v>
      </c>
      <c r="I68" s="160">
        <f t="shared" si="0"/>
        <v>85554.499999999971</v>
      </c>
    </row>
    <row r="69" spans="2:9" ht="19.5" hidden="1" x14ac:dyDescent="0.25">
      <c r="B69" s="148"/>
      <c r="C69" s="148" t="s">
        <v>23716</v>
      </c>
      <c r="D69" s="150">
        <v>44046</v>
      </c>
      <c r="E69" s="113" t="s">
        <v>23715</v>
      </c>
      <c r="F69" s="257" t="s">
        <v>14408</v>
      </c>
      <c r="G69" s="258">
        <v>11.34</v>
      </c>
      <c r="I69" s="160">
        <f t="shared" si="0"/>
        <v>85565.839999999967</v>
      </c>
    </row>
    <row r="70" spans="2:9" hidden="1" x14ac:dyDescent="0.25">
      <c r="B70" s="148"/>
      <c r="C70" s="148" t="s">
        <v>23714</v>
      </c>
      <c r="D70" s="150">
        <v>44046</v>
      </c>
      <c r="E70" s="113" t="s">
        <v>23713</v>
      </c>
      <c r="F70" s="257" t="s">
        <v>14408</v>
      </c>
      <c r="G70" s="258">
        <v>5.66</v>
      </c>
      <c r="I70" s="160">
        <f t="shared" si="0"/>
        <v>85571.499999999971</v>
      </c>
    </row>
    <row r="71" spans="2:9" hidden="1" x14ac:dyDescent="0.25">
      <c r="B71" s="148"/>
      <c r="C71" s="148" t="s">
        <v>23712</v>
      </c>
      <c r="D71" s="150">
        <v>44046</v>
      </c>
      <c r="E71" s="113" t="s">
        <v>23711</v>
      </c>
      <c r="F71" s="257" t="s">
        <v>14408</v>
      </c>
      <c r="G71" s="258">
        <v>7.82</v>
      </c>
      <c r="I71" s="160">
        <f t="shared" si="0"/>
        <v>85579.319999999978</v>
      </c>
    </row>
    <row r="72" spans="2:9" hidden="1" x14ac:dyDescent="0.25">
      <c r="B72" s="148"/>
      <c r="C72" s="148" t="s">
        <v>23710</v>
      </c>
      <c r="D72" s="150">
        <v>44046</v>
      </c>
      <c r="E72" s="113" t="s">
        <v>23709</v>
      </c>
      <c r="F72" s="257" t="s">
        <v>14408</v>
      </c>
      <c r="G72" s="258">
        <v>2.13</v>
      </c>
      <c r="I72" s="160">
        <f t="shared" si="0"/>
        <v>85581.449999999983</v>
      </c>
    </row>
    <row r="73" spans="2:9" hidden="1" x14ac:dyDescent="0.25">
      <c r="B73" s="148"/>
      <c r="C73" s="148" t="s">
        <v>23708</v>
      </c>
      <c r="D73" s="150">
        <v>44046</v>
      </c>
      <c r="E73" s="113" t="s">
        <v>23707</v>
      </c>
      <c r="F73" s="257" t="s">
        <v>14408</v>
      </c>
      <c r="G73" s="258">
        <v>1.68</v>
      </c>
      <c r="I73" s="160">
        <f t="shared" si="0"/>
        <v>85583.129999999976</v>
      </c>
    </row>
    <row r="74" spans="2:9" hidden="1" x14ac:dyDescent="0.25">
      <c r="B74" s="148"/>
      <c r="C74" s="148" t="s">
        <v>23706</v>
      </c>
      <c r="D74" s="150">
        <v>44046</v>
      </c>
      <c r="E74" s="113" t="s">
        <v>23705</v>
      </c>
      <c r="F74" s="257" t="s">
        <v>14408</v>
      </c>
      <c r="G74" s="258">
        <v>8.66</v>
      </c>
      <c r="I74" s="160">
        <f t="shared" si="0"/>
        <v>85591.789999999979</v>
      </c>
    </row>
    <row r="75" spans="2:9" hidden="1" x14ac:dyDescent="0.25">
      <c r="B75" s="148"/>
      <c r="C75" s="148" t="s">
        <v>23704</v>
      </c>
      <c r="D75" s="150">
        <v>44046</v>
      </c>
      <c r="E75" s="113" t="s">
        <v>23703</v>
      </c>
      <c r="F75" s="257">
        <v>1</v>
      </c>
      <c r="G75" s="255">
        <v>1.9</v>
      </c>
      <c r="I75" s="160">
        <f t="shared" si="0"/>
        <v>85593.689999999973</v>
      </c>
    </row>
    <row r="76" spans="2:9" hidden="1" x14ac:dyDescent="0.25">
      <c r="B76" s="148"/>
      <c r="C76" s="148" t="s">
        <v>23702</v>
      </c>
      <c r="D76" s="150">
        <v>44046</v>
      </c>
      <c r="E76" s="113" t="s">
        <v>23701</v>
      </c>
      <c r="F76" s="257">
        <v>1</v>
      </c>
      <c r="G76" s="255">
        <v>2.27</v>
      </c>
      <c r="I76" s="160">
        <f t="shared" si="0"/>
        <v>85595.959999999977</v>
      </c>
    </row>
    <row r="77" spans="2:9" hidden="1" x14ac:dyDescent="0.25">
      <c r="B77" s="148"/>
      <c r="C77" s="148" t="s">
        <v>23700</v>
      </c>
      <c r="D77" s="150">
        <v>44046</v>
      </c>
      <c r="E77" s="113" t="s">
        <v>23699</v>
      </c>
      <c r="F77" s="257">
        <v>1</v>
      </c>
      <c r="G77" s="255">
        <v>17.899999999999999</v>
      </c>
      <c r="I77" s="160">
        <f t="shared" si="0"/>
        <v>85613.859999999971</v>
      </c>
    </row>
    <row r="78" spans="2:9" hidden="1" x14ac:dyDescent="0.25">
      <c r="B78" s="148"/>
      <c r="C78" s="148" t="s">
        <v>23698</v>
      </c>
      <c r="D78" s="150">
        <v>44046</v>
      </c>
      <c r="E78" s="113" t="s">
        <v>23697</v>
      </c>
      <c r="F78" s="257">
        <v>1</v>
      </c>
      <c r="G78" s="255">
        <v>1.68</v>
      </c>
      <c r="I78" s="160">
        <f t="shared" si="0"/>
        <v>85615.539999999964</v>
      </c>
    </row>
    <row r="79" spans="2:9" hidden="1" x14ac:dyDescent="0.25">
      <c r="B79" s="148"/>
      <c r="C79" s="148" t="s">
        <v>23696</v>
      </c>
      <c r="D79" s="150">
        <v>44046</v>
      </c>
      <c r="E79" s="113" t="s">
        <v>23695</v>
      </c>
      <c r="F79" s="257">
        <v>1</v>
      </c>
      <c r="G79" s="255">
        <v>3.36</v>
      </c>
      <c r="I79" s="160">
        <f t="shared" si="0"/>
        <v>85618.899999999965</v>
      </c>
    </row>
    <row r="80" spans="2:9" hidden="1" x14ac:dyDescent="0.25">
      <c r="B80" s="148"/>
      <c r="C80" s="148" t="s">
        <v>23694</v>
      </c>
      <c r="D80" s="150">
        <v>44046</v>
      </c>
      <c r="E80" s="113" t="s">
        <v>23693</v>
      </c>
      <c r="F80" s="257">
        <v>1</v>
      </c>
      <c r="G80" s="255">
        <v>8.3800000000000008</v>
      </c>
      <c r="I80" s="160">
        <f t="shared" si="0"/>
        <v>85627.27999999997</v>
      </c>
    </row>
    <row r="81" spans="2:9" hidden="1" x14ac:dyDescent="0.25">
      <c r="B81" s="148"/>
      <c r="C81" s="148" t="s">
        <v>23692</v>
      </c>
      <c r="D81" s="150">
        <v>44046</v>
      </c>
      <c r="E81" s="113" t="s">
        <v>23691</v>
      </c>
      <c r="F81" s="257">
        <v>1</v>
      </c>
      <c r="G81" s="255">
        <v>4.1900000000000004</v>
      </c>
      <c r="I81" s="160">
        <f t="shared" si="0"/>
        <v>85631.469999999972</v>
      </c>
    </row>
    <row r="82" spans="2:9" hidden="1" x14ac:dyDescent="0.25">
      <c r="B82" s="148"/>
      <c r="C82" s="148" t="s">
        <v>23690</v>
      </c>
      <c r="D82" s="150">
        <v>44046</v>
      </c>
      <c r="E82" s="113" t="s">
        <v>23689</v>
      </c>
      <c r="F82" s="257">
        <v>1</v>
      </c>
      <c r="G82" s="255">
        <v>1.68</v>
      </c>
      <c r="I82" s="160">
        <f t="shared" si="0"/>
        <v>85633.149999999965</v>
      </c>
    </row>
    <row r="83" spans="2:9" hidden="1" x14ac:dyDescent="0.25">
      <c r="B83" s="148"/>
      <c r="C83" s="148" t="s">
        <v>23688</v>
      </c>
      <c r="D83" s="150">
        <v>44046</v>
      </c>
      <c r="E83" s="113" t="s">
        <v>23687</v>
      </c>
      <c r="F83" s="257">
        <v>1</v>
      </c>
      <c r="G83" s="255">
        <v>8.3800000000000008</v>
      </c>
      <c r="I83" s="160">
        <f t="shared" si="0"/>
        <v>85641.52999999997</v>
      </c>
    </row>
    <row r="84" spans="2:9" hidden="1" x14ac:dyDescent="0.25">
      <c r="B84" s="148"/>
      <c r="C84" s="148" t="s">
        <v>23686</v>
      </c>
      <c r="D84" s="150">
        <v>44046</v>
      </c>
      <c r="E84" s="113" t="s">
        <v>23685</v>
      </c>
      <c r="F84" s="257">
        <v>1</v>
      </c>
      <c r="G84" s="255">
        <v>2.56</v>
      </c>
      <c r="I84" s="160">
        <f t="shared" ref="I84:I147" si="1">+I83+G84-H84</f>
        <v>85644.089999999967</v>
      </c>
    </row>
    <row r="85" spans="2:9" hidden="1" x14ac:dyDescent="0.25">
      <c r="B85" s="148"/>
      <c r="C85" s="148" t="s">
        <v>23684</v>
      </c>
      <c r="D85" s="150">
        <v>44046</v>
      </c>
      <c r="E85" s="113" t="s">
        <v>23683</v>
      </c>
      <c r="F85" s="257">
        <v>1</v>
      </c>
      <c r="G85" s="255">
        <v>7.82</v>
      </c>
      <c r="I85" s="160">
        <f t="shared" si="1"/>
        <v>85651.909999999974</v>
      </c>
    </row>
    <row r="86" spans="2:9" hidden="1" x14ac:dyDescent="0.25">
      <c r="B86" s="148"/>
      <c r="C86" s="148" t="s">
        <v>23682</v>
      </c>
      <c r="D86" s="150">
        <v>44046</v>
      </c>
      <c r="E86" s="113" t="s">
        <v>23681</v>
      </c>
      <c r="F86" s="257">
        <v>1</v>
      </c>
      <c r="G86" s="255">
        <v>12.3</v>
      </c>
      <c r="I86" s="160">
        <f t="shared" si="1"/>
        <v>85664.209999999977</v>
      </c>
    </row>
    <row r="87" spans="2:9" hidden="1" x14ac:dyDescent="0.25">
      <c r="B87" s="148"/>
      <c r="C87" s="148" t="s">
        <v>23680</v>
      </c>
      <c r="D87" s="150">
        <v>44046</v>
      </c>
      <c r="E87" s="113" t="s">
        <v>23679</v>
      </c>
      <c r="F87" s="257">
        <v>1</v>
      </c>
      <c r="G87" s="255">
        <v>3.47</v>
      </c>
      <c r="I87" s="160">
        <f t="shared" si="1"/>
        <v>85667.679999999978</v>
      </c>
    </row>
    <row r="88" spans="2:9" hidden="1" x14ac:dyDescent="0.25">
      <c r="B88" s="148"/>
      <c r="C88" s="148" t="s">
        <v>23678</v>
      </c>
      <c r="D88" s="150">
        <v>44046</v>
      </c>
      <c r="E88" s="113" t="s">
        <v>23677</v>
      </c>
      <c r="F88" s="257">
        <v>1</v>
      </c>
      <c r="G88" s="255">
        <v>5.21</v>
      </c>
      <c r="I88" s="160">
        <f t="shared" si="1"/>
        <v>85672.889999999985</v>
      </c>
    </row>
    <row r="89" spans="2:9" hidden="1" x14ac:dyDescent="0.25">
      <c r="B89" s="148"/>
      <c r="C89" s="148" t="s">
        <v>23676</v>
      </c>
      <c r="D89" s="150">
        <v>44046</v>
      </c>
      <c r="E89" s="113" t="s">
        <v>23675</v>
      </c>
      <c r="F89" s="257">
        <v>1</v>
      </c>
      <c r="G89" s="255">
        <v>7.82</v>
      </c>
      <c r="I89" s="160">
        <f t="shared" si="1"/>
        <v>85680.709999999992</v>
      </c>
    </row>
    <row r="90" spans="2:9" hidden="1" x14ac:dyDescent="0.25">
      <c r="B90" s="148"/>
      <c r="C90" s="148" t="s">
        <v>23674</v>
      </c>
      <c r="D90" s="150">
        <v>44046</v>
      </c>
      <c r="E90" s="113" t="s">
        <v>23673</v>
      </c>
      <c r="F90" s="257">
        <v>1</v>
      </c>
      <c r="G90" s="255">
        <v>1.68</v>
      </c>
      <c r="I90" s="160">
        <f t="shared" si="1"/>
        <v>85682.389999999985</v>
      </c>
    </row>
    <row r="91" spans="2:9" hidden="1" x14ac:dyDescent="0.25">
      <c r="B91" s="148"/>
      <c r="C91" s="148" t="s">
        <v>23672</v>
      </c>
      <c r="D91" s="150">
        <v>44046</v>
      </c>
      <c r="E91" s="113" t="s">
        <v>23671</v>
      </c>
      <c r="F91" s="257">
        <v>1</v>
      </c>
      <c r="G91" s="255">
        <v>4.1900000000000004</v>
      </c>
      <c r="I91" s="160">
        <f t="shared" si="1"/>
        <v>85686.579999999987</v>
      </c>
    </row>
    <row r="92" spans="2:9" hidden="1" x14ac:dyDescent="0.25">
      <c r="B92" s="148"/>
      <c r="C92" s="148" t="s">
        <v>23670</v>
      </c>
      <c r="D92" s="150">
        <v>44046</v>
      </c>
      <c r="E92" s="113" t="s">
        <v>23669</v>
      </c>
      <c r="F92" s="257">
        <v>1</v>
      </c>
      <c r="G92" s="255">
        <v>3.89</v>
      </c>
      <c r="I92" s="160">
        <f t="shared" si="1"/>
        <v>85690.469999999987</v>
      </c>
    </row>
    <row r="93" spans="2:9" hidden="1" x14ac:dyDescent="0.25">
      <c r="B93" s="148"/>
      <c r="C93" s="148" t="s">
        <v>23668</v>
      </c>
      <c r="D93" s="150">
        <v>44046</v>
      </c>
      <c r="E93" s="113" t="s">
        <v>23667</v>
      </c>
      <c r="F93" s="257">
        <v>1</v>
      </c>
      <c r="G93" s="255">
        <v>12.89</v>
      </c>
      <c r="I93" s="160">
        <f t="shared" si="1"/>
        <v>85703.359999999986</v>
      </c>
    </row>
    <row r="94" spans="2:9" hidden="1" x14ac:dyDescent="0.25">
      <c r="B94" s="148"/>
      <c r="C94" s="148" t="s">
        <v>23666</v>
      </c>
      <c r="D94" s="150">
        <v>44046</v>
      </c>
      <c r="E94" s="113" t="s">
        <v>23665</v>
      </c>
      <c r="F94" s="257">
        <v>1</v>
      </c>
      <c r="G94" s="255">
        <v>1.68</v>
      </c>
      <c r="I94" s="160">
        <f t="shared" si="1"/>
        <v>85705.039999999979</v>
      </c>
    </row>
    <row r="95" spans="2:9" hidden="1" x14ac:dyDescent="0.25">
      <c r="B95" s="148"/>
      <c r="C95" s="148" t="s">
        <v>23664</v>
      </c>
      <c r="D95" s="150">
        <v>44046</v>
      </c>
      <c r="E95" s="113" t="s">
        <v>23663</v>
      </c>
      <c r="F95" s="257">
        <v>1</v>
      </c>
      <c r="G95" s="255">
        <v>8.3800000000000008</v>
      </c>
      <c r="I95" s="160">
        <f t="shared" si="1"/>
        <v>85713.419999999984</v>
      </c>
    </row>
    <row r="96" spans="2:9" hidden="1" x14ac:dyDescent="0.25">
      <c r="B96" s="148"/>
      <c r="C96" s="148" t="s">
        <v>23662</v>
      </c>
      <c r="D96" s="150">
        <v>44046</v>
      </c>
      <c r="E96" s="113" t="s">
        <v>23661</v>
      </c>
      <c r="F96" s="257">
        <v>1</v>
      </c>
      <c r="G96" s="255">
        <v>8.2799999999999994</v>
      </c>
      <c r="I96" s="160">
        <f t="shared" si="1"/>
        <v>85721.699999999983</v>
      </c>
    </row>
    <row r="97" spans="2:9" hidden="1" x14ac:dyDescent="0.25">
      <c r="B97" s="148"/>
      <c r="C97" s="148" t="s">
        <v>23660</v>
      </c>
      <c r="D97" s="150">
        <v>44046</v>
      </c>
      <c r="E97" s="113" t="s">
        <v>23659</v>
      </c>
      <c r="F97" s="257">
        <v>1</v>
      </c>
      <c r="G97" s="255">
        <v>4.55</v>
      </c>
      <c r="I97" s="160">
        <f t="shared" si="1"/>
        <v>85726.249999999985</v>
      </c>
    </row>
    <row r="98" spans="2:9" hidden="1" x14ac:dyDescent="0.25">
      <c r="B98" s="148"/>
      <c r="C98" s="148" t="s">
        <v>23658</v>
      </c>
      <c r="D98" s="150">
        <v>44046</v>
      </c>
      <c r="E98" s="113" t="s">
        <v>23657</v>
      </c>
      <c r="F98" s="257">
        <v>1</v>
      </c>
      <c r="G98" s="255">
        <v>7.82</v>
      </c>
      <c r="I98" s="160">
        <f t="shared" si="1"/>
        <v>85734.069999999992</v>
      </c>
    </row>
    <row r="99" spans="2:9" hidden="1" x14ac:dyDescent="0.25">
      <c r="B99" s="148"/>
      <c r="C99" s="148" t="s">
        <v>23656</v>
      </c>
      <c r="D99" s="150">
        <v>44046</v>
      </c>
      <c r="E99" s="113" t="s">
        <v>23655</v>
      </c>
      <c r="F99" s="257">
        <v>1</v>
      </c>
      <c r="G99" s="255">
        <v>6.94</v>
      </c>
      <c r="I99" s="160">
        <f t="shared" si="1"/>
        <v>85741.01</v>
      </c>
    </row>
    <row r="100" spans="2:9" hidden="1" x14ac:dyDescent="0.25">
      <c r="B100" s="148"/>
      <c r="C100" s="148" t="s">
        <v>23654</v>
      </c>
      <c r="D100" s="150">
        <v>44046</v>
      </c>
      <c r="E100" s="113" t="s">
        <v>23653</v>
      </c>
      <c r="F100" s="257">
        <v>1</v>
      </c>
      <c r="G100" s="255">
        <v>1.68</v>
      </c>
      <c r="I100" s="160">
        <f t="shared" si="1"/>
        <v>85742.689999999988</v>
      </c>
    </row>
    <row r="101" spans="2:9" hidden="1" x14ac:dyDescent="0.25">
      <c r="B101" s="148"/>
      <c r="C101" s="148" t="s">
        <v>23652</v>
      </c>
      <c r="D101" s="150">
        <v>44046</v>
      </c>
      <c r="E101" s="113" t="s">
        <v>23651</v>
      </c>
      <c r="F101" s="257">
        <v>1</v>
      </c>
      <c r="G101" s="255">
        <v>8.3800000000000008</v>
      </c>
      <c r="I101" s="160">
        <f t="shared" si="1"/>
        <v>85751.069999999992</v>
      </c>
    </row>
    <row r="102" spans="2:9" hidden="1" x14ac:dyDescent="0.25">
      <c r="B102" s="148"/>
      <c r="C102" s="148" t="s">
        <v>23650</v>
      </c>
      <c r="D102" s="150">
        <v>44046</v>
      </c>
      <c r="E102" s="113" t="s">
        <v>23649</v>
      </c>
      <c r="F102" s="257">
        <v>1</v>
      </c>
      <c r="G102" s="255">
        <v>11.7</v>
      </c>
      <c r="I102" s="160">
        <f t="shared" si="1"/>
        <v>85762.76999999999</v>
      </c>
    </row>
    <row r="103" spans="2:9" hidden="1" x14ac:dyDescent="0.25">
      <c r="B103" s="148"/>
      <c r="C103" s="148" t="s">
        <v>23648</v>
      </c>
      <c r="D103" s="150">
        <v>44046</v>
      </c>
      <c r="E103" s="113" t="s">
        <v>23647</v>
      </c>
      <c r="F103" s="257">
        <v>1</v>
      </c>
      <c r="G103" s="255">
        <v>7.03</v>
      </c>
      <c r="I103" s="160">
        <f t="shared" si="1"/>
        <v>85769.799999999988</v>
      </c>
    </row>
    <row r="104" spans="2:9" hidden="1" x14ac:dyDescent="0.25">
      <c r="B104" s="148"/>
      <c r="C104" s="148" t="s">
        <v>23646</v>
      </c>
      <c r="D104" s="150">
        <v>44046</v>
      </c>
      <c r="E104" s="113" t="s">
        <v>23645</v>
      </c>
      <c r="F104" s="257">
        <v>1</v>
      </c>
      <c r="G104" s="255">
        <v>4</v>
      </c>
      <c r="I104" s="160">
        <f t="shared" si="1"/>
        <v>85773.799999999988</v>
      </c>
    </row>
    <row r="105" spans="2:9" hidden="1" x14ac:dyDescent="0.25">
      <c r="B105" s="148"/>
      <c r="C105" s="148" t="s">
        <v>23644</v>
      </c>
      <c r="D105" s="150">
        <v>44046</v>
      </c>
      <c r="E105" s="113" t="s">
        <v>23643</v>
      </c>
      <c r="F105" s="257">
        <v>1</v>
      </c>
      <c r="G105" s="255">
        <v>38.11</v>
      </c>
      <c r="I105" s="160">
        <f t="shared" si="1"/>
        <v>85811.909999999989</v>
      </c>
    </row>
    <row r="106" spans="2:9" hidden="1" x14ac:dyDescent="0.25">
      <c r="B106" s="148"/>
      <c r="C106" s="148" t="s">
        <v>23642</v>
      </c>
      <c r="D106" s="150">
        <v>44046</v>
      </c>
      <c r="E106" s="113" t="s">
        <v>23641</v>
      </c>
      <c r="F106" s="257">
        <v>1</v>
      </c>
      <c r="G106" s="255">
        <v>8.3800000000000008</v>
      </c>
      <c r="I106" s="160">
        <f t="shared" si="1"/>
        <v>85820.29</v>
      </c>
    </row>
    <row r="107" spans="2:9" hidden="1" x14ac:dyDescent="0.25">
      <c r="B107" s="148"/>
      <c r="C107" s="148" t="s">
        <v>23640</v>
      </c>
      <c r="D107" s="150">
        <v>44046</v>
      </c>
      <c r="E107" s="113" t="s">
        <v>23639</v>
      </c>
      <c r="F107" s="257">
        <v>1</v>
      </c>
      <c r="G107" s="255">
        <v>6.94</v>
      </c>
      <c r="I107" s="160">
        <f t="shared" si="1"/>
        <v>85827.23</v>
      </c>
    </row>
    <row r="108" spans="2:9" hidden="1" x14ac:dyDescent="0.25">
      <c r="B108" s="148"/>
      <c r="C108" s="148" t="s">
        <v>23638</v>
      </c>
      <c r="D108" s="150">
        <v>44046</v>
      </c>
      <c r="E108" s="113" t="s">
        <v>23637</v>
      </c>
      <c r="F108" s="257">
        <v>1</v>
      </c>
      <c r="G108" s="255">
        <v>1.92</v>
      </c>
      <c r="I108" s="160">
        <f t="shared" si="1"/>
        <v>85829.15</v>
      </c>
    </row>
    <row r="109" spans="2:9" hidden="1" x14ac:dyDescent="0.25">
      <c r="B109" s="148"/>
      <c r="C109" s="148" t="s">
        <v>23636</v>
      </c>
      <c r="D109" s="150">
        <v>44046</v>
      </c>
      <c r="E109" s="113" t="s">
        <v>23635</v>
      </c>
      <c r="F109" s="257">
        <v>1</v>
      </c>
      <c r="G109" s="255">
        <v>4.46</v>
      </c>
      <c r="I109" s="160">
        <f t="shared" si="1"/>
        <v>85833.61</v>
      </c>
    </row>
    <row r="110" spans="2:9" hidden="1" x14ac:dyDescent="0.25">
      <c r="B110" s="148"/>
      <c r="C110" s="148" t="s">
        <v>23634</v>
      </c>
      <c r="D110" s="150">
        <v>44046</v>
      </c>
      <c r="E110" s="113" t="s">
        <v>23633</v>
      </c>
      <c r="F110" s="257">
        <v>1</v>
      </c>
      <c r="G110" s="255">
        <v>9.5299999999999994</v>
      </c>
      <c r="I110" s="160">
        <f t="shared" si="1"/>
        <v>85843.14</v>
      </c>
    </row>
    <row r="111" spans="2:9" hidden="1" x14ac:dyDescent="0.25">
      <c r="B111" s="148"/>
      <c r="C111" s="148" t="s">
        <v>23632</v>
      </c>
      <c r="D111" s="150">
        <v>44046</v>
      </c>
      <c r="E111" s="113" t="s">
        <v>23631</v>
      </c>
      <c r="F111" s="257">
        <v>1</v>
      </c>
      <c r="G111" s="255">
        <v>1.77</v>
      </c>
      <c r="I111" s="160">
        <f t="shared" si="1"/>
        <v>85844.91</v>
      </c>
    </row>
    <row r="112" spans="2:9" hidden="1" x14ac:dyDescent="0.25">
      <c r="B112" s="148"/>
      <c r="C112" s="148" t="s">
        <v>23630</v>
      </c>
      <c r="D112" s="150">
        <v>44046</v>
      </c>
      <c r="E112" s="113" t="s">
        <v>23629</v>
      </c>
      <c r="F112" s="257">
        <v>1</v>
      </c>
      <c r="G112" s="255">
        <v>3.88</v>
      </c>
      <c r="I112" s="160">
        <f t="shared" si="1"/>
        <v>85848.790000000008</v>
      </c>
    </row>
    <row r="113" spans="2:9" hidden="1" x14ac:dyDescent="0.25">
      <c r="B113" s="148"/>
      <c r="C113" s="148" t="s">
        <v>23628</v>
      </c>
      <c r="D113" s="150">
        <v>44046</v>
      </c>
      <c r="E113" s="113" t="s">
        <v>23627</v>
      </c>
      <c r="F113" s="257">
        <v>1</v>
      </c>
      <c r="G113" s="255">
        <v>10.52</v>
      </c>
      <c r="I113" s="160">
        <f t="shared" si="1"/>
        <v>85859.310000000012</v>
      </c>
    </row>
    <row r="114" spans="2:9" hidden="1" x14ac:dyDescent="0.25">
      <c r="B114" s="148"/>
      <c r="C114" s="148" t="s">
        <v>23626</v>
      </c>
      <c r="D114" s="150">
        <v>44046</v>
      </c>
      <c r="E114" s="113" t="s">
        <v>23625</v>
      </c>
      <c r="F114" s="257">
        <v>1</v>
      </c>
      <c r="G114" s="255">
        <v>8.3800000000000008</v>
      </c>
      <c r="I114" s="160">
        <f t="shared" si="1"/>
        <v>85867.690000000017</v>
      </c>
    </row>
    <row r="115" spans="2:9" hidden="1" x14ac:dyDescent="0.25">
      <c r="B115" s="148"/>
      <c r="C115" s="148" t="s">
        <v>23624</v>
      </c>
      <c r="D115" s="150">
        <v>44046</v>
      </c>
      <c r="E115" s="113" t="s">
        <v>23623</v>
      </c>
      <c r="F115" s="257">
        <v>1</v>
      </c>
      <c r="G115" s="255">
        <v>3.36</v>
      </c>
      <c r="I115" s="160">
        <f t="shared" si="1"/>
        <v>85871.050000000017</v>
      </c>
    </row>
    <row r="116" spans="2:9" hidden="1" x14ac:dyDescent="0.25">
      <c r="B116" s="148"/>
      <c r="C116" s="148" t="s">
        <v>23622</v>
      </c>
      <c r="D116" s="150">
        <v>44046</v>
      </c>
      <c r="E116" s="113" t="s">
        <v>23621</v>
      </c>
      <c r="F116" s="257">
        <v>1</v>
      </c>
      <c r="G116" s="255">
        <v>15.3</v>
      </c>
      <c r="I116" s="160">
        <f t="shared" si="1"/>
        <v>85886.35000000002</v>
      </c>
    </row>
    <row r="117" spans="2:9" hidden="1" x14ac:dyDescent="0.25">
      <c r="B117" s="148"/>
      <c r="C117" s="148" t="s">
        <v>23620</v>
      </c>
      <c r="D117" s="150">
        <v>44046</v>
      </c>
      <c r="E117" s="113" t="s">
        <v>23619</v>
      </c>
      <c r="F117" s="257">
        <v>1</v>
      </c>
      <c r="G117" s="255">
        <v>1.89</v>
      </c>
      <c r="I117" s="160">
        <f t="shared" si="1"/>
        <v>85888.24000000002</v>
      </c>
    </row>
    <row r="118" spans="2:9" hidden="1" x14ac:dyDescent="0.25">
      <c r="B118" s="148"/>
      <c r="C118" s="148" t="s">
        <v>23618</v>
      </c>
      <c r="D118" s="150">
        <v>44046</v>
      </c>
      <c r="E118" s="113" t="s">
        <v>23617</v>
      </c>
      <c r="F118" s="257">
        <v>1</v>
      </c>
      <c r="G118" s="255">
        <v>15.3</v>
      </c>
      <c r="I118" s="160">
        <f t="shared" si="1"/>
        <v>85903.540000000023</v>
      </c>
    </row>
    <row r="119" spans="2:9" hidden="1" x14ac:dyDescent="0.25">
      <c r="B119" s="148"/>
      <c r="C119" s="148" t="s">
        <v>23616</v>
      </c>
      <c r="D119" s="150">
        <v>44046</v>
      </c>
      <c r="E119" s="113" t="s">
        <v>23615</v>
      </c>
      <c r="F119" s="257">
        <v>1</v>
      </c>
      <c r="G119" s="255">
        <v>15.3</v>
      </c>
      <c r="I119" s="160">
        <f t="shared" si="1"/>
        <v>85918.840000000026</v>
      </c>
    </row>
    <row r="120" spans="2:9" hidden="1" x14ac:dyDescent="0.25">
      <c r="B120" s="148"/>
      <c r="C120" s="148" t="s">
        <v>23614</v>
      </c>
      <c r="D120" s="150">
        <v>44046</v>
      </c>
      <c r="E120" s="113" t="s">
        <v>23613</v>
      </c>
      <c r="F120" s="257">
        <v>1</v>
      </c>
      <c r="G120" s="255">
        <v>15.3</v>
      </c>
      <c r="I120" s="160">
        <f t="shared" si="1"/>
        <v>85934.140000000029</v>
      </c>
    </row>
    <row r="121" spans="2:9" hidden="1" x14ac:dyDescent="0.25">
      <c r="B121" s="148"/>
      <c r="C121" s="148" t="s">
        <v>23612</v>
      </c>
      <c r="D121" s="150">
        <v>44046</v>
      </c>
      <c r="E121" s="113" t="s">
        <v>23611</v>
      </c>
      <c r="F121" s="257">
        <v>1</v>
      </c>
      <c r="G121" s="255">
        <v>1.36</v>
      </c>
      <c r="I121" s="160">
        <f t="shared" si="1"/>
        <v>85935.500000000029</v>
      </c>
    </row>
    <row r="122" spans="2:9" hidden="1" x14ac:dyDescent="0.25">
      <c r="B122" s="148"/>
      <c r="C122" s="148" t="s">
        <v>23610</v>
      </c>
      <c r="D122" s="150">
        <v>44046</v>
      </c>
      <c r="E122" s="113" t="s">
        <v>23609</v>
      </c>
      <c r="F122" s="257">
        <v>1</v>
      </c>
      <c r="G122" s="255">
        <v>30.6</v>
      </c>
      <c r="I122" s="160">
        <f t="shared" si="1"/>
        <v>85966.100000000035</v>
      </c>
    </row>
    <row r="123" spans="2:9" hidden="1" x14ac:dyDescent="0.25">
      <c r="B123" s="148"/>
      <c r="C123" s="148" t="s">
        <v>23608</v>
      </c>
      <c r="D123" s="150">
        <v>44046</v>
      </c>
      <c r="E123" s="113" t="s">
        <v>23607</v>
      </c>
      <c r="F123" s="257">
        <v>1</v>
      </c>
      <c r="G123" s="255">
        <v>1.68</v>
      </c>
      <c r="I123" s="160">
        <f t="shared" si="1"/>
        <v>85967.780000000028</v>
      </c>
    </row>
    <row r="124" spans="2:9" hidden="1" x14ac:dyDescent="0.25">
      <c r="B124" s="148"/>
      <c r="C124" s="148" t="s">
        <v>23606</v>
      </c>
      <c r="D124" s="150">
        <v>44046</v>
      </c>
      <c r="E124" s="113" t="s">
        <v>23605</v>
      </c>
      <c r="F124" s="257">
        <v>1</v>
      </c>
      <c r="G124" s="255">
        <v>2.99</v>
      </c>
      <c r="I124" s="160">
        <f t="shared" si="1"/>
        <v>85970.770000000033</v>
      </c>
    </row>
    <row r="125" spans="2:9" hidden="1" x14ac:dyDescent="0.25">
      <c r="B125" s="148"/>
      <c r="C125" s="148" t="s">
        <v>23604</v>
      </c>
      <c r="D125" s="150">
        <v>44046</v>
      </c>
      <c r="E125" s="113" t="s">
        <v>23603</v>
      </c>
      <c r="F125" s="257">
        <v>1</v>
      </c>
      <c r="G125" s="255">
        <v>32.119999999999997</v>
      </c>
      <c r="I125" s="160">
        <f t="shared" si="1"/>
        <v>86002.890000000029</v>
      </c>
    </row>
    <row r="126" spans="2:9" hidden="1" x14ac:dyDescent="0.25">
      <c r="B126" s="148"/>
      <c r="C126" s="148" t="s">
        <v>23602</v>
      </c>
      <c r="D126" s="150">
        <v>44046</v>
      </c>
      <c r="E126" s="113" t="s">
        <v>23601</v>
      </c>
      <c r="F126" s="257">
        <v>1</v>
      </c>
      <c r="G126" s="255">
        <v>2.06</v>
      </c>
      <c r="I126" s="160">
        <f t="shared" si="1"/>
        <v>86004.950000000026</v>
      </c>
    </row>
    <row r="127" spans="2:9" hidden="1" x14ac:dyDescent="0.25">
      <c r="B127" s="148"/>
      <c r="C127" s="148" t="s">
        <v>23600</v>
      </c>
      <c r="D127" s="150">
        <v>44046</v>
      </c>
      <c r="E127" s="113" t="s">
        <v>23599</v>
      </c>
      <c r="F127" s="257">
        <v>1</v>
      </c>
      <c r="G127" s="255">
        <v>5.49</v>
      </c>
      <c r="I127" s="160">
        <f t="shared" si="1"/>
        <v>86010.440000000031</v>
      </c>
    </row>
    <row r="128" spans="2:9" hidden="1" x14ac:dyDescent="0.25">
      <c r="B128" s="148"/>
      <c r="C128" s="148" t="s">
        <v>23598</v>
      </c>
      <c r="D128" s="150">
        <v>44046</v>
      </c>
      <c r="E128" s="113" t="s">
        <v>23597</v>
      </c>
      <c r="F128" s="257">
        <v>1</v>
      </c>
      <c r="G128" s="255">
        <v>5.84</v>
      </c>
      <c r="I128" s="160">
        <f t="shared" si="1"/>
        <v>86016.280000000028</v>
      </c>
    </row>
    <row r="129" spans="2:9" hidden="1" x14ac:dyDescent="0.25">
      <c r="B129" s="148"/>
      <c r="C129" s="148" t="s">
        <v>23596</v>
      </c>
      <c r="D129" s="150">
        <v>44046</v>
      </c>
      <c r="E129" s="113" t="s">
        <v>23595</v>
      </c>
      <c r="F129" s="257">
        <v>1</v>
      </c>
      <c r="G129" s="255">
        <v>4.3899999999999997</v>
      </c>
      <c r="I129" s="160">
        <f t="shared" si="1"/>
        <v>86020.670000000027</v>
      </c>
    </row>
    <row r="130" spans="2:9" hidden="1" x14ac:dyDescent="0.25">
      <c r="B130" s="148"/>
      <c r="C130" s="148" t="s">
        <v>23594</v>
      </c>
      <c r="D130" s="150">
        <v>44046</v>
      </c>
      <c r="E130" s="113" t="s">
        <v>23593</v>
      </c>
      <c r="F130" s="257">
        <v>1</v>
      </c>
      <c r="G130" s="255">
        <v>16.41</v>
      </c>
      <c r="I130" s="160">
        <f t="shared" si="1"/>
        <v>86037.080000000031</v>
      </c>
    </row>
    <row r="131" spans="2:9" hidden="1" x14ac:dyDescent="0.25">
      <c r="B131" s="148"/>
      <c r="C131" s="148" t="s">
        <v>23592</v>
      </c>
      <c r="D131" s="150">
        <v>44046</v>
      </c>
      <c r="E131" s="113" t="s">
        <v>23591</v>
      </c>
      <c r="F131" s="257">
        <v>1</v>
      </c>
      <c r="G131" s="255">
        <v>34.200000000000003</v>
      </c>
      <c r="I131" s="160">
        <f t="shared" si="1"/>
        <v>86071.280000000028</v>
      </c>
    </row>
    <row r="132" spans="2:9" hidden="1" x14ac:dyDescent="0.25">
      <c r="B132" s="148"/>
      <c r="C132" s="148" t="s">
        <v>23590</v>
      </c>
      <c r="D132" s="150">
        <v>44046</v>
      </c>
      <c r="E132" s="113" t="s">
        <v>23589</v>
      </c>
      <c r="F132" s="257" t="s">
        <v>18712</v>
      </c>
      <c r="G132" s="160">
        <v>4.04</v>
      </c>
      <c r="I132" s="160">
        <f t="shared" si="1"/>
        <v>86075.320000000022</v>
      </c>
    </row>
    <row r="133" spans="2:9" ht="19.5" hidden="1" x14ac:dyDescent="0.25">
      <c r="B133" s="148"/>
      <c r="C133" s="148" t="s">
        <v>23588</v>
      </c>
      <c r="D133" s="150">
        <v>44046</v>
      </c>
      <c r="E133" s="113" t="s">
        <v>23587</v>
      </c>
      <c r="F133" s="257" t="s">
        <v>14408</v>
      </c>
      <c r="G133" s="258">
        <v>8.4700000000000006</v>
      </c>
      <c r="I133" s="160">
        <f t="shared" si="1"/>
        <v>86083.790000000023</v>
      </c>
    </row>
    <row r="134" spans="2:9" hidden="1" x14ac:dyDescent="0.25">
      <c r="B134" s="148"/>
      <c r="C134" s="148" t="s">
        <v>23586</v>
      </c>
      <c r="D134" s="150">
        <v>44047</v>
      </c>
      <c r="E134" s="113" t="s">
        <v>23585</v>
      </c>
      <c r="F134" s="257" t="s">
        <v>14433</v>
      </c>
      <c r="H134" s="161">
        <v>2.44</v>
      </c>
      <c r="I134" s="160">
        <f t="shared" si="1"/>
        <v>86081.35000000002</v>
      </c>
    </row>
    <row r="135" spans="2:9" hidden="1" x14ac:dyDescent="0.25">
      <c r="B135" s="148"/>
      <c r="C135" s="148" t="s">
        <v>23584</v>
      </c>
      <c r="D135" s="150">
        <v>44047</v>
      </c>
      <c r="E135" s="113" t="s">
        <v>23583</v>
      </c>
      <c r="F135" s="257" t="s">
        <v>14433</v>
      </c>
      <c r="H135" s="161">
        <v>4.47</v>
      </c>
      <c r="I135" s="160">
        <f t="shared" si="1"/>
        <v>86076.880000000019</v>
      </c>
    </row>
    <row r="136" spans="2:9" hidden="1" x14ac:dyDescent="0.25">
      <c r="B136" s="148"/>
      <c r="C136" s="148" t="s">
        <v>23582</v>
      </c>
      <c r="D136" s="150">
        <v>44047</v>
      </c>
      <c r="E136" s="113" t="s">
        <v>23581</v>
      </c>
      <c r="F136" s="257" t="s">
        <v>14436</v>
      </c>
      <c r="G136" s="160">
        <v>20.57</v>
      </c>
      <c r="I136" s="160">
        <f t="shared" si="1"/>
        <v>86097.450000000026</v>
      </c>
    </row>
    <row r="137" spans="2:9" hidden="1" x14ac:dyDescent="0.25">
      <c r="B137" s="148"/>
      <c r="C137" s="148" t="s">
        <v>23580</v>
      </c>
      <c r="D137" s="150">
        <v>44047</v>
      </c>
      <c r="E137" s="113" t="s">
        <v>23579</v>
      </c>
      <c r="F137" s="257" t="s">
        <v>18712</v>
      </c>
      <c r="G137" s="160">
        <v>20</v>
      </c>
      <c r="I137" s="160">
        <f t="shared" si="1"/>
        <v>86117.450000000026</v>
      </c>
    </row>
    <row r="138" spans="2:9" hidden="1" x14ac:dyDescent="0.25">
      <c r="B138" s="148"/>
      <c r="C138" s="148" t="s">
        <v>23578</v>
      </c>
      <c r="D138" s="150">
        <v>44047</v>
      </c>
      <c r="E138" s="113" t="s">
        <v>23577</v>
      </c>
      <c r="F138" s="257" t="s">
        <v>14408</v>
      </c>
      <c r="G138" s="258">
        <v>8.3800000000000008</v>
      </c>
      <c r="I138" s="160">
        <f t="shared" si="1"/>
        <v>86125.830000000031</v>
      </c>
    </row>
    <row r="139" spans="2:9" hidden="1" x14ac:dyDescent="0.25">
      <c r="B139" s="148"/>
      <c r="C139" s="148" t="s">
        <v>23576</v>
      </c>
      <c r="D139" s="150">
        <v>44047</v>
      </c>
      <c r="E139" s="113" t="s">
        <v>23575</v>
      </c>
      <c r="F139" s="257" t="s">
        <v>14408</v>
      </c>
      <c r="G139" s="258">
        <v>5.21</v>
      </c>
      <c r="I139" s="160">
        <f t="shared" si="1"/>
        <v>86131.040000000037</v>
      </c>
    </row>
    <row r="140" spans="2:9" hidden="1" x14ac:dyDescent="0.25">
      <c r="B140" s="148"/>
      <c r="C140" s="148" t="s">
        <v>23574</v>
      </c>
      <c r="D140" s="150">
        <v>44047</v>
      </c>
      <c r="E140" s="113" t="s">
        <v>23573</v>
      </c>
      <c r="F140" s="257" t="s">
        <v>14408</v>
      </c>
      <c r="G140" s="258">
        <v>11.63</v>
      </c>
      <c r="I140" s="160">
        <f t="shared" si="1"/>
        <v>86142.670000000042</v>
      </c>
    </row>
    <row r="141" spans="2:9" hidden="1" x14ac:dyDescent="0.25">
      <c r="B141" s="148"/>
      <c r="C141" s="148" t="s">
        <v>23572</v>
      </c>
      <c r="D141" s="150">
        <v>44047</v>
      </c>
      <c r="E141" s="113" t="s">
        <v>23571</v>
      </c>
      <c r="F141" s="257" t="s">
        <v>14408</v>
      </c>
      <c r="G141" s="258">
        <v>3.6</v>
      </c>
      <c r="I141" s="160">
        <f t="shared" si="1"/>
        <v>86146.270000000048</v>
      </c>
    </row>
    <row r="142" spans="2:9" hidden="1" x14ac:dyDescent="0.25">
      <c r="B142" s="148"/>
      <c r="C142" s="148" t="s">
        <v>23570</v>
      </c>
      <c r="D142" s="150">
        <v>44047</v>
      </c>
      <c r="E142" s="113" t="s">
        <v>23569</v>
      </c>
      <c r="F142" s="257" t="s">
        <v>14408</v>
      </c>
      <c r="G142" s="258">
        <v>9.83</v>
      </c>
      <c r="I142" s="160">
        <f t="shared" si="1"/>
        <v>86156.100000000049</v>
      </c>
    </row>
    <row r="143" spans="2:9" hidden="1" x14ac:dyDescent="0.25">
      <c r="B143" s="148"/>
      <c r="C143" s="148" t="s">
        <v>23568</v>
      </c>
      <c r="D143" s="150">
        <v>44047</v>
      </c>
      <c r="E143" s="113" t="s">
        <v>23567</v>
      </c>
      <c r="F143" s="257" t="s">
        <v>14408</v>
      </c>
      <c r="G143" s="258">
        <v>1.68</v>
      </c>
      <c r="I143" s="160">
        <f t="shared" si="1"/>
        <v>86157.780000000042</v>
      </c>
    </row>
    <row r="144" spans="2:9" hidden="1" x14ac:dyDescent="0.25">
      <c r="B144" s="148"/>
      <c r="C144" s="148" t="s">
        <v>23566</v>
      </c>
      <c r="D144" s="150">
        <v>44047</v>
      </c>
      <c r="E144" s="113" t="s">
        <v>23565</v>
      </c>
      <c r="F144" s="257" t="s">
        <v>14408</v>
      </c>
      <c r="G144" s="258">
        <v>2.25</v>
      </c>
      <c r="I144" s="160">
        <f t="shared" si="1"/>
        <v>86160.030000000042</v>
      </c>
    </row>
    <row r="145" spans="2:9" ht="19.5" hidden="1" x14ac:dyDescent="0.25">
      <c r="B145" s="148"/>
      <c r="C145" s="148" t="s">
        <v>23564</v>
      </c>
      <c r="D145" s="150">
        <v>44047</v>
      </c>
      <c r="E145" s="113" t="s">
        <v>23563</v>
      </c>
      <c r="F145" s="257" t="s">
        <v>14408</v>
      </c>
      <c r="G145" s="258">
        <v>8.64</v>
      </c>
      <c r="I145" s="160">
        <f t="shared" si="1"/>
        <v>86168.670000000042</v>
      </c>
    </row>
    <row r="146" spans="2:9" ht="19.5" hidden="1" x14ac:dyDescent="0.25">
      <c r="B146" s="148"/>
      <c r="C146" s="148" t="s">
        <v>23562</v>
      </c>
      <c r="D146" s="150">
        <v>44047</v>
      </c>
      <c r="E146" s="113" t="s">
        <v>23561</v>
      </c>
      <c r="F146" s="257" t="s">
        <v>14408</v>
      </c>
      <c r="G146" s="258">
        <v>12.91</v>
      </c>
      <c r="I146" s="160">
        <f t="shared" si="1"/>
        <v>86181.580000000045</v>
      </c>
    </row>
    <row r="147" spans="2:9" hidden="1" x14ac:dyDescent="0.25">
      <c r="B147" s="148"/>
      <c r="C147" s="148" t="s">
        <v>23560</v>
      </c>
      <c r="D147" s="150">
        <v>44047</v>
      </c>
      <c r="E147" s="113" t="s">
        <v>23559</v>
      </c>
      <c r="F147" s="257" t="s">
        <v>14408</v>
      </c>
      <c r="G147" s="258">
        <v>1.69</v>
      </c>
      <c r="I147" s="160">
        <f t="shared" si="1"/>
        <v>86183.270000000048</v>
      </c>
    </row>
    <row r="148" spans="2:9" ht="19.5" hidden="1" x14ac:dyDescent="0.25">
      <c r="B148" s="148"/>
      <c r="C148" s="148" t="s">
        <v>23558</v>
      </c>
      <c r="D148" s="150">
        <v>44047</v>
      </c>
      <c r="E148" s="113" t="s">
        <v>23557</v>
      </c>
      <c r="F148" s="257" t="s">
        <v>14408</v>
      </c>
      <c r="G148" s="258">
        <v>10.57</v>
      </c>
      <c r="I148" s="160">
        <f t="shared" ref="I148:I211" si="2">+I147+G148-H148</f>
        <v>86193.840000000055</v>
      </c>
    </row>
    <row r="149" spans="2:9" hidden="1" x14ac:dyDescent="0.25">
      <c r="B149" s="148"/>
      <c r="C149" s="148" t="s">
        <v>23556</v>
      </c>
      <c r="D149" s="150">
        <v>44047</v>
      </c>
      <c r="E149" s="113" t="s">
        <v>23555</v>
      </c>
      <c r="F149" s="257" t="s">
        <v>14408</v>
      </c>
      <c r="G149" s="258">
        <v>2.31</v>
      </c>
      <c r="I149" s="160">
        <f t="shared" si="2"/>
        <v>86196.150000000052</v>
      </c>
    </row>
    <row r="150" spans="2:9" hidden="1" x14ac:dyDescent="0.25">
      <c r="B150" s="148"/>
      <c r="C150" s="148" t="s">
        <v>23554</v>
      </c>
      <c r="D150" s="150">
        <v>44047</v>
      </c>
      <c r="E150" s="113" t="s">
        <v>23553</v>
      </c>
      <c r="F150" s="257" t="s">
        <v>14408</v>
      </c>
      <c r="G150" s="258">
        <v>8.3800000000000008</v>
      </c>
      <c r="I150" s="160">
        <f t="shared" si="2"/>
        <v>86204.530000000057</v>
      </c>
    </row>
    <row r="151" spans="2:9" hidden="1" x14ac:dyDescent="0.25">
      <c r="B151" s="148"/>
      <c r="C151" s="148" t="s">
        <v>23552</v>
      </c>
      <c r="D151" s="150">
        <v>44047</v>
      </c>
      <c r="E151" s="113" t="s">
        <v>23551</v>
      </c>
      <c r="F151" s="257" t="s">
        <v>14408</v>
      </c>
      <c r="G151" s="258">
        <v>2.16</v>
      </c>
      <c r="I151" s="160">
        <f t="shared" si="2"/>
        <v>86206.690000000061</v>
      </c>
    </row>
    <row r="152" spans="2:9" hidden="1" x14ac:dyDescent="0.25">
      <c r="B152" s="148"/>
      <c r="C152" s="148" t="s">
        <v>23550</v>
      </c>
      <c r="D152" s="150">
        <v>44047</v>
      </c>
      <c r="E152" s="113" t="s">
        <v>23549</v>
      </c>
      <c r="F152" s="257" t="s">
        <v>14408</v>
      </c>
      <c r="G152" s="258">
        <v>14.12</v>
      </c>
      <c r="I152" s="160">
        <f t="shared" si="2"/>
        <v>86220.810000000056</v>
      </c>
    </row>
    <row r="153" spans="2:9" hidden="1" x14ac:dyDescent="0.25">
      <c r="B153" s="148"/>
      <c r="C153" s="148" t="s">
        <v>23548</v>
      </c>
      <c r="D153" s="150">
        <v>44047</v>
      </c>
      <c r="E153" s="113" t="s">
        <v>23547</v>
      </c>
      <c r="F153" s="257" t="s">
        <v>14408</v>
      </c>
      <c r="G153" s="258">
        <v>4.05</v>
      </c>
      <c r="I153" s="160">
        <f t="shared" si="2"/>
        <v>86224.860000000059</v>
      </c>
    </row>
    <row r="154" spans="2:9" hidden="1" x14ac:dyDescent="0.25">
      <c r="B154" s="148"/>
      <c r="C154" s="148" t="s">
        <v>23546</v>
      </c>
      <c r="D154" s="150">
        <v>44047</v>
      </c>
      <c r="E154" s="113" t="s">
        <v>23545</v>
      </c>
      <c r="F154" s="257" t="s">
        <v>14408</v>
      </c>
      <c r="G154" s="258">
        <v>6.85</v>
      </c>
      <c r="I154" s="160">
        <f t="shared" si="2"/>
        <v>86231.710000000065</v>
      </c>
    </row>
    <row r="155" spans="2:9" hidden="1" x14ac:dyDescent="0.25">
      <c r="B155" s="148"/>
      <c r="C155" s="148" t="s">
        <v>23544</v>
      </c>
      <c r="D155" s="150">
        <v>44047</v>
      </c>
      <c r="E155" s="113" t="s">
        <v>23543</v>
      </c>
      <c r="F155" s="257" t="s">
        <v>14408</v>
      </c>
      <c r="G155" s="258">
        <v>4.87</v>
      </c>
      <c r="I155" s="160">
        <f t="shared" si="2"/>
        <v>86236.58000000006</v>
      </c>
    </row>
    <row r="156" spans="2:9" hidden="1" x14ac:dyDescent="0.25">
      <c r="B156" s="148"/>
      <c r="C156" s="148" t="s">
        <v>23542</v>
      </c>
      <c r="D156" s="150">
        <v>44047</v>
      </c>
      <c r="E156" s="113" t="s">
        <v>23541</v>
      </c>
      <c r="F156" s="257" t="s">
        <v>14408</v>
      </c>
      <c r="G156" s="258">
        <v>8.2799999999999994</v>
      </c>
      <c r="I156" s="160">
        <f t="shared" si="2"/>
        <v>86244.860000000059</v>
      </c>
    </row>
    <row r="157" spans="2:9" hidden="1" x14ac:dyDescent="0.25">
      <c r="B157" s="148"/>
      <c r="C157" s="148" t="s">
        <v>23540</v>
      </c>
      <c r="D157" s="150">
        <v>44047</v>
      </c>
      <c r="E157" s="113" t="s">
        <v>23539</v>
      </c>
      <c r="F157" s="257" t="s">
        <v>14408</v>
      </c>
      <c r="G157" s="258">
        <v>22.22</v>
      </c>
      <c r="I157" s="160">
        <f t="shared" si="2"/>
        <v>86267.08000000006</v>
      </c>
    </row>
    <row r="158" spans="2:9" hidden="1" x14ac:dyDescent="0.25">
      <c r="B158" s="148"/>
      <c r="C158" s="148" t="s">
        <v>23538</v>
      </c>
      <c r="D158" s="150">
        <v>44047</v>
      </c>
      <c r="E158" s="113" t="s">
        <v>23537</v>
      </c>
      <c r="F158" s="257" t="s">
        <v>14408</v>
      </c>
      <c r="G158" s="258">
        <v>25.85</v>
      </c>
      <c r="I158" s="160">
        <f t="shared" si="2"/>
        <v>86292.930000000066</v>
      </c>
    </row>
    <row r="159" spans="2:9" hidden="1" x14ac:dyDescent="0.25">
      <c r="B159" s="148"/>
      <c r="C159" s="148" t="s">
        <v>23536</v>
      </c>
      <c r="D159" s="150">
        <v>44047</v>
      </c>
      <c r="E159" s="113" t="s">
        <v>23535</v>
      </c>
      <c r="F159" s="257" t="s">
        <v>14408</v>
      </c>
      <c r="G159" s="258">
        <v>6.94</v>
      </c>
      <c r="I159" s="160">
        <f t="shared" si="2"/>
        <v>86299.870000000068</v>
      </c>
    </row>
    <row r="160" spans="2:9" hidden="1" x14ac:dyDescent="0.25">
      <c r="B160" s="148"/>
      <c r="C160" s="148" t="s">
        <v>23534</v>
      </c>
      <c r="D160" s="150">
        <v>44047</v>
      </c>
      <c r="E160" s="113" t="s">
        <v>23533</v>
      </c>
      <c r="F160" s="257" t="s">
        <v>14408</v>
      </c>
      <c r="G160" s="258">
        <v>2.12</v>
      </c>
      <c r="I160" s="160">
        <f t="shared" si="2"/>
        <v>86301.990000000063</v>
      </c>
    </row>
    <row r="161" spans="2:9" hidden="1" x14ac:dyDescent="0.25">
      <c r="B161" s="148"/>
      <c r="C161" s="148" t="s">
        <v>23532</v>
      </c>
      <c r="D161" s="150">
        <v>44047</v>
      </c>
      <c r="E161" s="113" t="s">
        <v>23531</v>
      </c>
      <c r="F161" s="257" t="s">
        <v>14408</v>
      </c>
      <c r="G161" s="258">
        <v>2.59</v>
      </c>
      <c r="I161" s="160">
        <f t="shared" si="2"/>
        <v>86304.58000000006</v>
      </c>
    </row>
    <row r="162" spans="2:9" hidden="1" x14ac:dyDescent="0.25">
      <c r="B162" s="148"/>
      <c r="C162" s="148" t="s">
        <v>23530</v>
      </c>
      <c r="D162" s="150">
        <v>44047</v>
      </c>
      <c r="E162" s="113" t="s">
        <v>23529</v>
      </c>
      <c r="F162" s="257" t="s">
        <v>14408</v>
      </c>
      <c r="G162" s="258">
        <v>0.4</v>
      </c>
      <c r="I162" s="160">
        <f t="shared" si="2"/>
        <v>86304.980000000054</v>
      </c>
    </row>
    <row r="163" spans="2:9" hidden="1" x14ac:dyDescent="0.25">
      <c r="B163" s="148"/>
      <c r="C163" s="148" t="s">
        <v>23528</v>
      </c>
      <c r="D163" s="150">
        <v>44047</v>
      </c>
      <c r="E163" s="113" t="s">
        <v>23527</v>
      </c>
      <c r="F163" s="257" t="s">
        <v>14408</v>
      </c>
      <c r="G163" s="258">
        <v>5.09</v>
      </c>
      <c r="I163" s="160">
        <f t="shared" si="2"/>
        <v>86310.070000000051</v>
      </c>
    </row>
    <row r="164" spans="2:9" hidden="1" x14ac:dyDescent="0.25">
      <c r="B164" s="148"/>
      <c r="C164" s="148" t="s">
        <v>23526</v>
      </c>
      <c r="D164" s="150">
        <v>44047</v>
      </c>
      <c r="E164" s="113" t="s">
        <v>23525</v>
      </c>
      <c r="F164" s="257" t="s">
        <v>14408</v>
      </c>
      <c r="G164" s="258">
        <v>7.77</v>
      </c>
      <c r="I164" s="160">
        <f t="shared" si="2"/>
        <v>86317.840000000055</v>
      </c>
    </row>
    <row r="165" spans="2:9" hidden="1" x14ac:dyDescent="0.25">
      <c r="B165" s="148"/>
      <c r="C165" s="148" t="s">
        <v>23524</v>
      </c>
      <c r="D165" s="150">
        <v>44047</v>
      </c>
      <c r="E165" s="113" t="s">
        <v>23523</v>
      </c>
      <c r="F165" s="257" t="s">
        <v>14408</v>
      </c>
      <c r="G165" s="258">
        <v>28.99</v>
      </c>
      <c r="I165" s="160">
        <f t="shared" si="2"/>
        <v>86346.83000000006</v>
      </c>
    </row>
    <row r="166" spans="2:9" hidden="1" x14ac:dyDescent="0.25">
      <c r="B166" s="148"/>
      <c r="C166" s="148" t="s">
        <v>23522</v>
      </c>
      <c r="D166" s="150">
        <v>44047</v>
      </c>
      <c r="E166" s="113" t="s">
        <v>23521</v>
      </c>
      <c r="F166" s="257" t="s">
        <v>14408</v>
      </c>
      <c r="G166" s="258">
        <v>5.04</v>
      </c>
      <c r="I166" s="160">
        <f t="shared" si="2"/>
        <v>86351.870000000054</v>
      </c>
    </row>
    <row r="167" spans="2:9" hidden="1" x14ac:dyDescent="0.25">
      <c r="B167" s="148"/>
      <c r="C167" s="148" t="s">
        <v>23520</v>
      </c>
      <c r="D167" s="150">
        <v>44047</v>
      </c>
      <c r="E167" s="113" t="s">
        <v>23519</v>
      </c>
      <c r="F167" s="257">
        <v>2</v>
      </c>
      <c r="G167" s="255">
        <v>3.37</v>
      </c>
      <c r="I167" s="160">
        <f t="shared" si="2"/>
        <v>86355.240000000049</v>
      </c>
    </row>
    <row r="168" spans="2:9" ht="19.5" hidden="1" x14ac:dyDescent="0.25">
      <c r="B168" s="148"/>
      <c r="C168" s="148" t="s">
        <v>23518</v>
      </c>
      <c r="D168" s="150">
        <v>44047</v>
      </c>
      <c r="E168" s="113" t="s">
        <v>23517</v>
      </c>
      <c r="F168" s="257">
        <v>2</v>
      </c>
      <c r="G168" s="255">
        <v>20.97</v>
      </c>
      <c r="I168" s="160">
        <f t="shared" si="2"/>
        <v>86376.21000000005</v>
      </c>
    </row>
    <row r="169" spans="2:9" hidden="1" x14ac:dyDescent="0.25">
      <c r="B169" s="148"/>
      <c r="C169" s="148" t="s">
        <v>23516</v>
      </c>
      <c r="D169" s="150">
        <v>44047</v>
      </c>
      <c r="E169" s="113" t="s">
        <v>23515</v>
      </c>
      <c r="F169" s="257">
        <v>2</v>
      </c>
      <c r="G169" s="255">
        <v>1.68</v>
      </c>
      <c r="I169" s="160">
        <f t="shared" si="2"/>
        <v>86377.890000000043</v>
      </c>
    </row>
    <row r="170" spans="2:9" hidden="1" x14ac:dyDescent="0.25">
      <c r="B170" s="148"/>
      <c r="C170" s="148" t="s">
        <v>23514</v>
      </c>
      <c r="D170" s="150">
        <v>44047</v>
      </c>
      <c r="E170" s="113" t="s">
        <v>23513</v>
      </c>
      <c r="F170" s="257">
        <v>2</v>
      </c>
      <c r="G170" s="255">
        <v>43.85</v>
      </c>
      <c r="I170" s="160">
        <f t="shared" si="2"/>
        <v>86421.740000000049</v>
      </c>
    </row>
    <row r="171" spans="2:9" hidden="1" x14ac:dyDescent="0.25">
      <c r="B171" s="148"/>
      <c r="C171" s="148" t="s">
        <v>23512</v>
      </c>
      <c r="D171" s="150">
        <v>44047</v>
      </c>
      <c r="E171" s="113" t="s">
        <v>23511</v>
      </c>
      <c r="F171" s="257">
        <v>2</v>
      </c>
      <c r="G171" s="255">
        <v>10.56</v>
      </c>
      <c r="I171" s="160">
        <f t="shared" si="2"/>
        <v>86432.300000000047</v>
      </c>
    </row>
    <row r="172" spans="2:9" hidden="1" x14ac:dyDescent="0.25">
      <c r="B172" s="148"/>
      <c r="C172" s="148" t="s">
        <v>23510</v>
      </c>
      <c r="D172" s="150">
        <v>44047</v>
      </c>
      <c r="E172" s="113" t="s">
        <v>23509</v>
      </c>
      <c r="F172" s="257">
        <v>2</v>
      </c>
      <c r="G172" s="255">
        <v>1.68</v>
      </c>
      <c r="I172" s="160">
        <f t="shared" si="2"/>
        <v>86433.98000000004</v>
      </c>
    </row>
    <row r="173" spans="2:9" hidden="1" x14ac:dyDescent="0.25">
      <c r="B173" s="148"/>
      <c r="C173" s="148" t="s">
        <v>23508</v>
      </c>
      <c r="D173" s="150">
        <v>44047</v>
      </c>
      <c r="E173" s="113" t="s">
        <v>23507</v>
      </c>
      <c r="F173" s="257">
        <v>2</v>
      </c>
      <c r="G173" s="255">
        <v>6.94</v>
      </c>
      <c r="I173" s="160">
        <f t="shared" si="2"/>
        <v>86440.920000000042</v>
      </c>
    </row>
    <row r="174" spans="2:9" hidden="1" x14ac:dyDescent="0.25">
      <c r="B174" s="148"/>
      <c r="C174" s="148" t="s">
        <v>23506</v>
      </c>
      <c r="D174" s="150">
        <v>44048</v>
      </c>
      <c r="E174" s="113" t="s">
        <v>23505</v>
      </c>
      <c r="F174" s="257" t="s">
        <v>14433</v>
      </c>
      <c r="H174" s="161">
        <v>6.95</v>
      </c>
      <c r="I174" s="160">
        <f t="shared" si="2"/>
        <v>86433.970000000045</v>
      </c>
    </row>
    <row r="175" spans="2:9" ht="19.5" hidden="1" x14ac:dyDescent="0.25">
      <c r="B175" s="148"/>
      <c r="C175" s="148" t="s">
        <v>23504</v>
      </c>
      <c r="D175" s="150">
        <v>44048</v>
      </c>
      <c r="E175" s="113" t="s">
        <v>23503</v>
      </c>
      <c r="F175" s="257">
        <v>3</v>
      </c>
      <c r="G175" s="255">
        <v>8.49</v>
      </c>
      <c r="I175" s="160">
        <f t="shared" si="2"/>
        <v>86442.46000000005</v>
      </c>
    </row>
    <row r="176" spans="2:9" hidden="1" x14ac:dyDescent="0.25">
      <c r="B176" s="148"/>
      <c r="C176" s="148" t="s">
        <v>23502</v>
      </c>
      <c r="D176" s="150">
        <v>44048</v>
      </c>
      <c r="E176" s="113" t="s">
        <v>23501</v>
      </c>
      <c r="F176" s="257">
        <v>3</v>
      </c>
      <c r="G176" s="255">
        <v>8.3800000000000008</v>
      </c>
      <c r="I176" s="160">
        <f t="shared" si="2"/>
        <v>86450.840000000055</v>
      </c>
    </row>
    <row r="177" spans="2:9" hidden="1" x14ac:dyDescent="0.25">
      <c r="B177" s="148"/>
      <c r="C177" s="148" t="s">
        <v>23500</v>
      </c>
      <c r="D177" s="150">
        <v>44048</v>
      </c>
      <c r="E177" s="113" t="s">
        <v>23499</v>
      </c>
      <c r="F177" s="257">
        <v>3</v>
      </c>
      <c r="G177" s="255">
        <v>8.06</v>
      </c>
      <c r="I177" s="160">
        <f t="shared" si="2"/>
        <v>86458.900000000052</v>
      </c>
    </row>
    <row r="178" spans="2:9" hidden="1" x14ac:dyDescent="0.25">
      <c r="B178" s="148"/>
      <c r="C178" s="148" t="s">
        <v>23498</v>
      </c>
      <c r="D178" s="150">
        <v>44048</v>
      </c>
      <c r="E178" s="113" t="s">
        <v>23497</v>
      </c>
      <c r="F178" s="257">
        <v>3</v>
      </c>
      <c r="G178" s="255">
        <v>8.3800000000000008</v>
      </c>
      <c r="I178" s="160">
        <f t="shared" si="2"/>
        <v>86467.280000000057</v>
      </c>
    </row>
    <row r="179" spans="2:9" hidden="1" x14ac:dyDescent="0.25">
      <c r="B179" s="148"/>
      <c r="C179" s="148" t="s">
        <v>23496</v>
      </c>
      <c r="D179" s="150">
        <v>44048</v>
      </c>
      <c r="E179" s="113" t="s">
        <v>23495</v>
      </c>
      <c r="F179" s="257">
        <v>3</v>
      </c>
      <c r="G179" s="255">
        <v>4.2</v>
      </c>
      <c r="I179" s="160">
        <f t="shared" si="2"/>
        <v>86471.480000000054</v>
      </c>
    </row>
    <row r="180" spans="2:9" hidden="1" x14ac:dyDescent="0.25">
      <c r="B180" s="148"/>
      <c r="C180" s="148" t="s">
        <v>23494</v>
      </c>
      <c r="D180" s="150">
        <v>44048</v>
      </c>
      <c r="E180" s="113" t="s">
        <v>23493</v>
      </c>
      <c r="F180" s="257">
        <v>3</v>
      </c>
      <c r="G180" s="255">
        <v>8.3800000000000008</v>
      </c>
      <c r="I180" s="160">
        <f t="shared" si="2"/>
        <v>86479.860000000059</v>
      </c>
    </row>
    <row r="181" spans="2:9" hidden="1" x14ac:dyDescent="0.25">
      <c r="B181" s="148"/>
      <c r="C181" s="148" t="s">
        <v>23492</v>
      </c>
      <c r="D181" s="150">
        <v>44048</v>
      </c>
      <c r="E181" s="113" t="s">
        <v>23491</v>
      </c>
      <c r="F181" s="257">
        <v>3</v>
      </c>
      <c r="G181" s="255">
        <v>6.15</v>
      </c>
      <c r="I181" s="160">
        <f t="shared" si="2"/>
        <v>86486.010000000053</v>
      </c>
    </row>
    <row r="182" spans="2:9" hidden="1" x14ac:dyDescent="0.25">
      <c r="B182" s="148"/>
      <c r="C182" s="148" t="s">
        <v>23490</v>
      </c>
      <c r="D182" s="150">
        <v>44048</v>
      </c>
      <c r="E182" s="113" t="s">
        <v>23489</v>
      </c>
      <c r="F182" s="257">
        <v>3</v>
      </c>
      <c r="G182" s="255">
        <v>8.1</v>
      </c>
      <c r="I182" s="160">
        <f t="shared" si="2"/>
        <v>86494.110000000059</v>
      </c>
    </row>
    <row r="183" spans="2:9" hidden="1" x14ac:dyDescent="0.25">
      <c r="B183" s="148"/>
      <c r="C183" s="148" t="s">
        <v>23488</v>
      </c>
      <c r="D183" s="150">
        <v>44048</v>
      </c>
      <c r="E183" s="113" t="s">
        <v>23487</v>
      </c>
      <c r="F183" s="257">
        <v>3</v>
      </c>
      <c r="G183" s="255">
        <v>2.4500000000000002</v>
      </c>
      <c r="I183" s="160">
        <f t="shared" si="2"/>
        <v>86496.560000000056</v>
      </c>
    </row>
    <row r="184" spans="2:9" ht="19.5" hidden="1" x14ac:dyDescent="0.25">
      <c r="B184" s="148"/>
      <c r="C184" s="148" t="s">
        <v>23486</v>
      </c>
      <c r="D184" s="150">
        <v>44048</v>
      </c>
      <c r="E184" s="113" t="s">
        <v>23485</v>
      </c>
      <c r="F184" s="257">
        <v>3</v>
      </c>
      <c r="G184" s="255">
        <v>68.44</v>
      </c>
      <c r="I184" s="160">
        <f t="shared" si="2"/>
        <v>86565.000000000058</v>
      </c>
    </row>
    <row r="185" spans="2:9" hidden="1" x14ac:dyDescent="0.25">
      <c r="B185" s="148"/>
      <c r="C185" s="148" t="s">
        <v>23484</v>
      </c>
      <c r="D185" s="150">
        <v>44048</v>
      </c>
      <c r="E185" s="113" t="s">
        <v>23483</v>
      </c>
      <c r="F185" s="257">
        <v>3</v>
      </c>
      <c r="G185" s="255">
        <v>1.8</v>
      </c>
      <c r="I185" s="160">
        <f t="shared" si="2"/>
        <v>86566.800000000061</v>
      </c>
    </row>
    <row r="186" spans="2:9" hidden="1" x14ac:dyDescent="0.25">
      <c r="B186" s="148"/>
      <c r="C186" s="148" t="s">
        <v>23482</v>
      </c>
      <c r="D186" s="150">
        <v>44048</v>
      </c>
      <c r="E186" s="113" t="s">
        <v>23481</v>
      </c>
      <c r="F186" s="257">
        <v>3</v>
      </c>
      <c r="G186" s="255">
        <v>4.22</v>
      </c>
      <c r="I186" s="160">
        <f t="shared" si="2"/>
        <v>86571.020000000062</v>
      </c>
    </row>
    <row r="187" spans="2:9" ht="19.5" hidden="1" x14ac:dyDescent="0.25">
      <c r="B187" s="148"/>
      <c r="C187" s="148" t="s">
        <v>23480</v>
      </c>
      <c r="D187" s="150">
        <v>44048</v>
      </c>
      <c r="E187" s="113" t="s">
        <v>23479</v>
      </c>
      <c r="F187" s="257">
        <v>3</v>
      </c>
      <c r="G187" s="255">
        <v>54.17</v>
      </c>
      <c r="I187" s="160">
        <f t="shared" si="2"/>
        <v>86625.190000000061</v>
      </c>
    </row>
    <row r="188" spans="2:9" hidden="1" x14ac:dyDescent="0.25">
      <c r="B188" s="148"/>
      <c r="C188" s="148" t="s">
        <v>23478</v>
      </c>
      <c r="D188" s="150">
        <v>44048</v>
      </c>
      <c r="E188" s="113" t="s">
        <v>23477</v>
      </c>
      <c r="F188" s="257">
        <v>3</v>
      </c>
      <c r="G188" s="255">
        <v>15.3</v>
      </c>
      <c r="I188" s="160">
        <f t="shared" si="2"/>
        <v>86640.490000000063</v>
      </c>
    </row>
    <row r="189" spans="2:9" ht="19.5" hidden="1" x14ac:dyDescent="0.25">
      <c r="B189" s="148"/>
      <c r="C189" s="148" t="s">
        <v>23476</v>
      </c>
      <c r="D189" s="150">
        <v>44048</v>
      </c>
      <c r="E189" s="113" t="s">
        <v>23475</v>
      </c>
      <c r="F189" s="257">
        <v>3</v>
      </c>
      <c r="G189" s="255">
        <v>44.38</v>
      </c>
      <c r="I189" s="160">
        <f t="shared" si="2"/>
        <v>86684.870000000068</v>
      </c>
    </row>
    <row r="190" spans="2:9" hidden="1" x14ac:dyDescent="0.25">
      <c r="B190" s="148"/>
      <c r="C190" s="148" t="s">
        <v>23474</v>
      </c>
      <c r="D190" s="150">
        <v>44048</v>
      </c>
      <c r="E190" s="113" t="s">
        <v>23473</v>
      </c>
      <c r="F190" s="257">
        <v>3</v>
      </c>
      <c r="G190" s="255">
        <v>1.8</v>
      </c>
      <c r="I190" s="160">
        <f t="shared" si="2"/>
        <v>86686.670000000071</v>
      </c>
    </row>
    <row r="191" spans="2:9" hidden="1" x14ac:dyDescent="0.25">
      <c r="B191" s="148"/>
      <c r="C191" s="148" t="s">
        <v>23472</v>
      </c>
      <c r="D191" s="150">
        <v>44048</v>
      </c>
      <c r="E191" s="113" t="s">
        <v>23471</v>
      </c>
      <c r="F191" s="257" t="s">
        <v>14408</v>
      </c>
      <c r="G191" s="258">
        <v>3.38</v>
      </c>
      <c r="I191" s="160">
        <f t="shared" si="2"/>
        <v>86690.050000000076</v>
      </c>
    </row>
    <row r="192" spans="2:9" hidden="1" x14ac:dyDescent="0.25">
      <c r="B192" s="148"/>
      <c r="C192" s="148" t="s">
        <v>23470</v>
      </c>
      <c r="D192" s="150">
        <v>44048</v>
      </c>
      <c r="E192" s="113" t="s">
        <v>23469</v>
      </c>
      <c r="F192" s="257" t="s">
        <v>14408</v>
      </c>
      <c r="G192" s="258">
        <v>8.3800000000000008</v>
      </c>
      <c r="I192" s="160">
        <f t="shared" si="2"/>
        <v>86698.43000000008</v>
      </c>
    </row>
    <row r="193" spans="2:9" hidden="1" x14ac:dyDescent="0.25">
      <c r="B193" s="148"/>
      <c r="C193" s="148" t="s">
        <v>23468</v>
      </c>
      <c r="D193" s="150">
        <v>44048</v>
      </c>
      <c r="E193" s="113" t="s">
        <v>23467</v>
      </c>
      <c r="F193" s="257" t="s">
        <v>14408</v>
      </c>
      <c r="G193" s="258">
        <v>2.95</v>
      </c>
      <c r="I193" s="160">
        <f t="shared" si="2"/>
        <v>86701.380000000077</v>
      </c>
    </row>
    <row r="194" spans="2:9" hidden="1" x14ac:dyDescent="0.25">
      <c r="B194" s="148"/>
      <c r="C194" s="148" t="s">
        <v>23466</v>
      </c>
      <c r="D194" s="150">
        <v>44048</v>
      </c>
      <c r="E194" s="113" t="s">
        <v>23465</v>
      </c>
      <c r="F194" s="257" t="s">
        <v>14408</v>
      </c>
      <c r="G194" s="258">
        <v>6.93</v>
      </c>
      <c r="I194" s="160">
        <f t="shared" si="2"/>
        <v>86708.31000000007</v>
      </c>
    </row>
    <row r="195" spans="2:9" hidden="1" x14ac:dyDescent="0.25">
      <c r="B195" s="148"/>
      <c r="C195" s="148" t="s">
        <v>23464</v>
      </c>
      <c r="D195" s="150">
        <v>44048</v>
      </c>
      <c r="E195" s="113" t="s">
        <v>23463</v>
      </c>
      <c r="F195" s="257" t="s">
        <v>14408</v>
      </c>
      <c r="G195" s="258">
        <v>4.3600000000000003</v>
      </c>
      <c r="I195" s="160">
        <f t="shared" si="2"/>
        <v>86712.670000000071</v>
      </c>
    </row>
    <row r="196" spans="2:9" hidden="1" x14ac:dyDescent="0.25">
      <c r="B196" s="148"/>
      <c r="C196" s="148" t="s">
        <v>23462</v>
      </c>
      <c r="D196" s="150">
        <v>44048</v>
      </c>
      <c r="E196" s="113" t="s">
        <v>23461</v>
      </c>
      <c r="F196" s="257" t="s">
        <v>14408</v>
      </c>
      <c r="G196" s="258">
        <v>1.72</v>
      </c>
      <c r="I196" s="160">
        <f t="shared" si="2"/>
        <v>86714.390000000072</v>
      </c>
    </row>
    <row r="197" spans="2:9" hidden="1" x14ac:dyDescent="0.25">
      <c r="B197" s="148"/>
      <c r="C197" s="148" t="s">
        <v>23460</v>
      </c>
      <c r="D197" s="150">
        <v>44048</v>
      </c>
      <c r="E197" s="113" t="s">
        <v>23459</v>
      </c>
      <c r="F197" s="257" t="s">
        <v>14408</v>
      </c>
      <c r="G197" s="258">
        <v>10.57</v>
      </c>
      <c r="I197" s="160">
        <f t="shared" si="2"/>
        <v>86724.960000000079</v>
      </c>
    </row>
    <row r="198" spans="2:9" hidden="1" x14ac:dyDescent="0.25">
      <c r="B198" s="148"/>
      <c r="C198" s="148" t="s">
        <v>23458</v>
      </c>
      <c r="D198" s="150">
        <v>44048</v>
      </c>
      <c r="E198" s="113" t="s">
        <v>23457</v>
      </c>
      <c r="F198" s="257" t="s">
        <v>14408</v>
      </c>
      <c r="G198" s="258">
        <v>1.68</v>
      </c>
      <c r="I198" s="160">
        <f t="shared" si="2"/>
        <v>86726.640000000072</v>
      </c>
    </row>
    <row r="199" spans="2:9" hidden="1" x14ac:dyDescent="0.25">
      <c r="B199" s="148"/>
      <c r="C199" s="148" t="s">
        <v>23456</v>
      </c>
      <c r="D199" s="150">
        <v>44048</v>
      </c>
      <c r="E199" s="113" t="s">
        <v>23455</v>
      </c>
      <c r="F199" s="257" t="s">
        <v>14408</v>
      </c>
      <c r="G199" s="258">
        <v>3.37</v>
      </c>
      <c r="I199" s="160">
        <f t="shared" si="2"/>
        <v>86730.010000000068</v>
      </c>
    </row>
    <row r="200" spans="2:9" hidden="1" x14ac:dyDescent="0.25">
      <c r="B200" s="148"/>
      <c r="C200" s="148" t="s">
        <v>23454</v>
      </c>
      <c r="D200" s="150">
        <v>44048</v>
      </c>
      <c r="E200" s="113" t="s">
        <v>23453</v>
      </c>
      <c r="F200" s="257" t="s">
        <v>14408</v>
      </c>
      <c r="G200" s="258">
        <v>1.86</v>
      </c>
      <c r="I200" s="160">
        <f t="shared" si="2"/>
        <v>86731.870000000068</v>
      </c>
    </row>
    <row r="201" spans="2:9" hidden="1" x14ac:dyDescent="0.25">
      <c r="B201" s="148"/>
      <c r="C201" s="148" t="s">
        <v>23452</v>
      </c>
      <c r="D201" s="150">
        <v>44048</v>
      </c>
      <c r="E201" s="113" t="s">
        <v>23451</v>
      </c>
      <c r="F201" s="257" t="s">
        <v>14408</v>
      </c>
      <c r="G201" s="258">
        <v>7.31</v>
      </c>
      <c r="I201" s="160">
        <f t="shared" si="2"/>
        <v>86739.180000000066</v>
      </c>
    </row>
    <row r="202" spans="2:9" hidden="1" x14ac:dyDescent="0.25">
      <c r="B202" s="148"/>
      <c r="C202" s="148" t="s">
        <v>23450</v>
      </c>
      <c r="D202" s="150">
        <v>44048</v>
      </c>
      <c r="E202" s="113" t="s">
        <v>23449</v>
      </c>
      <c r="F202" s="257" t="s">
        <v>14408</v>
      </c>
      <c r="G202" s="258">
        <v>3.02</v>
      </c>
      <c r="I202" s="160">
        <f t="shared" si="2"/>
        <v>86742.20000000007</v>
      </c>
    </row>
    <row r="203" spans="2:9" ht="19.5" hidden="1" x14ac:dyDescent="0.25">
      <c r="B203" s="148"/>
      <c r="C203" s="148" t="s">
        <v>23448</v>
      </c>
      <c r="D203" s="150">
        <v>44048</v>
      </c>
      <c r="E203" s="113" t="s">
        <v>23447</v>
      </c>
      <c r="F203" s="257" t="s">
        <v>14408</v>
      </c>
      <c r="G203" s="258">
        <v>5.04</v>
      </c>
      <c r="I203" s="160">
        <f t="shared" si="2"/>
        <v>86747.240000000063</v>
      </c>
    </row>
    <row r="204" spans="2:9" hidden="1" x14ac:dyDescent="0.25">
      <c r="B204" s="148"/>
      <c r="C204" s="148" t="s">
        <v>23446</v>
      </c>
      <c r="D204" s="150">
        <v>44048</v>
      </c>
      <c r="E204" s="113" t="s">
        <v>23445</v>
      </c>
      <c r="F204" s="257" t="s">
        <v>14408</v>
      </c>
      <c r="G204" s="258">
        <v>4.08</v>
      </c>
      <c r="I204" s="160">
        <f t="shared" si="2"/>
        <v>86751.320000000065</v>
      </c>
    </row>
    <row r="205" spans="2:9" hidden="1" x14ac:dyDescent="0.25">
      <c r="B205" s="148"/>
      <c r="C205" s="148" t="s">
        <v>23444</v>
      </c>
      <c r="D205" s="150">
        <v>44048</v>
      </c>
      <c r="E205" s="113" t="s">
        <v>23443</v>
      </c>
      <c r="F205" s="257" t="s">
        <v>14408</v>
      </c>
      <c r="G205" s="258">
        <v>7.2</v>
      </c>
      <c r="I205" s="160">
        <f t="shared" si="2"/>
        <v>86758.520000000062</v>
      </c>
    </row>
    <row r="206" spans="2:9" hidden="1" x14ac:dyDescent="0.25">
      <c r="B206" s="148"/>
      <c r="C206" s="148" t="s">
        <v>23442</v>
      </c>
      <c r="D206" s="150">
        <v>44048</v>
      </c>
      <c r="E206" s="113" t="s">
        <v>23441</v>
      </c>
      <c r="F206" s="257" t="s">
        <v>14408</v>
      </c>
      <c r="G206" s="258">
        <v>5.87</v>
      </c>
      <c r="I206" s="160">
        <f t="shared" si="2"/>
        <v>86764.390000000058</v>
      </c>
    </row>
    <row r="207" spans="2:9" hidden="1" x14ac:dyDescent="0.25">
      <c r="B207" s="148"/>
      <c r="C207" s="148" t="s">
        <v>23440</v>
      </c>
      <c r="D207" s="150">
        <v>44048</v>
      </c>
      <c r="E207" s="113" t="s">
        <v>23439</v>
      </c>
      <c r="F207" s="257" t="s">
        <v>14408</v>
      </c>
      <c r="G207" s="258">
        <v>4.3</v>
      </c>
      <c r="I207" s="160">
        <f t="shared" si="2"/>
        <v>86768.690000000061</v>
      </c>
    </row>
    <row r="208" spans="2:9" hidden="1" x14ac:dyDescent="0.25">
      <c r="B208" s="148"/>
      <c r="C208" s="148" t="s">
        <v>23438</v>
      </c>
      <c r="D208" s="150">
        <v>44048</v>
      </c>
      <c r="E208" s="113" t="s">
        <v>23437</v>
      </c>
      <c r="F208" s="257" t="s">
        <v>14408</v>
      </c>
      <c r="G208" s="258">
        <v>0.08</v>
      </c>
      <c r="I208" s="160">
        <f t="shared" si="2"/>
        <v>86768.770000000062</v>
      </c>
    </row>
    <row r="209" spans="2:9" hidden="1" x14ac:dyDescent="0.25">
      <c r="B209" s="148"/>
      <c r="C209" s="148" t="s">
        <v>23436</v>
      </c>
      <c r="D209" s="150">
        <v>44048</v>
      </c>
      <c r="E209" s="113" t="s">
        <v>23435</v>
      </c>
      <c r="F209" s="257" t="s">
        <v>14408</v>
      </c>
      <c r="G209" s="258">
        <v>1.68</v>
      </c>
      <c r="I209" s="160">
        <f t="shared" si="2"/>
        <v>86770.450000000055</v>
      </c>
    </row>
    <row r="210" spans="2:9" hidden="1" x14ac:dyDescent="0.25">
      <c r="B210" s="148"/>
      <c r="C210" s="148" t="s">
        <v>23434</v>
      </c>
      <c r="D210" s="150">
        <v>44048</v>
      </c>
      <c r="E210" s="113" t="s">
        <v>23433</v>
      </c>
      <c r="F210" s="257" t="s">
        <v>14408</v>
      </c>
      <c r="G210" s="258">
        <v>3.49</v>
      </c>
      <c r="I210" s="160">
        <f t="shared" si="2"/>
        <v>86773.940000000061</v>
      </c>
    </row>
    <row r="211" spans="2:9" hidden="1" x14ac:dyDescent="0.25">
      <c r="B211" s="148"/>
      <c r="C211" s="148" t="s">
        <v>23432</v>
      </c>
      <c r="D211" s="150">
        <v>44048</v>
      </c>
      <c r="E211" s="113" t="s">
        <v>23431</v>
      </c>
      <c r="F211" s="257" t="s">
        <v>14436</v>
      </c>
      <c r="G211" s="160">
        <v>27.65</v>
      </c>
      <c r="I211" s="160">
        <f t="shared" si="2"/>
        <v>86801.590000000055</v>
      </c>
    </row>
    <row r="212" spans="2:9" ht="19.5" hidden="1" x14ac:dyDescent="0.25">
      <c r="B212" s="148"/>
      <c r="C212" s="148" t="s">
        <v>16351</v>
      </c>
      <c r="D212" s="150">
        <v>44048</v>
      </c>
      <c r="E212" s="113" t="s">
        <v>23430</v>
      </c>
      <c r="F212" s="257" t="s">
        <v>14433</v>
      </c>
      <c r="H212" s="161">
        <v>570.71</v>
      </c>
      <c r="I212" s="160">
        <f t="shared" ref="I212:I275" si="3">+I211+G212-H212</f>
        <v>86230.880000000048</v>
      </c>
    </row>
    <row r="213" spans="2:9" ht="19.5" hidden="1" x14ac:dyDescent="0.25">
      <c r="B213" s="148"/>
      <c r="C213" s="148" t="s">
        <v>18377</v>
      </c>
      <c r="D213" s="150">
        <v>44048</v>
      </c>
      <c r="E213" s="113" t="s">
        <v>23429</v>
      </c>
      <c r="F213" s="257" t="s">
        <v>14433</v>
      </c>
      <c r="H213" s="161">
        <v>3.8</v>
      </c>
      <c r="I213" s="160">
        <f t="shared" si="3"/>
        <v>86227.080000000045</v>
      </c>
    </row>
    <row r="214" spans="2:9" ht="19.5" hidden="1" x14ac:dyDescent="0.25">
      <c r="B214" s="148"/>
      <c r="C214" s="148" t="s">
        <v>19401</v>
      </c>
      <c r="D214" s="150">
        <v>44048</v>
      </c>
      <c r="E214" s="113" t="s">
        <v>23428</v>
      </c>
      <c r="F214" s="257" t="s">
        <v>14433</v>
      </c>
      <c r="H214" s="161">
        <v>0.04</v>
      </c>
      <c r="I214" s="160">
        <f t="shared" si="3"/>
        <v>86227.040000000052</v>
      </c>
    </row>
    <row r="215" spans="2:9" ht="19.5" hidden="1" x14ac:dyDescent="0.25">
      <c r="B215" s="148"/>
      <c r="C215" s="148" t="s">
        <v>19090</v>
      </c>
      <c r="D215" s="150">
        <v>44048</v>
      </c>
      <c r="E215" s="113" t="s">
        <v>23427</v>
      </c>
      <c r="F215" s="257" t="s">
        <v>14433</v>
      </c>
      <c r="H215" s="161">
        <v>1141.43</v>
      </c>
      <c r="I215" s="160">
        <f t="shared" si="3"/>
        <v>85085.610000000059</v>
      </c>
    </row>
    <row r="216" spans="2:9" ht="19.5" hidden="1" x14ac:dyDescent="0.25">
      <c r="B216" s="148"/>
      <c r="C216" s="148" t="s">
        <v>19399</v>
      </c>
      <c r="D216" s="150">
        <v>44048</v>
      </c>
      <c r="E216" s="113" t="s">
        <v>23426</v>
      </c>
      <c r="F216" s="257" t="s">
        <v>14433</v>
      </c>
      <c r="H216" s="161">
        <v>7.6</v>
      </c>
      <c r="I216" s="160">
        <f t="shared" si="3"/>
        <v>85078.010000000053</v>
      </c>
    </row>
    <row r="217" spans="2:9" ht="19.5" hidden="1" x14ac:dyDescent="0.25">
      <c r="B217" s="148"/>
      <c r="C217" s="148" t="s">
        <v>23425</v>
      </c>
      <c r="D217" s="150">
        <v>44048</v>
      </c>
      <c r="E217" s="113" t="s">
        <v>23424</v>
      </c>
      <c r="F217" s="257" t="s">
        <v>14433</v>
      </c>
      <c r="H217" s="161">
        <v>0.08</v>
      </c>
      <c r="I217" s="160">
        <f t="shared" si="3"/>
        <v>85077.930000000051</v>
      </c>
    </row>
    <row r="218" spans="2:9" hidden="1" x14ac:dyDescent="0.25">
      <c r="B218" s="148"/>
      <c r="C218" s="148" t="s">
        <v>23423</v>
      </c>
      <c r="D218" s="150">
        <v>44049</v>
      </c>
      <c r="E218" s="113" t="s">
        <v>23422</v>
      </c>
      <c r="F218" s="257" t="s">
        <v>14433</v>
      </c>
      <c r="H218" s="161">
        <v>6.66</v>
      </c>
      <c r="I218" s="160">
        <f t="shared" si="3"/>
        <v>85071.270000000048</v>
      </c>
    </row>
    <row r="219" spans="2:9" hidden="1" x14ac:dyDescent="0.25">
      <c r="B219" s="148"/>
      <c r="C219" s="148" t="s">
        <v>23421</v>
      </c>
      <c r="D219" s="150">
        <v>44049</v>
      </c>
      <c r="E219" s="113" t="s">
        <v>23420</v>
      </c>
      <c r="F219" s="257" t="s">
        <v>14433</v>
      </c>
      <c r="H219" s="161">
        <v>2.36</v>
      </c>
      <c r="I219" s="160">
        <f t="shared" si="3"/>
        <v>85068.910000000047</v>
      </c>
    </row>
    <row r="220" spans="2:9" hidden="1" x14ac:dyDescent="0.25">
      <c r="B220" s="148"/>
      <c r="C220" s="148" t="s">
        <v>23419</v>
      </c>
      <c r="D220" s="150">
        <v>44049</v>
      </c>
      <c r="E220" s="113" t="s">
        <v>23418</v>
      </c>
      <c r="F220" s="257" t="s">
        <v>14433</v>
      </c>
      <c r="H220" s="161">
        <v>4.54</v>
      </c>
      <c r="I220" s="160">
        <f t="shared" si="3"/>
        <v>85064.370000000054</v>
      </c>
    </row>
    <row r="221" spans="2:9" hidden="1" x14ac:dyDescent="0.25">
      <c r="B221" s="148"/>
      <c r="C221" s="148" t="s">
        <v>23417</v>
      </c>
      <c r="D221" s="150">
        <v>44049</v>
      </c>
      <c r="E221" s="113" t="s">
        <v>23416</v>
      </c>
      <c r="F221" s="257" t="s">
        <v>14436</v>
      </c>
      <c r="G221" s="160">
        <v>2.63</v>
      </c>
      <c r="I221" s="160">
        <f t="shared" si="3"/>
        <v>85067.000000000058</v>
      </c>
    </row>
    <row r="222" spans="2:9" hidden="1" x14ac:dyDescent="0.25">
      <c r="B222" s="148"/>
      <c r="C222" s="148" t="s">
        <v>23415</v>
      </c>
      <c r="D222" s="150">
        <v>44049</v>
      </c>
      <c r="E222" s="113" t="s">
        <v>23414</v>
      </c>
      <c r="F222" s="257" t="s">
        <v>14408</v>
      </c>
      <c r="G222" s="258">
        <v>20.39</v>
      </c>
      <c r="I222" s="160">
        <f t="shared" si="3"/>
        <v>85087.390000000058</v>
      </c>
    </row>
    <row r="223" spans="2:9" ht="19.5" hidden="1" x14ac:dyDescent="0.25">
      <c r="B223" s="148"/>
      <c r="C223" s="148" t="s">
        <v>23413</v>
      </c>
      <c r="D223" s="150">
        <v>44049</v>
      </c>
      <c r="E223" s="113" t="s">
        <v>23412</v>
      </c>
      <c r="F223" s="257" t="s">
        <v>14408</v>
      </c>
      <c r="G223" s="258">
        <v>50.28</v>
      </c>
      <c r="I223" s="160">
        <f t="shared" si="3"/>
        <v>85137.670000000056</v>
      </c>
    </row>
    <row r="224" spans="2:9" hidden="1" x14ac:dyDescent="0.25">
      <c r="B224" s="148"/>
      <c r="C224" s="148" t="s">
        <v>23411</v>
      </c>
      <c r="D224" s="150">
        <v>44049</v>
      </c>
      <c r="E224" s="113" t="s">
        <v>23410</v>
      </c>
      <c r="F224" s="257" t="s">
        <v>14408</v>
      </c>
      <c r="G224" s="258">
        <v>17.420000000000002</v>
      </c>
      <c r="I224" s="160">
        <f t="shared" si="3"/>
        <v>85155.090000000055</v>
      </c>
    </row>
    <row r="225" spans="2:9" ht="19.5" hidden="1" x14ac:dyDescent="0.25">
      <c r="B225" s="148"/>
      <c r="C225" s="148" t="s">
        <v>23409</v>
      </c>
      <c r="D225" s="150">
        <v>44049</v>
      </c>
      <c r="E225" s="113" t="s">
        <v>23408</v>
      </c>
      <c r="F225" s="257" t="s">
        <v>14408</v>
      </c>
      <c r="G225" s="258">
        <v>33.520000000000003</v>
      </c>
      <c r="I225" s="160">
        <f t="shared" si="3"/>
        <v>85188.610000000059</v>
      </c>
    </row>
    <row r="226" spans="2:9" hidden="1" x14ac:dyDescent="0.25">
      <c r="B226" s="148"/>
      <c r="C226" s="148" t="s">
        <v>23407</v>
      </c>
      <c r="D226" s="150">
        <v>44049</v>
      </c>
      <c r="E226" s="113" t="s">
        <v>23406</v>
      </c>
      <c r="F226" s="257" t="s">
        <v>14408</v>
      </c>
      <c r="G226" s="258">
        <v>5.96</v>
      </c>
      <c r="I226" s="160">
        <f t="shared" si="3"/>
        <v>85194.570000000065</v>
      </c>
    </row>
    <row r="227" spans="2:9" hidden="1" x14ac:dyDescent="0.25">
      <c r="B227" s="148"/>
      <c r="C227" s="148" t="s">
        <v>23405</v>
      </c>
      <c r="D227" s="150">
        <v>44049</v>
      </c>
      <c r="E227" s="113" t="s">
        <v>23404</v>
      </c>
      <c r="F227" s="257" t="s">
        <v>14408</v>
      </c>
      <c r="G227" s="258">
        <v>10.11</v>
      </c>
      <c r="I227" s="160">
        <f t="shared" si="3"/>
        <v>85204.680000000066</v>
      </c>
    </row>
    <row r="228" spans="2:9" hidden="1" x14ac:dyDescent="0.25">
      <c r="B228" s="148"/>
      <c r="C228" s="148" t="s">
        <v>23403</v>
      </c>
      <c r="D228" s="150">
        <v>44049</v>
      </c>
      <c r="E228" s="113" t="s">
        <v>23402</v>
      </c>
      <c r="F228" s="257" t="s">
        <v>14408</v>
      </c>
      <c r="G228" s="258">
        <v>3.91</v>
      </c>
      <c r="I228" s="160">
        <f t="shared" si="3"/>
        <v>85208.590000000069</v>
      </c>
    </row>
    <row r="229" spans="2:9" hidden="1" x14ac:dyDescent="0.25">
      <c r="B229" s="148"/>
      <c r="C229" s="148" t="s">
        <v>23401</v>
      </c>
      <c r="D229" s="150">
        <v>44049</v>
      </c>
      <c r="E229" s="113" t="s">
        <v>23400</v>
      </c>
      <c r="F229" s="257" t="s">
        <v>14408</v>
      </c>
      <c r="G229" s="258">
        <v>15.17</v>
      </c>
      <c r="I229" s="160">
        <f t="shared" si="3"/>
        <v>85223.760000000068</v>
      </c>
    </row>
    <row r="230" spans="2:9" hidden="1" x14ac:dyDescent="0.25">
      <c r="B230" s="148"/>
      <c r="C230" s="148" t="s">
        <v>23399</v>
      </c>
      <c r="D230" s="150">
        <v>44049</v>
      </c>
      <c r="E230" s="113" t="s">
        <v>23398</v>
      </c>
      <c r="F230" s="257" t="s">
        <v>14408</v>
      </c>
      <c r="G230" s="258">
        <v>30.88</v>
      </c>
      <c r="I230" s="160">
        <f t="shared" si="3"/>
        <v>85254.640000000072</v>
      </c>
    </row>
    <row r="231" spans="2:9" hidden="1" x14ac:dyDescent="0.25">
      <c r="B231" s="148"/>
      <c r="C231" s="148" t="s">
        <v>23397</v>
      </c>
      <c r="D231" s="150">
        <v>44049</v>
      </c>
      <c r="E231" s="113" t="s">
        <v>23396</v>
      </c>
      <c r="F231" s="257" t="s">
        <v>14408</v>
      </c>
      <c r="G231" s="258">
        <v>18.93</v>
      </c>
      <c r="I231" s="160">
        <f t="shared" si="3"/>
        <v>85273.570000000065</v>
      </c>
    </row>
    <row r="232" spans="2:9" hidden="1" x14ac:dyDescent="0.25">
      <c r="B232" s="148"/>
      <c r="C232" s="148" t="s">
        <v>23395</v>
      </c>
      <c r="D232" s="150">
        <v>44049</v>
      </c>
      <c r="E232" s="113" t="s">
        <v>23394</v>
      </c>
      <c r="F232" s="257" t="s">
        <v>14408</v>
      </c>
      <c r="G232" s="258">
        <v>2.71</v>
      </c>
      <c r="I232" s="160">
        <f t="shared" si="3"/>
        <v>85276.280000000072</v>
      </c>
    </row>
    <row r="233" spans="2:9" ht="19.5" hidden="1" x14ac:dyDescent="0.25">
      <c r="B233" s="148"/>
      <c r="C233" s="148" t="s">
        <v>23393</v>
      </c>
      <c r="D233" s="150">
        <v>44049</v>
      </c>
      <c r="E233" s="113" t="s">
        <v>23392</v>
      </c>
      <c r="F233" s="257">
        <v>4</v>
      </c>
      <c r="G233" s="255">
        <v>5.98</v>
      </c>
      <c r="I233" s="160">
        <f t="shared" si="3"/>
        <v>85282.260000000068</v>
      </c>
    </row>
    <row r="234" spans="2:9" ht="19.5" hidden="1" x14ac:dyDescent="0.25">
      <c r="B234" s="148"/>
      <c r="C234" s="148" t="s">
        <v>23391</v>
      </c>
      <c r="D234" s="150">
        <v>44049</v>
      </c>
      <c r="E234" s="113" t="s">
        <v>23390</v>
      </c>
      <c r="F234" s="257">
        <v>4</v>
      </c>
      <c r="G234" s="255">
        <v>30.6</v>
      </c>
      <c r="I234" s="160">
        <f t="shared" si="3"/>
        <v>85312.860000000073</v>
      </c>
    </row>
    <row r="235" spans="2:9" hidden="1" x14ac:dyDescent="0.25">
      <c r="B235" s="148"/>
      <c r="C235" s="148" t="s">
        <v>23389</v>
      </c>
      <c r="D235" s="150">
        <v>44049</v>
      </c>
      <c r="E235" s="113" t="s">
        <v>23388</v>
      </c>
      <c r="F235" s="257">
        <v>4</v>
      </c>
      <c r="G235" s="255">
        <v>8.49</v>
      </c>
      <c r="I235" s="160">
        <f t="shared" si="3"/>
        <v>85321.350000000079</v>
      </c>
    </row>
    <row r="236" spans="2:9" ht="19.5" hidden="1" x14ac:dyDescent="0.25">
      <c r="B236" s="148"/>
      <c r="C236" s="148" t="s">
        <v>23387</v>
      </c>
      <c r="D236" s="150">
        <v>44049</v>
      </c>
      <c r="E236" s="113" t="s">
        <v>23386</v>
      </c>
      <c r="F236" s="257">
        <v>4</v>
      </c>
      <c r="G236" s="255">
        <v>11.76</v>
      </c>
      <c r="I236" s="160">
        <f t="shared" si="3"/>
        <v>85333.110000000073</v>
      </c>
    </row>
    <row r="237" spans="2:9" hidden="1" x14ac:dyDescent="0.25">
      <c r="B237" s="148"/>
      <c r="C237" s="148" t="s">
        <v>23385</v>
      </c>
      <c r="D237" s="150">
        <v>44049</v>
      </c>
      <c r="E237" s="113" t="s">
        <v>23384</v>
      </c>
      <c r="F237" s="257">
        <v>4</v>
      </c>
      <c r="G237" s="255">
        <v>29.16</v>
      </c>
      <c r="I237" s="160">
        <f t="shared" si="3"/>
        <v>85362.270000000077</v>
      </c>
    </row>
    <row r="238" spans="2:9" hidden="1" x14ac:dyDescent="0.25">
      <c r="B238" s="148"/>
      <c r="C238" s="148" t="s">
        <v>23383</v>
      </c>
      <c r="D238" s="150">
        <v>44049</v>
      </c>
      <c r="E238" s="113" t="s">
        <v>23382</v>
      </c>
      <c r="F238" s="257" t="s">
        <v>14436</v>
      </c>
      <c r="G238" s="160">
        <v>1.83</v>
      </c>
      <c r="I238" s="160">
        <f t="shared" si="3"/>
        <v>85364.100000000079</v>
      </c>
    </row>
    <row r="239" spans="2:9" hidden="1" x14ac:dyDescent="0.25">
      <c r="B239" s="148"/>
      <c r="C239" s="148" t="s">
        <v>23381</v>
      </c>
      <c r="D239" s="150">
        <v>44049</v>
      </c>
      <c r="E239" s="113" t="s">
        <v>23380</v>
      </c>
      <c r="F239" s="257" t="s">
        <v>14436</v>
      </c>
      <c r="G239" s="160">
        <v>14.97</v>
      </c>
      <c r="I239" s="160">
        <f t="shared" si="3"/>
        <v>85379.07000000008</v>
      </c>
    </row>
    <row r="240" spans="2:9" ht="29.25" hidden="1" x14ac:dyDescent="0.25">
      <c r="B240" s="148"/>
      <c r="C240" s="148" t="s">
        <v>15972</v>
      </c>
      <c r="D240" s="150">
        <v>44049</v>
      </c>
      <c r="E240" s="113" t="s">
        <v>23379</v>
      </c>
      <c r="F240" s="257" t="s">
        <v>14439</v>
      </c>
      <c r="G240" s="160">
        <v>551.59</v>
      </c>
      <c r="I240" s="160">
        <f t="shared" si="3"/>
        <v>85930.660000000076</v>
      </c>
    </row>
    <row r="241" spans="2:9" ht="29.25" hidden="1" x14ac:dyDescent="0.25">
      <c r="B241" s="148"/>
      <c r="C241" s="148" t="s">
        <v>1926</v>
      </c>
      <c r="D241" s="150">
        <v>44049</v>
      </c>
      <c r="E241" s="113" t="s">
        <v>23378</v>
      </c>
      <c r="F241" s="257" t="s">
        <v>14439</v>
      </c>
      <c r="G241" s="160">
        <v>53.22</v>
      </c>
      <c r="I241" s="160">
        <f t="shared" si="3"/>
        <v>85983.880000000077</v>
      </c>
    </row>
    <row r="242" spans="2:9" hidden="1" x14ac:dyDescent="0.25">
      <c r="B242" s="148"/>
      <c r="C242" s="148" t="s">
        <v>23377</v>
      </c>
      <c r="D242" s="150">
        <v>44050</v>
      </c>
      <c r="E242" s="113" t="s">
        <v>23376</v>
      </c>
      <c r="F242" s="257" t="s">
        <v>14433</v>
      </c>
      <c r="H242" s="161">
        <v>2.36</v>
      </c>
      <c r="I242" s="160">
        <f t="shared" si="3"/>
        <v>85981.520000000077</v>
      </c>
    </row>
    <row r="243" spans="2:9" hidden="1" x14ac:dyDescent="0.25">
      <c r="B243" s="148"/>
      <c r="C243" s="148" t="s">
        <v>23375</v>
      </c>
      <c r="D243" s="150">
        <v>44050</v>
      </c>
      <c r="E243" s="113" t="s">
        <v>23374</v>
      </c>
      <c r="F243" s="257" t="s">
        <v>14433</v>
      </c>
      <c r="H243" s="161">
        <v>3.86</v>
      </c>
      <c r="I243" s="160">
        <f t="shared" si="3"/>
        <v>85977.660000000076</v>
      </c>
    </row>
    <row r="244" spans="2:9" hidden="1" x14ac:dyDescent="0.25">
      <c r="B244" s="148"/>
      <c r="C244" s="148" t="s">
        <v>23373</v>
      </c>
      <c r="D244" s="150">
        <v>44050</v>
      </c>
      <c r="E244" s="113" t="s">
        <v>23372</v>
      </c>
      <c r="F244" s="257" t="s">
        <v>14436</v>
      </c>
      <c r="G244" s="160">
        <v>571.65</v>
      </c>
      <c r="I244" s="160">
        <f t="shared" si="3"/>
        <v>86549.31000000007</v>
      </c>
    </row>
    <row r="245" spans="2:9" hidden="1" x14ac:dyDescent="0.25">
      <c r="B245" s="148"/>
      <c r="C245" s="148" t="s">
        <v>23371</v>
      </c>
      <c r="D245" s="150">
        <v>44050</v>
      </c>
      <c r="E245" s="113" t="s">
        <v>23370</v>
      </c>
      <c r="F245" s="257" t="s">
        <v>14436</v>
      </c>
      <c r="G245" s="160">
        <v>21.02</v>
      </c>
      <c r="I245" s="160">
        <f t="shared" si="3"/>
        <v>86570.330000000075</v>
      </c>
    </row>
    <row r="246" spans="2:9" hidden="1" x14ac:dyDescent="0.25">
      <c r="B246" s="148"/>
      <c r="C246" s="148" t="s">
        <v>23369</v>
      </c>
      <c r="D246" s="150">
        <v>44050</v>
      </c>
      <c r="E246" s="113" t="s">
        <v>23368</v>
      </c>
      <c r="F246" s="257" t="s">
        <v>14436</v>
      </c>
      <c r="G246" s="160">
        <v>2.7</v>
      </c>
      <c r="I246" s="160">
        <f t="shared" si="3"/>
        <v>86573.030000000072</v>
      </c>
    </row>
    <row r="247" spans="2:9" hidden="1" x14ac:dyDescent="0.25">
      <c r="B247" s="148"/>
      <c r="C247" s="148" t="s">
        <v>23367</v>
      </c>
      <c r="D247" s="150">
        <v>44050</v>
      </c>
      <c r="E247" s="113" t="s">
        <v>23366</v>
      </c>
      <c r="F247" s="257" t="s">
        <v>14409</v>
      </c>
      <c r="G247" s="258">
        <v>5.35</v>
      </c>
      <c r="I247" s="160">
        <f t="shared" si="3"/>
        <v>86578.380000000077</v>
      </c>
    </row>
    <row r="248" spans="2:9" hidden="1" x14ac:dyDescent="0.25">
      <c r="B248" s="148"/>
      <c r="C248" s="148" t="s">
        <v>23365</v>
      </c>
      <c r="D248" s="150">
        <v>44050</v>
      </c>
      <c r="E248" s="113" t="s">
        <v>23364</v>
      </c>
      <c r="F248" s="257" t="s">
        <v>14409</v>
      </c>
      <c r="G248" s="258">
        <v>3.48</v>
      </c>
      <c r="I248" s="160">
        <f t="shared" si="3"/>
        <v>86581.860000000073</v>
      </c>
    </row>
    <row r="249" spans="2:9" hidden="1" x14ac:dyDescent="0.25">
      <c r="B249" s="148"/>
      <c r="C249" s="148" t="s">
        <v>23363</v>
      </c>
      <c r="D249" s="150">
        <v>44050</v>
      </c>
      <c r="E249" s="113" t="s">
        <v>23362</v>
      </c>
      <c r="F249" s="257" t="s">
        <v>14436</v>
      </c>
      <c r="G249" s="160">
        <v>1.68</v>
      </c>
      <c r="I249" s="160">
        <f t="shared" si="3"/>
        <v>86583.540000000066</v>
      </c>
    </row>
    <row r="250" spans="2:9" hidden="1" x14ac:dyDescent="0.25">
      <c r="B250" s="148"/>
      <c r="C250" s="148" t="s">
        <v>23361</v>
      </c>
      <c r="D250" s="150">
        <v>44050</v>
      </c>
      <c r="E250" s="113" t="s">
        <v>23360</v>
      </c>
      <c r="F250" s="257" t="s">
        <v>14409</v>
      </c>
      <c r="G250" s="258">
        <v>5.75</v>
      </c>
      <c r="I250" s="160">
        <f t="shared" si="3"/>
        <v>86589.290000000066</v>
      </c>
    </row>
    <row r="251" spans="2:9" hidden="1" x14ac:dyDescent="0.25">
      <c r="B251" s="148"/>
      <c r="C251" s="148" t="s">
        <v>23359</v>
      </c>
      <c r="D251" s="150">
        <v>44050</v>
      </c>
      <c r="E251" s="113" t="s">
        <v>23358</v>
      </c>
      <c r="F251" s="257" t="s">
        <v>14409</v>
      </c>
      <c r="G251" s="258">
        <v>3.66</v>
      </c>
      <c r="I251" s="160">
        <f t="shared" si="3"/>
        <v>86592.95000000007</v>
      </c>
    </row>
    <row r="252" spans="2:9" hidden="1" x14ac:dyDescent="0.25">
      <c r="B252" s="148"/>
      <c r="C252" s="148" t="s">
        <v>23357</v>
      </c>
      <c r="D252" s="150">
        <v>44050</v>
      </c>
      <c r="E252" s="113" t="s">
        <v>23356</v>
      </c>
      <c r="F252" s="257" t="s">
        <v>14409</v>
      </c>
      <c r="G252" s="258">
        <v>5.37</v>
      </c>
      <c r="I252" s="160">
        <f t="shared" si="3"/>
        <v>86598.320000000065</v>
      </c>
    </row>
    <row r="253" spans="2:9" hidden="1" x14ac:dyDescent="0.25">
      <c r="B253" s="148"/>
      <c r="C253" s="148" t="s">
        <v>23355</v>
      </c>
      <c r="D253" s="150">
        <v>44050</v>
      </c>
      <c r="E253" s="113" t="s">
        <v>23354</v>
      </c>
      <c r="F253" s="257" t="s">
        <v>14409</v>
      </c>
      <c r="G253" s="258">
        <v>5.58</v>
      </c>
      <c r="I253" s="160">
        <f t="shared" si="3"/>
        <v>86603.900000000067</v>
      </c>
    </row>
    <row r="254" spans="2:9" hidden="1" x14ac:dyDescent="0.25">
      <c r="B254" s="148"/>
      <c r="C254" s="148" t="s">
        <v>23353</v>
      </c>
      <c r="D254" s="150">
        <v>44050</v>
      </c>
      <c r="E254" s="113" t="s">
        <v>23352</v>
      </c>
      <c r="F254" s="257" t="s">
        <v>14409</v>
      </c>
      <c r="G254" s="258">
        <v>7.11</v>
      </c>
      <c r="I254" s="160">
        <f t="shared" si="3"/>
        <v>86611.010000000068</v>
      </c>
    </row>
    <row r="255" spans="2:9" ht="19.5" hidden="1" x14ac:dyDescent="0.25">
      <c r="B255" s="148"/>
      <c r="C255" s="148" t="s">
        <v>23351</v>
      </c>
      <c r="D255" s="150">
        <v>44050</v>
      </c>
      <c r="E255" s="113" t="s">
        <v>23350</v>
      </c>
      <c r="F255" s="257" t="s">
        <v>14409</v>
      </c>
      <c r="G255" s="258">
        <v>19.600000000000001</v>
      </c>
      <c r="I255" s="160">
        <f t="shared" si="3"/>
        <v>86630.610000000073</v>
      </c>
    </row>
    <row r="256" spans="2:9" ht="19.5" hidden="1" x14ac:dyDescent="0.25">
      <c r="B256" s="148"/>
      <c r="C256" s="148" t="s">
        <v>23349</v>
      </c>
      <c r="D256" s="150">
        <v>44050</v>
      </c>
      <c r="E256" s="113" t="s">
        <v>23348</v>
      </c>
      <c r="F256" s="257" t="s">
        <v>14409</v>
      </c>
      <c r="G256" s="258">
        <v>6.39</v>
      </c>
      <c r="I256" s="160">
        <f t="shared" si="3"/>
        <v>86637.000000000073</v>
      </c>
    </row>
    <row r="257" spans="2:9" ht="19.5" hidden="1" x14ac:dyDescent="0.25">
      <c r="B257" s="148"/>
      <c r="C257" s="148" t="s">
        <v>23347</v>
      </c>
      <c r="D257" s="150">
        <v>44050</v>
      </c>
      <c r="E257" s="113" t="s">
        <v>23346</v>
      </c>
      <c r="F257" s="257" t="s">
        <v>14409</v>
      </c>
      <c r="G257" s="258">
        <v>8.4</v>
      </c>
      <c r="I257" s="160">
        <f t="shared" si="3"/>
        <v>86645.400000000067</v>
      </c>
    </row>
    <row r="258" spans="2:9" hidden="1" x14ac:dyDescent="0.25">
      <c r="B258" s="148"/>
      <c r="C258" s="148" t="s">
        <v>23345</v>
      </c>
      <c r="D258" s="150">
        <v>44050</v>
      </c>
      <c r="E258" s="113" t="s">
        <v>23344</v>
      </c>
      <c r="F258" s="257" t="s">
        <v>14409</v>
      </c>
      <c r="G258" s="258">
        <v>20.96</v>
      </c>
      <c r="I258" s="160">
        <f t="shared" si="3"/>
        <v>86666.360000000073</v>
      </c>
    </row>
    <row r="259" spans="2:9" hidden="1" x14ac:dyDescent="0.25">
      <c r="B259" s="148"/>
      <c r="C259" s="148" t="s">
        <v>23343</v>
      </c>
      <c r="D259" s="150">
        <v>44050</v>
      </c>
      <c r="E259" s="113" t="s">
        <v>23342</v>
      </c>
      <c r="F259" s="257" t="s">
        <v>14409</v>
      </c>
      <c r="G259" s="258">
        <v>14.43</v>
      </c>
      <c r="I259" s="160">
        <f t="shared" si="3"/>
        <v>86680.790000000066</v>
      </c>
    </row>
    <row r="260" spans="2:9" ht="19.5" hidden="1" x14ac:dyDescent="0.25">
      <c r="B260" s="148"/>
      <c r="C260" s="148" t="s">
        <v>23341</v>
      </c>
      <c r="D260" s="150">
        <v>44050</v>
      </c>
      <c r="E260" s="113" t="s">
        <v>23340</v>
      </c>
      <c r="F260" s="257" t="s">
        <v>14409</v>
      </c>
      <c r="G260" s="258">
        <v>7.76</v>
      </c>
      <c r="I260" s="160">
        <f t="shared" si="3"/>
        <v>86688.550000000061</v>
      </c>
    </row>
    <row r="261" spans="2:9" hidden="1" x14ac:dyDescent="0.25">
      <c r="B261" s="148"/>
      <c r="C261" s="148" t="s">
        <v>23339</v>
      </c>
      <c r="D261" s="150">
        <v>44050</v>
      </c>
      <c r="E261" s="113" t="s">
        <v>23338</v>
      </c>
      <c r="F261" s="257">
        <v>5</v>
      </c>
      <c r="G261" s="255">
        <v>3.36</v>
      </c>
      <c r="I261" s="160">
        <f t="shared" si="3"/>
        <v>86691.910000000062</v>
      </c>
    </row>
    <row r="262" spans="2:9" hidden="1" x14ac:dyDescent="0.25">
      <c r="B262" s="148"/>
      <c r="C262" s="148" t="s">
        <v>23337</v>
      </c>
      <c r="D262" s="150">
        <v>44050</v>
      </c>
      <c r="E262" s="113" t="s">
        <v>23336</v>
      </c>
      <c r="F262" s="257">
        <v>5</v>
      </c>
      <c r="G262" s="255">
        <v>8.3800000000000008</v>
      </c>
      <c r="I262" s="160">
        <f t="shared" si="3"/>
        <v>86700.290000000066</v>
      </c>
    </row>
    <row r="263" spans="2:9" hidden="1" x14ac:dyDescent="0.25">
      <c r="B263" s="148"/>
      <c r="C263" s="148" t="s">
        <v>23335</v>
      </c>
      <c r="D263" s="150">
        <v>44050</v>
      </c>
      <c r="E263" s="113" t="s">
        <v>23334</v>
      </c>
      <c r="F263" s="257">
        <v>5</v>
      </c>
      <c r="G263" s="255">
        <v>1.9</v>
      </c>
      <c r="I263" s="160">
        <f t="shared" si="3"/>
        <v>86702.190000000061</v>
      </c>
    </row>
    <row r="264" spans="2:9" hidden="1" x14ac:dyDescent="0.25">
      <c r="B264" s="148"/>
      <c r="C264" s="148" t="s">
        <v>23333</v>
      </c>
      <c r="D264" s="150">
        <v>44050</v>
      </c>
      <c r="E264" s="113" t="s">
        <v>23332</v>
      </c>
      <c r="F264" s="257">
        <v>5</v>
      </c>
      <c r="G264" s="255">
        <v>6.94</v>
      </c>
      <c r="I264" s="160">
        <f t="shared" si="3"/>
        <v>86709.130000000063</v>
      </c>
    </row>
    <row r="265" spans="2:9" hidden="1" x14ac:dyDescent="0.25">
      <c r="B265" s="148"/>
      <c r="C265" s="148" t="s">
        <v>23331</v>
      </c>
      <c r="D265" s="150">
        <v>44050</v>
      </c>
      <c r="E265" s="113" t="s">
        <v>23330</v>
      </c>
      <c r="F265" s="257">
        <v>5</v>
      </c>
      <c r="G265" s="255">
        <v>9.81</v>
      </c>
      <c r="I265" s="160">
        <f t="shared" si="3"/>
        <v>86718.940000000061</v>
      </c>
    </row>
    <row r="266" spans="2:9" hidden="1" x14ac:dyDescent="0.25">
      <c r="B266" s="148"/>
      <c r="C266" s="148" t="s">
        <v>23329</v>
      </c>
      <c r="D266" s="150">
        <v>44050</v>
      </c>
      <c r="E266" s="113" t="s">
        <v>23328</v>
      </c>
      <c r="F266" s="257">
        <v>5</v>
      </c>
      <c r="G266" s="255">
        <v>8.59</v>
      </c>
      <c r="I266" s="160">
        <f t="shared" si="3"/>
        <v>86727.530000000057</v>
      </c>
    </row>
    <row r="267" spans="2:9" hidden="1" x14ac:dyDescent="0.25">
      <c r="B267" s="148"/>
      <c r="C267" s="148" t="s">
        <v>23327</v>
      </c>
      <c r="D267" s="150">
        <v>44050</v>
      </c>
      <c r="E267" s="113" t="s">
        <v>23326</v>
      </c>
      <c r="F267" s="257">
        <v>5</v>
      </c>
      <c r="G267" s="255">
        <v>32.56</v>
      </c>
      <c r="I267" s="160">
        <f t="shared" si="3"/>
        <v>86760.090000000055</v>
      </c>
    </row>
    <row r="268" spans="2:9" hidden="1" x14ac:dyDescent="0.25">
      <c r="B268" s="148"/>
      <c r="C268" s="148" t="s">
        <v>23325</v>
      </c>
      <c r="D268" s="150">
        <v>44050</v>
      </c>
      <c r="E268" s="113" t="s">
        <v>23324</v>
      </c>
      <c r="F268" s="257">
        <v>5</v>
      </c>
      <c r="G268" s="255">
        <v>14.54</v>
      </c>
      <c r="I268" s="160">
        <f t="shared" si="3"/>
        <v>86774.630000000048</v>
      </c>
    </row>
    <row r="269" spans="2:9" ht="19.5" hidden="1" x14ac:dyDescent="0.25">
      <c r="B269" s="148"/>
      <c r="C269" s="148" t="s">
        <v>23323</v>
      </c>
      <c r="D269" s="150">
        <v>44050</v>
      </c>
      <c r="E269" s="113" t="s">
        <v>23322</v>
      </c>
      <c r="F269" s="257" t="s">
        <v>14436</v>
      </c>
      <c r="G269" s="160">
        <v>8703.7800000000007</v>
      </c>
      <c r="I269" s="160">
        <f t="shared" si="3"/>
        <v>95478.410000000047</v>
      </c>
    </row>
    <row r="270" spans="2:9" ht="19.5" hidden="1" x14ac:dyDescent="0.25">
      <c r="B270" s="148"/>
      <c r="C270" s="148" t="s">
        <v>23321</v>
      </c>
      <c r="D270" s="150">
        <v>44051</v>
      </c>
      <c r="E270" s="113" t="s">
        <v>23320</v>
      </c>
      <c r="F270" s="257" t="s">
        <v>14409</v>
      </c>
      <c r="G270" s="258">
        <v>20.170000000000002</v>
      </c>
      <c r="I270" s="160">
        <f t="shared" si="3"/>
        <v>95498.580000000045</v>
      </c>
    </row>
    <row r="271" spans="2:9" hidden="1" x14ac:dyDescent="0.25">
      <c r="B271" s="148"/>
      <c r="C271" s="148" t="s">
        <v>23319</v>
      </c>
      <c r="D271" s="150">
        <v>44051</v>
      </c>
      <c r="E271" s="113" t="s">
        <v>23318</v>
      </c>
      <c r="F271" s="257" t="s">
        <v>14409</v>
      </c>
      <c r="G271" s="258">
        <v>4.47</v>
      </c>
      <c r="I271" s="160">
        <f t="shared" si="3"/>
        <v>95503.050000000047</v>
      </c>
    </row>
    <row r="272" spans="2:9" hidden="1" x14ac:dyDescent="0.25">
      <c r="B272" s="148"/>
      <c r="C272" s="148" t="s">
        <v>23317</v>
      </c>
      <c r="D272" s="150">
        <v>44051</v>
      </c>
      <c r="E272" s="113" t="s">
        <v>23316</v>
      </c>
      <c r="F272" s="257" t="s">
        <v>14409</v>
      </c>
      <c r="G272" s="258">
        <v>59.34</v>
      </c>
      <c r="I272" s="160">
        <f t="shared" si="3"/>
        <v>95562.390000000043</v>
      </c>
    </row>
    <row r="273" spans="2:9" hidden="1" x14ac:dyDescent="0.25">
      <c r="B273" s="148"/>
      <c r="C273" s="148" t="s">
        <v>23315</v>
      </c>
      <c r="D273" s="150">
        <v>44051</v>
      </c>
      <c r="E273" s="113" t="s">
        <v>23314</v>
      </c>
      <c r="F273" s="257" t="s">
        <v>14409</v>
      </c>
      <c r="G273" s="258">
        <v>4.0999999999999996</v>
      </c>
      <c r="I273" s="160">
        <f t="shared" si="3"/>
        <v>95566.490000000049</v>
      </c>
    </row>
    <row r="274" spans="2:9" hidden="1" x14ac:dyDescent="0.25">
      <c r="B274" s="148"/>
      <c r="C274" s="148" t="s">
        <v>23313</v>
      </c>
      <c r="D274" s="150">
        <v>44051</v>
      </c>
      <c r="E274" s="113" t="s">
        <v>23312</v>
      </c>
      <c r="F274" s="257" t="s">
        <v>14409</v>
      </c>
      <c r="G274" s="258">
        <v>7.6</v>
      </c>
      <c r="I274" s="160">
        <f t="shared" si="3"/>
        <v>95574.090000000055</v>
      </c>
    </row>
    <row r="275" spans="2:9" hidden="1" x14ac:dyDescent="0.25">
      <c r="B275" s="148"/>
      <c r="C275" s="148" t="s">
        <v>23311</v>
      </c>
      <c r="D275" s="150">
        <v>44051</v>
      </c>
      <c r="E275" s="113" t="s">
        <v>23310</v>
      </c>
      <c r="F275" s="257" t="s">
        <v>14409</v>
      </c>
      <c r="G275" s="258">
        <v>2.6</v>
      </c>
      <c r="I275" s="160">
        <f t="shared" si="3"/>
        <v>95576.690000000061</v>
      </c>
    </row>
    <row r="276" spans="2:9" hidden="1" x14ac:dyDescent="0.25">
      <c r="B276" s="148"/>
      <c r="C276" s="148" t="s">
        <v>23309</v>
      </c>
      <c r="D276" s="150">
        <v>44051</v>
      </c>
      <c r="E276" s="113" t="s">
        <v>23308</v>
      </c>
      <c r="F276" s="257" t="s">
        <v>14409</v>
      </c>
      <c r="G276" s="258">
        <v>1.68</v>
      </c>
      <c r="I276" s="160">
        <f t="shared" ref="I276:I339" si="4">+I275+G276-H276</f>
        <v>95578.370000000054</v>
      </c>
    </row>
    <row r="277" spans="2:9" ht="19.5" hidden="1" x14ac:dyDescent="0.25">
      <c r="B277" s="148"/>
      <c r="C277" s="148" t="s">
        <v>23307</v>
      </c>
      <c r="D277" s="150">
        <v>44052</v>
      </c>
      <c r="E277" s="113" t="s">
        <v>23306</v>
      </c>
      <c r="F277" s="257" t="s">
        <v>14409</v>
      </c>
      <c r="G277" s="258">
        <v>9.6999999999999993</v>
      </c>
      <c r="I277" s="160">
        <f t="shared" si="4"/>
        <v>95588.070000000051</v>
      </c>
    </row>
    <row r="278" spans="2:9" hidden="1" x14ac:dyDescent="0.25">
      <c r="B278" s="148"/>
      <c r="C278" s="148" t="s">
        <v>23305</v>
      </c>
      <c r="D278" s="150">
        <v>44052</v>
      </c>
      <c r="E278" s="113" t="s">
        <v>23304</v>
      </c>
      <c r="F278" s="257" t="s">
        <v>14409</v>
      </c>
      <c r="G278" s="258">
        <v>2.6</v>
      </c>
      <c r="I278" s="160">
        <f t="shared" si="4"/>
        <v>95590.670000000056</v>
      </c>
    </row>
    <row r="279" spans="2:9" ht="19.5" hidden="1" x14ac:dyDescent="0.25">
      <c r="B279" s="148"/>
      <c r="C279" s="148" t="s">
        <v>23303</v>
      </c>
      <c r="D279" s="150">
        <v>44053</v>
      </c>
      <c r="E279" s="113" t="s">
        <v>23302</v>
      </c>
      <c r="F279" s="257" t="s">
        <v>14409</v>
      </c>
      <c r="G279" s="258">
        <v>21.25</v>
      </c>
      <c r="I279" s="160">
        <f t="shared" si="4"/>
        <v>95611.920000000056</v>
      </c>
    </row>
    <row r="280" spans="2:9" hidden="1" x14ac:dyDescent="0.25">
      <c r="B280" s="148"/>
      <c r="C280" s="148" t="s">
        <v>23301</v>
      </c>
      <c r="D280" s="150">
        <v>44053</v>
      </c>
      <c r="E280" s="113" t="s">
        <v>23300</v>
      </c>
      <c r="F280" s="257" t="s">
        <v>14436</v>
      </c>
      <c r="G280" s="160">
        <v>1.94</v>
      </c>
      <c r="I280" s="160">
        <f t="shared" si="4"/>
        <v>95613.860000000059</v>
      </c>
    </row>
    <row r="281" spans="2:9" hidden="1" x14ac:dyDescent="0.25">
      <c r="B281" s="148"/>
      <c r="C281" s="148" t="s">
        <v>23299</v>
      </c>
      <c r="D281" s="150">
        <v>44053</v>
      </c>
      <c r="E281" s="113" t="s">
        <v>23298</v>
      </c>
      <c r="F281" s="257" t="s">
        <v>14409</v>
      </c>
      <c r="G281" s="258">
        <v>13.55</v>
      </c>
      <c r="I281" s="160">
        <f t="shared" si="4"/>
        <v>95627.410000000062</v>
      </c>
    </row>
    <row r="282" spans="2:9" ht="19.5" hidden="1" x14ac:dyDescent="0.25">
      <c r="B282" s="148"/>
      <c r="C282" s="148" t="s">
        <v>1742</v>
      </c>
      <c r="D282" s="150">
        <v>44053</v>
      </c>
      <c r="E282" s="113" t="s">
        <v>23297</v>
      </c>
      <c r="F282" s="257" t="s">
        <v>14433</v>
      </c>
      <c r="H282" s="161">
        <v>665.76</v>
      </c>
      <c r="I282" s="160">
        <f t="shared" si="4"/>
        <v>94961.650000000067</v>
      </c>
    </row>
    <row r="283" spans="2:9" hidden="1" x14ac:dyDescent="0.25">
      <c r="B283" s="148"/>
      <c r="C283" s="148" t="s">
        <v>23296</v>
      </c>
      <c r="D283" s="150">
        <v>44054</v>
      </c>
      <c r="E283" s="113" t="s">
        <v>23295</v>
      </c>
      <c r="F283" s="257" t="s">
        <v>14433</v>
      </c>
      <c r="H283" s="161">
        <v>2.87</v>
      </c>
      <c r="I283" s="160">
        <f t="shared" si="4"/>
        <v>94958.780000000072</v>
      </c>
    </row>
    <row r="284" spans="2:9" hidden="1" x14ac:dyDescent="0.25">
      <c r="B284" s="148"/>
      <c r="C284" s="148" t="s">
        <v>23294</v>
      </c>
      <c r="D284" s="150">
        <v>44054</v>
      </c>
      <c r="E284" s="113" t="s">
        <v>23293</v>
      </c>
      <c r="F284" s="257" t="s">
        <v>14433</v>
      </c>
      <c r="H284" s="161">
        <v>6.16</v>
      </c>
      <c r="I284" s="160">
        <f t="shared" si="4"/>
        <v>94952.620000000068</v>
      </c>
    </row>
    <row r="285" spans="2:9" hidden="1" x14ac:dyDescent="0.25">
      <c r="B285" s="148"/>
      <c r="C285" s="148" t="s">
        <v>23292</v>
      </c>
      <c r="D285" s="150">
        <v>44054</v>
      </c>
      <c r="E285" s="113" t="s">
        <v>23291</v>
      </c>
      <c r="F285" s="257" t="s">
        <v>14436</v>
      </c>
      <c r="G285" s="160">
        <v>3.87</v>
      </c>
      <c r="I285" s="160">
        <f t="shared" si="4"/>
        <v>94956.490000000063</v>
      </c>
    </row>
    <row r="286" spans="2:9" hidden="1" x14ac:dyDescent="0.25">
      <c r="B286" s="148"/>
      <c r="C286" s="148" t="s">
        <v>23290</v>
      </c>
      <c r="D286" s="150">
        <v>44054</v>
      </c>
      <c r="E286" s="113" t="s">
        <v>23289</v>
      </c>
      <c r="F286" s="257" t="s">
        <v>14409</v>
      </c>
      <c r="G286" s="258">
        <v>4.75</v>
      </c>
      <c r="I286" s="160">
        <f t="shared" si="4"/>
        <v>94961.240000000063</v>
      </c>
    </row>
    <row r="287" spans="2:9" hidden="1" x14ac:dyDescent="0.25">
      <c r="B287" s="148"/>
      <c r="C287" s="148" t="s">
        <v>23288</v>
      </c>
      <c r="D287" s="150">
        <v>44054</v>
      </c>
      <c r="E287" s="113" t="s">
        <v>23287</v>
      </c>
      <c r="F287" s="257" t="s">
        <v>14409</v>
      </c>
      <c r="G287" s="258">
        <v>8.3699999999999992</v>
      </c>
      <c r="I287" s="160">
        <f t="shared" si="4"/>
        <v>94969.610000000059</v>
      </c>
    </row>
    <row r="288" spans="2:9" hidden="1" x14ac:dyDescent="0.25">
      <c r="B288" s="148"/>
      <c r="C288" s="148" t="s">
        <v>23286</v>
      </c>
      <c r="D288" s="150">
        <v>44054</v>
      </c>
      <c r="E288" s="113" t="s">
        <v>23285</v>
      </c>
      <c r="F288" s="257" t="s">
        <v>14409</v>
      </c>
      <c r="G288" s="258">
        <v>8.3800000000000008</v>
      </c>
      <c r="I288" s="160">
        <f t="shared" si="4"/>
        <v>94977.990000000063</v>
      </c>
    </row>
    <row r="289" spans="2:9" hidden="1" x14ac:dyDescent="0.25">
      <c r="B289" s="148"/>
      <c r="C289" s="148" t="s">
        <v>23284</v>
      </c>
      <c r="D289" s="150">
        <v>44054</v>
      </c>
      <c r="E289" s="113" t="s">
        <v>23283</v>
      </c>
      <c r="F289" s="257" t="s">
        <v>14409</v>
      </c>
      <c r="G289" s="258">
        <v>4.76</v>
      </c>
      <c r="I289" s="160">
        <f t="shared" si="4"/>
        <v>94982.750000000058</v>
      </c>
    </row>
    <row r="290" spans="2:9" ht="19.5" hidden="1" x14ac:dyDescent="0.25">
      <c r="B290" s="148"/>
      <c r="C290" s="148" t="s">
        <v>23282</v>
      </c>
      <c r="D290" s="150">
        <v>44054</v>
      </c>
      <c r="E290" s="113" t="s">
        <v>23281</v>
      </c>
      <c r="F290" s="257" t="s">
        <v>14409</v>
      </c>
      <c r="G290" s="258">
        <v>17.95</v>
      </c>
      <c r="I290" s="160">
        <f t="shared" si="4"/>
        <v>95000.700000000055</v>
      </c>
    </row>
    <row r="291" spans="2:9" hidden="1" x14ac:dyDescent="0.25">
      <c r="B291" s="148"/>
      <c r="C291" s="148" t="s">
        <v>23280</v>
      </c>
      <c r="D291" s="150">
        <v>44054</v>
      </c>
      <c r="E291" s="113" t="s">
        <v>23279</v>
      </c>
      <c r="F291" s="257" t="s">
        <v>14409</v>
      </c>
      <c r="G291" s="258">
        <v>5.04</v>
      </c>
      <c r="I291" s="160">
        <f t="shared" si="4"/>
        <v>95005.740000000049</v>
      </c>
    </row>
    <row r="292" spans="2:9" ht="19.5" hidden="1" x14ac:dyDescent="0.25">
      <c r="B292" s="148"/>
      <c r="C292" s="148" t="s">
        <v>23278</v>
      </c>
      <c r="D292" s="150">
        <v>44054</v>
      </c>
      <c r="E292" s="113" t="s">
        <v>23277</v>
      </c>
      <c r="F292" s="257" t="s">
        <v>14409</v>
      </c>
      <c r="G292" s="258">
        <v>15.36</v>
      </c>
      <c r="I292" s="160">
        <f t="shared" si="4"/>
        <v>95021.100000000049</v>
      </c>
    </row>
    <row r="293" spans="2:9" ht="19.5" hidden="1" x14ac:dyDescent="0.25">
      <c r="B293" s="148"/>
      <c r="C293" s="148" t="s">
        <v>23276</v>
      </c>
      <c r="D293" s="150">
        <v>44054</v>
      </c>
      <c r="E293" s="113" t="s">
        <v>23275</v>
      </c>
      <c r="F293" s="257" t="s">
        <v>14409</v>
      </c>
      <c r="G293" s="258">
        <v>29.04</v>
      </c>
      <c r="I293" s="160">
        <f t="shared" si="4"/>
        <v>95050.140000000043</v>
      </c>
    </row>
    <row r="294" spans="2:9" hidden="1" x14ac:dyDescent="0.25">
      <c r="B294" s="148"/>
      <c r="C294" s="148" t="s">
        <v>23274</v>
      </c>
      <c r="D294" s="150">
        <v>44054</v>
      </c>
      <c r="E294" s="113" t="s">
        <v>23273</v>
      </c>
      <c r="F294" s="257" t="s">
        <v>14409</v>
      </c>
      <c r="G294" s="258">
        <v>16.760000000000002</v>
      </c>
      <c r="I294" s="160">
        <f t="shared" si="4"/>
        <v>95066.900000000038</v>
      </c>
    </row>
    <row r="295" spans="2:9" ht="19.5" hidden="1" x14ac:dyDescent="0.25">
      <c r="B295" s="148"/>
      <c r="C295" s="148" t="s">
        <v>23272</v>
      </c>
      <c r="D295" s="150">
        <v>44054</v>
      </c>
      <c r="E295" s="113" t="s">
        <v>23271</v>
      </c>
      <c r="F295" s="257" t="s">
        <v>14409</v>
      </c>
      <c r="G295" s="258">
        <v>17.760000000000002</v>
      </c>
      <c r="I295" s="160">
        <f t="shared" si="4"/>
        <v>95084.660000000033</v>
      </c>
    </row>
    <row r="296" spans="2:9" hidden="1" x14ac:dyDescent="0.25">
      <c r="B296" s="148"/>
      <c r="C296" s="148" t="s">
        <v>23270</v>
      </c>
      <c r="D296" s="150">
        <v>44054</v>
      </c>
      <c r="E296" s="113" t="s">
        <v>23269</v>
      </c>
      <c r="F296" s="257" t="s">
        <v>14409</v>
      </c>
      <c r="G296" s="258">
        <v>6.13</v>
      </c>
      <c r="I296" s="160">
        <f t="shared" si="4"/>
        <v>95090.790000000037</v>
      </c>
    </row>
    <row r="297" spans="2:9" hidden="1" x14ac:dyDescent="0.25">
      <c r="B297" s="148"/>
      <c r="C297" s="148" t="s">
        <v>23268</v>
      </c>
      <c r="D297" s="150">
        <v>44054</v>
      </c>
      <c r="E297" s="113" t="s">
        <v>23267</v>
      </c>
      <c r="F297" s="257">
        <v>6</v>
      </c>
      <c r="G297" s="255">
        <v>1.74</v>
      </c>
      <c r="I297" s="160">
        <f t="shared" si="4"/>
        <v>95092.530000000042</v>
      </c>
    </row>
    <row r="298" spans="2:9" hidden="1" x14ac:dyDescent="0.25">
      <c r="B298" s="148"/>
      <c r="C298" s="148" t="s">
        <v>23266</v>
      </c>
      <c r="D298" s="150">
        <v>44054</v>
      </c>
      <c r="E298" s="113" t="s">
        <v>23265</v>
      </c>
      <c r="F298" s="257">
        <v>6</v>
      </c>
      <c r="G298" s="255">
        <v>4.49</v>
      </c>
      <c r="I298" s="160">
        <f t="shared" si="4"/>
        <v>95097.020000000048</v>
      </c>
    </row>
    <row r="299" spans="2:9" hidden="1" x14ac:dyDescent="0.25">
      <c r="B299" s="148"/>
      <c r="C299" s="148" t="s">
        <v>23264</v>
      </c>
      <c r="D299" s="150">
        <v>44054</v>
      </c>
      <c r="E299" s="113" t="s">
        <v>23263</v>
      </c>
      <c r="F299" s="257">
        <v>6</v>
      </c>
      <c r="G299" s="255">
        <v>25.43</v>
      </c>
      <c r="I299" s="160">
        <f t="shared" si="4"/>
        <v>95122.450000000041</v>
      </c>
    </row>
    <row r="300" spans="2:9" hidden="1" x14ac:dyDescent="0.25">
      <c r="B300" s="148"/>
      <c r="C300" s="148" t="s">
        <v>23262</v>
      </c>
      <c r="D300" s="150">
        <v>44054</v>
      </c>
      <c r="E300" s="113" t="s">
        <v>23261</v>
      </c>
      <c r="F300" s="257">
        <v>6</v>
      </c>
      <c r="G300" s="255">
        <v>1.98</v>
      </c>
      <c r="I300" s="160">
        <f t="shared" si="4"/>
        <v>95124.430000000037</v>
      </c>
    </row>
    <row r="301" spans="2:9" hidden="1" x14ac:dyDescent="0.25">
      <c r="B301" s="148"/>
      <c r="C301" s="148" t="s">
        <v>23260</v>
      </c>
      <c r="D301" s="150">
        <v>44054</v>
      </c>
      <c r="E301" s="113" t="s">
        <v>23259</v>
      </c>
      <c r="F301" s="257">
        <v>6</v>
      </c>
      <c r="G301" s="255">
        <v>23.83</v>
      </c>
      <c r="I301" s="160">
        <f t="shared" si="4"/>
        <v>95148.260000000038</v>
      </c>
    </row>
    <row r="302" spans="2:9" hidden="1" x14ac:dyDescent="0.25">
      <c r="B302" s="148"/>
      <c r="C302" s="148" t="s">
        <v>23258</v>
      </c>
      <c r="D302" s="150">
        <v>44054</v>
      </c>
      <c r="E302" s="113" t="s">
        <v>23257</v>
      </c>
      <c r="F302" s="257">
        <v>6</v>
      </c>
      <c r="G302" s="255">
        <v>14.07</v>
      </c>
      <c r="I302" s="160">
        <f t="shared" si="4"/>
        <v>95162.330000000045</v>
      </c>
    </row>
    <row r="303" spans="2:9" hidden="1" x14ac:dyDescent="0.25">
      <c r="B303" s="148"/>
      <c r="C303" s="148" t="s">
        <v>23256</v>
      </c>
      <c r="D303" s="150">
        <v>44054</v>
      </c>
      <c r="E303" s="113" t="s">
        <v>23255</v>
      </c>
      <c r="F303" s="257">
        <v>6</v>
      </c>
      <c r="G303" s="255">
        <v>16.53</v>
      </c>
      <c r="I303" s="160">
        <f t="shared" si="4"/>
        <v>95178.860000000044</v>
      </c>
    </row>
    <row r="304" spans="2:9" hidden="1" x14ac:dyDescent="0.25">
      <c r="B304" s="148"/>
      <c r="C304" s="148" t="s">
        <v>23254</v>
      </c>
      <c r="D304" s="150">
        <v>44054</v>
      </c>
      <c r="E304" s="113" t="s">
        <v>23253</v>
      </c>
      <c r="F304" s="257">
        <v>6</v>
      </c>
      <c r="G304" s="255">
        <v>8.3800000000000008</v>
      </c>
      <c r="I304" s="160">
        <f t="shared" si="4"/>
        <v>95187.240000000049</v>
      </c>
    </row>
    <row r="305" spans="2:9" hidden="1" x14ac:dyDescent="0.25">
      <c r="B305" s="148"/>
      <c r="C305" s="148" t="s">
        <v>23252</v>
      </c>
      <c r="D305" s="150">
        <v>44054</v>
      </c>
      <c r="E305" s="113" t="s">
        <v>23251</v>
      </c>
      <c r="F305" s="257">
        <v>6</v>
      </c>
      <c r="G305" s="255">
        <v>7.82</v>
      </c>
      <c r="I305" s="160">
        <f t="shared" si="4"/>
        <v>95195.060000000056</v>
      </c>
    </row>
    <row r="306" spans="2:9" hidden="1" x14ac:dyDescent="0.25">
      <c r="B306" s="148"/>
      <c r="C306" s="148" t="s">
        <v>23250</v>
      </c>
      <c r="D306" s="150">
        <v>44054</v>
      </c>
      <c r="E306" s="113" t="s">
        <v>23249</v>
      </c>
      <c r="F306" s="257" t="s">
        <v>14436</v>
      </c>
      <c r="G306" s="160">
        <v>72.47</v>
      </c>
      <c r="I306" s="160">
        <f t="shared" si="4"/>
        <v>95267.530000000057</v>
      </c>
    </row>
    <row r="307" spans="2:9" ht="19.5" hidden="1" x14ac:dyDescent="0.25">
      <c r="B307" s="148"/>
      <c r="C307" s="148" t="s">
        <v>23248</v>
      </c>
      <c r="D307" s="150">
        <v>44054</v>
      </c>
      <c r="E307" s="113" t="s">
        <v>23247</v>
      </c>
      <c r="F307" s="257" t="s">
        <v>14436</v>
      </c>
      <c r="G307" s="160">
        <v>30.16</v>
      </c>
      <c r="I307" s="160">
        <f t="shared" si="4"/>
        <v>95297.690000000061</v>
      </c>
    </row>
    <row r="308" spans="2:9" hidden="1" x14ac:dyDescent="0.25">
      <c r="B308" s="148"/>
      <c r="C308" s="148" t="s">
        <v>23246</v>
      </c>
      <c r="D308" s="150">
        <v>44055</v>
      </c>
      <c r="E308" s="113" t="s">
        <v>23245</v>
      </c>
      <c r="F308" s="257" t="s">
        <v>14409</v>
      </c>
      <c r="G308" s="258">
        <v>6.26</v>
      </c>
      <c r="I308" s="160">
        <f t="shared" si="4"/>
        <v>95303.950000000055</v>
      </c>
    </row>
    <row r="309" spans="2:9" hidden="1" x14ac:dyDescent="0.25">
      <c r="B309" s="148"/>
      <c r="C309" s="148" t="s">
        <v>23244</v>
      </c>
      <c r="D309" s="150">
        <v>44055</v>
      </c>
      <c r="E309" s="113" t="s">
        <v>23243</v>
      </c>
      <c r="F309" s="257" t="s">
        <v>14409</v>
      </c>
      <c r="G309" s="258">
        <v>2.79</v>
      </c>
      <c r="I309" s="160">
        <f t="shared" si="4"/>
        <v>95306.740000000049</v>
      </c>
    </row>
    <row r="310" spans="2:9" hidden="1" x14ac:dyDescent="0.25">
      <c r="B310" s="148"/>
      <c r="C310" s="148" t="s">
        <v>23242</v>
      </c>
      <c r="D310" s="150">
        <v>44055</v>
      </c>
      <c r="E310" s="113" t="s">
        <v>23241</v>
      </c>
      <c r="F310" s="257" t="s">
        <v>14409</v>
      </c>
      <c r="G310" s="258">
        <v>7.99</v>
      </c>
      <c r="I310" s="160">
        <f t="shared" si="4"/>
        <v>95314.730000000054</v>
      </c>
    </row>
    <row r="311" spans="2:9" hidden="1" x14ac:dyDescent="0.25">
      <c r="B311" s="148"/>
      <c r="C311" s="148" t="s">
        <v>23240</v>
      </c>
      <c r="D311" s="150">
        <v>44055</v>
      </c>
      <c r="E311" s="113" t="s">
        <v>23239</v>
      </c>
      <c r="F311" s="257" t="s">
        <v>14409</v>
      </c>
      <c r="G311" s="258">
        <v>1.71</v>
      </c>
      <c r="I311" s="160">
        <f t="shared" si="4"/>
        <v>95316.440000000061</v>
      </c>
    </row>
    <row r="312" spans="2:9" hidden="1" x14ac:dyDescent="0.25">
      <c r="B312" s="148"/>
      <c r="C312" s="148" t="s">
        <v>23238</v>
      </c>
      <c r="D312" s="150">
        <v>44055</v>
      </c>
      <c r="E312" s="113" t="s">
        <v>23237</v>
      </c>
      <c r="F312" s="257" t="s">
        <v>14409</v>
      </c>
      <c r="G312" s="258">
        <v>7.83</v>
      </c>
      <c r="I312" s="160">
        <f t="shared" si="4"/>
        <v>95324.270000000062</v>
      </c>
    </row>
    <row r="313" spans="2:9" hidden="1" x14ac:dyDescent="0.25">
      <c r="B313" s="148"/>
      <c r="C313" s="148" t="s">
        <v>23236</v>
      </c>
      <c r="D313" s="150">
        <v>44055</v>
      </c>
      <c r="E313" s="113" t="s">
        <v>23235</v>
      </c>
      <c r="F313" s="257" t="s">
        <v>14409</v>
      </c>
      <c r="G313" s="258">
        <v>5.94</v>
      </c>
      <c r="I313" s="160">
        <f t="shared" si="4"/>
        <v>95330.210000000065</v>
      </c>
    </row>
    <row r="314" spans="2:9" ht="19.5" hidden="1" x14ac:dyDescent="0.25">
      <c r="B314" s="148"/>
      <c r="C314" s="148" t="s">
        <v>23234</v>
      </c>
      <c r="D314" s="150">
        <v>44055</v>
      </c>
      <c r="E314" s="113" t="s">
        <v>23233</v>
      </c>
      <c r="F314" s="257" t="s">
        <v>14409</v>
      </c>
      <c r="G314" s="258">
        <v>0.72</v>
      </c>
      <c r="I314" s="160">
        <f t="shared" si="4"/>
        <v>95330.930000000066</v>
      </c>
    </row>
    <row r="315" spans="2:9" hidden="1" x14ac:dyDescent="0.25">
      <c r="B315" s="148"/>
      <c r="C315" s="148" t="s">
        <v>23232</v>
      </c>
      <c r="D315" s="150">
        <v>44055</v>
      </c>
      <c r="E315" s="113" t="s">
        <v>23231</v>
      </c>
      <c r="F315" s="257" t="s">
        <v>14409</v>
      </c>
      <c r="G315" s="258">
        <v>8.3800000000000008</v>
      </c>
      <c r="I315" s="160">
        <f t="shared" si="4"/>
        <v>95339.31000000007</v>
      </c>
    </row>
    <row r="316" spans="2:9" ht="19.5" hidden="1" x14ac:dyDescent="0.25">
      <c r="B316" s="148"/>
      <c r="C316" s="148" t="s">
        <v>23230</v>
      </c>
      <c r="D316" s="150">
        <v>44055</v>
      </c>
      <c r="E316" s="113" t="s">
        <v>23229</v>
      </c>
      <c r="F316" s="257" t="s">
        <v>14409</v>
      </c>
      <c r="G316" s="258">
        <v>5.41</v>
      </c>
      <c r="I316" s="160">
        <f t="shared" si="4"/>
        <v>95344.720000000074</v>
      </c>
    </row>
    <row r="317" spans="2:9" ht="19.5" hidden="1" x14ac:dyDescent="0.25">
      <c r="B317" s="148"/>
      <c r="C317" s="148" t="s">
        <v>23228</v>
      </c>
      <c r="D317" s="150">
        <v>44055</v>
      </c>
      <c r="E317" s="113" t="s">
        <v>23227</v>
      </c>
      <c r="F317" s="257" t="s">
        <v>14409</v>
      </c>
      <c r="G317" s="258">
        <v>10.32</v>
      </c>
      <c r="I317" s="160">
        <f t="shared" si="4"/>
        <v>95355.040000000081</v>
      </c>
    </row>
    <row r="318" spans="2:9" ht="19.5" hidden="1" x14ac:dyDescent="0.25">
      <c r="B318" s="148"/>
      <c r="C318" s="148" t="s">
        <v>23226</v>
      </c>
      <c r="D318" s="150">
        <v>44055</v>
      </c>
      <c r="E318" s="113" t="s">
        <v>23225</v>
      </c>
      <c r="F318" s="257" t="s">
        <v>14409</v>
      </c>
      <c r="G318" s="258">
        <v>11.96</v>
      </c>
      <c r="I318" s="160">
        <f t="shared" si="4"/>
        <v>95367.000000000087</v>
      </c>
    </row>
    <row r="319" spans="2:9" ht="19.5" hidden="1" x14ac:dyDescent="0.25">
      <c r="B319" s="148"/>
      <c r="C319" s="148" t="s">
        <v>23224</v>
      </c>
      <c r="D319" s="150">
        <v>44055</v>
      </c>
      <c r="E319" s="113" t="s">
        <v>23223</v>
      </c>
      <c r="F319" s="257" t="s">
        <v>14409</v>
      </c>
      <c r="G319" s="258">
        <v>14.69</v>
      </c>
      <c r="I319" s="160">
        <f t="shared" si="4"/>
        <v>95381.69000000009</v>
      </c>
    </row>
    <row r="320" spans="2:9" hidden="1" x14ac:dyDescent="0.25">
      <c r="B320" s="148"/>
      <c r="C320" s="148" t="s">
        <v>23222</v>
      </c>
      <c r="D320" s="150">
        <v>44055</v>
      </c>
      <c r="E320" s="113" t="s">
        <v>23221</v>
      </c>
      <c r="F320" s="257" t="s">
        <v>14409</v>
      </c>
      <c r="G320" s="258">
        <v>15.27</v>
      </c>
      <c r="I320" s="160">
        <f t="shared" si="4"/>
        <v>95396.960000000094</v>
      </c>
    </row>
    <row r="321" spans="2:9" hidden="1" x14ac:dyDescent="0.25">
      <c r="B321" s="148"/>
      <c r="C321" s="148" t="s">
        <v>23220</v>
      </c>
      <c r="D321" s="150">
        <v>44055</v>
      </c>
      <c r="E321" s="113" t="s">
        <v>23219</v>
      </c>
      <c r="F321" s="257" t="s">
        <v>14409</v>
      </c>
      <c r="G321" s="258">
        <v>7.97</v>
      </c>
      <c r="I321" s="160">
        <f t="shared" si="4"/>
        <v>95404.930000000095</v>
      </c>
    </row>
    <row r="322" spans="2:9" hidden="1" x14ac:dyDescent="0.25">
      <c r="B322" s="148"/>
      <c r="C322" s="148" t="s">
        <v>23218</v>
      </c>
      <c r="D322" s="150">
        <v>44055</v>
      </c>
      <c r="E322" s="113" t="s">
        <v>23217</v>
      </c>
      <c r="F322" s="257">
        <v>7</v>
      </c>
      <c r="G322" s="160">
        <v>9.08</v>
      </c>
      <c r="I322" s="160">
        <f t="shared" si="4"/>
        <v>95414.010000000097</v>
      </c>
    </row>
    <row r="323" spans="2:9" ht="19.5" hidden="1" x14ac:dyDescent="0.25">
      <c r="B323" s="148"/>
      <c r="C323" s="148" t="s">
        <v>1428</v>
      </c>
      <c r="D323" s="150">
        <v>44055</v>
      </c>
      <c r="E323" s="113" t="s">
        <v>23216</v>
      </c>
      <c r="F323" s="257" t="s">
        <v>14433</v>
      </c>
      <c r="H323" s="161">
        <v>16.329999999999998</v>
      </c>
      <c r="I323" s="160">
        <f t="shared" si="4"/>
        <v>95397.680000000095</v>
      </c>
    </row>
    <row r="324" spans="2:9" hidden="1" x14ac:dyDescent="0.25">
      <c r="B324" s="148"/>
      <c r="C324" s="148" t="s">
        <v>18386</v>
      </c>
      <c r="D324" s="150">
        <v>44055</v>
      </c>
      <c r="E324" s="113" t="s">
        <v>23215</v>
      </c>
      <c r="F324" s="257" t="s">
        <v>14433</v>
      </c>
      <c r="H324" s="161">
        <v>13.52</v>
      </c>
      <c r="I324" s="160">
        <f t="shared" si="4"/>
        <v>95384.160000000091</v>
      </c>
    </row>
    <row r="325" spans="2:9" hidden="1" x14ac:dyDescent="0.25">
      <c r="B325" s="148"/>
      <c r="C325" s="148" t="s">
        <v>18039</v>
      </c>
      <c r="D325" s="150">
        <v>44055</v>
      </c>
      <c r="E325" s="113" t="s">
        <v>23214</v>
      </c>
      <c r="F325" s="257" t="s">
        <v>14433</v>
      </c>
      <c r="H325" s="161">
        <v>21.9</v>
      </c>
      <c r="I325" s="160">
        <f t="shared" si="4"/>
        <v>95362.260000000097</v>
      </c>
    </row>
    <row r="326" spans="2:9" hidden="1" x14ac:dyDescent="0.25">
      <c r="B326" s="148"/>
      <c r="C326" s="148" t="s">
        <v>16366</v>
      </c>
      <c r="D326" s="150">
        <v>44055</v>
      </c>
      <c r="E326" s="113" t="s">
        <v>23213</v>
      </c>
      <c r="F326" s="257" t="s">
        <v>14433</v>
      </c>
      <c r="H326" s="161">
        <v>1634.38</v>
      </c>
      <c r="I326" s="160">
        <f t="shared" si="4"/>
        <v>93727.880000000092</v>
      </c>
    </row>
    <row r="327" spans="2:9" ht="19.5" hidden="1" x14ac:dyDescent="0.25">
      <c r="B327" s="148"/>
      <c r="C327" s="148" t="s">
        <v>16699</v>
      </c>
      <c r="D327" s="150">
        <v>44055</v>
      </c>
      <c r="E327" s="113" t="s">
        <v>23212</v>
      </c>
      <c r="F327" s="257" t="s">
        <v>14433</v>
      </c>
      <c r="H327" s="161">
        <v>116.99</v>
      </c>
      <c r="I327" s="160">
        <f t="shared" si="4"/>
        <v>93610.890000000087</v>
      </c>
    </row>
    <row r="328" spans="2:9" ht="19.5" hidden="1" x14ac:dyDescent="0.25">
      <c r="B328" s="148"/>
      <c r="C328" s="148" t="s">
        <v>16364</v>
      </c>
      <c r="D328" s="150">
        <v>44055</v>
      </c>
      <c r="E328" s="113" t="s">
        <v>23211</v>
      </c>
      <c r="F328" s="257" t="s">
        <v>14433</v>
      </c>
      <c r="H328" s="161">
        <v>594.78</v>
      </c>
      <c r="I328" s="160">
        <f t="shared" si="4"/>
        <v>93016.110000000088</v>
      </c>
    </row>
    <row r="329" spans="2:9" hidden="1" x14ac:dyDescent="0.25">
      <c r="B329" s="148"/>
      <c r="C329" s="148" t="s">
        <v>23210</v>
      </c>
      <c r="D329" s="150">
        <v>44056</v>
      </c>
      <c r="E329" s="113" t="s">
        <v>23209</v>
      </c>
      <c r="F329" s="257" t="s">
        <v>14433</v>
      </c>
      <c r="H329" s="161">
        <v>0.25</v>
      </c>
      <c r="I329" s="160">
        <f t="shared" si="4"/>
        <v>93015.860000000088</v>
      </c>
    </row>
    <row r="330" spans="2:9" hidden="1" x14ac:dyDescent="0.25">
      <c r="B330" s="148"/>
      <c r="C330" s="148" t="s">
        <v>23208</v>
      </c>
      <c r="D330" s="150">
        <v>44056</v>
      </c>
      <c r="E330" s="113" t="s">
        <v>23207</v>
      </c>
      <c r="F330" s="257" t="s">
        <v>14433</v>
      </c>
      <c r="H330" s="161">
        <v>0.68</v>
      </c>
      <c r="I330" s="160">
        <f t="shared" si="4"/>
        <v>93015.180000000095</v>
      </c>
    </row>
    <row r="331" spans="2:9" hidden="1" x14ac:dyDescent="0.25">
      <c r="B331" s="148"/>
      <c r="C331" s="148" t="s">
        <v>23206</v>
      </c>
      <c r="D331" s="150">
        <v>44056</v>
      </c>
      <c r="E331" s="113" t="s">
        <v>23205</v>
      </c>
      <c r="F331" s="257" t="s">
        <v>14409</v>
      </c>
      <c r="G331" s="258">
        <v>7.57</v>
      </c>
      <c r="I331" s="160">
        <f t="shared" si="4"/>
        <v>93022.750000000102</v>
      </c>
    </row>
    <row r="332" spans="2:9" hidden="1" x14ac:dyDescent="0.25">
      <c r="B332" s="148"/>
      <c r="C332" s="148" t="s">
        <v>23204</v>
      </c>
      <c r="D332" s="150">
        <v>44056</v>
      </c>
      <c r="E332" s="113" t="s">
        <v>23203</v>
      </c>
      <c r="F332" s="257" t="s">
        <v>14409</v>
      </c>
      <c r="G332" s="258">
        <v>3.36</v>
      </c>
      <c r="I332" s="160">
        <f t="shared" si="4"/>
        <v>93026.110000000102</v>
      </c>
    </row>
    <row r="333" spans="2:9" hidden="1" x14ac:dyDescent="0.25">
      <c r="B333" s="148"/>
      <c r="C333" s="148" t="s">
        <v>23202</v>
      </c>
      <c r="D333" s="150">
        <v>44056</v>
      </c>
      <c r="E333" s="113" t="s">
        <v>23201</v>
      </c>
      <c r="F333" s="257" t="s">
        <v>14409</v>
      </c>
      <c r="G333" s="258">
        <v>2.3199999999999998</v>
      </c>
      <c r="I333" s="160">
        <f t="shared" si="4"/>
        <v>93028.430000000109</v>
      </c>
    </row>
    <row r="334" spans="2:9" ht="19.5" hidden="1" x14ac:dyDescent="0.25">
      <c r="B334" s="148"/>
      <c r="C334" s="148" t="s">
        <v>23200</v>
      </c>
      <c r="D334" s="150">
        <v>44056</v>
      </c>
      <c r="E334" s="113" t="s">
        <v>23199</v>
      </c>
      <c r="F334" s="257" t="s">
        <v>14409</v>
      </c>
      <c r="G334" s="258">
        <v>9.1199999999999992</v>
      </c>
      <c r="I334" s="160">
        <f t="shared" si="4"/>
        <v>93037.550000000105</v>
      </c>
    </row>
    <row r="335" spans="2:9" hidden="1" x14ac:dyDescent="0.25">
      <c r="B335" s="148"/>
      <c r="C335" s="148" t="s">
        <v>23198</v>
      </c>
      <c r="D335" s="150">
        <v>44056</v>
      </c>
      <c r="E335" s="113" t="s">
        <v>23197</v>
      </c>
      <c r="F335" s="257" t="s">
        <v>14409</v>
      </c>
      <c r="G335" s="258">
        <v>6.24</v>
      </c>
      <c r="I335" s="160">
        <f t="shared" si="4"/>
        <v>93043.79000000011</v>
      </c>
    </row>
    <row r="336" spans="2:9" hidden="1" x14ac:dyDescent="0.25">
      <c r="B336" s="148"/>
      <c r="C336" s="148" t="s">
        <v>23196</v>
      </c>
      <c r="D336" s="150">
        <v>44056</v>
      </c>
      <c r="E336" s="113" t="s">
        <v>23195</v>
      </c>
      <c r="F336" s="257" t="s">
        <v>14409</v>
      </c>
      <c r="G336" s="258">
        <v>0.66</v>
      </c>
      <c r="I336" s="160">
        <f t="shared" si="4"/>
        <v>93044.450000000114</v>
      </c>
    </row>
    <row r="337" spans="2:9" hidden="1" x14ac:dyDescent="0.25">
      <c r="B337" s="148"/>
      <c r="C337" s="148" t="s">
        <v>23194</v>
      </c>
      <c r="D337" s="150">
        <v>44056</v>
      </c>
      <c r="E337" s="113" t="s">
        <v>23193</v>
      </c>
      <c r="F337" s="257" t="s">
        <v>14409</v>
      </c>
      <c r="G337" s="258">
        <v>2.02</v>
      </c>
      <c r="I337" s="160">
        <f t="shared" si="4"/>
        <v>93046.470000000118</v>
      </c>
    </row>
    <row r="338" spans="2:9" ht="19.5" hidden="1" x14ac:dyDescent="0.25">
      <c r="B338" s="148"/>
      <c r="C338" s="148" t="s">
        <v>23192</v>
      </c>
      <c r="D338" s="150">
        <v>44056</v>
      </c>
      <c r="E338" s="113" t="s">
        <v>23191</v>
      </c>
      <c r="F338" s="257" t="s">
        <v>14409</v>
      </c>
      <c r="G338" s="258">
        <v>6.65</v>
      </c>
      <c r="I338" s="160">
        <f t="shared" si="4"/>
        <v>93053.120000000112</v>
      </c>
    </row>
    <row r="339" spans="2:9" hidden="1" x14ac:dyDescent="0.25">
      <c r="B339" s="148"/>
      <c r="C339" s="148" t="s">
        <v>23190</v>
      </c>
      <c r="D339" s="150">
        <v>44056</v>
      </c>
      <c r="E339" s="113" t="s">
        <v>23189</v>
      </c>
      <c r="F339" s="257" t="s">
        <v>14409</v>
      </c>
      <c r="G339" s="258">
        <v>12.9</v>
      </c>
      <c r="I339" s="160">
        <f t="shared" si="4"/>
        <v>93066.020000000106</v>
      </c>
    </row>
    <row r="340" spans="2:9" hidden="1" x14ac:dyDescent="0.25">
      <c r="B340" s="148"/>
      <c r="C340" s="148" t="s">
        <v>23188</v>
      </c>
      <c r="D340" s="150">
        <v>44056</v>
      </c>
      <c r="E340" s="113" t="s">
        <v>23187</v>
      </c>
      <c r="F340" s="257" t="s">
        <v>14409</v>
      </c>
      <c r="G340" s="258">
        <v>13.58</v>
      </c>
      <c r="I340" s="160">
        <f t="shared" ref="I340:I403" si="5">+I339+G340-H340</f>
        <v>93079.600000000108</v>
      </c>
    </row>
    <row r="341" spans="2:9" hidden="1" x14ac:dyDescent="0.25">
      <c r="B341" s="148"/>
      <c r="C341" s="148" t="s">
        <v>23186</v>
      </c>
      <c r="D341" s="150">
        <v>44056</v>
      </c>
      <c r="E341" s="113" t="s">
        <v>23185</v>
      </c>
      <c r="F341" s="257" t="s">
        <v>14409</v>
      </c>
      <c r="G341" s="258">
        <v>31.21</v>
      </c>
      <c r="I341" s="160">
        <f t="shared" si="5"/>
        <v>93110.810000000114</v>
      </c>
    </row>
    <row r="342" spans="2:9" hidden="1" x14ac:dyDescent="0.25">
      <c r="B342" s="148"/>
      <c r="C342" s="148" t="s">
        <v>23184</v>
      </c>
      <c r="D342" s="150">
        <v>44056</v>
      </c>
      <c r="E342" s="113" t="s">
        <v>23183</v>
      </c>
      <c r="F342" s="257" t="s">
        <v>14409</v>
      </c>
      <c r="G342" s="258">
        <v>19.53</v>
      </c>
      <c r="I342" s="160">
        <f t="shared" si="5"/>
        <v>93130.340000000113</v>
      </c>
    </row>
    <row r="343" spans="2:9" hidden="1" x14ac:dyDescent="0.25">
      <c r="B343" s="148"/>
      <c r="C343" s="148" t="s">
        <v>23182</v>
      </c>
      <c r="D343" s="150">
        <v>44056</v>
      </c>
      <c r="E343" s="113" t="s">
        <v>23181</v>
      </c>
      <c r="F343" s="257" t="s">
        <v>14409</v>
      </c>
      <c r="G343" s="258">
        <v>9.84</v>
      </c>
      <c r="I343" s="160">
        <f t="shared" si="5"/>
        <v>93140.180000000109</v>
      </c>
    </row>
    <row r="344" spans="2:9" hidden="1" x14ac:dyDescent="0.25">
      <c r="B344" s="148"/>
      <c r="C344" s="148" t="s">
        <v>23180</v>
      </c>
      <c r="D344" s="150">
        <v>44056</v>
      </c>
      <c r="E344" s="113" t="s">
        <v>23179</v>
      </c>
      <c r="F344" s="257" t="s">
        <v>14409</v>
      </c>
      <c r="G344" s="258">
        <v>3</v>
      </c>
      <c r="I344" s="160">
        <f t="shared" si="5"/>
        <v>93143.180000000109</v>
      </c>
    </row>
    <row r="345" spans="2:9" hidden="1" x14ac:dyDescent="0.25">
      <c r="B345" s="148"/>
      <c r="C345" s="148" t="s">
        <v>23178</v>
      </c>
      <c r="D345" s="150">
        <v>44056</v>
      </c>
      <c r="E345" s="113" t="s">
        <v>23177</v>
      </c>
      <c r="F345" s="257" t="s">
        <v>14409</v>
      </c>
      <c r="G345" s="258">
        <v>5.38</v>
      </c>
      <c r="I345" s="160">
        <f t="shared" si="5"/>
        <v>93148.560000000114</v>
      </c>
    </row>
    <row r="346" spans="2:9" ht="19.5" hidden="1" x14ac:dyDescent="0.25">
      <c r="B346" s="148"/>
      <c r="C346" s="148" t="s">
        <v>23176</v>
      </c>
      <c r="D346" s="150">
        <v>44056</v>
      </c>
      <c r="E346" s="113" t="s">
        <v>23175</v>
      </c>
      <c r="F346" s="257" t="s">
        <v>14409</v>
      </c>
      <c r="G346" s="258">
        <v>15.27</v>
      </c>
      <c r="I346" s="160">
        <f t="shared" si="5"/>
        <v>93163.830000000118</v>
      </c>
    </row>
    <row r="347" spans="2:9" hidden="1" x14ac:dyDescent="0.25">
      <c r="B347" s="148"/>
      <c r="C347" s="148" t="s">
        <v>23174</v>
      </c>
      <c r="D347" s="150">
        <v>44056</v>
      </c>
      <c r="E347" s="113" t="s">
        <v>23173</v>
      </c>
      <c r="F347" s="257">
        <v>8</v>
      </c>
      <c r="G347" s="255">
        <v>1.68</v>
      </c>
      <c r="I347" s="160">
        <f t="shared" si="5"/>
        <v>93165.510000000111</v>
      </c>
    </row>
    <row r="348" spans="2:9" hidden="1" x14ac:dyDescent="0.25">
      <c r="B348" s="148"/>
      <c r="C348" s="148" t="s">
        <v>23172</v>
      </c>
      <c r="D348" s="150">
        <v>44056</v>
      </c>
      <c r="E348" s="113" t="s">
        <v>23171</v>
      </c>
      <c r="F348" s="257">
        <v>8</v>
      </c>
      <c r="G348" s="255">
        <v>4.1900000000000004</v>
      </c>
      <c r="I348" s="160">
        <f t="shared" si="5"/>
        <v>93169.700000000114</v>
      </c>
    </row>
    <row r="349" spans="2:9" ht="19.5" hidden="1" x14ac:dyDescent="0.25">
      <c r="B349" s="148"/>
      <c r="C349" s="148" t="s">
        <v>23170</v>
      </c>
      <c r="D349" s="150">
        <v>44056</v>
      </c>
      <c r="E349" s="113" t="s">
        <v>23169</v>
      </c>
      <c r="F349" s="257" t="s">
        <v>14436</v>
      </c>
      <c r="G349" s="160">
        <v>26.92</v>
      </c>
      <c r="I349" s="160">
        <f t="shared" si="5"/>
        <v>93196.620000000112</v>
      </c>
    </row>
    <row r="350" spans="2:9" hidden="1" x14ac:dyDescent="0.25">
      <c r="B350" s="148"/>
      <c r="C350" s="148" t="s">
        <v>23168</v>
      </c>
      <c r="D350" s="150">
        <v>44056</v>
      </c>
      <c r="E350" s="113" t="s">
        <v>23167</v>
      </c>
      <c r="F350" s="257" t="s">
        <v>14436</v>
      </c>
      <c r="G350" s="160">
        <v>7293.56</v>
      </c>
      <c r="I350" s="160">
        <f t="shared" si="5"/>
        <v>100490.18000000011</v>
      </c>
    </row>
    <row r="351" spans="2:9" hidden="1" x14ac:dyDescent="0.25">
      <c r="B351" s="148"/>
      <c r="C351" s="148" t="s">
        <v>16372</v>
      </c>
      <c r="D351" s="150">
        <v>44056</v>
      </c>
      <c r="E351" s="113" t="s">
        <v>23166</v>
      </c>
      <c r="F351" s="257" t="s">
        <v>14433</v>
      </c>
      <c r="H351" s="161">
        <v>9.0399999999999991</v>
      </c>
      <c r="I351" s="160">
        <f t="shared" si="5"/>
        <v>100481.14000000012</v>
      </c>
    </row>
    <row r="352" spans="2:9" ht="19.5" hidden="1" x14ac:dyDescent="0.25">
      <c r="B352" s="148"/>
      <c r="C352" s="148" t="s">
        <v>23165</v>
      </c>
      <c r="D352" s="150">
        <v>44057</v>
      </c>
      <c r="E352" s="113" t="s">
        <v>23164</v>
      </c>
      <c r="F352" s="257">
        <v>9</v>
      </c>
      <c r="G352" s="255">
        <v>3.36</v>
      </c>
      <c r="I352" s="160">
        <f t="shared" si="5"/>
        <v>100484.50000000012</v>
      </c>
    </row>
    <row r="353" spans="2:9" hidden="1" x14ac:dyDescent="0.25">
      <c r="B353" s="148"/>
      <c r="C353" s="148" t="s">
        <v>23163</v>
      </c>
      <c r="D353" s="150">
        <v>44057</v>
      </c>
      <c r="E353" s="113" t="s">
        <v>23162</v>
      </c>
      <c r="F353" s="257" t="s">
        <v>14436</v>
      </c>
      <c r="G353" s="160">
        <v>98.83</v>
      </c>
      <c r="I353" s="160">
        <f t="shared" si="5"/>
        <v>100583.33000000012</v>
      </c>
    </row>
    <row r="354" spans="2:9" hidden="1" x14ac:dyDescent="0.25">
      <c r="B354" s="148"/>
      <c r="C354" s="148" t="s">
        <v>23161</v>
      </c>
      <c r="D354" s="150">
        <v>44057</v>
      </c>
      <c r="E354" s="113" t="s">
        <v>23160</v>
      </c>
      <c r="F354" s="257" t="s">
        <v>14436</v>
      </c>
      <c r="G354" s="160">
        <v>1337.24</v>
      </c>
      <c r="I354" s="160">
        <f t="shared" si="5"/>
        <v>101920.57000000012</v>
      </c>
    </row>
    <row r="355" spans="2:9" hidden="1" x14ac:dyDescent="0.25">
      <c r="B355" s="148"/>
      <c r="C355" s="148" t="s">
        <v>23159</v>
      </c>
      <c r="D355" s="150">
        <v>44057</v>
      </c>
      <c r="E355" s="113" t="s">
        <v>23158</v>
      </c>
      <c r="F355" s="257" t="s">
        <v>14412</v>
      </c>
      <c r="G355" s="258">
        <v>1.68</v>
      </c>
      <c r="I355" s="160">
        <f t="shared" si="5"/>
        <v>101922.25000000012</v>
      </c>
    </row>
    <row r="356" spans="2:9" hidden="1" x14ac:dyDescent="0.25">
      <c r="B356" s="148"/>
      <c r="C356" s="148" t="s">
        <v>23157</v>
      </c>
      <c r="D356" s="150">
        <v>44057</v>
      </c>
      <c r="E356" s="113" t="s">
        <v>23156</v>
      </c>
      <c r="F356" s="257" t="s">
        <v>14412</v>
      </c>
      <c r="G356" s="258">
        <v>7.3</v>
      </c>
      <c r="I356" s="160">
        <f t="shared" si="5"/>
        <v>101929.55000000012</v>
      </c>
    </row>
    <row r="357" spans="2:9" ht="19.5" hidden="1" x14ac:dyDescent="0.25">
      <c r="B357" s="148"/>
      <c r="C357" s="148" t="s">
        <v>23155</v>
      </c>
      <c r="D357" s="150">
        <v>44057</v>
      </c>
      <c r="E357" s="113" t="s">
        <v>23154</v>
      </c>
      <c r="F357" s="257" t="s">
        <v>14412</v>
      </c>
      <c r="G357" s="258">
        <v>12.88</v>
      </c>
      <c r="I357" s="160">
        <f t="shared" si="5"/>
        <v>101942.43000000012</v>
      </c>
    </row>
    <row r="358" spans="2:9" ht="19.5" hidden="1" x14ac:dyDescent="0.25">
      <c r="B358" s="148"/>
      <c r="C358" s="148" t="s">
        <v>23153</v>
      </c>
      <c r="D358" s="150">
        <v>44057</v>
      </c>
      <c r="E358" s="113" t="s">
        <v>23152</v>
      </c>
      <c r="F358" s="257" t="s">
        <v>14412</v>
      </c>
      <c r="G358" s="258">
        <v>10.44</v>
      </c>
      <c r="I358" s="160">
        <f t="shared" si="5"/>
        <v>101952.87000000013</v>
      </c>
    </row>
    <row r="359" spans="2:9" hidden="1" x14ac:dyDescent="0.25">
      <c r="B359" s="148"/>
      <c r="C359" s="148" t="s">
        <v>23151</v>
      </c>
      <c r="D359" s="150">
        <v>44057</v>
      </c>
      <c r="E359" s="113" t="s">
        <v>23150</v>
      </c>
      <c r="F359" s="257" t="s">
        <v>14412</v>
      </c>
      <c r="G359" s="258">
        <v>5.48</v>
      </c>
      <c r="I359" s="160">
        <f t="shared" si="5"/>
        <v>101958.35000000012</v>
      </c>
    </row>
    <row r="360" spans="2:9" hidden="1" x14ac:dyDescent="0.25">
      <c r="B360" s="148"/>
      <c r="C360" s="148" t="s">
        <v>23149</v>
      </c>
      <c r="D360" s="150">
        <v>44057</v>
      </c>
      <c r="E360" s="113" t="s">
        <v>23148</v>
      </c>
      <c r="F360" s="257" t="s">
        <v>14412</v>
      </c>
      <c r="G360" s="258">
        <v>3.44</v>
      </c>
      <c r="I360" s="160">
        <f t="shared" si="5"/>
        <v>101961.79000000012</v>
      </c>
    </row>
    <row r="361" spans="2:9" hidden="1" x14ac:dyDescent="0.25">
      <c r="B361" s="148"/>
      <c r="C361" s="148" t="s">
        <v>23147</v>
      </c>
      <c r="D361" s="150">
        <v>44057</v>
      </c>
      <c r="E361" s="113" t="s">
        <v>23146</v>
      </c>
      <c r="F361" s="257" t="s">
        <v>14412</v>
      </c>
      <c r="G361" s="258">
        <v>5.51</v>
      </c>
      <c r="I361" s="160">
        <f t="shared" si="5"/>
        <v>101967.30000000012</v>
      </c>
    </row>
    <row r="362" spans="2:9" hidden="1" x14ac:dyDescent="0.25">
      <c r="B362" s="148"/>
      <c r="C362" s="148" t="s">
        <v>23145</v>
      </c>
      <c r="D362" s="150">
        <v>44057</v>
      </c>
      <c r="E362" s="113" t="s">
        <v>23144</v>
      </c>
      <c r="F362" s="257" t="s">
        <v>14412</v>
      </c>
      <c r="G362" s="258">
        <v>1.98</v>
      </c>
      <c r="I362" s="160">
        <f t="shared" si="5"/>
        <v>101969.28000000012</v>
      </c>
    </row>
    <row r="363" spans="2:9" hidden="1" x14ac:dyDescent="0.25">
      <c r="B363" s="148"/>
      <c r="C363" s="148" t="s">
        <v>23143</v>
      </c>
      <c r="D363" s="150">
        <v>44057</v>
      </c>
      <c r="E363" s="113" t="s">
        <v>23142</v>
      </c>
      <c r="F363" s="257" t="s">
        <v>14412</v>
      </c>
      <c r="G363" s="258">
        <v>1.72</v>
      </c>
      <c r="I363" s="160">
        <f t="shared" si="5"/>
        <v>101971.00000000012</v>
      </c>
    </row>
    <row r="364" spans="2:9" hidden="1" x14ac:dyDescent="0.25">
      <c r="B364" s="148"/>
      <c r="C364" s="148" t="s">
        <v>23141</v>
      </c>
      <c r="D364" s="150">
        <v>44057</v>
      </c>
      <c r="E364" s="113" t="s">
        <v>23140</v>
      </c>
      <c r="F364" s="257">
        <v>9</v>
      </c>
      <c r="G364" s="255">
        <v>8.83</v>
      </c>
      <c r="I364" s="160">
        <f t="shared" si="5"/>
        <v>101979.83000000012</v>
      </c>
    </row>
    <row r="365" spans="2:9" ht="19.5" hidden="1" x14ac:dyDescent="0.25">
      <c r="B365" s="148"/>
      <c r="C365" s="148" t="s">
        <v>23139</v>
      </c>
      <c r="D365" s="150">
        <v>44057</v>
      </c>
      <c r="E365" s="113" t="s">
        <v>23138</v>
      </c>
      <c r="F365" s="257">
        <v>9</v>
      </c>
      <c r="G365" s="255">
        <v>5.2</v>
      </c>
      <c r="I365" s="160">
        <f t="shared" si="5"/>
        <v>101985.03000000012</v>
      </c>
    </row>
    <row r="366" spans="2:9" hidden="1" x14ac:dyDescent="0.25">
      <c r="B366" s="148"/>
      <c r="C366" s="148" t="s">
        <v>23137</v>
      </c>
      <c r="D366" s="150">
        <v>44057</v>
      </c>
      <c r="E366" s="113" t="s">
        <v>23136</v>
      </c>
      <c r="F366" s="257">
        <v>9</v>
      </c>
      <c r="G366" s="255">
        <v>12.3</v>
      </c>
      <c r="I366" s="160">
        <f t="shared" si="5"/>
        <v>101997.33000000012</v>
      </c>
    </row>
    <row r="367" spans="2:9" hidden="1" x14ac:dyDescent="0.25">
      <c r="B367" s="148"/>
      <c r="C367" s="148" t="s">
        <v>23135</v>
      </c>
      <c r="D367" s="150">
        <v>44057</v>
      </c>
      <c r="E367" s="113" t="s">
        <v>23134</v>
      </c>
      <c r="F367" s="257">
        <v>9</v>
      </c>
      <c r="G367" s="255">
        <v>15.78</v>
      </c>
      <c r="I367" s="160">
        <f t="shared" si="5"/>
        <v>102013.11000000012</v>
      </c>
    </row>
    <row r="368" spans="2:9" hidden="1" x14ac:dyDescent="0.25">
      <c r="B368" s="148"/>
      <c r="C368" s="148" t="s">
        <v>23133</v>
      </c>
      <c r="D368" s="150">
        <v>44057</v>
      </c>
      <c r="E368" s="113" t="s">
        <v>23132</v>
      </c>
      <c r="F368" s="257">
        <v>9</v>
      </c>
      <c r="G368" s="255">
        <v>8.89</v>
      </c>
      <c r="I368" s="160">
        <f t="shared" si="5"/>
        <v>102022.00000000012</v>
      </c>
    </row>
    <row r="369" spans="2:9" hidden="1" x14ac:dyDescent="0.25">
      <c r="B369" s="148"/>
      <c r="C369" s="148" t="s">
        <v>23131</v>
      </c>
      <c r="D369" s="150">
        <v>44057</v>
      </c>
      <c r="E369" s="113" t="s">
        <v>23130</v>
      </c>
      <c r="F369" s="257" t="s">
        <v>14436</v>
      </c>
      <c r="G369" s="160">
        <v>60.86</v>
      </c>
      <c r="I369" s="160">
        <f t="shared" si="5"/>
        <v>102082.86000000012</v>
      </c>
    </row>
    <row r="370" spans="2:9" hidden="1" x14ac:dyDescent="0.25">
      <c r="B370" s="148"/>
      <c r="C370" s="148" t="s">
        <v>23129</v>
      </c>
      <c r="D370" s="150">
        <v>44057</v>
      </c>
      <c r="E370" s="113" t="s">
        <v>23128</v>
      </c>
      <c r="F370" s="257" t="s">
        <v>14436</v>
      </c>
      <c r="G370" s="160">
        <v>5.87</v>
      </c>
      <c r="I370" s="160">
        <f t="shared" si="5"/>
        <v>102088.73000000011</v>
      </c>
    </row>
    <row r="371" spans="2:9" ht="19.5" hidden="1" x14ac:dyDescent="0.25">
      <c r="B371" s="148"/>
      <c r="C371" s="148" t="s">
        <v>1744</v>
      </c>
      <c r="D371" s="150">
        <v>44057</v>
      </c>
      <c r="E371" s="113" t="s">
        <v>23127</v>
      </c>
      <c r="F371" s="257" t="s">
        <v>14409</v>
      </c>
      <c r="H371" s="319">
        <v>70.099999999999994</v>
      </c>
      <c r="I371" s="160">
        <f t="shared" si="5"/>
        <v>102018.63000000011</v>
      </c>
    </row>
    <row r="372" spans="2:9" ht="19.5" hidden="1" x14ac:dyDescent="0.25">
      <c r="B372" s="148"/>
      <c r="C372" s="148" t="s">
        <v>15202</v>
      </c>
      <c r="D372" s="150">
        <v>44057</v>
      </c>
      <c r="E372" s="113" t="s">
        <v>23126</v>
      </c>
      <c r="F372" s="257" t="s">
        <v>14433</v>
      </c>
      <c r="H372" s="161">
        <v>1174.8800000000001</v>
      </c>
      <c r="I372" s="160">
        <f t="shared" si="5"/>
        <v>100843.7500000001</v>
      </c>
    </row>
    <row r="373" spans="2:9" hidden="1" x14ac:dyDescent="0.25">
      <c r="B373" s="148"/>
      <c r="C373" s="148" t="s">
        <v>18390</v>
      </c>
      <c r="D373" s="150">
        <v>44057</v>
      </c>
      <c r="E373" s="113" t="s">
        <v>23125</v>
      </c>
      <c r="F373" s="257" t="s">
        <v>14433</v>
      </c>
      <c r="H373" s="161">
        <v>9.4</v>
      </c>
      <c r="I373" s="160">
        <f t="shared" si="5"/>
        <v>100834.35000000011</v>
      </c>
    </row>
    <row r="374" spans="2:9" hidden="1" x14ac:dyDescent="0.25">
      <c r="B374" s="148"/>
      <c r="C374" s="148" t="s">
        <v>16360</v>
      </c>
      <c r="D374" s="150">
        <v>44057</v>
      </c>
      <c r="E374" s="113" t="s">
        <v>23124</v>
      </c>
      <c r="F374" s="257" t="s">
        <v>14433</v>
      </c>
      <c r="H374" s="161">
        <v>2800</v>
      </c>
      <c r="I374" s="160">
        <f t="shared" si="5"/>
        <v>98034.350000000108</v>
      </c>
    </row>
    <row r="375" spans="2:9" hidden="1" x14ac:dyDescent="0.25">
      <c r="B375" s="148"/>
      <c r="C375" s="148" t="s">
        <v>16356</v>
      </c>
      <c r="D375" s="150">
        <v>44057</v>
      </c>
      <c r="E375" s="113" t="s">
        <v>23123</v>
      </c>
      <c r="F375" s="257" t="s">
        <v>14433</v>
      </c>
      <c r="H375" s="161">
        <v>521.77</v>
      </c>
      <c r="I375" s="160">
        <f t="shared" si="5"/>
        <v>97512.580000000104</v>
      </c>
    </row>
    <row r="376" spans="2:9" ht="19.5" hidden="1" x14ac:dyDescent="0.25">
      <c r="B376" s="148"/>
      <c r="C376" s="148" t="s">
        <v>16354</v>
      </c>
      <c r="D376" s="150">
        <v>44057</v>
      </c>
      <c r="E376" s="113" t="s">
        <v>23122</v>
      </c>
      <c r="F376" s="257" t="s">
        <v>14433</v>
      </c>
      <c r="H376" s="161">
        <v>1800</v>
      </c>
      <c r="I376" s="160">
        <f t="shared" si="5"/>
        <v>95712.580000000104</v>
      </c>
    </row>
    <row r="377" spans="2:9" hidden="1" x14ac:dyDescent="0.25">
      <c r="B377" s="148"/>
      <c r="C377" s="148" t="s">
        <v>23121</v>
      </c>
      <c r="D377" s="150">
        <v>44058</v>
      </c>
      <c r="E377" s="113" t="s">
        <v>23120</v>
      </c>
      <c r="F377" s="257" t="s">
        <v>14412</v>
      </c>
      <c r="G377" s="258">
        <v>19.7</v>
      </c>
      <c r="I377" s="160">
        <f t="shared" si="5"/>
        <v>95732.280000000101</v>
      </c>
    </row>
    <row r="378" spans="2:9" hidden="1" x14ac:dyDescent="0.25">
      <c r="B378" s="148"/>
      <c r="C378" s="148" t="s">
        <v>23119</v>
      </c>
      <c r="D378" s="150">
        <v>44058</v>
      </c>
      <c r="E378" s="113" t="s">
        <v>23118</v>
      </c>
      <c r="F378" s="257" t="s">
        <v>14412</v>
      </c>
      <c r="G378" s="258">
        <v>3.43</v>
      </c>
      <c r="I378" s="160">
        <f t="shared" si="5"/>
        <v>95735.710000000094</v>
      </c>
    </row>
    <row r="379" spans="2:9" hidden="1" x14ac:dyDescent="0.25">
      <c r="B379" s="148"/>
      <c r="C379" s="148" t="s">
        <v>23117</v>
      </c>
      <c r="D379" s="150">
        <v>44058</v>
      </c>
      <c r="E379" s="113" t="s">
        <v>23116</v>
      </c>
      <c r="F379" s="257" t="s">
        <v>14412</v>
      </c>
      <c r="G379" s="258">
        <v>3.68</v>
      </c>
      <c r="I379" s="160">
        <f t="shared" si="5"/>
        <v>95739.390000000087</v>
      </c>
    </row>
    <row r="380" spans="2:9" hidden="1" x14ac:dyDescent="0.25">
      <c r="B380" s="148"/>
      <c r="C380" s="148" t="s">
        <v>23115</v>
      </c>
      <c r="D380" s="150">
        <v>44058</v>
      </c>
      <c r="E380" s="113" t="s">
        <v>23114</v>
      </c>
      <c r="F380" s="257" t="s">
        <v>14412</v>
      </c>
      <c r="G380" s="258">
        <v>11.72</v>
      </c>
      <c r="I380" s="160">
        <f t="shared" si="5"/>
        <v>95751.110000000088</v>
      </c>
    </row>
    <row r="381" spans="2:9" ht="19.5" hidden="1" x14ac:dyDescent="0.25">
      <c r="B381" s="148"/>
      <c r="C381" s="148" t="s">
        <v>23113</v>
      </c>
      <c r="D381" s="150">
        <v>44058</v>
      </c>
      <c r="E381" s="113" t="s">
        <v>23112</v>
      </c>
      <c r="F381" s="257" t="s">
        <v>14412</v>
      </c>
      <c r="G381" s="258">
        <v>13.04</v>
      </c>
      <c r="I381" s="160">
        <f t="shared" si="5"/>
        <v>95764.150000000081</v>
      </c>
    </row>
    <row r="382" spans="2:9" hidden="1" x14ac:dyDescent="0.25">
      <c r="B382" s="148"/>
      <c r="C382" s="148" t="s">
        <v>23111</v>
      </c>
      <c r="D382" s="150">
        <v>44058</v>
      </c>
      <c r="E382" s="113" t="s">
        <v>23110</v>
      </c>
      <c r="F382" s="257" t="s">
        <v>14412</v>
      </c>
      <c r="G382" s="258">
        <v>3.42</v>
      </c>
      <c r="I382" s="160">
        <f t="shared" si="5"/>
        <v>95767.57000000008</v>
      </c>
    </row>
    <row r="383" spans="2:9" hidden="1" x14ac:dyDescent="0.25">
      <c r="B383" s="148"/>
      <c r="C383" s="148" t="s">
        <v>23109</v>
      </c>
      <c r="D383" s="150">
        <v>44058</v>
      </c>
      <c r="E383" s="113" t="s">
        <v>23108</v>
      </c>
      <c r="F383" s="257" t="s">
        <v>14436</v>
      </c>
      <c r="G383" s="160">
        <v>2</v>
      </c>
      <c r="I383" s="160">
        <f t="shared" si="5"/>
        <v>95769.57000000008</v>
      </c>
    </row>
    <row r="384" spans="2:9" ht="19.5" hidden="1" x14ac:dyDescent="0.25">
      <c r="B384" s="148"/>
      <c r="C384" s="148" t="s">
        <v>23107</v>
      </c>
      <c r="D384" s="150">
        <v>44059</v>
      </c>
      <c r="E384" s="113" t="s">
        <v>23106</v>
      </c>
      <c r="F384" s="257" t="s">
        <v>14412</v>
      </c>
      <c r="G384" s="258">
        <v>43.31</v>
      </c>
      <c r="I384" s="160">
        <f t="shared" si="5"/>
        <v>95812.880000000077</v>
      </c>
    </row>
    <row r="385" spans="2:9" hidden="1" x14ac:dyDescent="0.25">
      <c r="B385" s="148"/>
      <c r="C385" s="148" t="s">
        <v>23105</v>
      </c>
      <c r="D385" s="150">
        <v>44059</v>
      </c>
      <c r="E385" s="113" t="s">
        <v>23104</v>
      </c>
      <c r="F385" s="257" t="s">
        <v>14436</v>
      </c>
      <c r="G385" s="160">
        <v>2.09</v>
      </c>
      <c r="I385" s="160">
        <f t="shared" si="5"/>
        <v>95814.970000000074</v>
      </c>
    </row>
    <row r="386" spans="2:9" ht="19.5" hidden="1" x14ac:dyDescent="0.25">
      <c r="B386" s="148"/>
      <c r="C386" s="148" t="s">
        <v>23103</v>
      </c>
      <c r="D386" s="150">
        <v>44060</v>
      </c>
      <c r="E386" s="113" t="s">
        <v>23102</v>
      </c>
      <c r="F386" s="257">
        <v>10</v>
      </c>
      <c r="G386" s="255">
        <v>8.5</v>
      </c>
      <c r="I386" s="160">
        <f t="shared" si="5"/>
        <v>95823.470000000074</v>
      </c>
    </row>
    <row r="387" spans="2:9" hidden="1" x14ac:dyDescent="0.25">
      <c r="B387" s="148"/>
      <c r="C387" s="148" t="s">
        <v>23101</v>
      </c>
      <c r="D387" s="150">
        <v>44060</v>
      </c>
      <c r="E387" s="113" t="s">
        <v>23100</v>
      </c>
      <c r="F387" s="257" t="s">
        <v>14436</v>
      </c>
      <c r="G387" s="160">
        <v>53.87</v>
      </c>
      <c r="I387" s="160">
        <f t="shared" si="5"/>
        <v>95877.340000000069</v>
      </c>
    </row>
    <row r="388" spans="2:9" hidden="1" x14ac:dyDescent="0.25">
      <c r="B388" s="148"/>
      <c r="C388" s="148" t="s">
        <v>23099</v>
      </c>
      <c r="D388" s="150">
        <v>44060</v>
      </c>
      <c r="E388" s="113" t="s">
        <v>23098</v>
      </c>
      <c r="F388" s="257" t="s">
        <v>14412</v>
      </c>
      <c r="G388" s="258">
        <v>1.68</v>
      </c>
      <c r="I388" s="160">
        <f t="shared" si="5"/>
        <v>95879.020000000062</v>
      </c>
    </row>
    <row r="389" spans="2:9" hidden="1" x14ac:dyDescent="0.25">
      <c r="B389" s="148"/>
      <c r="C389" s="148" t="s">
        <v>23097</v>
      </c>
      <c r="D389" s="150">
        <v>44060</v>
      </c>
      <c r="E389" s="113" t="s">
        <v>23096</v>
      </c>
      <c r="F389" s="257" t="s">
        <v>14412</v>
      </c>
      <c r="G389" s="258">
        <v>7.51</v>
      </c>
      <c r="I389" s="160">
        <f t="shared" si="5"/>
        <v>95886.530000000057</v>
      </c>
    </row>
    <row r="390" spans="2:9" ht="19.5" hidden="1" x14ac:dyDescent="0.25">
      <c r="B390" s="148"/>
      <c r="C390" s="148" t="s">
        <v>23095</v>
      </c>
      <c r="D390" s="150">
        <v>44060</v>
      </c>
      <c r="E390" s="113" t="s">
        <v>23094</v>
      </c>
      <c r="F390" s="257" t="s">
        <v>14412</v>
      </c>
      <c r="G390" s="258">
        <v>5.1100000000000003</v>
      </c>
      <c r="I390" s="160">
        <f t="shared" si="5"/>
        <v>95891.640000000058</v>
      </c>
    </row>
    <row r="391" spans="2:9" ht="19.5" hidden="1" x14ac:dyDescent="0.25">
      <c r="B391" s="148"/>
      <c r="C391" s="148" t="s">
        <v>23093</v>
      </c>
      <c r="D391" s="150">
        <v>44060</v>
      </c>
      <c r="E391" s="113" t="s">
        <v>23092</v>
      </c>
      <c r="F391" s="257" t="s">
        <v>14412</v>
      </c>
      <c r="G391" s="258">
        <v>8.41</v>
      </c>
      <c r="I391" s="160">
        <f t="shared" si="5"/>
        <v>95900.050000000061</v>
      </c>
    </row>
    <row r="392" spans="2:9" hidden="1" x14ac:dyDescent="0.25">
      <c r="B392" s="148"/>
      <c r="C392" s="148" t="s">
        <v>23091</v>
      </c>
      <c r="D392" s="150">
        <v>44060</v>
      </c>
      <c r="E392" s="113" t="s">
        <v>23090</v>
      </c>
      <c r="F392" s="257" t="s">
        <v>14412</v>
      </c>
      <c r="G392" s="258">
        <v>4.16</v>
      </c>
      <c r="I392" s="160">
        <f t="shared" si="5"/>
        <v>95904.210000000065</v>
      </c>
    </row>
    <row r="393" spans="2:9" hidden="1" x14ac:dyDescent="0.25">
      <c r="B393" s="148"/>
      <c r="C393" s="148" t="s">
        <v>23089</v>
      </c>
      <c r="D393" s="150">
        <v>44060</v>
      </c>
      <c r="E393" s="113" t="s">
        <v>23088</v>
      </c>
      <c r="F393" s="257" t="s">
        <v>14412</v>
      </c>
      <c r="G393" s="258">
        <v>1.69</v>
      </c>
      <c r="I393" s="160">
        <f t="shared" si="5"/>
        <v>95905.900000000067</v>
      </c>
    </row>
    <row r="394" spans="2:9" ht="19.5" hidden="1" x14ac:dyDescent="0.25">
      <c r="B394" s="148"/>
      <c r="C394" s="148" t="s">
        <v>23087</v>
      </c>
      <c r="D394" s="150">
        <v>44060</v>
      </c>
      <c r="E394" s="113" t="s">
        <v>23086</v>
      </c>
      <c r="F394" s="257" t="s">
        <v>14412</v>
      </c>
      <c r="G394" s="258">
        <v>8.43</v>
      </c>
      <c r="I394" s="160">
        <f t="shared" si="5"/>
        <v>95914.33000000006</v>
      </c>
    </row>
    <row r="395" spans="2:9" hidden="1" x14ac:dyDescent="0.25">
      <c r="B395" s="148"/>
      <c r="C395" s="148" t="s">
        <v>23085</v>
      </c>
      <c r="D395" s="150">
        <v>44060</v>
      </c>
      <c r="E395" s="113" t="s">
        <v>23084</v>
      </c>
      <c r="F395" s="257" t="s">
        <v>14412</v>
      </c>
      <c r="G395" s="258">
        <v>32.659999999999997</v>
      </c>
      <c r="I395" s="160">
        <f t="shared" si="5"/>
        <v>95946.990000000063</v>
      </c>
    </row>
    <row r="396" spans="2:9" hidden="1" x14ac:dyDescent="0.25">
      <c r="B396" s="148"/>
      <c r="C396" s="148" t="s">
        <v>23083</v>
      </c>
      <c r="D396" s="150">
        <v>44060</v>
      </c>
      <c r="E396" s="113" t="s">
        <v>23082</v>
      </c>
      <c r="F396" s="257" t="s">
        <v>14412</v>
      </c>
      <c r="G396" s="258">
        <v>8.33</v>
      </c>
      <c r="I396" s="160">
        <f t="shared" si="5"/>
        <v>95955.320000000065</v>
      </c>
    </row>
    <row r="397" spans="2:9" hidden="1" x14ac:dyDescent="0.25">
      <c r="B397" s="148"/>
      <c r="C397" s="148" t="s">
        <v>23081</v>
      </c>
      <c r="D397" s="150">
        <v>44060</v>
      </c>
      <c r="E397" s="113" t="s">
        <v>23080</v>
      </c>
      <c r="F397" s="257" t="s">
        <v>14412</v>
      </c>
      <c r="G397" s="258">
        <v>3.36</v>
      </c>
      <c r="I397" s="160">
        <f t="shared" si="5"/>
        <v>95958.680000000066</v>
      </c>
    </row>
    <row r="398" spans="2:9" hidden="1" x14ac:dyDescent="0.25">
      <c r="B398" s="148"/>
      <c r="C398" s="148" t="s">
        <v>23079</v>
      </c>
      <c r="D398" s="150">
        <v>44060</v>
      </c>
      <c r="E398" s="113" t="s">
        <v>23078</v>
      </c>
      <c r="F398" s="257" t="s">
        <v>14412</v>
      </c>
      <c r="G398" s="258">
        <v>7.29</v>
      </c>
      <c r="I398" s="160">
        <f t="shared" si="5"/>
        <v>95965.970000000059</v>
      </c>
    </row>
    <row r="399" spans="2:9" ht="19.5" hidden="1" x14ac:dyDescent="0.25">
      <c r="B399" s="148"/>
      <c r="C399" s="148" t="s">
        <v>23077</v>
      </c>
      <c r="D399" s="150">
        <v>44060</v>
      </c>
      <c r="E399" s="113" t="s">
        <v>23076</v>
      </c>
      <c r="F399" s="257">
        <v>10</v>
      </c>
      <c r="G399" s="255">
        <v>2.5099999999999998</v>
      </c>
      <c r="I399" s="160">
        <f t="shared" si="5"/>
        <v>95968.480000000054</v>
      </c>
    </row>
    <row r="400" spans="2:9" hidden="1" x14ac:dyDescent="0.25">
      <c r="B400" s="148"/>
      <c r="C400" s="148" t="s">
        <v>23075</v>
      </c>
      <c r="D400" s="150">
        <v>44060</v>
      </c>
      <c r="E400" s="113" t="s">
        <v>23074</v>
      </c>
      <c r="F400" s="257">
        <v>10</v>
      </c>
      <c r="G400" s="255">
        <v>12.3</v>
      </c>
      <c r="I400" s="160">
        <f t="shared" si="5"/>
        <v>95980.780000000057</v>
      </c>
    </row>
    <row r="401" spans="2:9" hidden="1" x14ac:dyDescent="0.25">
      <c r="B401" s="148"/>
      <c r="C401" s="148" t="s">
        <v>23073</v>
      </c>
      <c r="D401" s="150">
        <v>44060</v>
      </c>
      <c r="E401" s="113" t="s">
        <v>23072</v>
      </c>
      <c r="F401" s="257">
        <v>10</v>
      </c>
      <c r="G401" s="255">
        <v>5.47</v>
      </c>
      <c r="I401" s="160">
        <f t="shared" si="5"/>
        <v>95986.250000000058</v>
      </c>
    </row>
    <row r="402" spans="2:9" hidden="1" x14ac:dyDescent="0.25">
      <c r="B402" s="148"/>
      <c r="C402" s="148" t="s">
        <v>23071</v>
      </c>
      <c r="D402" s="150">
        <v>44060</v>
      </c>
      <c r="E402" s="113" t="s">
        <v>23070</v>
      </c>
      <c r="F402" s="257">
        <v>10</v>
      </c>
      <c r="G402" s="255">
        <v>3.36</v>
      </c>
      <c r="I402" s="160">
        <f t="shared" si="5"/>
        <v>95989.610000000059</v>
      </c>
    </row>
    <row r="403" spans="2:9" hidden="1" x14ac:dyDescent="0.25">
      <c r="B403" s="148"/>
      <c r="C403" s="148" t="s">
        <v>23069</v>
      </c>
      <c r="D403" s="150">
        <v>44060</v>
      </c>
      <c r="E403" s="113" t="s">
        <v>23068</v>
      </c>
      <c r="F403" s="257">
        <v>10</v>
      </c>
      <c r="G403" s="255">
        <v>4.97</v>
      </c>
      <c r="I403" s="160">
        <f t="shared" si="5"/>
        <v>95994.58000000006</v>
      </c>
    </row>
    <row r="404" spans="2:9" hidden="1" x14ac:dyDescent="0.25">
      <c r="B404" s="148"/>
      <c r="C404" s="148" t="s">
        <v>23067</v>
      </c>
      <c r="D404" s="150">
        <v>44060</v>
      </c>
      <c r="E404" s="113" t="s">
        <v>23066</v>
      </c>
      <c r="F404" s="257">
        <v>10</v>
      </c>
      <c r="G404" s="255">
        <v>9.51</v>
      </c>
      <c r="I404" s="160">
        <f t="shared" ref="I404:I467" si="6">+I403+G404-H404</f>
        <v>96004.090000000055</v>
      </c>
    </row>
    <row r="405" spans="2:9" hidden="1" x14ac:dyDescent="0.25">
      <c r="B405" s="148"/>
      <c r="C405" s="148" t="s">
        <v>23065</v>
      </c>
      <c r="D405" s="150">
        <v>44060</v>
      </c>
      <c r="E405" s="113" t="s">
        <v>23064</v>
      </c>
      <c r="F405" s="257">
        <v>10</v>
      </c>
      <c r="G405" s="255">
        <v>3.02</v>
      </c>
      <c r="I405" s="160">
        <f t="shared" si="6"/>
        <v>96007.110000000059</v>
      </c>
    </row>
    <row r="406" spans="2:9" hidden="1" x14ac:dyDescent="0.25">
      <c r="B406" s="148"/>
      <c r="C406" s="148" t="s">
        <v>23063</v>
      </c>
      <c r="D406" s="150">
        <v>44060</v>
      </c>
      <c r="E406" s="113" t="s">
        <v>23062</v>
      </c>
      <c r="F406" s="257">
        <v>10</v>
      </c>
      <c r="G406" s="255">
        <v>8.3800000000000008</v>
      </c>
      <c r="I406" s="160">
        <f t="shared" si="6"/>
        <v>96015.490000000063</v>
      </c>
    </row>
    <row r="407" spans="2:9" hidden="1" x14ac:dyDescent="0.25">
      <c r="B407" s="148"/>
      <c r="C407" s="148" t="s">
        <v>23061</v>
      </c>
      <c r="D407" s="150">
        <v>44060</v>
      </c>
      <c r="E407" s="113" t="s">
        <v>23060</v>
      </c>
      <c r="F407" s="257">
        <v>10</v>
      </c>
      <c r="G407" s="255">
        <v>3.11</v>
      </c>
      <c r="I407" s="160">
        <f t="shared" si="6"/>
        <v>96018.600000000064</v>
      </c>
    </row>
    <row r="408" spans="2:9" hidden="1" x14ac:dyDescent="0.25">
      <c r="B408" s="148"/>
      <c r="C408" s="148" t="s">
        <v>23059</v>
      </c>
      <c r="D408" s="150">
        <v>44060</v>
      </c>
      <c r="E408" s="113" t="s">
        <v>23058</v>
      </c>
      <c r="F408" s="257">
        <v>10</v>
      </c>
      <c r="G408" s="255">
        <v>1.94</v>
      </c>
      <c r="I408" s="160">
        <f t="shared" si="6"/>
        <v>96020.540000000066</v>
      </c>
    </row>
    <row r="409" spans="2:9" hidden="1" x14ac:dyDescent="0.25">
      <c r="B409" s="148"/>
      <c r="C409" s="148" t="s">
        <v>23057</v>
      </c>
      <c r="D409" s="150">
        <v>44060</v>
      </c>
      <c r="E409" s="113" t="s">
        <v>23056</v>
      </c>
      <c r="F409" s="257">
        <v>10</v>
      </c>
      <c r="G409" s="255">
        <v>1.88</v>
      </c>
      <c r="I409" s="160">
        <f t="shared" si="6"/>
        <v>96022.420000000071</v>
      </c>
    </row>
    <row r="410" spans="2:9" hidden="1" x14ac:dyDescent="0.25">
      <c r="B410" s="148"/>
      <c r="C410" s="148" t="s">
        <v>23055</v>
      </c>
      <c r="D410" s="150">
        <v>44060</v>
      </c>
      <c r="E410" s="113" t="s">
        <v>23054</v>
      </c>
      <c r="F410" s="257" t="s">
        <v>14436</v>
      </c>
      <c r="G410" s="160">
        <v>189.08</v>
      </c>
      <c r="I410" s="160">
        <f t="shared" si="6"/>
        <v>96211.500000000073</v>
      </c>
    </row>
    <row r="411" spans="2:9" ht="19.5" hidden="1" x14ac:dyDescent="0.25">
      <c r="B411" s="148"/>
      <c r="C411" s="148" t="s">
        <v>23053</v>
      </c>
      <c r="D411" s="150">
        <v>44060</v>
      </c>
      <c r="E411" s="113" t="s">
        <v>23052</v>
      </c>
      <c r="F411" s="257" t="s">
        <v>14436</v>
      </c>
      <c r="G411" s="160">
        <v>13.78</v>
      </c>
      <c r="I411" s="160">
        <f t="shared" si="6"/>
        <v>96225.280000000072</v>
      </c>
    </row>
    <row r="412" spans="2:9" hidden="1" x14ac:dyDescent="0.25">
      <c r="B412" s="148"/>
      <c r="C412" s="148" t="s">
        <v>1104</v>
      </c>
      <c r="D412" s="150">
        <v>44060</v>
      </c>
      <c r="E412" s="113" t="s">
        <v>23051</v>
      </c>
      <c r="F412" s="257" t="s">
        <v>14433</v>
      </c>
      <c r="H412" s="161">
        <v>25.47</v>
      </c>
      <c r="I412" s="160">
        <f t="shared" si="6"/>
        <v>96199.81000000007</v>
      </c>
    </row>
    <row r="413" spans="2:9" hidden="1" x14ac:dyDescent="0.25">
      <c r="B413" s="148"/>
      <c r="C413" s="148" t="s">
        <v>20572</v>
      </c>
      <c r="D413" s="150">
        <v>44060</v>
      </c>
      <c r="E413" s="113" t="s">
        <v>23050</v>
      </c>
      <c r="F413" s="257" t="s">
        <v>14433</v>
      </c>
      <c r="H413" s="161">
        <v>13.52</v>
      </c>
      <c r="I413" s="160">
        <f t="shared" si="6"/>
        <v>96186.290000000066</v>
      </c>
    </row>
    <row r="414" spans="2:9" hidden="1" x14ac:dyDescent="0.25">
      <c r="B414" s="148"/>
      <c r="C414" s="148" t="s">
        <v>16657</v>
      </c>
      <c r="D414" s="150">
        <v>44060</v>
      </c>
      <c r="E414" s="113" t="s">
        <v>23049</v>
      </c>
      <c r="F414" s="257" t="s">
        <v>14433</v>
      </c>
      <c r="H414" s="161">
        <v>21.62</v>
      </c>
      <c r="I414" s="160">
        <f t="shared" si="6"/>
        <v>96164.670000000071</v>
      </c>
    </row>
    <row r="415" spans="2:9" hidden="1" x14ac:dyDescent="0.25">
      <c r="B415" s="148"/>
      <c r="C415" s="148" t="s">
        <v>14434</v>
      </c>
      <c r="D415" s="150">
        <v>44060</v>
      </c>
      <c r="E415" s="113" t="s">
        <v>23048</v>
      </c>
      <c r="F415" s="257" t="s">
        <v>14433</v>
      </c>
      <c r="H415" s="161">
        <v>7.58</v>
      </c>
      <c r="I415" s="160">
        <f t="shared" si="6"/>
        <v>96157.090000000069</v>
      </c>
    </row>
    <row r="416" spans="2:9" hidden="1" x14ac:dyDescent="0.25">
      <c r="B416" s="148"/>
      <c r="C416" s="148" t="s">
        <v>16370</v>
      </c>
      <c r="D416" s="150">
        <v>44060</v>
      </c>
      <c r="E416" s="113" t="s">
        <v>23047</v>
      </c>
      <c r="F416" s="257" t="s">
        <v>14433</v>
      </c>
      <c r="H416" s="161">
        <v>15.98</v>
      </c>
      <c r="I416" s="160">
        <f t="shared" si="6"/>
        <v>96141.110000000073</v>
      </c>
    </row>
    <row r="417" spans="2:9" hidden="1" x14ac:dyDescent="0.25">
      <c r="B417" s="148"/>
      <c r="C417" s="148" t="s">
        <v>16368</v>
      </c>
      <c r="D417" s="150">
        <v>44060</v>
      </c>
      <c r="E417" s="113" t="s">
        <v>23046</v>
      </c>
      <c r="F417" s="257" t="s">
        <v>14433</v>
      </c>
      <c r="H417" s="161">
        <v>12.04</v>
      </c>
      <c r="I417" s="160">
        <f t="shared" si="6"/>
        <v>96129.07000000008</v>
      </c>
    </row>
    <row r="418" spans="2:9" ht="19.5" hidden="1" x14ac:dyDescent="0.25">
      <c r="B418" s="148"/>
      <c r="C418" s="148" t="s">
        <v>16362</v>
      </c>
      <c r="D418" s="150">
        <v>44060</v>
      </c>
      <c r="E418" s="113" t="s">
        <v>23045</v>
      </c>
      <c r="F418" s="257" t="s">
        <v>14433</v>
      </c>
      <c r="H418" s="161">
        <v>88</v>
      </c>
      <c r="I418" s="160">
        <f t="shared" si="6"/>
        <v>96041.07000000008</v>
      </c>
    </row>
    <row r="419" spans="2:9" ht="19.5" hidden="1" x14ac:dyDescent="0.25">
      <c r="B419" s="148"/>
      <c r="C419" s="148" t="s">
        <v>23044</v>
      </c>
      <c r="D419" s="150">
        <v>44060</v>
      </c>
      <c r="E419" s="113" t="s">
        <v>23043</v>
      </c>
      <c r="F419" s="257" t="s">
        <v>14433</v>
      </c>
      <c r="H419" s="161">
        <v>187.91</v>
      </c>
      <c r="I419" s="160">
        <f t="shared" si="6"/>
        <v>95853.160000000076</v>
      </c>
    </row>
    <row r="420" spans="2:9" ht="19.5" hidden="1" x14ac:dyDescent="0.25">
      <c r="B420" s="148"/>
      <c r="C420" s="148" t="s">
        <v>23042</v>
      </c>
      <c r="D420" s="150">
        <v>44061</v>
      </c>
      <c r="E420" s="113" t="s">
        <v>23041</v>
      </c>
      <c r="F420" s="257" t="s">
        <v>14412</v>
      </c>
      <c r="G420" s="258">
        <v>3.02</v>
      </c>
      <c r="I420" s="160">
        <f t="shared" si="6"/>
        <v>95856.18000000008</v>
      </c>
    </row>
    <row r="421" spans="2:9" hidden="1" x14ac:dyDescent="0.25">
      <c r="B421" s="148"/>
      <c r="C421" s="148" t="s">
        <v>23040</v>
      </c>
      <c r="D421" s="150">
        <v>44061</v>
      </c>
      <c r="E421" s="113" t="s">
        <v>23039</v>
      </c>
      <c r="F421" s="257" t="s">
        <v>14436</v>
      </c>
      <c r="G421" s="160">
        <v>78.459999999999994</v>
      </c>
      <c r="I421" s="160">
        <f t="shared" si="6"/>
        <v>95934.640000000087</v>
      </c>
    </row>
    <row r="422" spans="2:9" ht="19.5" hidden="1" x14ac:dyDescent="0.25">
      <c r="B422" s="148"/>
      <c r="C422" s="148" t="s">
        <v>23038</v>
      </c>
      <c r="D422" s="150">
        <v>44061</v>
      </c>
      <c r="E422" s="113" t="s">
        <v>23037</v>
      </c>
      <c r="F422" s="257" t="s">
        <v>18712</v>
      </c>
      <c r="G422" s="160">
        <v>5.83</v>
      </c>
      <c r="I422" s="160">
        <f t="shared" si="6"/>
        <v>95940.470000000088</v>
      </c>
    </row>
    <row r="423" spans="2:9" hidden="1" x14ac:dyDescent="0.25">
      <c r="B423" s="148"/>
      <c r="C423" s="148" t="s">
        <v>23036</v>
      </c>
      <c r="D423" s="150">
        <v>44061</v>
      </c>
      <c r="E423" s="113" t="s">
        <v>23035</v>
      </c>
      <c r="F423" s="257" t="s">
        <v>14412</v>
      </c>
      <c r="G423" s="258">
        <v>77.89</v>
      </c>
      <c r="I423" s="160">
        <f t="shared" si="6"/>
        <v>96018.360000000088</v>
      </c>
    </row>
    <row r="424" spans="2:9" hidden="1" x14ac:dyDescent="0.25">
      <c r="B424" s="148"/>
      <c r="C424" s="148" t="s">
        <v>23034</v>
      </c>
      <c r="D424" s="150">
        <v>44061</v>
      </c>
      <c r="E424" s="113" t="s">
        <v>23033</v>
      </c>
      <c r="F424" s="257" t="s">
        <v>14412</v>
      </c>
      <c r="G424" s="258">
        <v>2.0099999999999998</v>
      </c>
      <c r="I424" s="160">
        <f t="shared" si="6"/>
        <v>96020.370000000083</v>
      </c>
    </row>
    <row r="425" spans="2:9" hidden="1" x14ac:dyDescent="0.25">
      <c r="B425" s="148"/>
      <c r="C425" s="148" t="s">
        <v>23032</v>
      </c>
      <c r="D425" s="150">
        <v>44061</v>
      </c>
      <c r="E425" s="113" t="s">
        <v>23031</v>
      </c>
      <c r="F425" s="257" t="s">
        <v>14412</v>
      </c>
      <c r="G425" s="258">
        <v>3.75</v>
      </c>
      <c r="I425" s="160">
        <f t="shared" si="6"/>
        <v>96024.120000000083</v>
      </c>
    </row>
    <row r="426" spans="2:9" ht="19.5" hidden="1" x14ac:dyDescent="0.25">
      <c r="B426" s="148"/>
      <c r="C426" s="148" t="s">
        <v>23030</v>
      </c>
      <c r="D426" s="150">
        <v>44061</v>
      </c>
      <c r="E426" s="113" t="s">
        <v>23029</v>
      </c>
      <c r="F426" s="257" t="s">
        <v>14412</v>
      </c>
      <c r="G426" s="258">
        <v>0.23</v>
      </c>
      <c r="I426" s="160">
        <f t="shared" si="6"/>
        <v>96024.350000000079</v>
      </c>
    </row>
    <row r="427" spans="2:9" ht="19.5" hidden="1" x14ac:dyDescent="0.25">
      <c r="B427" s="148"/>
      <c r="C427" s="148" t="s">
        <v>23028</v>
      </c>
      <c r="D427" s="150">
        <v>44061</v>
      </c>
      <c r="E427" s="113" t="s">
        <v>23027</v>
      </c>
      <c r="F427" s="257" t="s">
        <v>14412</v>
      </c>
      <c r="G427" s="258">
        <v>77.680000000000007</v>
      </c>
      <c r="I427" s="160">
        <f t="shared" si="6"/>
        <v>96102.030000000072</v>
      </c>
    </row>
    <row r="428" spans="2:9" hidden="1" x14ac:dyDescent="0.25">
      <c r="B428" s="148"/>
      <c r="C428" s="148" t="s">
        <v>23026</v>
      </c>
      <c r="D428" s="150">
        <v>44061</v>
      </c>
      <c r="E428" s="113" t="s">
        <v>23025</v>
      </c>
      <c r="F428" s="257" t="s">
        <v>14412</v>
      </c>
      <c r="G428" s="258">
        <v>4.17</v>
      </c>
      <c r="I428" s="160">
        <f t="shared" si="6"/>
        <v>96106.20000000007</v>
      </c>
    </row>
    <row r="429" spans="2:9" ht="19.5" hidden="1" x14ac:dyDescent="0.25">
      <c r="B429" s="148"/>
      <c r="C429" s="148" t="s">
        <v>23024</v>
      </c>
      <c r="D429" s="150">
        <v>44061</v>
      </c>
      <c r="E429" s="113" t="s">
        <v>23023</v>
      </c>
      <c r="F429" s="257" t="s">
        <v>14412</v>
      </c>
      <c r="G429" s="258">
        <v>51.39</v>
      </c>
      <c r="I429" s="160">
        <f t="shared" si="6"/>
        <v>96157.590000000069</v>
      </c>
    </row>
    <row r="430" spans="2:9" hidden="1" x14ac:dyDescent="0.25">
      <c r="B430" s="148"/>
      <c r="C430" s="148" t="s">
        <v>23022</v>
      </c>
      <c r="D430" s="150">
        <v>44061</v>
      </c>
      <c r="E430" s="113" t="s">
        <v>23021</v>
      </c>
      <c r="F430" s="257">
        <v>11</v>
      </c>
      <c r="G430" s="255">
        <v>2.41</v>
      </c>
      <c r="I430" s="160">
        <f t="shared" si="6"/>
        <v>96160.000000000073</v>
      </c>
    </row>
    <row r="431" spans="2:9" ht="19.5" hidden="1" x14ac:dyDescent="0.25">
      <c r="B431" s="148"/>
      <c r="C431" s="148" t="s">
        <v>23020</v>
      </c>
      <c r="D431" s="150">
        <v>44061</v>
      </c>
      <c r="E431" s="113" t="s">
        <v>23019</v>
      </c>
      <c r="F431" s="257">
        <v>11</v>
      </c>
      <c r="G431" s="255">
        <v>15.66</v>
      </c>
      <c r="I431" s="160">
        <f t="shared" si="6"/>
        <v>96175.660000000076</v>
      </c>
    </row>
    <row r="432" spans="2:9" ht="19.5" hidden="1" x14ac:dyDescent="0.25">
      <c r="B432" s="148"/>
      <c r="C432" s="148" t="s">
        <v>23018</v>
      </c>
      <c r="D432" s="150">
        <v>44061</v>
      </c>
      <c r="E432" s="113" t="s">
        <v>23017</v>
      </c>
      <c r="F432" s="257">
        <v>11</v>
      </c>
      <c r="G432" s="255">
        <v>11.76</v>
      </c>
      <c r="I432" s="160">
        <f t="shared" si="6"/>
        <v>96187.420000000071</v>
      </c>
    </row>
    <row r="433" spans="2:9" hidden="1" x14ac:dyDescent="0.25">
      <c r="B433" s="148"/>
      <c r="C433" s="148" t="s">
        <v>23016</v>
      </c>
      <c r="D433" s="150">
        <v>44061</v>
      </c>
      <c r="E433" s="113" t="s">
        <v>23015</v>
      </c>
      <c r="F433" s="257">
        <v>11</v>
      </c>
      <c r="G433" s="255">
        <v>1.94</v>
      </c>
      <c r="I433" s="160">
        <f t="shared" si="6"/>
        <v>96189.360000000073</v>
      </c>
    </row>
    <row r="434" spans="2:9" ht="19.5" hidden="1" x14ac:dyDescent="0.25">
      <c r="B434" s="148"/>
      <c r="C434" s="148" t="s">
        <v>23014</v>
      </c>
      <c r="D434" s="150">
        <v>44061</v>
      </c>
      <c r="E434" s="113" t="s">
        <v>23013</v>
      </c>
      <c r="F434" s="257">
        <v>11</v>
      </c>
      <c r="G434" s="255">
        <v>10.46</v>
      </c>
      <c r="I434" s="160">
        <f t="shared" si="6"/>
        <v>96199.82000000008</v>
      </c>
    </row>
    <row r="435" spans="2:9" ht="19.5" hidden="1" x14ac:dyDescent="0.25">
      <c r="B435" s="148"/>
      <c r="C435" s="148" t="s">
        <v>23012</v>
      </c>
      <c r="D435" s="150">
        <v>44061</v>
      </c>
      <c r="E435" s="113" t="s">
        <v>23011</v>
      </c>
      <c r="F435" s="257" t="s">
        <v>14436</v>
      </c>
      <c r="G435" s="160">
        <v>28.02</v>
      </c>
      <c r="I435" s="160">
        <f t="shared" si="6"/>
        <v>96227.840000000084</v>
      </c>
    </row>
    <row r="436" spans="2:9" hidden="1" x14ac:dyDescent="0.25">
      <c r="B436" s="148"/>
      <c r="C436" s="148" t="s">
        <v>23010</v>
      </c>
      <c r="D436" s="150">
        <v>44061</v>
      </c>
      <c r="E436" s="113" t="s">
        <v>23009</v>
      </c>
      <c r="F436" s="257" t="s">
        <v>14433</v>
      </c>
      <c r="H436" s="161">
        <v>94.6</v>
      </c>
      <c r="I436" s="160">
        <f t="shared" si="6"/>
        <v>96133.240000000078</v>
      </c>
    </row>
    <row r="437" spans="2:9" ht="19.5" hidden="1" x14ac:dyDescent="0.25">
      <c r="B437" s="148"/>
      <c r="C437" s="148" t="s">
        <v>23008</v>
      </c>
      <c r="D437" s="150">
        <v>44062</v>
      </c>
      <c r="E437" s="113" t="s">
        <v>23007</v>
      </c>
      <c r="F437" s="257" t="s">
        <v>14412</v>
      </c>
      <c r="G437" s="258">
        <v>8.4</v>
      </c>
      <c r="I437" s="160">
        <f t="shared" si="6"/>
        <v>96141.640000000072</v>
      </c>
    </row>
    <row r="438" spans="2:9" ht="19.5" hidden="1" x14ac:dyDescent="0.25">
      <c r="B438" s="148"/>
      <c r="C438" s="148" t="s">
        <v>23006</v>
      </c>
      <c r="D438" s="150">
        <v>44062</v>
      </c>
      <c r="E438" s="113" t="s">
        <v>23005</v>
      </c>
      <c r="F438" s="257" t="s">
        <v>14412</v>
      </c>
      <c r="G438" s="258">
        <v>1.94</v>
      </c>
      <c r="I438" s="160">
        <f t="shared" si="6"/>
        <v>96143.580000000075</v>
      </c>
    </row>
    <row r="439" spans="2:9" hidden="1" x14ac:dyDescent="0.25">
      <c r="B439" s="148"/>
      <c r="C439" s="148" t="s">
        <v>23004</v>
      </c>
      <c r="D439" s="150">
        <v>44062</v>
      </c>
      <c r="E439" s="113" t="s">
        <v>23003</v>
      </c>
      <c r="F439" s="257" t="s">
        <v>14412</v>
      </c>
      <c r="G439" s="258">
        <v>69.36</v>
      </c>
      <c r="I439" s="160">
        <f t="shared" si="6"/>
        <v>96212.940000000075</v>
      </c>
    </row>
    <row r="440" spans="2:9" ht="19.5" hidden="1" x14ac:dyDescent="0.25">
      <c r="B440" s="148"/>
      <c r="C440" s="148" t="s">
        <v>23002</v>
      </c>
      <c r="D440" s="150">
        <v>44062</v>
      </c>
      <c r="E440" s="113" t="s">
        <v>23001</v>
      </c>
      <c r="F440" s="257" t="s">
        <v>14412</v>
      </c>
      <c r="G440" s="258">
        <v>13.57</v>
      </c>
      <c r="I440" s="160">
        <f t="shared" si="6"/>
        <v>96226.510000000082</v>
      </c>
    </row>
    <row r="441" spans="2:9" hidden="1" x14ac:dyDescent="0.25">
      <c r="B441" s="148"/>
      <c r="C441" s="148" t="s">
        <v>23000</v>
      </c>
      <c r="D441" s="150">
        <v>44062</v>
      </c>
      <c r="E441" s="113" t="s">
        <v>22999</v>
      </c>
      <c r="F441" s="257" t="s">
        <v>14412</v>
      </c>
      <c r="G441" s="258">
        <v>1.68</v>
      </c>
      <c r="I441" s="160">
        <f t="shared" si="6"/>
        <v>96228.190000000075</v>
      </c>
    </row>
    <row r="442" spans="2:9" hidden="1" x14ac:dyDescent="0.25">
      <c r="B442" s="148"/>
      <c r="C442" s="148" t="s">
        <v>22998</v>
      </c>
      <c r="D442" s="150">
        <v>44062</v>
      </c>
      <c r="E442" s="113" t="s">
        <v>22997</v>
      </c>
      <c r="F442" s="257" t="s">
        <v>14412</v>
      </c>
      <c r="G442" s="258">
        <v>5.04</v>
      </c>
      <c r="I442" s="160">
        <f t="shared" si="6"/>
        <v>96233.230000000069</v>
      </c>
    </row>
    <row r="443" spans="2:9" hidden="1" x14ac:dyDescent="0.25">
      <c r="B443" s="148"/>
      <c r="C443" s="148" t="s">
        <v>22996</v>
      </c>
      <c r="D443" s="150">
        <v>44062</v>
      </c>
      <c r="E443" s="113" t="s">
        <v>22995</v>
      </c>
      <c r="F443" s="257" t="s">
        <v>14412</v>
      </c>
      <c r="G443" s="258">
        <v>1.7</v>
      </c>
      <c r="I443" s="160">
        <f t="shared" si="6"/>
        <v>96234.930000000066</v>
      </c>
    </row>
    <row r="444" spans="2:9" hidden="1" x14ac:dyDescent="0.25">
      <c r="B444" s="148"/>
      <c r="C444" s="148" t="s">
        <v>22994</v>
      </c>
      <c r="D444" s="150">
        <v>44062</v>
      </c>
      <c r="E444" s="113" t="s">
        <v>22993</v>
      </c>
      <c r="F444" s="257" t="s">
        <v>14412</v>
      </c>
      <c r="G444" s="258">
        <v>9.76</v>
      </c>
      <c r="I444" s="160">
        <f t="shared" si="6"/>
        <v>96244.690000000061</v>
      </c>
    </row>
    <row r="445" spans="2:9" hidden="1" x14ac:dyDescent="0.25">
      <c r="B445" s="148"/>
      <c r="C445" s="148" t="s">
        <v>22992</v>
      </c>
      <c r="D445" s="150">
        <v>44062</v>
      </c>
      <c r="E445" s="113" t="s">
        <v>22991</v>
      </c>
      <c r="F445" s="257">
        <v>12</v>
      </c>
      <c r="G445" s="160">
        <v>4.24</v>
      </c>
      <c r="I445" s="160">
        <f t="shared" si="6"/>
        <v>96248.930000000066</v>
      </c>
    </row>
    <row r="446" spans="2:9" hidden="1" x14ac:dyDescent="0.25">
      <c r="B446" s="148"/>
      <c r="C446" s="148" t="s">
        <v>22990</v>
      </c>
      <c r="D446" s="150">
        <v>44062</v>
      </c>
      <c r="E446" s="113" t="s">
        <v>22989</v>
      </c>
      <c r="F446" s="257" t="s">
        <v>14436</v>
      </c>
      <c r="G446" s="160">
        <v>23.28</v>
      </c>
      <c r="I446" s="160">
        <f t="shared" si="6"/>
        <v>96272.210000000065</v>
      </c>
    </row>
    <row r="447" spans="2:9" hidden="1" x14ac:dyDescent="0.25">
      <c r="B447" s="148"/>
      <c r="C447" s="148" t="s">
        <v>22988</v>
      </c>
      <c r="D447" s="150">
        <v>44062</v>
      </c>
      <c r="E447" s="113" t="s">
        <v>22987</v>
      </c>
      <c r="F447" s="257" t="s">
        <v>18712</v>
      </c>
      <c r="G447" s="160">
        <v>25.95</v>
      </c>
      <c r="I447" s="160">
        <f t="shared" si="6"/>
        <v>96298.160000000062</v>
      </c>
    </row>
    <row r="448" spans="2:9" hidden="1" x14ac:dyDescent="0.25">
      <c r="B448" s="148"/>
      <c r="C448" s="148" t="s">
        <v>22986</v>
      </c>
      <c r="D448" s="150">
        <v>44063</v>
      </c>
      <c r="E448" s="113" t="s">
        <v>22985</v>
      </c>
      <c r="F448" s="257" t="s">
        <v>14436</v>
      </c>
      <c r="G448" s="160">
        <v>2.2599999999999998</v>
      </c>
      <c r="I448" s="160">
        <f t="shared" si="6"/>
        <v>96300.420000000056</v>
      </c>
    </row>
    <row r="449" spans="2:9" hidden="1" x14ac:dyDescent="0.25">
      <c r="B449" s="148"/>
      <c r="C449" s="148" t="s">
        <v>22984</v>
      </c>
      <c r="D449" s="150">
        <v>44063</v>
      </c>
      <c r="E449" s="113" t="s">
        <v>22983</v>
      </c>
      <c r="F449" s="257" t="s">
        <v>14412</v>
      </c>
      <c r="G449" s="258">
        <v>11.97</v>
      </c>
      <c r="I449" s="160">
        <f t="shared" si="6"/>
        <v>96312.390000000058</v>
      </c>
    </row>
    <row r="450" spans="2:9" hidden="1" x14ac:dyDescent="0.25">
      <c r="B450" s="148"/>
      <c r="C450" s="148" t="s">
        <v>22982</v>
      </c>
      <c r="D450" s="150">
        <v>44063</v>
      </c>
      <c r="E450" s="113" t="s">
        <v>22981</v>
      </c>
      <c r="F450" s="257" t="s">
        <v>14412</v>
      </c>
      <c r="G450" s="258">
        <v>5.64</v>
      </c>
      <c r="I450" s="160">
        <f t="shared" si="6"/>
        <v>96318.030000000057</v>
      </c>
    </row>
    <row r="451" spans="2:9" hidden="1" x14ac:dyDescent="0.25">
      <c r="B451" s="148"/>
      <c r="C451" s="148" t="s">
        <v>22980</v>
      </c>
      <c r="D451" s="150">
        <v>44063</v>
      </c>
      <c r="E451" s="113" t="s">
        <v>22979</v>
      </c>
      <c r="F451" s="257" t="s">
        <v>14412</v>
      </c>
      <c r="G451" s="258">
        <v>4.66</v>
      </c>
      <c r="I451" s="160">
        <f t="shared" si="6"/>
        <v>96322.690000000061</v>
      </c>
    </row>
    <row r="452" spans="2:9" ht="19.5" hidden="1" x14ac:dyDescent="0.25">
      <c r="B452" s="148"/>
      <c r="C452" s="148" t="s">
        <v>22978</v>
      </c>
      <c r="D452" s="150">
        <v>44063</v>
      </c>
      <c r="E452" s="113" t="s">
        <v>22977</v>
      </c>
      <c r="F452" s="257" t="s">
        <v>14412</v>
      </c>
      <c r="G452" s="258">
        <v>34.6</v>
      </c>
      <c r="I452" s="160">
        <f t="shared" si="6"/>
        <v>96357.290000000066</v>
      </c>
    </row>
    <row r="453" spans="2:9" hidden="1" x14ac:dyDescent="0.25">
      <c r="B453" s="148"/>
      <c r="C453" s="148" t="s">
        <v>22976</v>
      </c>
      <c r="D453" s="150">
        <v>44063</v>
      </c>
      <c r="E453" s="113" t="s">
        <v>22975</v>
      </c>
      <c r="F453" s="257" t="s">
        <v>14412</v>
      </c>
      <c r="G453" s="258">
        <v>1.1299999999999999</v>
      </c>
      <c r="I453" s="160">
        <f t="shared" si="6"/>
        <v>96358.420000000071</v>
      </c>
    </row>
    <row r="454" spans="2:9" ht="19.5" hidden="1" x14ac:dyDescent="0.25">
      <c r="B454" s="148"/>
      <c r="C454" s="148" t="s">
        <v>22974</v>
      </c>
      <c r="D454" s="150">
        <v>44063</v>
      </c>
      <c r="E454" s="113" t="s">
        <v>22973</v>
      </c>
      <c r="F454" s="257" t="s">
        <v>14412</v>
      </c>
      <c r="G454" s="258">
        <v>6.73</v>
      </c>
      <c r="I454" s="160">
        <f t="shared" si="6"/>
        <v>96365.150000000067</v>
      </c>
    </row>
    <row r="455" spans="2:9" hidden="1" x14ac:dyDescent="0.25">
      <c r="B455" s="148"/>
      <c r="C455" s="148" t="s">
        <v>22972</v>
      </c>
      <c r="D455" s="150">
        <v>44063</v>
      </c>
      <c r="E455" s="113" t="s">
        <v>22971</v>
      </c>
      <c r="F455" s="257" t="s">
        <v>14412</v>
      </c>
      <c r="G455" s="258">
        <v>1.74</v>
      </c>
      <c r="I455" s="160">
        <f t="shared" si="6"/>
        <v>96366.890000000072</v>
      </c>
    </row>
    <row r="456" spans="2:9" hidden="1" x14ac:dyDescent="0.25">
      <c r="B456" s="148"/>
      <c r="C456" s="148" t="s">
        <v>22970</v>
      </c>
      <c r="D456" s="150">
        <v>44063</v>
      </c>
      <c r="E456" s="113" t="s">
        <v>22969</v>
      </c>
      <c r="F456" s="257" t="s">
        <v>14412</v>
      </c>
      <c r="G456" s="258">
        <v>5.52</v>
      </c>
      <c r="I456" s="160">
        <f t="shared" si="6"/>
        <v>96372.410000000076</v>
      </c>
    </row>
    <row r="457" spans="2:9" ht="19.5" hidden="1" x14ac:dyDescent="0.25">
      <c r="B457" s="148"/>
      <c r="C457" s="148" t="s">
        <v>22968</v>
      </c>
      <c r="D457" s="150">
        <v>44063</v>
      </c>
      <c r="E457" s="113" t="s">
        <v>22967</v>
      </c>
      <c r="F457" s="257" t="s">
        <v>14412</v>
      </c>
      <c r="G457" s="258">
        <v>36.06</v>
      </c>
      <c r="I457" s="160">
        <f t="shared" si="6"/>
        <v>96408.470000000074</v>
      </c>
    </row>
    <row r="458" spans="2:9" hidden="1" x14ac:dyDescent="0.25">
      <c r="B458" s="148"/>
      <c r="C458" s="148" t="s">
        <v>22966</v>
      </c>
      <c r="D458" s="150">
        <v>44063</v>
      </c>
      <c r="E458" s="113" t="s">
        <v>22965</v>
      </c>
      <c r="F458" s="257" t="s">
        <v>14412</v>
      </c>
      <c r="G458" s="258">
        <v>8.69</v>
      </c>
      <c r="I458" s="160">
        <f t="shared" si="6"/>
        <v>96417.160000000076</v>
      </c>
    </row>
    <row r="459" spans="2:9" hidden="1" x14ac:dyDescent="0.25">
      <c r="B459" s="148"/>
      <c r="C459" s="148" t="s">
        <v>22964</v>
      </c>
      <c r="D459" s="150">
        <v>44063</v>
      </c>
      <c r="E459" s="113" t="s">
        <v>22963</v>
      </c>
      <c r="F459" s="257" t="s">
        <v>14412</v>
      </c>
      <c r="G459" s="258">
        <v>6.42</v>
      </c>
      <c r="I459" s="160">
        <f t="shared" si="6"/>
        <v>96423.580000000075</v>
      </c>
    </row>
    <row r="460" spans="2:9" hidden="1" x14ac:dyDescent="0.25">
      <c r="B460" s="148"/>
      <c r="C460" s="148" t="s">
        <v>22962</v>
      </c>
      <c r="D460" s="150">
        <v>44063</v>
      </c>
      <c r="E460" s="113" t="s">
        <v>22961</v>
      </c>
      <c r="F460" s="257" t="s">
        <v>14412</v>
      </c>
      <c r="G460" s="258">
        <v>6.68</v>
      </c>
      <c r="I460" s="160">
        <f t="shared" si="6"/>
        <v>96430.260000000068</v>
      </c>
    </row>
    <row r="461" spans="2:9" hidden="1" x14ac:dyDescent="0.25">
      <c r="B461" s="148"/>
      <c r="C461" s="148" t="s">
        <v>22960</v>
      </c>
      <c r="D461" s="150">
        <v>44063</v>
      </c>
      <c r="E461" s="113" t="s">
        <v>22959</v>
      </c>
      <c r="F461" s="257" t="s">
        <v>14412</v>
      </c>
      <c r="G461" s="258">
        <v>0.76</v>
      </c>
      <c r="I461" s="160">
        <f t="shared" si="6"/>
        <v>96431.020000000062</v>
      </c>
    </row>
    <row r="462" spans="2:9" hidden="1" x14ac:dyDescent="0.25">
      <c r="B462" s="148"/>
      <c r="C462" s="148" t="s">
        <v>22958</v>
      </c>
      <c r="D462" s="150">
        <v>44063</v>
      </c>
      <c r="E462" s="113" t="s">
        <v>22957</v>
      </c>
      <c r="F462" s="257">
        <v>13</v>
      </c>
      <c r="G462" s="255">
        <v>8.3800000000000008</v>
      </c>
      <c r="I462" s="160">
        <f t="shared" si="6"/>
        <v>96439.400000000067</v>
      </c>
    </row>
    <row r="463" spans="2:9" hidden="1" x14ac:dyDescent="0.25">
      <c r="B463" s="148"/>
      <c r="C463" s="148" t="s">
        <v>22956</v>
      </c>
      <c r="D463" s="150">
        <v>44063</v>
      </c>
      <c r="E463" s="113" t="s">
        <v>22955</v>
      </c>
      <c r="F463" s="257">
        <v>13</v>
      </c>
      <c r="G463" s="255">
        <v>7.64</v>
      </c>
      <c r="I463" s="160">
        <f t="shared" si="6"/>
        <v>96447.040000000066</v>
      </c>
    </row>
    <row r="464" spans="2:9" ht="19.5" hidden="1" x14ac:dyDescent="0.25">
      <c r="B464" s="148"/>
      <c r="C464" s="148" t="s">
        <v>22954</v>
      </c>
      <c r="D464" s="150">
        <v>44063</v>
      </c>
      <c r="E464" s="113" t="s">
        <v>22953</v>
      </c>
      <c r="F464" s="257">
        <v>13</v>
      </c>
      <c r="G464" s="255">
        <v>12.88</v>
      </c>
      <c r="I464" s="160">
        <f t="shared" si="6"/>
        <v>96459.920000000071</v>
      </c>
    </row>
    <row r="465" spans="2:9" ht="19.5" hidden="1" x14ac:dyDescent="0.25">
      <c r="B465" s="148"/>
      <c r="C465" s="148" t="s">
        <v>22952</v>
      </c>
      <c r="D465" s="150">
        <v>44063</v>
      </c>
      <c r="E465" s="113" t="s">
        <v>22951</v>
      </c>
      <c r="F465" s="257">
        <v>13</v>
      </c>
      <c r="G465" s="255">
        <v>10.11</v>
      </c>
      <c r="I465" s="160">
        <f t="shared" si="6"/>
        <v>96470.030000000072</v>
      </c>
    </row>
    <row r="466" spans="2:9" hidden="1" x14ac:dyDescent="0.25">
      <c r="B466" s="148"/>
      <c r="C466" s="148" t="s">
        <v>22950</v>
      </c>
      <c r="D466" s="150">
        <v>44063</v>
      </c>
      <c r="E466" s="113" t="s">
        <v>22949</v>
      </c>
      <c r="F466" s="257">
        <v>13</v>
      </c>
      <c r="G466" s="255">
        <v>3.14</v>
      </c>
      <c r="I466" s="160">
        <f t="shared" si="6"/>
        <v>96473.170000000071</v>
      </c>
    </row>
    <row r="467" spans="2:9" hidden="1" x14ac:dyDescent="0.25">
      <c r="B467" s="148"/>
      <c r="C467" s="148" t="s">
        <v>16</v>
      </c>
      <c r="D467" s="150">
        <v>44063</v>
      </c>
      <c r="E467" s="113" t="s">
        <v>22948</v>
      </c>
      <c r="F467" s="257" t="s">
        <v>14433</v>
      </c>
      <c r="H467" s="161">
        <v>9.6199999999999992</v>
      </c>
      <c r="I467" s="160">
        <f t="shared" si="6"/>
        <v>96463.550000000076</v>
      </c>
    </row>
    <row r="468" spans="2:9" ht="19.5" hidden="1" x14ac:dyDescent="0.25">
      <c r="B468" s="148"/>
      <c r="C468" s="148" t="s">
        <v>16349</v>
      </c>
      <c r="D468" s="150">
        <v>44063</v>
      </c>
      <c r="E468" s="113" t="s">
        <v>22947</v>
      </c>
      <c r="F468" s="257" t="s">
        <v>14433</v>
      </c>
      <c r="H468" s="161">
        <v>10.84</v>
      </c>
      <c r="I468" s="160">
        <f t="shared" ref="I468:I531" si="7">+I467+G468-H468</f>
        <v>96452.710000000079</v>
      </c>
    </row>
    <row r="469" spans="2:9" ht="19.5" hidden="1" x14ac:dyDescent="0.25">
      <c r="B469" s="148"/>
      <c r="C469" s="148" t="s">
        <v>18292</v>
      </c>
      <c r="D469" s="150">
        <v>44063</v>
      </c>
      <c r="E469" s="113" t="s">
        <v>22946</v>
      </c>
      <c r="F469" s="257" t="s">
        <v>14433</v>
      </c>
      <c r="H469" s="161">
        <v>166.32</v>
      </c>
      <c r="I469" s="160">
        <f t="shared" si="7"/>
        <v>96286.390000000072</v>
      </c>
    </row>
    <row r="470" spans="2:9" ht="19.5" hidden="1" x14ac:dyDescent="0.25">
      <c r="B470" s="148"/>
      <c r="C470" s="148" t="s">
        <v>18558</v>
      </c>
      <c r="D470" s="150">
        <v>44063</v>
      </c>
      <c r="E470" s="113" t="s">
        <v>22945</v>
      </c>
      <c r="F470" s="257" t="s">
        <v>14433</v>
      </c>
      <c r="H470" s="161">
        <v>594.78</v>
      </c>
      <c r="I470" s="160">
        <f t="shared" si="7"/>
        <v>95691.610000000073</v>
      </c>
    </row>
    <row r="471" spans="2:9" hidden="1" x14ac:dyDescent="0.25">
      <c r="B471" s="148"/>
      <c r="C471" s="148" t="s">
        <v>22944</v>
      </c>
      <c r="D471" s="150">
        <v>44064</v>
      </c>
      <c r="E471" s="113" t="s">
        <v>22943</v>
      </c>
      <c r="F471" s="257">
        <v>14</v>
      </c>
      <c r="G471" s="160">
        <v>10</v>
      </c>
      <c r="I471" s="160">
        <f t="shared" si="7"/>
        <v>95701.610000000073</v>
      </c>
    </row>
    <row r="472" spans="2:9" hidden="1" x14ac:dyDescent="0.25">
      <c r="B472" s="148"/>
      <c r="C472" s="148" t="s">
        <v>22942</v>
      </c>
      <c r="D472" s="150">
        <v>44064</v>
      </c>
      <c r="E472" s="113" t="s">
        <v>22941</v>
      </c>
      <c r="F472" s="257" t="s">
        <v>14436</v>
      </c>
      <c r="G472" s="160">
        <v>2.17</v>
      </c>
      <c r="I472" s="160">
        <f t="shared" si="7"/>
        <v>95703.780000000072</v>
      </c>
    </row>
    <row r="473" spans="2:9" ht="19.5" hidden="1" x14ac:dyDescent="0.25">
      <c r="B473" s="148"/>
      <c r="C473" s="148" t="s">
        <v>22940</v>
      </c>
      <c r="D473" s="150">
        <v>44066</v>
      </c>
      <c r="E473" s="113" t="s">
        <v>22939</v>
      </c>
      <c r="F473" s="257" t="s">
        <v>14436</v>
      </c>
      <c r="G473" s="160">
        <v>27.76</v>
      </c>
      <c r="I473" s="160">
        <f t="shared" si="7"/>
        <v>95731.540000000066</v>
      </c>
    </row>
    <row r="474" spans="2:9" hidden="1" x14ac:dyDescent="0.25">
      <c r="B474" s="148"/>
      <c r="C474" s="148" t="s">
        <v>22938</v>
      </c>
      <c r="D474" s="150">
        <v>44067</v>
      </c>
      <c r="E474" s="113" t="s">
        <v>22937</v>
      </c>
      <c r="F474" s="257" t="s">
        <v>14436</v>
      </c>
      <c r="G474" s="160">
        <v>6.83</v>
      </c>
      <c r="I474" s="160">
        <f t="shared" si="7"/>
        <v>95738.370000000068</v>
      </c>
    </row>
    <row r="475" spans="2:9" hidden="1" x14ac:dyDescent="0.25">
      <c r="B475" s="148"/>
      <c r="C475" s="148" t="s">
        <v>22936</v>
      </c>
      <c r="D475" s="150">
        <v>44067</v>
      </c>
      <c r="E475" s="113" t="s">
        <v>22935</v>
      </c>
      <c r="F475" s="257" t="s">
        <v>14436</v>
      </c>
      <c r="G475" s="160">
        <v>3.74</v>
      </c>
      <c r="I475" s="160">
        <f t="shared" si="7"/>
        <v>95742.110000000073</v>
      </c>
    </row>
    <row r="476" spans="2:9" hidden="1" x14ac:dyDescent="0.25">
      <c r="B476" s="148"/>
      <c r="C476" s="148" t="s">
        <v>22934</v>
      </c>
      <c r="D476" s="150">
        <v>44067</v>
      </c>
      <c r="E476" s="113" t="s">
        <v>22933</v>
      </c>
      <c r="F476" s="257" t="s">
        <v>14436</v>
      </c>
      <c r="G476" s="160">
        <v>7</v>
      </c>
      <c r="I476" s="160">
        <f t="shared" si="7"/>
        <v>95749.110000000073</v>
      </c>
    </row>
    <row r="477" spans="2:9" hidden="1" x14ac:dyDescent="0.25">
      <c r="B477" s="148"/>
      <c r="C477" s="148" t="s">
        <v>22932</v>
      </c>
      <c r="D477" s="150">
        <v>44067</v>
      </c>
      <c r="E477" s="113" t="s">
        <v>22931</v>
      </c>
      <c r="F477" s="257">
        <v>15</v>
      </c>
      <c r="G477" s="255">
        <v>25.14</v>
      </c>
      <c r="I477" s="160">
        <f t="shared" si="7"/>
        <v>95774.250000000073</v>
      </c>
    </row>
    <row r="478" spans="2:9" hidden="1" x14ac:dyDescent="0.25">
      <c r="B478" s="148"/>
      <c r="C478" s="148" t="s">
        <v>22930</v>
      </c>
      <c r="D478" s="150">
        <v>44067</v>
      </c>
      <c r="E478" s="113" t="s">
        <v>22929</v>
      </c>
      <c r="F478" s="257">
        <v>15</v>
      </c>
      <c r="G478" s="255">
        <v>2.44</v>
      </c>
      <c r="I478" s="160">
        <f t="shared" si="7"/>
        <v>95776.690000000075</v>
      </c>
    </row>
    <row r="479" spans="2:9" hidden="1" x14ac:dyDescent="0.25">
      <c r="B479" s="148"/>
      <c r="C479" s="148" t="s">
        <v>22928</v>
      </c>
      <c r="D479" s="150">
        <v>44067</v>
      </c>
      <c r="E479" s="113" t="s">
        <v>22927</v>
      </c>
      <c r="F479" s="257">
        <v>15</v>
      </c>
      <c r="G479" s="255">
        <v>1.68</v>
      </c>
      <c r="I479" s="160">
        <f t="shared" si="7"/>
        <v>95778.370000000068</v>
      </c>
    </row>
    <row r="480" spans="2:9" hidden="1" x14ac:dyDescent="0.25">
      <c r="B480" s="148"/>
      <c r="C480" s="148" t="s">
        <v>22926</v>
      </c>
      <c r="D480" s="150">
        <v>44067</v>
      </c>
      <c r="E480" s="113" t="s">
        <v>22925</v>
      </c>
      <c r="F480" s="257">
        <v>15</v>
      </c>
      <c r="G480" s="255">
        <v>15.3</v>
      </c>
      <c r="I480" s="160">
        <f t="shared" si="7"/>
        <v>95793.670000000071</v>
      </c>
    </row>
    <row r="481" spans="2:9" ht="19.5" hidden="1" x14ac:dyDescent="0.25">
      <c r="B481" s="148"/>
      <c r="C481" s="148" t="s">
        <v>18949</v>
      </c>
      <c r="D481" s="150">
        <v>44067</v>
      </c>
      <c r="E481" s="113" t="s">
        <v>22924</v>
      </c>
      <c r="F481" s="257" t="s">
        <v>14433</v>
      </c>
      <c r="H481" s="161">
        <v>3808.41</v>
      </c>
      <c r="I481" s="160">
        <f t="shared" si="7"/>
        <v>91985.260000000068</v>
      </c>
    </row>
    <row r="482" spans="2:9" ht="19.5" hidden="1" x14ac:dyDescent="0.25">
      <c r="B482" s="148"/>
      <c r="C482" s="148" t="s">
        <v>18947</v>
      </c>
      <c r="D482" s="150">
        <v>44067</v>
      </c>
      <c r="E482" s="113" t="s">
        <v>22923</v>
      </c>
      <c r="F482" s="257" t="s">
        <v>14433</v>
      </c>
      <c r="H482" s="161">
        <v>1019.73</v>
      </c>
      <c r="I482" s="160">
        <f t="shared" si="7"/>
        <v>90965.530000000072</v>
      </c>
    </row>
    <row r="483" spans="2:9" hidden="1" x14ac:dyDescent="0.25">
      <c r="B483" s="148"/>
      <c r="C483" s="148" t="s">
        <v>18945</v>
      </c>
      <c r="D483" s="150">
        <v>44067</v>
      </c>
      <c r="E483" s="113" t="s">
        <v>22922</v>
      </c>
      <c r="F483" s="257" t="s">
        <v>14433</v>
      </c>
      <c r="H483" s="161">
        <v>694.29</v>
      </c>
      <c r="I483" s="160">
        <f t="shared" si="7"/>
        <v>90271.240000000078</v>
      </c>
    </row>
    <row r="484" spans="2:9" ht="19.5" hidden="1" x14ac:dyDescent="0.25">
      <c r="B484" s="148"/>
      <c r="C484" s="148" t="s">
        <v>22921</v>
      </c>
      <c r="D484" s="150">
        <v>44068</v>
      </c>
      <c r="E484" s="113" t="s">
        <v>22920</v>
      </c>
      <c r="F484" s="257" t="s">
        <v>14413</v>
      </c>
      <c r="G484" s="258">
        <v>5.04</v>
      </c>
      <c r="I484" s="160">
        <f t="shared" si="7"/>
        <v>90276.280000000072</v>
      </c>
    </row>
    <row r="485" spans="2:9" ht="19.5" hidden="1" x14ac:dyDescent="0.25">
      <c r="B485" s="148"/>
      <c r="C485" s="148" t="s">
        <v>22919</v>
      </c>
      <c r="D485" s="150">
        <v>44068</v>
      </c>
      <c r="E485" s="113" t="s">
        <v>22918</v>
      </c>
      <c r="F485" s="257">
        <v>16</v>
      </c>
      <c r="G485" s="255">
        <v>9.1</v>
      </c>
      <c r="I485" s="160">
        <f t="shared" si="7"/>
        <v>90285.380000000077</v>
      </c>
    </row>
    <row r="486" spans="2:9" hidden="1" x14ac:dyDescent="0.25">
      <c r="B486" s="148"/>
      <c r="C486" s="148" t="s">
        <v>22917</v>
      </c>
      <c r="D486" s="150">
        <v>44068</v>
      </c>
      <c r="E486" s="113" t="s">
        <v>22916</v>
      </c>
      <c r="F486" s="257">
        <v>16</v>
      </c>
      <c r="G486" s="255">
        <v>2.39</v>
      </c>
      <c r="I486" s="160">
        <f t="shared" si="7"/>
        <v>90287.770000000077</v>
      </c>
    </row>
    <row r="487" spans="2:9" hidden="1" x14ac:dyDescent="0.25">
      <c r="B487" s="148"/>
      <c r="C487" s="148" t="s">
        <v>22915</v>
      </c>
      <c r="D487" s="150">
        <v>44068</v>
      </c>
      <c r="E487" s="113" t="s">
        <v>22914</v>
      </c>
      <c r="F487" s="257">
        <v>16</v>
      </c>
      <c r="G487" s="255">
        <v>1.68</v>
      </c>
      <c r="I487" s="160">
        <f t="shared" si="7"/>
        <v>90289.45000000007</v>
      </c>
    </row>
    <row r="488" spans="2:9" hidden="1" x14ac:dyDescent="0.25">
      <c r="B488" s="148"/>
      <c r="C488" s="148" t="s">
        <v>22913</v>
      </c>
      <c r="D488" s="150">
        <v>44068</v>
      </c>
      <c r="E488" s="113" t="s">
        <v>22912</v>
      </c>
      <c r="F488" s="257">
        <v>16</v>
      </c>
      <c r="G488" s="255">
        <v>6.67</v>
      </c>
      <c r="I488" s="160">
        <f t="shared" si="7"/>
        <v>90296.120000000068</v>
      </c>
    </row>
    <row r="489" spans="2:9" hidden="1" x14ac:dyDescent="0.25">
      <c r="B489" s="148"/>
      <c r="C489" s="148" t="s">
        <v>22911</v>
      </c>
      <c r="D489" s="150">
        <v>44068</v>
      </c>
      <c r="E489" s="113" t="s">
        <v>22910</v>
      </c>
      <c r="F489" s="257">
        <v>16</v>
      </c>
      <c r="G489" s="255">
        <v>2.77</v>
      </c>
      <c r="I489" s="160">
        <f t="shared" si="7"/>
        <v>90298.890000000072</v>
      </c>
    </row>
    <row r="490" spans="2:9" hidden="1" x14ac:dyDescent="0.25">
      <c r="B490" s="148"/>
      <c r="C490" s="148" t="s">
        <v>22909</v>
      </c>
      <c r="D490" s="150">
        <v>44069</v>
      </c>
      <c r="E490" s="113" t="s">
        <v>22908</v>
      </c>
      <c r="F490" s="257" t="s">
        <v>14436</v>
      </c>
      <c r="G490" s="160">
        <v>22.65</v>
      </c>
      <c r="I490" s="160">
        <f t="shared" si="7"/>
        <v>90321.540000000066</v>
      </c>
    </row>
    <row r="491" spans="2:9" hidden="1" x14ac:dyDescent="0.25">
      <c r="B491" s="148"/>
      <c r="C491" s="148" t="s">
        <v>22907</v>
      </c>
      <c r="D491" s="150">
        <v>44069</v>
      </c>
      <c r="E491" s="113" t="s">
        <v>22906</v>
      </c>
      <c r="F491" s="257" t="s">
        <v>14436</v>
      </c>
      <c r="G491" s="160">
        <v>5.54</v>
      </c>
      <c r="I491" s="160">
        <f t="shared" si="7"/>
        <v>90327.08000000006</v>
      </c>
    </row>
    <row r="492" spans="2:9" ht="19.5" hidden="1" x14ac:dyDescent="0.25">
      <c r="B492" s="148"/>
      <c r="C492" s="148" t="s">
        <v>22905</v>
      </c>
      <c r="D492" s="150">
        <v>44069</v>
      </c>
      <c r="E492" s="113" t="s">
        <v>22904</v>
      </c>
      <c r="F492" s="257" t="s">
        <v>14436</v>
      </c>
      <c r="G492" s="160">
        <v>6.67</v>
      </c>
      <c r="I492" s="160">
        <f t="shared" si="7"/>
        <v>90333.750000000058</v>
      </c>
    </row>
    <row r="493" spans="2:9" hidden="1" x14ac:dyDescent="0.25">
      <c r="B493" s="148"/>
      <c r="C493" s="148" t="s">
        <v>22903</v>
      </c>
      <c r="D493" s="150">
        <v>44069</v>
      </c>
      <c r="E493" s="113" t="s">
        <v>22902</v>
      </c>
      <c r="F493" s="257" t="s">
        <v>14436</v>
      </c>
      <c r="G493" s="160">
        <v>12508.76</v>
      </c>
      <c r="I493" s="160">
        <f t="shared" si="7"/>
        <v>102842.51000000005</v>
      </c>
    </row>
    <row r="494" spans="2:9" hidden="1" x14ac:dyDescent="0.25">
      <c r="B494" s="148"/>
      <c r="C494" s="148" t="s">
        <v>22901</v>
      </c>
      <c r="D494" s="150">
        <v>44069</v>
      </c>
      <c r="E494" s="113" t="s">
        <v>22900</v>
      </c>
      <c r="F494" s="257" t="s">
        <v>14436</v>
      </c>
      <c r="G494" s="160">
        <v>5</v>
      </c>
      <c r="I494" s="160">
        <f t="shared" si="7"/>
        <v>102847.51000000005</v>
      </c>
    </row>
    <row r="495" spans="2:9" hidden="1" x14ac:dyDescent="0.25">
      <c r="B495" s="148"/>
      <c r="C495" s="148" t="s">
        <v>22899</v>
      </c>
      <c r="D495" s="150">
        <v>44069</v>
      </c>
      <c r="E495" s="113" t="s">
        <v>22898</v>
      </c>
      <c r="F495" s="257" t="s">
        <v>14436</v>
      </c>
      <c r="G495" s="160">
        <v>13.1</v>
      </c>
      <c r="I495" s="160">
        <f t="shared" si="7"/>
        <v>102860.61000000006</v>
      </c>
    </row>
    <row r="496" spans="2:9" hidden="1" x14ac:dyDescent="0.25">
      <c r="B496" s="148"/>
      <c r="C496" s="148" t="s">
        <v>22897</v>
      </c>
      <c r="D496" s="150">
        <v>44069</v>
      </c>
      <c r="E496" s="113" t="s">
        <v>22896</v>
      </c>
      <c r="F496" s="257" t="s">
        <v>14436</v>
      </c>
      <c r="G496" s="160">
        <v>4369.21</v>
      </c>
      <c r="I496" s="160">
        <f t="shared" si="7"/>
        <v>107229.82000000007</v>
      </c>
    </row>
    <row r="497" spans="2:9" hidden="1" x14ac:dyDescent="0.25">
      <c r="B497" s="148"/>
      <c r="C497" s="148" t="s">
        <v>22895</v>
      </c>
      <c r="D497" s="150">
        <v>44069</v>
      </c>
      <c r="E497" s="113" t="s">
        <v>22894</v>
      </c>
      <c r="F497" s="257" t="s">
        <v>14413</v>
      </c>
      <c r="G497" s="258">
        <v>4.07</v>
      </c>
      <c r="I497" s="160">
        <f t="shared" si="7"/>
        <v>107233.89000000007</v>
      </c>
    </row>
    <row r="498" spans="2:9" hidden="1" x14ac:dyDescent="0.25">
      <c r="B498" s="148"/>
      <c r="C498" s="148" t="s">
        <v>22893</v>
      </c>
      <c r="D498" s="150">
        <v>44069</v>
      </c>
      <c r="E498" s="113" t="s">
        <v>22892</v>
      </c>
      <c r="F498" s="257" t="s">
        <v>14413</v>
      </c>
      <c r="G498" s="258">
        <v>5.67</v>
      </c>
      <c r="I498" s="160">
        <f t="shared" si="7"/>
        <v>107239.56000000007</v>
      </c>
    </row>
    <row r="499" spans="2:9" ht="19.5" hidden="1" x14ac:dyDescent="0.25">
      <c r="B499" s="148"/>
      <c r="C499" s="148" t="s">
        <v>22891</v>
      </c>
      <c r="D499" s="150">
        <v>44069</v>
      </c>
      <c r="E499" s="113" t="s">
        <v>22890</v>
      </c>
      <c r="F499" s="257" t="s">
        <v>14413</v>
      </c>
      <c r="G499" s="258">
        <v>13.49</v>
      </c>
      <c r="I499" s="160">
        <f t="shared" si="7"/>
        <v>107253.05000000008</v>
      </c>
    </row>
    <row r="500" spans="2:9" ht="19.5" hidden="1" x14ac:dyDescent="0.25">
      <c r="B500" s="148"/>
      <c r="C500" s="148" t="s">
        <v>22889</v>
      </c>
      <c r="D500" s="150">
        <v>44069</v>
      </c>
      <c r="E500" s="113" t="s">
        <v>22888</v>
      </c>
      <c r="F500" s="257" t="s">
        <v>14413</v>
      </c>
      <c r="G500" s="258">
        <v>5.01</v>
      </c>
      <c r="I500" s="160">
        <f t="shared" si="7"/>
        <v>107258.06000000007</v>
      </c>
    </row>
    <row r="501" spans="2:9" hidden="1" x14ac:dyDescent="0.25">
      <c r="B501" s="148"/>
      <c r="C501" s="148" t="s">
        <v>22887</v>
      </c>
      <c r="D501" s="150">
        <v>44069</v>
      </c>
      <c r="E501" s="113" t="s">
        <v>22886</v>
      </c>
      <c r="F501" s="257" t="s">
        <v>14413</v>
      </c>
      <c r="G501" s="258">
        <v>10.029999999999999</v>
      </c>
      <c r="I501" s="160">
        <f t="shared" si="7"/>
        <v>107268.09000000007</v>
      </c>
    </row>
    <row r="502" spans="2:9" hidden="1" x14ac:dyDescent="0.25">
      <c r="B502" s="148"/>
      <c r="C502" s="148" t="s">
        <v>22885</v>
      </c>
      <c r="D502" s="150">
        <v>44069</v>
      </c>
      <c r="E502" s="113" t="s">
        <v>22884</v>
      </c>
      <c r="F502" s="257" t="s">
        <v>14413</v>
      </c>
      <c r="G502" s="258">
        <v>4.45</v>
      </c>
      <c r="I502" s="160">
        <f t="shared" si="7"/>
        <v>107272.54000000007</v>
      </c>
    </row>
    <row r="503" spans="2:9" hidden="1" x14ac:dyDescent="0.25">
      <c r="B503" s="148"/>
      <c r="C503" s="148" t="s">
        <v>22883</v>
      </c>
      <c r="D503" s="150">
        <v>44069</v>
      </c>
      <c r="E503" s="113" t="s">
        <v>22882</v>
      </c>
      <c r="F503" s="257" t="s">
        <v>14413</v>
      </c>
      <c r="G503" s="258">
        <v>5.76</v>
      </c>
      <c r="I503" s="160">
        <f t="shared" si="7"/>
        <v>107278.30000000006</v>
      </c>
    </row>
    <row r="504" spans="2:9" hidden="1" x14ac:dyDescent="0.25">
      <c r="B504" s="148"/>
      <c r="C504" s="148" t="s">
        <v>22881</v>
      </c>
      <c r="D504" s="150">
        <v>44069</v>
      </c>
      <c r="E504" s="113" t="s">
        <v>22880</v>
      </c>
      <c r="F504" s="257" t="s">
        <v>14413</v>
      </c>
      <c r="G504" s="258">
        <v>2.61</v>
      </c>
      <c r="I504" s="160">
        <f t="shared" si="7"/>
        <v>107280.91000000006</v>
      </c>
    </row>
    <row r="505" spans="2:9" hidden="1" x14ac:dyDescent="0.25">
      <c r="B505" s="148"/>
      <c r="C505" s="148" t="s">
        <v>22879</v>
      </c>
      <c r="D505" s="150">
        <v>44069</v>
      </c>
      <c r="E505" s="113" t="s">
        <v>22878</v>
      </c>
      <c r="F505" s="257" t="s">
        <v>14413</v>
      </c>
      <c r="G505" s="258">
        <v>10.02</v>
      </c>
      <c r="I505" s="160">
        <f t="shared" si="7"/>
        <v>107290.93000000007</v>
      </c>
    </row>
    <row r="506" spans="2:9" hidden="1" x14ac:dyDescent="0.25">
      <c r="B506" s="148"/>
      <c r="C506" s="148" t="s">
        <v>22877</v>
      </c>
      <c r="D506" s="150">
        <v>44069</v>
      </c>
      <c r="E506" s="113" t="s">
        <v>22876</v>
      </c>
      <c r="F506" s="257" t="s">
        <v>14413</v>
      </c>
      <c r="G506" s="258">
        <v>7.58</v>
      </c>
      <c r="I506" s="160">
        <f t="shared" si="7"/>
        <v>107298.51000000007</v>
      </c>
    </row>
    <row r="507" spans="2:9" hidden="1" x14ac:dyDescent="0.25">
      <c r="B507" s="148"/>
      <c r="C507" s="148" t="s">
        <v>22875</v>
      </c>
      <c r="D507" s="150">
        <v>44069</v>
      </c>
      <c r="E507" s="113" t="s">
        <v>22874</v>
      </c>
      <c r="F507" s="257" t="s">
        <v>14413</v>
      </c>
      <c r="G507" s="258">
        <v>7.35</v>
      </c>
      <c r="I507" s="160">
        <f t="shared" si="7"/>
        <v>107305.86000000007</v>
      </c>
    </row>
    <row r="508" spans="2:9" hidden="1" x14ac:dyDescent="0.25">
      <c r="B508" s="148"/>
      <c r="C508" s="148" t="s">
        <v>22873</v>
      </c>
      <c r="D508" s="150">
        <v>44069</v>
      </c>
      <c r="E508" s="113" t="s">
        <v>22872</v>
      </c>
      <c r="F508" s="257" t="s">
        <v>14413</v>
      </c>
      <c r="G508" s="258">
        <v>5.7</v>
      </c>
      <c r="I508" s="160">
        <f t="shared" si="7"/>
        <v>107311.56000000007</v>
      </c>
    </row>
    <row r="509" spans="2:9" hidden="1" x14ac:dyDescent="0.25">
      <c r="B509" s="148"/>
      <c r="C509" s="148" t="s">
        <v>22871</v>
      </c>
      <c r="D509" s="150">
        <v>44069</v>
      </c>
      <c r="E509" s="113" t="s">
        <v>22870</v>
      </c>
      <c r="F509" s="257" t="s">
        <v>14413</v>
      </c>
      <c r="G509" s="258">
        <v>5.48</v>
      </c>
      <c r="I509" s="160">
        <f t="shared" si="7"/>
        <v>107317.04000000007</v>
      </c>
    </row>
    <row r="510" spans="2:9" ht="19.5" hidden="1" x14ac:dyDescent="0.25">
      <c r="B510" s="148"/>
      <c r="C510" s="148" t="s">
        <v>22869</v>
      </c>
      <c r="D510" s="150">
        <v>44069</v>
      </c>
      <c r="E510" s="113" t="s">
        <v>22868</v>
      </c>
      <c r="F510" s="257" t="s">
        <v>14413</v>
      </c>
      <c r="G510" s="258">
        <v>29.09</v>
      </c>
      <c r="I510" s="160">
        <f t="shared" si="7"/>
        <v>107346.13000000006</v>
      </c>
    </row>
    <row r="511" spans="2:9" hidden="1" x14ac:dyDescent="0.25">
      <c r="B511" s="148"/>
      <c r="C511" s="148" t="s">
        <v>22867</v>
      </c>
      <c r="D511" s="150">
        <v>44069</v>
      </c>
      <c r="E511" s="113" t="s">
        <v>22866</v>
      </c>
      <c r="F511" s="257" t="s">
        <v>14413</v>
      </c>
      <c r="G511" s="258">
        <v>6.3</v>
      </c>
      <c r="I511" s="160">
        <f t="shared" si="7"/>
        <v>107352.43000000007</v>
      </c>
    </row>
    <row r="512" spans="2:9" hidden="1" x14ac:dyDescent="0.25">
      <c r="B512" s="148"/>
      <c r="C512" s="148" t="s">
        <v>22865</v>
      </c>
      <c r="D512" s="150">
        <v>44069</v>
      </c>
      <c r="E512" s="113" t="s">
        <v>22864</v>
      </c>
      <c r="F512" s="257" t="s">
        <v>14413</v>
      </c>
      <c r="G512" s="258">
        <v>1.68</v>
      </c>
      <c r="I512" s="160">
        <f t="shared" si="7"/>
        <v>107354.11000000006</v>
      </c>
    </row>
    <row r="513" spans="2:9" hidden="1" x14ac:dyDescent="0.25">
      <c r="B513" s="148"/>
      <c r="C513" s="148" t="s">
        <v>22863</v>
      </c>
      <c r="D513" s="150">
        <v>44069</v>
      </c>
      <c r="E513" s="113" t="s">
        <v>22862</v>
      </c>
      <c r="F513" s="257" t="s">
        <v>14413</v>
      </c>
      <c r="G513" s="258">
        <v>30.19</v>
      </c>
      <c r="I513" s="160">
        <f t="shared" si="7"/>
        <v>107384.30000000006</v>
      </c>
    </row>
    <row r="514" spans="2:9" ht="19.5" hidden="1" x14ac:dyDescent="0.25">
      <c r="B514" s="148"/>
      <c r="C514" s="148" t="s">
        <v>22861</v>
      </c>
      <c r="D514" s="150">
        <v>44069</v>
      </c>
      <c r="E514" s="113" t="s">
        <v>22860</v>
      </c>
      <c r="F514" s="257" t="s">
        <v>14413</v>
      </c>
      <c r="G514" s="258">
        <v>10.11</v>
      </c>
      <c r="I514" s="160">
        <f t="shared" si="7"/>
        <v>107394.41000000006</v>
      </c>
    </row>
    <row r="515" spans="2:9" ht="19.5" hidden="1" x14ac:dyDescent="0.25">
      <c r="B515" s="148"/>
      <c r="C515" s="148" t="s">
        <v>22859</v>
      </c>
      <c r="D515" s="150">
        <v>44069</v>
      </c>
      <c r="E515" s="113" t="s">
        <v>22858</v>
      </c>
      <c r="F515" s="257" t="s">
        <v>14413</v>
      </c>
      <c r="G515" s="258">
        <v>13.44</v>
      </c>
      <c r="I515" s="160">
        <f t="shared" si="7"/>
        <v>107407.85000000006</v>
      </c>
    </row>
    <row r="516" spans="2:9" hidden="1" x14ac:dyDescent="0.25">
      <c r="B516" s="148"/>
      <c r="C516" s="148" t="s">
        <v>22857</v>
      </c>
      <c r="D516" s="150">
        <v>44069</v>
      </c>
      <c r="E516" s="113" t="s">
        <v>22856</v>
      </c>
      <c r="F516" s="257" t="s">
        <v>14413</v>
      </c>
      <c r="G516" s="258">
        <v>6.94</v>
      </c>
      <c r="I516" s="160">
        <f t="shared" si="7"/>
        <v>107414.79000000007</v>
      </c>
    </row>
    <row r="517" spans="2:9" hidden="1" x14ac:dyDescent="0.25">
      <c r="B517" s="148"/>
      <c r="C517" s="148" t="s">
        <v>22855</v>
      </c>
      <c r="D517" s="150">
        <v>44069</v>
      </c>
      <c r="E517" s="113" t="s">
        <v>22854</v>
      </c>
      <c r="F517" s="257" t="s">
        <v>14413</v>
      </c>
      <c r="G517" s="258">
        <v>8.25</v>
      </c>
      <c r="I517" s="160">
        <f t="shared" si="7"/>
        <v>107423.04000000007</v>
      </c>
    </row>
    <row r="518" spans="2:9" hidden="1" x14ac:dyDescent="0.25">
      <c r="B518" s="148"/>
      <c r="C518" s="148" t="s">
        <v>22853</v>
      </c>
      <c r="D518" s="150">
        <v>44069</v>
      </c>
      <c r="E518" s="113" t="s">
        <v>22852</v>
      </c>
      <c r="F518" s="257" t="s">
        <v>14413</v>
      </c>
      <c r="G518" s="258">
        <v>16.760000000000002</v>
      </c>
      <c r="I518" s="160">
        <f t="shared" si="7"/>
        <v>107439.80000000006</v>
      </c>
    </row>
    <row r="519" spans="2:9" hidden="1" x14ac:dyDescent="0.25">
      <c r="B519" s="148"/>
      <c r="C519" s="148" t="s">
        <v>22851</v>
      </c>
      <c r="D519" s="150">
        <v>44069</v>
      </c>
      <c r="E519" s="113" t="s">
        <v>22850</v>
      </c>
      <c r="F519" s="257" t="s">
        <v>14413</v>
      </c>
      <c r="G519" s="258">
        <v>2.13</v>
      </c>
      <c r="I519" s="160">
        <f t="shared" si="7"/>
        <v>107441.93000000007</v>
      </c>
    </row>
    <row r="520" spans="2:9" ht="19.5" hidden="1" x14ac:dyDescent="0.25">
      <c r="B520" s="148"/>
      <c r="C520" s="148" t="s">
        <v>22849</v>
      </c>
      <c r="D520" s="150">
        <v>44069</v>
      </c>
      <c r="E520" s="113" t="s">
        <v>22848</v>
      </c>
      <c r="F520" s="257">
        <v>17</v>
      </c>
      <c r="G520" s="255">
        <v>78.63</v>
      </c>
      <c r="I520" s="160">
        <f t="shared" si="7"/>
        <v>107520.56000000007</v>
      </c>
    </row>
    <row r="521" spans="2:9" hidden="1" x14ac:dyDescent="0.25">
      <c r="B521" s="148"/>
      <c r="C521" s="148" t="s">
        <v>22847</v>
      </c>
      <c r="D521" s="150">
        <v>44069</v>
      </c>
      <c r="E521" s="113" t="s">
        <v>22846</v>
      </c>
      <c r="F521" s="257">
        <v>17</v>
      </c>
      <c r="G521" s="255">
        <v>1.94</v>
      </c>
      <c r="I521" s="160">
        <f t="shared" si="7"/>
        <v>107522.50000000007</v>
      </c>
    </row>
    <row r="522" spans="2:9" hidden="1" x14ac:dyDescent="0.25">
      <c r="B522" s="148"/>
      <c r="C522" s="148" t="s">
        <v>22845</v>
      </c>
      <c r="D522" s="150">
        <v>44069</v>
      </c>
      <c r="E522" s="113" t="s">
        <v>22844</v>
      </c>
      <c r="F522" s="257">
        <v>17</v>
      </c>
      <c r="G522" s="255">
        <v>7.71</v>
      </c>
      <c r="I522" s="160">
        <f t="shared" si="7"/>
        <v>107530.21000000008</v>
      </c>
    </row>
    <row r="523" spans="2:9" hidden="1" x14ac:dyDescent="0.25">
      <c r="B523" s="148"/>
      <c r="C523" s="148" t="s">
        <v>22843</v>
      </c>
      <c r="D523" s="150">
        <v>44069</v>
      </c>
      <c r="E523" s="113" t="s">
        <v>22842</v>
      </c>
      <c r="F523" s="257">
        <v>17</v>
      </c>
      <c r="G523" s="255">
        <v>4.08</v>
      </c>
      <c r="I523" s="160">
        <f t="shared" si="7"/>
        <v>107534.29000000008</v>
      </c>
    </row>
    <row r="524" spans="2:9" hidden="1" x14ac:dyDescent="0.25">
      <c r="B524" s="148"/>
      <c r="C524" s="148" t="s">
        <v>22841</v>
      </c>
      <c r="D524" s="150">
        <v>44069</v>
      </c>
      <c r="E524" s="113" t="s">
        <v>22840</v>
      </c>
      <c r="F524" s="257" t="s">
        <v>14436</v>
      </c>
      <c r="G524" s="160">
        <v>1</v>
      </c>
      <c r="I524" s="160">
        <f t="shared" si="7"/>
        <v>107535.29000000008</v>
      </c>
    </row>
    <row r="525" spans="2:9" hidden="1" x14ac:dyDescent="0.25">
      <c r="B525" s="148"/>
      <c r="C525" s="148" t="s">
        <v>22839</v>
      </c>
      <c r="D525" s="150">
        <v>44070</v>
      </c>
      <c r="E525" s="113" t="s">
        <v>22838</v>
      </c>
      <c r="F525" s="257" t="s">
        <v>14436</v>
      </c>
      <c r="G525" s="160">
        <v>6.94</v>
      </c>
      <c r="I525" s="160">
        <f t="shared" si="7"/>
        <v>107542.23000000008</v>
      </c>
    </row>
    <row r="526" spans="2:9" hidden="1" x14ac:dyDescent="0.25">
      <c r="B526" s="148"/>
      <c r="C526" s="148" t="s">
        <v>22837</v>
      </c>
      <c r="D526" s="150">
        <v>44070</v>
      </c>
      <c r="E526" s="113" t="s">
        <v>22836</v>
      </c>
      <c r="F526" s="257" t="s">
        <v>14436</v>
      </c>
      <c r="G526" s="160">
        <v>3.36</v>
      </c>
      <c r="I526" s="160">
        <f t="shared" si="7"/>
        <v>107545.59000000008</v>
      </c>
    </row>
    <row r="527" spans="2:9" hidden="1" x14ac:dyDescent="0.25">
      <c r="B527" s="148"/>
      <c r="C527" s="148" t="s">
        <v>22835</v>
      </c>
      <c r="D527" s="150">
        <v>44070</v>
      </c>
      <c r="E527" s="113" t="s">
        <v>22834</v>
      </c>
      <c r="F527" s="257" t="s">
        <v>14436</v>
      </c>
      <c r="G527" s="160">
        <v>7.58</v>
      </c>
      <c r="I527" s="160">
        <f t="shared" si="7"/>
        <v>107553.17000000009</v>
      </c>
    </row>
    <row r="528" spans="2:9" hidden="1" x14ac:dyDescent="0.25">
      <c r="B528" s="148"/>
      <c r="C528" s="148" t="s">
        <v>22833</v>
      </c>
      <c r="D528" s="150">
        <v>44070</v>
      </c>
      <c r="E528" s="113" t="s">
        <v>22832</v>
      </c>
      <c r="F528" s="257" t="s">
        <v>14436</v>
      </c>
      <c r="G528" s="160">
        <v>2.09</v>
      </c>
      <c r="I528" s="160">
        <f t="shared" si="7"/>
        <v>107555.26000000008</v>
      </c>
    </row>
    <row r="529" spans="2:9" hidden="1" x14ac:dyDescent="0.25">
      <c r="B529" s="148"/>
      <c r="C529" s="148" t="s">
        <v>22831</v>
      </c>
      <c r="D529" s="150">
        <v>44070</v>
      </c>
      <c r="E529" s="113" t="s">
        <v>22830</v>
      </c>
      <c r="F529" s="257" t="s">
        <v>14436</v>
      </c>
      <c r="G529" s="160">
        <v>3.36</v>
      </c>
      <c r="I529" s="160">
        <f t="shared" si="7"/>
        <v>107558.62000000008</v>
      </c>
    </row>
    <row r="530" spans="2:9" hidden="1" x14ac:dyDescent="0.25">
      <c r="B530" s="148"/>
      <c r="C530" s="148" t="s">
        <v>22829</v>
      </c>
      <c r="D530" s="150">
        <v>44070</v>
      </c>
      <c r="E530" s="113" t="s">
        <v>22828</v>
      </c>
      <c r="F530" s="257" t="s">
        <v>14413</v>
      </c>
      <c r="G530" s="258">
        <v>7.21</v>
      </c>
      <c r="I530" s="160">
        <f t="shared" si="7"/>
        <v>107565.83000000009</v>
      </c>
    </row>
    <row r="531" spans="2:9" ht="19.5" hidden="1" x14ac:dyDescent="0.25">
      <c r="B531" s="148"/>
      <c r="C531" s="148" t="s">
        <v>22827</v>
      </c>
      <c r="D531" s="150">
        <v>44070</v>
      </c>
      <c r="E531" s="113" t="s">
        <v>22826</v>
      </c>
      <c r="F531" s="257" t="s">
        <v>14413</v>
      </c>
      <c r="G531" s="258">
        <v>7.6</v>
      </c>
      <c r="I531" s="160">
        <f t="shared" si="7"/>
        <v>107573.43000000009</v>
      </c>
    </row>
    <row r="532" spans="2:9" ht="19.5" hidden="1" x14ac:dyDescent="0.25">
      <c r="B532" s="148"/>
      <c r="C532" s="148" t="s">
        <v>22825</v>
      </c>
      <c r="D532" s="150">
        <v>44070</v>
      </c>
      <c r="E532" s="113" t="s">
        <v>22824</v>
      </c>
      <c r="F532" s="257" t="s">
        <v>14413</v>
      </c>
      <c r="G532" s="258">
        <v>18.7</v>
      </c>
      <c r="I532" s="160">
        <f t="shared" ref="I532:I595" si="8">+I531+G532-H532</f>
        <v>107592.13000000009</v>
      </c>
    </row>
    <row r="533" spans="2:9" hidden="1" x14ac:dyDescent="0.25">
      <c r="B533" s="148"/>
      <c r="C533" s="148" t="s">
        <v>22823</v>
      </c>
      <c r="D533" s="150">
        <v>44070</v>
      </c>
      <c r="E533" s="113" t="s">
        <v>22822</v>
      </c>
      <c r="F533" s="257" t="s">
        <v>14413</v>
      </c>
      <c r="G533" s="258">
        <v>28.7</v>
      </c>
      <c r="I533" s="160">
        <f t="shared" si="8"/>
        <v>107620.83000000009</v>
      </c>
    </row>
    <row r="534" spans="2:9" hidden="1" x14ac:dyDescent="0.25">
      <c r="B534" s="148"/>
      <c r="C534" s="148" t="s">
        <v>22821</v>
      </c>
      <c r="D534" s="150">
        <v>44070</v>
      </c>
      <c r="E534" s="113" t="s">
        <v>22820</v>
      </c>
      <c r="F534" s="257" t="s">
        <v>14413</v>
      </c>
      <c r="G534" s="258">
        <v>8.3800000000000008</v>
      </c>
      <c r="I534" s="160">
        <f t="shared" si="8"/>
        <v>107629.21000000009</v>
      </c>
    </row>
    <row r="535" spans="2:9" hidden="1" x14ac:dyDescent="0.25">
      <c r="B535" s="148"/>
      <c r="C535" s="148" t="s">
        <v>22819</v>
      </c>
      <c r="D535" s="150">
        <v>44070</v>
      </c>
      <c r="E535" s="113" t="s">
        <v>22818</v>
      </c>
      <c r="F535" s="257" t="s">
        <v>14413</v>
      </c>
      <c r="G535" s="258">
        <v>3.95</v>
      </c>
      <c r="I535" s="160">
        <f t="shared" si="8"/>
        <v>107633.16000000009</v>
      </c>
    </row>
    <row r="536" spans="2:9" hidden="1" x14ac:dyDescent="0.25">
      <c r="B536" s="148"/>
      <c r="C536" s="148" t="s">
        <v>22817</v>
      </c>
      <c r="D536" s="150">
        <v>44070</v>
      </c>
      <c r="E536" s="113" t="s">
        <v>22816</v>
      </c>
      <c r="F536" s="257" t="s">
        <v>14413</v>
      </c>
      <c r="G536" s="258">
        <v>7.11</v>
      </c>
      <c r="I536" s="160">
        <f t="shared" si="8"/>
        <v>107640.27000000009</v>
      </c>
    </row>
    <row r="537" spans="2:9" hidden="1" x14ac:dyDescent="0.25">
      <c r="B537" s="148"/>
      <c r="C537" s="148" t="s">
        <v>22815</v>
      </c>
      <c r="D537" s="150">
        <v>44070</v>
      </c>
      <c r="E537" s="113" t="s">
        <v>22814</v>
      </c>
      <c r="F537" s="257" t="s">
        <v>14413</v>
      </c>
      <c r="G537" s="258">
        <v>1.98</v>
      </c>
      <c r="I537" s="160">
        <f t="shared" si="8"/>
        <v>107642.25000000009</v>
      </c>
    </row>
    <row r="538" spans="2:9" hidden="1" x14ac:dyDescent="0.25">
      <c r="B538" s="148"/>
      <c r="C538" s="148" t="s">
        <v>22813</v>
      </c>
      <c r="D538" s="150">
        <v>44070</v>
      </c>
      <c r="E538" s="113" t="s">
        <v>22812</v>
      </c>
      <c r="F538" s="257" t="s">
        <v>14413</v>
      </c>
      <c r="G538" s="258">
        <v>4.29</v>
      </c>
      <c r="I538" s="160">
        <f t="shared" si="8"/>
        <v>107646.54000000008</v>
      </c>
    </row>
    <row r="539" spans="2:9" ht="19.5" hidden="1" x14ac:dyDescent="0.25">
      <c r="B539" s="148"/>
      <c r="C539" s="148" t="s">
        <v>22811</v>
      </c>
      <c r="D539" s="150">
        <v>44070</v>
      </c>
      <c r="E539" s="113" t="s">
        <v>22810</v>
      </c>
      <c r="F539" s="257" t="s">
        <v>14413</v>
      </c>
      <c r="G539" s="258">
        <v>32.17</v>
      </c>
      <c r="I539" s="160">
        <f t="shared" si="8"/>
        <v>107678.71000000008</v>
      </c>
    </row>
    <row r="540" spans="2:9" ht="19.5" hidden="1" x14ac:dyDescent="0.25">
      <c r="B540" s="148"/>
      <c r="C540" s="148" t="s">
        <v>22809</v>
      </c>
      <c r="D540" s="150">
        <v>44070</v>
      </c>
      <c r="E540" s="113" t="s">
        <v>22808</v>
      </c>
      <c r="F540" s="257" t="s">
        <v>14413</v>
      </c>
      <c r="G540" s="258">
        <v>10.09</v>
      </c>
      <c r="I540" s="160">
        <f t="shared" si="8"/>
        <v>107688.80000000008</v>
      </c>
    </row>
    <row r="541" spans="2:9" ht="19.5" hidden="1" x14ac:dyDescent="0.25">
      <c r="B541" s="148"/>
      <c r="C541" s="148" t="s">
        <v>22807</v>
      </c>
      <c r="D541" s="150">
        <v>44070</v>
      </c>
      <c r="E541" s="113" t="s">
        <v>22806</v>
      </c>
      <c r="F541" s="257" t="s">
        <v>14413</v>
      </c>
      <c r="G541" s="258">
        <v>6.73</v>
      </c>
      <c r="I541" s="160">
        <f t="shared" si="8"/>
        <v>107695.53000000007</v>
      </c>
    </row>
    <row r="542" spans="2:9" hidden="1" x14ac:dyDescent="0.25">
      <c r="B542" s="148"/>
      <c r="C542" s="148" t="s">
        <v>22805</v>
      </c>
      <c r="D542" s="150">
        <v>44070</v>
      </c>
      <c r="E542" s="113" t="s">
        <v>22804</v>
      </c>
      <c r="F542" s="257" t="s">
        <v>14413</v>
      </c>
      <c r="G542" s="258">
        <v>8.3800000000000008</v>
      </c>
      <c r="I542" s="160">
        <f t="shared" si="8"/>
        <v>107703.91000000008</v>
      </c>
    </row>
    <row r="543" spans="2:9" hidden="1" x14ac:dyDescent="0.25">
      <c r="B543" s="148"/>
      <c r="C543" s="148" t="s">
        <v>22803</v>
      </c>
      <c r="D543" s="150">
        <v>44070</v>
      </c>
      <c r="E543" s="113" t="s">
        <v>22802</v>
      </c>
      <c r="F543" s="257" t="s">
        <v>14413</v>
      </c>
      <c r="G543" s="258">
        <v>1.32</v>
      </c>
      <c r="I543" s="160">
        <f t="shared" si="8"/>
        <v>107705.23000000008</v>
      </c>
    </row>
    <row r="544" spans="2:9" hidden="1" x14ac:dyDescent="0.25">
      <c r="B544" s="148"/>
      <c r="C544" s="148" t="s">
        <v>22801</v>
      </c>
      <c r="D544" s="150">
        <v>44070</v>
      </c>
      <c r="E544" s="113" t="s">
        <v>22800</v>
      </c>
      <c r="F544" s="257" t="s">
        <v>14413</v>
      </c>
      <c r="G544" s="258">
        <v>3.36</v>
      </c>
      <c r="I544" s="160">
        <f t="shared" si="8"/>
        <v>107708.59000000008</v>
      </c>
    </row>
    <row r="545" spans="2:9" hidden="1" x14ac:dyDescent="0.25">
      <c r="B545" s="148"/>
      <c r="C545" s="148" t="s">
        <v>22799</v>
      </c>
      <c r="D545" s="150">
        <v>44070</v>
      </c>
      <c r="E545" s="113" t="s">
        <v>22798</v>
      </c>
      <c r="F545" s="257" t="s">
        <v>14413</v>
      </c>
      <c r="G545" s="258">
        <v>8.3800000000000008</v>
      </c>
      <c r="I545" s="160">
        <f t="shared" si="8"/>
        <v>107716.97000000009</v>
      </c>
    </row>
    <row r="546" spans="2:9" hidden="1" x14ac:dyDescent="0.25">
      <c r="B546" s="148"/>
      <c r="C546" s="148" t="s">
        <v>22797</v>
      </c>
      <c r="D546" s="150">
        <v>44070</v>
      </c>
      <c r="E546" s="113" t="s">
        <v>22796</v>
      </c>
      <c r="F546" s="257" t="s">
        <v>14413</v>
      </c>
      <c r="G546" s="258">
        <v>8.19</v>
      </c>
      <c r="I546" s="160">
        <f t="shared" si="8"/>
        <v>107725.16000000009</v>
      </c>
    </row>
    <row r="547" spans="2:9" hidden="1" x14ac:dyDescent="0.25">
      <c r="B547" s="148"/>
      <c r="C547" s="148" t="s">
        <v>22795</v>
      </c>
      <c r="D547" s="150">
        <v>44070</v>
      </c>
      <c r="E547" s="113" t="s">
        <v>22794</v>
      </c>
      <c r="F547" s="257" t="s">
        <v>14413</v>
      </c>
      <c r="G547" s="258">
        <v>8.24</v>
      </c>
      <c r="I547" s="160">
        <f t="shared" si="8"/>
        <v>107733.4000000001</v>
      </c>
    </row>
    <row r="548" spans="2:9" hidden="1" x14ac:dyDescent="0.25">
      <c r="B548" s="148"/>
      <c r="C548" s="148" t="s">
        <v>22793</v>
      </c>
      <c r="D548" s="150">
        <v>44070</v>
      </c>
      <c r="E548" s="113" t="s">
        <v>22792</v>
      </c>
      <c r="F548" s="257" t="s">
        <v>14413</v>
      </c>
      <c r="G548" s="258">
        <v>3.8</v>
      </c>
      <c r="I548" s="160">
        <f t="shared" si="8"/>
        <v>107737.2000000001</v>
      </c>
    </row>
    <row r="549" spans="2:9" hidden="1" x14ac:dyDescent="0.25">
      <c r="B549" s="148"/>
      <c r="C549" s="148" t="s">
        <v>22791</v>
      </c>
      <c r="D549" s="150">
        <v>44070</v>
      </c>
      <c r="E549" s="113" t="s">
        <v>22790</v>
      </c>
      <c r="F549" s="257" t="s">
        <v>14413</v>
      </c>
      <c r="G549" s="258">
        <v>7.39</v>
      </c>
      <c r="I549" s="160">
        <f t="shared" si="8"/>
        <v>107744.5900000001</v>
      </c>
    </row>
    <row r="550" spans="2:9" hidden="1" x14ac:dyDescent="0.25">
      <c r="B550" s="148"/>
      <c r="C550" s="148" t="s">
        <v>22789</v>
      </c>
      <c r="D550" s="150">
        <v>44070</v>
      </c>
      <c r="E550" s="113" t="s">
        <v>22788</v>
      </c>
      <c r="F550" s="257" t="s">
        <v>14413</v>
      </c>
      <c r="G550" s="258">
        <v>4.72</v>
      </c>
      <c r="I550" s="160">
        <f t="shared" si="8"/>
        <v>107749.3100000001</v>
      </c>
    </row>
    <row r="551" spans="2:9" hidden="1" x14ac:dyDescent="0.25">
      <c r="B551" s="148"/>
      <c r="C551" s="148" t="s">
        <v>22787</v>
      </c>
      <c r="D551" s="150">
        <v>44070</v>
      </c>
      <c r="E551" s="113" t="s">
        <v>22786</v>
      </c>
      <c r="F551" s="257" t="s">
        <v>14413</v>
      </c>
      <c r="G551" s="258">
        <v>5.07</v>
      </c>
      <c r="I551" s="160">
        <f t="shared" si="8"/>
        <v>107754.38000000011</v>
      </c>
    </row>
    <row r="552" spans="2:9" hidden="1" x14ac:dyDescent="0.25">
      <c r="B552" s="148"/>
      <c r="C552" s="148" t="s">
        <v>22785</v>
      </c>
      <c r="D552" s="150">
        <v>44070</v>
      </c>
      <c r="E552" s="113" t="s">
        <v>22784</v>
      </c>
      <c r="F552" s="257" t="s">
        <v>14413</v>
      </c>
      <c r="G552" s="258">
        <v>15.61</v>
      </c>
      <c r="I552" s="160">
        <f t="shared" si="8"/>
        <v>107769.99000000011</v>
      </c>
    </row>
    <row r="553" spans="2:9" hidden="1" x14ac:dyDescent="0.25">
      <c r="B553" s="148"/>
      <c r="C553" s="148" t="s">
        <v>22783</v>
      </c>
      <c r="D553" s="150">
        <v>44070</v>
      </c>
      <c r="E553" s="113" t="s">
        <v>22782</v>
      </c>
      <c r="F553" s="257" t="s">
        <v>14413</v>
      </c>
      <c r="G553" s="258">
        <v>3.36</v>
      </c>
      <c r="I553" s="160">
        <f t="shared" si="8"/>
        <v>107773.35000000011</v>
      </c>
    </row>
    <row r="554" spans="2:9" hidden="1" x14ac:dyDescent="0.25">
      <c r="B554" s="148"/>
      <c r="C554" s="148" t="s">
        <v>22781</v>
      </c>
      <c r="D554" s="150">
        <v>44070</v>
      </c>
      <c r="E554" s="113" t="s">
        <v>22780</v>
      </c>
      <c r="F554" s="257" t="s">
        <v>14413</v>
      </c>
      <c r="G554" s="258">
        <v>7.22</v>
      </c>
      <c r="I554" s="160">
        <f t="shared" si="8"/>
        <v>107780.57000000011</v>
      </c>
    </row>
    <row r="555" spans="2:9" ht="19.5" hidden="1" x14ac:dyDescent="0.25">
      <c r="B555" s="148"/>
      <c r="C555" s="148" t="s">
        <v>22779</v>
      </c>
      <c r="D555" s="150">
        <v>44070</v>
      </c>
      <c r="E555" s="113" t="s">
        <v>22778</v>
      </c>
      <c r="F555" s="257" t="s">
        <v>14413</v>
      </c>
      <c r="G555" s="258">
        <v>14.34</v>
      </c>
      <c r="I555" s="160">
        <f t="shared" si="8"/>
        <v>107794.91000000011</v>
      </c>
    </row>
    <row r="556" spans="2:9" hidden="1" x14ac:dyDescent="0.25">
      <c r="B556" s="148"/>
      <c r="C556" s="148" t="s">
        <v>22777</v>
      </c>
      <c r="D556" s="150">
        <v>44070</v>
      </c>
      <c r="E556" s="113" t="s">
        <v>22776</v>
      </c>
      <c r="F556" s="257">
        <v>18</v>
      </c>
      <c r="G556" s="255">
        <v>1.71</v>
      </c>
      <c r="I556" s="160">
        <f t="shared" si="8"/>
        <v>107796.62000000011</v>
      </c>
    </row>
    <row r="557" spans="2:9" hidden="1" x14ac:dyDescent="0.25">
      <c r="B557" s="148"/>
      <c r="C557" s="148" t="s">
        <v>22775</v>
      </c>
      <c r="D557" s="150">
        <v>44070</v>
      </c>
      <c r="E557" s="113" t="s">
        <v>22774</v>
      </c>
      <c r="F557" s="257">
        <v>18</v>
      </c>
      <c r="G557" s="255">
        <v>4.1900000000000004</v>
      </c>
      <c r="I557" s="160">
        <f t="shared" si="8"/>
        <v>107800.81000000011</v>
      </c>
    </row>
    <row r="558" spans="2:9" hidden="1" x14ac:dyDescent="0.25">
      <c r="B558" s="148"/>
      <c r="C558" s="148" t="s">
        <v>22773</v>
      </c>
      <c r="D558" s="150">
        <v>44070</v>
      </c>
      <c r="E558" s="113" t="s">
        <v>22772</v>
      </c>
      <c r="F558" s="257">
        <v>18</v>
      </c>
      <c r="G558" s="255">
        <v>16.22</v>
      </c>
      <c r="I558" s="160">
        <f t="shared" si="8"/>
        <v>107817.03000000012</v>
      </c>
    </row>
    <row r="559" spans="2:9" ht="19.5" hidden="1" x14ac:dyDescent="0.25">
      <c r="B559" s="148"/>
      <c r="C559" s="148" t="s">
        <v>22771</v>
      </c>
      <c r="D559" s="150">
        <v>44071</v>
      </c>
      <c r="E559" s="113" t="s">
        <v>22770</v>
      </c>
      <c r="F559" s="257" t="s">
        <v>18712</v>
      </c>
      <c r="G559" s="160">
        <v>10</v>
      </c>
      <c r="I559" s="160">
        <f t="shared" si="8"/>
        <v>107827.03000000012</v>
      </c>
    </row>
    <row r="560" spans="2:9" x14ac:dyDescent="0.25">
      <c r="B560" s="148" t="s">
        <v>14414</v>
      </c>
      <c r="C560" s="148" t="s">
        <v>22769</v>
      </c>
      <c r="D560" s="150">
        <v>44071</v>
      </c>
      <c r="E560" s="113" t="s">
        <v>22768</v>
      </c>
      <c r="G560" s="258">
        <v>3.07</v>
      </c>
      <c r="I560" s="160">
        <f t="shared" si="8"/>
        <v>107830.10000000012</v>
      </c>
    </row>
    <row r="561" spans="2:9" x14ac:dyDescent="0.25">
      <c r="B561" s="148" t="s">
        <v>14414</v>
      </c>
      <c r="C561" s="148" t="s">
        <v>22767</v>
      </c>
      <c r="D561" s="150">
        <v>44071</v>
      </c>
      <c r="E561" s="113" t="s">
        <v>22766</v>
      </c>
      <c r="G561" s="258">
        <v>2.87</v>
      </c>
      <c r="I561" s="160">
        <f t="shared" si="8"/>
        <v>107832.97000000012</v>
      </c>
    </row>
    <row r="562" spans="2:9" x14ac:dyDescent="0.25">
      <c r="B562" s="148" t="s">
        <v>14414</v>
      </c>
      <c r="C562" s="148" t="s">
        <v>22765</v>
      </c>
      <c r="D562" s="150">
        <v>44071</v>
      </c>
      <c r="E562" s="113" t="s">
        <v>22764</v>
      </c>
      <c r="G562" s="258">
        <v>2.3199999999999998</v>
      </c>
      <c r="I562" s="160">
        <f t="shared" si="8"/>
        <v>107835.29000000012</v>
      </c>
    </row>
    <row r="563" spans="2:9" x14ac:dyDescent="0.25">
      <c r="B563" s="148" t="s">
        <v>14414</v>
      </c>
      <c r="C563" s="148" t="s">
        <v>22763</v>
      </c>
      <c r="D563" s="150">
        <v>44071</v>
      </c>
      <c r="E563" s="113" t="s">
        <v>22762</v>
      </c>
      <c r="G563" s="258">
        <v>6.65</v>
      </c>
      <c r="I563" s="160">
        <f t="shared" si="8"/>
        <v>107841.94000000012</v>
      </c>
    </row>
    <row r="564" spans="2:9" x14ac:dyDescent="0.25">
      <c r="B564" s="148" t="s">
        <v>14414</v>
      </c>
      <c r="C564" s="148" t="s">
        <v>22761</v>
      </c>
      <c r="D564" s="150">
        <v>44071</v>
      </c>
      <c r="E564" s="113" t="s">
        <v>22760</v>
      </c>
      <c r="G564" s="258">
        <v>3.36</v>
      </c>
      <c r="I564" s="160">
        <f t="shared" si="8"/>
        <v>107845.30000000012</v>
      </c>
    </row>
    <row r="565" spans="2:9" x14ac:dyDescent="0.25">
      <c r="B565" s="148" t="s">
        <v>14414</v>
      </c>
      <c r="C565" s="148" t="s">
        <v>22759</v>
      </c>
      <c r="D565" s="150">
        <v>44071</v>
      </c>
      <c r="E565" s="113" t="s">
        <v>22758</v>
      </c>
      <c r="G565" s="258">
        <v>2.89</v>
      </c>
      <c r="I565" s="160">
        <f t="shared" si="8"/>
        <v>107848.19000000012</v>
      </c>
    </row>
    <row r="566" spans="2:9" x14ac:dyDescent="0.25">
      <c r="B566" s="148" t="s">
        <v>14414</v>
      </c>
      <c r="C566" s="148" t="s">
        <v>22757</v>
      </c>
      <c r="D566" s="150">
        <v>44071</v>
      </c>
      <c r="E566" s="113" t="s">
        <v>22756</v>
      </c>
      <c r="G566" s="258">
        <v>1.71</v>
      </c>
      <c r="I566" s="160">
        <f t="shared" si="8"/>
        <v>107849.90000000013</v>
      </c>
    </row>
    <row r="567" spans="2:9" x14ac:dyDescent="0.25">
      <c r="B567" s="148" t="s">
        <v>14414</v>
      </c>
      <c r="C567" s="148" t="s">
        <v>22755</v>
      </c>
      <c r="D567" s="150">
        <v>44071</v>
      </c>
      <c r="E567" s="113" t="s">
        <v>22754</v>
      </c>
      <c r="G567" s="258">
        <v>3.62</v>
      </c>
      <c r="I567" s="160">
        <f t="shared" si="8"/>
        <v>107853.52000000012</v>
      </c>
    </row>
    <row r="568" spans="2:9" ht="19.5" x14ac:dyDescent="0.25">
      <c r="B568" s="148" t="s">
        <v>14414</v>
      </c>
      <c r="C568" s="148" t="s">
        <v>22753</v>
      </c>
      <c r="D568" s="150">
        <v>44071</v>
      </c>
      <c r="E568" s="113" t="s">
        <v>22752</v>
      </c>
      <c r="G568" s="258">
        <v>11.76</v>
      </c>
      <c r="I568" s="160">
        <f t="shared" si="8"/>
        <v>107865.28000000012</v>
      </c>
    </row>
    <row r="569" spans="2:9" ht="19.5" x14ac:dyDescent="0.25">
      <c r="B569" s="148" t="s">
        <v>14414</v>
      </c>
      <c r="C569" s="148" t="s">
        <v>22751</v>
      </c>
      <c r="D569" s="150">
        <v>44071</v>
      </c>
      <c r="E569" s="113" t="s">
        <v>22750</v>
      </c>
      <c r="G569" s="258">
        <v>13.44</v>
      </c>
      <c r="I569" s="160">
        <f t="shared" si="8"/>
        <v>107878.72000000012</v>
      </c>
    </row>
    <row r="570" spans="2:9" ht="19.5" x14ac:dyDescent="0.25">
      <c r="B570" s="148" t="s">
        <v>14414</v>
      </c>
      <c r="C570" s="148" t="s">
        <v>22749</v>
      </c>
      <c r="D570" s="150">
        <v>44071</v>
      </c>
      <c r="E570" s="113" t="s">
        <v>22748</v>
      </c>
      <c r="G570" s="258">
        <v>7.86</v>
      </c>
      <c r="I570" s="160">
        <f t="shared" si="8"/>
        <v>107886.58000000012</v>
      </c>
    </row>
    <row r="571" spans="2:9" x14ac:dyDescent="0.25">
      <c r="B571" s="148" t="s">
        <v>14414</v>
      </c>
      <c r="C571" s="148" t="s">
        <v>22747</v>
      </c>
      <c r="D571" s="150">
        <v>44071</v>
      </c>
      <c r="E571" s="113" t="s">
        <v>22746</v>
      </c>
      <c r="G571" s="258">
        <v>5.3</v>
      </c>
      <c r="I571" s="160">
        <f t="shared" si="8"/>
        <v>107891.88000000012</v>
      </c>
    </row>
    <row r="572" spans="2:9" x14ac:dyDescent="0.25">
      <c r="B572" s="148" t="s">
        <v>14414</v>
      </c>
      <c r="C572" s="148" t="s">
        <v>22745</v>
      </c>
      <c r="D572" s="150">
        <v>44071</v>
      </c>
      <c r="E572" s="113" t="s">
        <v>22744</v>
      </c>
      <c r="G572" s="258">
        <v>4.78</v>
      </c>
      <c r="I572" s="160">
        <f t="shared" si="8"/>
        <v>107896.66000000012</v>
      </c>
    </row>
    <row r="573" spans="2:9" x14ac:dyDescent="0.25">
      <c r="B573" s="148" t="s">
        <v>14414</v>
      </c>
      <c r="C573" s="148" t="s">
        <v>22743</v>
      </c>
      <c r="D573" s="150">
        <v>44071</v>
      </c>
      <c r="E573" s="113" t="s">
        <v>22742</v>
      </c>
      <c r="G573" s="258">
        <v>29.23</v>
      </c>
      <c r="I573" s="160">
        <f t="shared" si="8"/>
        <v>107925.89000000012</v>
      </c>
    </row>
    <row r="574" spans="2:9" ht="19.5" x14ac:dyDescent="0.25">
      <c r="B574" s="148" t="s">
        <v>14414</v>
      </c>
      <c r="C574" s="148" t="s">
        <v>22741</v>
      </c>
      <c r="D574" s="150">
        <v>44071</v>
      </c>
      <c r="E574" s="113" t="s">
        <v>22740</v>
      </c>
      <c r="G574" s="258">
        <v>27.17</v>
      </c>
      <c r="I574" s="160">
        <f t="shared" si="8"/>
        <v>107953.06000000011</v>
      </c>
    </row>
    <row r="575" spans="2:9" x14ac:dyDescent="0.25">
      <c r="B575" s="148" t="s">
        <v>14414</v>
      </c>
      <c r="C575" s="148" t="s">
        <v>22739</v>
      </c>
      <c r="D575" s="150">
        <v>44071</v>
      </c>
      <c r="E575" s="113" t="s">
        <v>22738</v>
      </c>
      <c r="G575" s="258">
        <v>4.4000000000000004</v>
      </c>
      <c r="I575" s="160">
        <f t="shared" si="8"/>
        <v>107957.46000000011</v>
      </c>
    </row>
    <row r="576" spans="2:9" hidden="1" x14ac:dyDescent="0.25">
      <c r="B576" s="148"/>
      <c r="C576" s="148" t="s">
        <v>22737</v>
      </c>
      <c r="D576" s="150">
        <v>44071</v>
      </c>
      <c r="E576" s="113" t="s">
        <v>22736</v>
      </c>
      <c r="F576" s="257">
        <v>19</v>
      </c>
      <c r="G576" s="255">
        <v>25.14</v>
      </c>
      <c r="I576" s="160">
        <f t="shared" si="8"/>
        <v>107982.60000000011</v>
      </c>
    </row>
    <row r="577" spans="2:9" hidden="1" x14ac:dyDescent="0.25">
      <c r="B577" s="148"/>
      <c r="C577" s="148" t="s">
        <v>22735</v>
      </c>
      <c r="D577" s="150">
        <v>44071</v>
      </c>
      <c r="E577" s="113" t="s">
        <v>22734</v>
      </c>
      <c r="F577" s="257">
        <v>19</v>
      </c>
      <c r="G577" s="255">
        <v>6.91</v>
      </c>
      <c r="I577" s="160">
        <f t="shared" si="8"/>
        <v>107989.51000000011</v>
      </c>
    </row>
    <row r="578" spans="2:9" hidden="1" x14ac:dyDescent="0.25">
      <c r="B578" s="148"/>
      <c r="C578" s="148" t="s">
        <v>22733</v>
      </c>
      <c r="D578" s="150">
        <v>44071</v>
      </c>
      <c r="E578" s="113" t="s">
        <v>22732</v>
      </c>
      <c r="F578" s="257">
        <v>19</v>
      </c>
      <c r="G578" s="255">
        <v>3.54</v>
      </c>
      <c r="I578" s="160">
        <f t="shared" si="8"/>
        <v>107993.0500000001</v>
      </c>
    </row>
    <row r="579" spans="2:9" ht="19.5" hidden="1" x14ac:dyDescent="0.25">
      <c r="B579" s="148"/>
      <c r="C579" s="148" t="s">
        <v>22731</v>
      </c>
      <c r="D579" s="150">
        <v>44071</v>
      </c>
      <c r="E579" s="113" t="s">
        <v>22730</v>
      </c>
      <c r="F579" s="257" t="s">
        <v>14436</v>
      </c>
      <c r="G579" s="160">
        <v>360.94</v>
      </c>
      <c r="I579" s="160">
        <f t="shared" si="8"/>
        <v>108353.99000000011</v>
      </c>
    </row>
    <row r="580" spans="2:9" x14ac:dyDescent="0.25">
      <c r="B580" s="148" t="s">
        <v>14414</v>
      </c>
      <c r="C580" s="148" t="s">
        <v>22729</v>
      </c>
      <c r="D580" s="150">
        <v>44072</v>
      </c>
      <c r="E580" s="113" t="s">
        <v>22728</v>
      </c>
      <c r="G580" s="258">
        <v>3.73</v>
      </c>
      <c r="I580" s="160">
        <f t="shared" si="8"/>
        <v>108357.7200000001</v>
      </c>
    </row>
    <row r="581" spans="2:9" x14ac:dyDescent="0.25">
      <c r="B581" s="148" t="s">
        <v>14414</v>
      </c>
      <c r="C581" s="148" t="s">
        <v>22727</v>
      </c>
      <c r="D581" s="150">
        <v>44072</v>
      </c>
      <c r="E581" s="113" t="s">
        <v>22726</v>
      </c>
      <c r="G581" s="258">
        <v>3.91</v>
      </c>
      <c r="I581" s="160">
        <f t="shared" si="8"/>
        <v>108361.63000000011</v>
      </c>
    </row>
    <row r="582" spans="2:9" x14ac:dyDescent="0.25">
      <c r="B582" s="148" t="s">
        <v>14414</v>
      </c>
      <c r="C582" s="148" t="s">
        <v>22725</v>
      </c>
      <c r="D582" s="150">
        <v>44072</v>
      </c>
      <c r="E582" s="113" t="s">
        <v>22724</v>
      </c>
      <c r="G582" s="258">
        <v>2.16</v>
      </c>
      <c r="I582" s="160">
        <f t="shared" si="8"/>
        <v>108363.79000000011</v>
      </c>
    </row>
    <row r="583" spans="2:9" x14ac:dyDescent="0.25">
      <c r="B583" s="148" t="s">
        <v>14414</v>
      </c>
      <c r="C583" s="148" t="s">
        <v>22723</v>
      </c>
      <c r="D583" s="150">
        <v>44072</v>
      </c>
      <c r="E583" s="113" t="s">
        <v>22722</v>
      </c>
      <c r="G583" s="258">
        <v>1.93</v>
      </c>
      <c r="I583" s="160">
        <f t="shared" si="8"/>
        <v>108365.7200000001</v>
      </c>
    </row>
    <row r="584" spans="2:9" x14ac:dyDescent="0.25">
      <c r="B584" s="148" t="s">
        <v>14414</v>
      </c>
      <c r="C584" s="148" t="s">
        <v>22721</v>
      </c>
      <c r="D584" s="150">
        <v>44072</v>
      </c>
      <c r="E584" s="113" t="s">
        <v>22720</v>
      </c>
      <c r="G584" s="258">
        <v>1.68</v>
      </c>
      <c r="I584" s="160">
        <f t="shared" si="8"/>
        <v>108367.4000000001</v>
      </c>
    </row>
    <row r="585" spans="2:9" x14ac:dyDescent="0.25">
      <c r="B585" s="148" t="s">
        <v>14414</v>
      </c>
      <c r="C585" s="148" t="s">
        <v>22719</v>
      </c>
      <c r="D585" s="150">
        <v>44072</v>
      </c>
      <c r="E585" s="113" t="s">
        <v>22718</v>
      </c>
      <c r="G585" s="258">
        <v>6.59</v>
      </c>
      <c r="I585" s="160">
        <f t="shared" si="8"/>
        <v>108373.99000000009</v>
      </c>
    </row>
    <row r="586" spans="2:9" ht="19.5" x14ac:dyDescent="0.25">
      <c r="B586" s="148" t="s">
        <v>14414</v>
      </c>
      <c r="C586" s="148" t="s">
        <v>22717</v>
      </c>
      <c r="D586" s="150">
        <v>44072</v>
      </c>
      <c r="E586" s="113" t="s">
        <v>22716</v>
      </c>
      <c r="G586" s="258">
        <v>5.17</v>
      </c>
      <c r="I586" s="160">
        <f t="shared" si="8"/>
        <v>108379.16000000009</v>
      </c>
    </row>
    <row r="587" spans="2:9" ht="19.5" x14ac:dyDescent="0.25">
      <c r="B587" s="148" t="s">
        <v>14414</v>
      </c>
      <c r="C587" s="148" t="s">
        <v>22715</v>
      </c>
      <c r="D587" s="150">
        <v>44072</v>
      </c>
      <c r="E587" s="113" t="s">
        <v>22714</v>
      </c>
      <c r="G587" s="258">
        <v>12.71</v>
      </c>
      <c r="I587" s="160">
        <f t="shared" si="8"/>
        <v>108391.8700000001</v>
      </c>
    </row>
    <row r="588" spans="2:9" ht="19.5" x14ac:dyDescent="0.25">
      <c r="B588" s="148" t="s">
        <v>14414</v>
      </c>
      <c r="C588" s="148" t="s">
        <v>22713</v>
      </c>
      <c r="D588" s="150">
        <v>44072</v>
      </c>
      <c r="E588" s="113" t="s">
        <v>22712</v>
      </c>
      <c r="G588" s="258">
        <v>13.35</v>
      </c>
      <c r="I588" s="160">
        <f t="shared" si="8"/>
        <v>108405.2200000001</v>
      </c>
    </row>
    <row r="589" spans="2:9" ht="19.5" x14ac:dyDescent="0.25">
      <c r="B589" s="148" t="s">
        <v>14414</v>
      </c>
      <c r="C589" s="148" t="s">
        <v>22711</v>
      </c>
      <c r="D589" s="150">
        <v>44072</v>
      </c>
      <c r="E589" s="113" t="s">
        <v>22710</v>
      </c>
      <c r="G589" s="258">
        <v>6.99</v>
      </c>
      <c r="I589" s="160">
        <f t="shared" si="8"/>
        <v>108412.21000000011</v>
      </c>
    </row>
    <row r="590" spans="2:9" x14ac:dyDescent="0.25">
      <c r="B590" s="148" t="s">
        <v>14414</v>
      </c>
      <c r="C590" s="148" t="s">
        <v>22709</v>
      </c>
      <c r="D590" s="150">
        <v>44072</v>
      </c>
      <c r="E590" s="113" t="s">
        <v>22708</v>
      </c>
      <c r="G590" s="258">
        <v>3.48</v>
      </c>
      <c r="I590" s="160">
        <f t="shared" si="8"/>
        <v>108415.6900000001</v>
      </c>
    </row>
    <row r="591" spans="2:9" x14ac:dyDescent="0.25">
      <c r="B591" s="148" t="s">
        <v>14414</v>
      </c>
      <c r="C591" s="148" t="s">
        <v>22707</v>
      </c>
      <c r="D591" s="150">
        <v>44072</v>
      </c>
      <c r="E591" s="113" t="s">
        <v>22706</v>
      </c>
      <c r="G591" s="258">
        <v>5.22</v>
      </c>
      <c r="I591" s="160">
        <f t="shared" si="8"/>
        <v>108420.91000000011</v>
      </c>
    </row>
    <row r="592" spans="2:9" x14ac:dyDescent="0.25">
      <c r="B592" s="148" t="s">
        <v>14414</v>
      </c>
      <c r="C592" s="148" t="s">
        <v>22705</v>
      </c>
      <c r="D592" s="150">
        <v>44072</v>
      </c>
      <c r="E592" s="113" t="s">
        <v>22704</v>
      </c>
      <c r="G592" s="258">
        <v>3.36</v>
      </c>
      <c r="I592" s="160">
        <f t="shared" si="8"/>
        <v>108424.27000000011</v>
      </c>
    </row>
    <row r="593" spans="2:9" ht="19.5" x14ac:dyDescent="0.25">
      <c r="B593" s="148" t="s">
        <v>14414</v>
      </c>
      <c r="C593" s="148" t="s">
        <v>22703</v>
      </c>
      <c r="D593" s="150">
        <v>44073</v>
      </c>
      <c r="E593" s="113" t="s">
        <v>22702</v>
      </c>
      <c r="G593" s="258">
        <v>18.850000000000001</v>
      </c>
      <c r="I593" s="160">
        <f t="shared" si="8"/>
        <v>108443.12000000011</v>
      </c>
    </row>
    <row r="594" spans="2:9" ht="19.5" x14ac:dyDescent="0.25">
      <c r="B594" s="148" t="s">
        <v>14414</v>
      </c>
      <c r="C594" s="148" t="s">
        <v>22701</v>
      </c>
      <c r="D594" s="150">
        <v>44073</v>
      </c>
      <c r="E594" s="113" t="s">
        <v>22700</v>
      </c>
      <c r="G594" s="258">
        <v>15.55</v>
      </c>
      <c r="I594" s="160">
        <f t="shared" si="8"/>
        <v>108458.67000000011</v>
      </c>
    </row>
    <row r="595" spans="2:9" x14ac:dyDescent="0.25">
      <c r="B595" s="148" t="s">
        <v>14414</v>
      </c>
      <c r="C595" s="148" t="s">
        <v>22699</v>
      </c>
      <c r="D595" s="150">
        <v>44073</v>
      </c>
      <c r="E595" s="113" t="s">
        <v>22698</v>
      </c>
      <c r="G595" s="258">
        <v>12.79</v>
      </c>
      <c r="I595" s="160">
        <f t="shared" si="8"/>
        <v>108471.46000000011</v>
      </c>
    </row>
    <row r="596" spans="2:9" x14ac:dyDescent="0.25">
      <c r="B596" s="148" t="s">
        <v>14414</v>
      </c>
      <c r="C596" s="148" t="s">
        <v>22697</v>
      </c>
      <c r="D596" s="150">
        <v>44073</v>
      </c>
      <c r="E596" s="113" t="s">
        <v>22696</v>
      </c>
      <c r="G596" s="258">
        <v>2.4300000000000002</v>
      </c>
      <c r="I596" s="160">
        <f t="shared" ref="I596:I636" si="9">+I595+G596-H596</f>
        <v>108473.8900000001</v>
      </c>
    </row>
    <row r="597" spans="2:9" x14ac:dyDescent="0.25">
      <c r="B597" s="148" t="s">
        <v>14414</v>
      </c>
      <c r="C597" s="148" t="s">
        <v>22695</v>
      </c>
      <c r="D597" s="150">
        <v>44073</v>
      </c>
      <c r="E597" s="113" t="s">
        <v>22694</v>
      </c>
      <c r="G597" s="258">
        <v>1.78</v>
      </c>
      <c r="I597" s="160">
        <f t="shared" si="9"/>
        <v>108475.6700000001</v>
      </c>
    </row>
    <row r="598" spans="2:9" x14ac:dyDescent="0.25">
      <c r="B598" s="148" t="s">
        <v>14414</v>
      </c>
      <c r="C598" s="148" t="s">
        <v>22693</v>
      </c>
      <c r="D598" s="150">
        <v>44073</v>
      </c>
      <c r="E598" s="113" t="s">
        <v>22692</v>
      </c>
      <c r="G598" s="258">
        <v>18.43</v>
      </c>
      <c r="I598" s="160">
        <f t="shared" si="9"/>
        <v>108494.10000000009</v>
      </c>
    </row>
    <row r="599" spans="2:9" x14ac:dyDescent="0.25">
      <c r="B599" s="148" t="s">
        <v>14414</v>
      </c>
      <c r="C599" s="148" t="s">
        <v>22691</v>
      </c>
      <c r="D599" s="150">
        <v>44073</v>
      </c>
      <c r="E599" s="113" t="s">
        <v>22690</v>
      </c>
      <c r="G599" s="258">
        <v>9.51</v>
      </c>
      <c r="I599" s="160">
        <f t="shared" si="9"/>
        <v>108503.61000000009</v>
      </c>
    </row>
    <row r="600" spans="2:9" ht="39" hidden="1" x14ac:dyDescent="0.25">
      <c r="B600" s="148"/>
      <c r="C600" s="148" t="s">
        <v>22689</v>
      </c>
      <c r="D600" s="150">
        <v>44074</v>
      </c>
      <c r="E600" s="113" t="s">
        <v>22688</v>
      </c>
      <c r="F600" s="257" t="s">
        <v>14433</v>
      </c>
      <c r="H600" s="161">
        <v>38.19</v>
      </c>
      <c r="I600" s="160">
        <f t="shared" si="9"/>
        <v>108465.42000000009</v>
      </c>
    </row>
    <row r="601" spans="2:9" hidden="1" x14ac:dyDescent="0.25">
      <c r="B601" s="148"/>
      <c r="C601" s="148" t="s">
        <v>22687</v>
      </c>
      <c r="D601" s="150">
        <v>44074</v>
      </c>
      <c r="E601" s="113" t="s">
        <v>22686</v>
      </c>
      <c r="F601" s="257" t="s">
        <v>14436</v>
      </c>
      <c r="G601" s="160">
        <v>3.3</v>
      </c>
      <c r="I601" s="160">
        <f t="shared" si="9"/>
        <v>108468.72000000009</v>
      </c>
    </row>
    <row r="602" spans="2:9" hidden="1" x14ac:dyDescent="0.25">
      <c r="B602" s="148"/>
      <c r="C602" s="148" t="s">
        <v>22685</v>
      </c>
      <c r="D602" s="150">
        <v>44074</v>
      </c>
      <c r="E602" s="113" t="s">
        <v>22684</v>
      </c>
      <c r="F602" s="257" t="s">
        <v>14436</v>
      </c>
      <c r="G602" s="160">
        <v>52.77</v>
      </c>
      <c r="I602" s="160">
        <f t="shared" si="9"/>
        <v>108521.49000000009</v>
      </c>
    </row>
    <row r="603" spans="2:9" x14ac:dyDescent="0.25">
      <c r="B603" s="148" t="s">
        <v>14414</v>
      </c>
      <c r="C603" s="148" t="s">
        <v>22683</v>
      </c>
      <c r="D603" s="150">
        <v>44074</v>
      </c>
      <c r="E603" s="113" t="s">
        <v>22682</v>
      </c>
      <c r="G603" s="258">
        <v>1.68</v>
      </c>
      <c r="I603" s="160">
        <f t="shared" si="9"/>
        <v>108523.17000000009</v>
      </c>
    </row>
    <row r="604" spans="2:9" ht="19.5" x14ac:dyDescent="0.25">
      <c r="B604" s="148" t="s">
        <v>14414</v>
      </c>
      <c r="C604" s="148" t="s">
        <v>22681</v>
      </c>
      <c r="D604" s="150">
        <v>44074</v>
      </c>
      <c r="E604" s="113" t="s">
        <v>22680</v>
      </c>
      <c r="G604" s="258">
        <v>42.55</v>
      </c>
      <c r="I604" s="160">
        <f t="shared" si="9"/>
        <v>108565.72000000009</v>
      </c>
    </row>
    <row r="605" spans="2:9" x14ac:dyDescent="0.25">
      <c r="B605" s="148" t="s">
        <v>14414</v>
      </c>
      <c r="C605" s="148" t="s">
        <v>22679</v>
      </c>
      <c r="D605" s="150">
        <v>44074</v>
      </c>
      <c r="E605" s="113" t="s">
        <v>22678</v>
      </c>
      <c r="G605" s="258">
        <v>4.1100000000000003</v>
      </c>
      <c r="I605" s="160">
        <f t="shared" si="9"/>
        <v>108569.83000000009</v>
      </c>
    </row>
    <row r="606" spans="2:9" x14ac:dyDescent="0.25">
      <c r="B606" s="148" t="s">
        <v>14414</v>
      </c>
      <c r="C606" s="148" t="s">
        <v>22677</v>
      </c>
      <c r="D606" s="150">
        <v>44074</v>
      </c>
      <c r="E606" s="113" t="s">
        <v>22676</v>
      </c>
      <c r="G606" s="258">
        <v>1.86</v>
      </c>
      <c r="I606" s="160">
        <f t="shared" si="9"/>
        <v>108571.69000000009</v>
      </c>
    </row>
    <row r="607" spans="2:9" x14ac:dyDescent="0.25">
      <c r="B607" s="148" t="s">
        <v>14414</v>
      </c>
      <c r="C607" s="148" t="s">
        <v>22675</v>
      </c>
      <c r="D607" s="150">
        <v>44074</v>
      </c>
      <c r="E607" s="113" t="s">
        <v>22674</v>
      </c>
      <c r="G607" s="258">
        <v>7.85</v>
      </c>
      <c r="I607" s="160">
        <f t="shared" si="9"/>
        <v>108579.5400000001</v>
      </c>
    </row>
    <row r="608" spans="2:9" x14ac:dyDescent="0.25">
      <c r="B608" s="148" t="s">
        <v>14414</v>
      </c>
      <c r="C608" s="148" t="s">
        <v>22673</v>
      </c>
      <c r="D608" s="150">
        <v>44074</v>
      </c>
      <c r="E608" s="113" t="s">
        <v>22672</v>
      </c>
      <c r="G608" s="258">
        <v>2.42</v>
      </c>
      <c r="I608" s="160">
        <f t="shared" si="9"/>
        <v>108581.96000000009</v>
      </c>
    </row>
    <row r="609" spans="2:9" x14ac:dyDescent="0.25">
      <c r="B609" s="148" t="s">
        <v>14414</v>
      </c>
      <c r="C609" s="148" t="s">
        <v>22671</v>
      </c>
      <c r="D609" s="150">
        <v>44074</v>
      </c>
      <c r="E609" s="113" t="s">
        <v>22670</v>
      </c>
      <c r="G609" s="258">
        <v>2</v>
      </c>
      <c r="I609" s="160">
        <f t="shared" si="9"/>
        <v>108583.96000000009</v>
      </c>
    </row>
    <row r="610" spans="2:9" ht="19.5" x14ac:dyDescent="0.25">
      <c r="B610" s="148" t="s">
        <v>14414</v>
      </c>
      <c r="C610" s="148" t="s">
        <v>22669</v>
      </c>
      <c r="D610" s="150">
        <v>44074</v>
      </c>
      <c r="E610" s="113" t="s">
        <v>22668</v>
      </c>
      <c r="G610" s="258">
        <v>6.9</v>
      </c>
      <c r="I610" s="160">
        <f t="shared" si="9"/>
        <v>108590.86000000009</v>
      </c>
    </row>
    <row r="611" spans="2:9" ht="19.5" x14ac:dyDescent="0.25">
      <c r="B611" s="148" t="s">
        <v>14414</v>
      </c>
      <c r="C611" s="148" t="s">
        <v>22667</v>
      </c>
      <c r="D611" s="150">
        <v>44074</v>
      </c>
      <c r="E611" s="113" t="s">
        <v>22666</v>
      </c>
      <c r="G611" s="258">
        <v>8.0299999999999994</v>
      </c>
      <c r="I611" s="160">
        <f t="shared" si="9"/>
        <v>108598.89000000009</v>
      </c>
    </row>
    <row r="612" spans="2:9" x14ac:dyDescent="0.25">
      <c r="B612" s="148" t="s">
        <v>14414</v>
      </c>
      <c r="C612" s="148" t="s">
        <v>22665</v>
      </c>
      <c r="D612" s="150">
        <v>44074</v>
      </c>
      <c r="E612" s="113" t="s">
        <v>22664</v>
      </c>
      <c r="G612" s="258">
        <v>6.77</v>
      </c>
      <c r="I612" s="160">
        <f t="shared" si="9"/>
        <v>108605.66000000009</v>
      </c>
    </row>
    <row r="613" spans="2:9" x14ac:dyDescent="0.25">
      <c r="B613" s="148" t="s">
        <v>14414</v>
      </c>
      <c r="C613" s="148" t="s">
        <v>22663</v>
      </c>
      <c r="D613" s="150">
        <v>44074</v>
      </c>
      <c r="E613" s="113" t="s">
        <v>22662</v>
      </c>
      <c r="G613" s="258">
        <v>2.74</v>
      </c>
      <c r="I613" s="160">
        <f t="shared" si="9"/>
        <v>108608.4000000001</v>
      </c>
    </row>
    <row r="614" spans="2:9" x14ac:dyDescent="0.25">
      <c r="B614" s="148" t="s">
        <v>14414</v>
      </c>
      <c r="C614" s="148" t="s">
        <v>22661</v>
      </c>
      <c r="D614" s="150">
        <v>44074</v>
      </c>
      <c r="E614" s="113" t="s">
        <v>22660</v>
      </c>
      <c r="G614" s="258">
        <v>8.3800000000000008</v>
      </c>
      <c r="I614" s="160">
        <f t="shared" si="9"/>
        <v>108616.7800000001</v>
      </c>
    </row>
    <row r="615" spans="2:9" x14ac:dyDescent="0.25">
      <c r="B615" s="148" t="s">
        <v>14414</v>
      </c>
      <c r="C615" s="148" t="s">
        <v>22659</v>
      </c>
      <c r="D615" s="150">
        <v>44074</v>
      </c>
      <c r="E615" s="113" t="s">
        <v>22658</v>
      </c>
      <c r="G615" s="258">
        <v>10.96</v>
      </c>
      <c r="I615" s="160">
        <f t="shared" si="9"/>
        <v>108627.74000000011</v>
      </c>
    </row>
    <row r="616" spans="2:9" x14ac:dyDescent="0.25">
      <c r="B616" s="148" t="s">
        <v>14414</v>
      </c>
      <c r="C616" s="148" t="s">
        <v>22657</v>
      </c>
      <c r="D616" s="150">
        <v>44074</v>
      </c>
      <c r="E616" s="113" t="s">
        <v>22656</v>
      </c>
      <c r="G616" s="258">
        <v>2.15</v>
      </c>
      <c r="I616" s="160">
        <f t="shared" si="9"/>
        <v>108629.8900000001</v>
      </c>
    </row>
    <row r="617" spans="2:9" ht="19.5" x14ac:dyDescent="0.25">
      <c r="B617" s="148" t="s">
        <v>14414</v>
      </c>
      <c r="C617" s="148" t="s">
        <v>22655</v>
      </c>
      <c r="D617" s="150">
        <v>44074</v>
      </c>
      <c r="E617" s="113" t="s">
        <v>22654</v>
      </c>
      <c r="G617" s="258">
        <v>10.87</v>
      </c>
      <c r="I617" s="160">
        <f t="shared" si="9"/>
        <v>108640.7600000001</v>
      </c>
    </row>
    <row r="618" spans="2:9" x14ac:dyDescent="0.25">
      <c r="B618" s="148" t="s">
        <v>14414</v>
      </c>
      <c r="C618" s="148" t="s">
        <v>22653</v>
      </c>
      <c r="D618" s="150">
        <v>44074</v>
      </c>
      <c r="E618" s="113" t="s">
        <v>22652</v>
      </c>
      <c r="G618" s="258">
        <v>3.14</v>
      </c>
      <c r="I618" s="160">
        <f t="shared" si="9"/>
        <v>108643.9000000001</v>
      </c>
    </row>
    <row r="619" spans="2:9" ht="19.5" x14ac:dyDescent="0.25">
      <c r="B619" s="148" t="s">
        <v>14414</v>
      </c>
      <c r="C619" s="148" t="s">
        <v>22651</v>
      </c>
      <c r="D619" s="150">
        <v>44074</v>
      </c>
      <c r="E619" s="113" t="s">
        <v>22650</v>
      </c>
      <c r="G619" s="258">
        <v>15.35</v>
      </c>
      <c r="I619" s="160">
        <f t="shared" si="9"/>
        <v>108659.2500000001</v>
      </c>
    </row>
    <row r="620" spans="2:9" ht="19.5" x14ac:dyDescent="0.25">
      <c r="B620" s="148" t="s">
        <v>14414</v>
      </c>
      <c r="C620" s="148" t="s">
        <v>22649</v>
      </c>
      <c r="D620" s="150">
        <v>44074</v>
      </c>
      <c r="E620" s="113" t="s">
        <v>22648</v>
      </c>
      <c r="G620" s="258">
        <v>10.08</v>
      </c>
      <c r="I620" s="160">
        <f t="shared" si="9"/>
        <v>108669.3300000001</v>
      </c>
    </row>
    <row r="621" spans="2:9" x14ac:dyDescent="0.25">
      <c r="B621" s="148" t="s">
        <v>14414</v>
      </c>
      <c r="C621" s="148" t="s">
        <v>22647</v>
      </c>
      <c r="D621" s="150">
        <v>44074</v>
      </c>
      <c r="E621" s="113" t="s">
        <v>22646</v>
      </c>
      <c r="G621" s="258">
        <v>31.9</v>
      </c>
      <c r="I621" s="160">
        <f t="shared" si="9"/>
        <v>108701.2300000001</v>
      </c>
    </row>
    <row r="622" spans="2:9" hidden="1" x14ac:dyDescent="0.25">
      <c r="B622" s="148"/>
      <c r="C622" s="148" t="s">
        <v>22645</v>
      </c>
      <c r="D622" s="150">
        <v>44074</v>
      </c>
      <c r="E622" s="113" t="s">
        <v>22644</v>
      </c>
      <c r="F622" s="257">
        <v>20</v>
      </c>
      <c r="G622" s="255">
        <v>3.36</v>
      </c>
      <c r="I622" s="160">
        <f t="shared" si="9"/>
        <v>108704.5900000001</v>
      </c>
    </row>
    <row r="623" spans="2:9" hidden="1" x14ac:dyDescent="0.25">
      <c r="B623" s="148"/>
      <c r="C623" s="148" t="s">
        <v>22643</v>
      </c>
      <c r="D623" s="150">
        <v>44074</v>
      </c>
      <c r="E623" s="113" t="s">
        <v>22642</v>
      </c>
      <c r="F623" s="257">
        <v>20</v>
      </c>
      <c r="G623" s="255">
        <v>2.31</v>
      </c>
      <c r="I623" s="160">
        <f t="shared" si="9"/>
        <v>108706.9000000001</v>
      </c>
    </row>
    <row r="624" spans="2:9" hidden="1" x14ac:dyDescent="0.25">
      <c r="B624" s="148"/>
      <c r="C624" s="148" t="s">
        <v>22641</v>
      </c>
      <c r="D624" s="150">
        <v>44074</v>
      </c>
      <c r="E624" s="113" t="s">
        <v>22640</v>
      </c>
      <c r="F624" s="257">
        <v>20</v>
      </c>
      <c r="G624" s="255">
        <v>1.74</v>
      </c>
      <c r="I624" s="160">
        <f t="shared" si="9"/>
        <v>108708.6400000001</v>
      </c>
    </row>
    <row r="625" spans="2:9" hidden="1" x14ac:dyDescent="0.25">
      <c r="B625" s="148"/>
      <c r="C625" s="148" t="s">
        <v>22639</v>
      </c>
      <c r="D625" s="150">
        <v>44074</v>
      </c>
      <c r="E625" s="113" t="s">
        <v>22638</v>
      </c>
      <c r="F625" s="257">
        <v>20</v>
      </c>
      <c r="G625" s="255">
        <v>1.78</v>
      </c>
      <c r="I625" s="160">
        <f t="shared" si="9"/>
        <v>108710.4200000001</v>
      </c>
    </row>
    <row r="626" spans="2:9" hidden="1" x14ac:dyDescent="0.25">
      <c r="B626" s="148"/>
      <c r="C626" s="148" t="s">
        <v>22637</v>
      </c>
      <c r="D626" s="150">
        <v>44074</v>
      </c>
      <c r="E626" s="113" t="s">
        <v>22636</v>
      </c>
      <c r="F626" s="257">
        <v>20</v>
      </c>
      <c r="G626" s="255">
        <v>12.3</v>
      </c>
      <c r="I626" s="160">
        <f t="shared" si="9"/>
        <v>108722.7200000001</v>
      </c>
    </row>
    <row r="627" spans="2:9" hidden="1" x14ac:dyDescent="0.25">
      <c r="B627" s="148"/>
      <c r="C627" s="148" t="s">
        <v>22635</v>
      </c>
      <c r="D627" s="150">
        <v>44074</v>
      </c>
      <c r="E627" s="113" t="s">
        <v>22634</v>
      </c>
      <c r="F627" s="257">
        <v>20</v>
      </c>
      <c r="G627" s="255">
        <v>12.3</v>
      </c>
      <c r="I627" s="160">
        <f t="shared" si="9"/>
        <v>108735.02000000011</v>
      </c>
    </row>
    <row r="628" spans="2:9" hidden="1" x14ac:dyDescent="0.25">
      <c r="B628" s="148"/>
      <c r="C628" s="148" t="s">
        <v>22633</v>
      </c>
      <c r="D628" s="150">
        <v>44074</v>
      </c>
      <c r="E628" s="113" t="s">
        <v>22632</v>
      </c>
      <c r="F628" s="257">
        <v>20</v>
      </c>
      <c r="G628" s="255">
        <v>2.34</v>
      </c>
      <c r="I628" s="160">
        <f t="shared" si="9"/>
        <v>108737.3600000001</v>
      </c>
    </row>
    <row r="629" spans="2:9" hidden="1" x14ac:dyDescent="0.25">
      <c r="B629" s="148"/>
      <c r="C629" s="148" t="s">
        <v>22631</v>
      </c>
      <c r="D629" s="150">
        <v>44074</v>
      </c>
      <c r="E629" s="113" t="s">
        <v>22630</v>
      </c>
      <c r="F629" s="257">
        <v>20</v>
      </c>
      <c r="G629" s="255">
        <v>5.53</v>
      </c>
      <c r="I629" s="160">
        <f t="shared" si="9"/>
        <v>108742.8900000001</v>
      </c>
    </row>
    <row r="630" spans="2:9" hidden="1" x14ac:dyDescent="0.25">
      <c r="B630" s="148"/>
      <c r="C630" s="148" t="s">
        <v>22629</v>
      </c>
      <c r="D630" s="150">
        <v>44074</v>
      </c>
      <c r="E630" s="113" t="s">
        <v>22628</v>
      </c>
      <c r="F630" s="257">
        <v>20</v>
      </c>
      <c r="G630" s="255">
        <v>8.89</v>
      </c>
      <c r="I630" s="160">
        <f t="shared" si="9"/>
        <v>108751.7800000001</v>
      </c>
    </row>
    <row r="631" spans="2:9" hidden="1" x14ac:dyDescent="0.25">
      <c r="B631" s="148"/>
      <c r="C631" s="148" t="s">
        <v>22627</v>
      </c>
      <c r="D631" s="150">
        <v>44074</v>
      </c>
      <c r="E631" s="113" t="s">
        <v>22626</v>
      </c>
      <c r="F631" s="257" t="s">
        <v>14436</v>
      </c>
      <c r="G631" s="160">
        <v>14.5</v>
      </c>
      <c r="I631" s="160">
        <f t="shared" si="9"/>
        <v>108766.2800000001</v>
      </c>
    </row>
    <row r="632" spans="2:9" hidden="1" x14ac:dyDescent="0.25">
      <c r="B632" s="148"/>
      <c r="C632" s="148" t="s">
        <v>22625</v>
      </c>
      <c r="D632" s="150">
        <v>44074</v>
      </c>
      <c r="E632" s="113" t="s">
        <v>22624</v>
      </c>
      <c r="F632" s="257" t="s">
        <v>14436</v>
      </c>
      <c r="G632" s="160">
        <v>15.66</v>
      </c>
      <c r="I632" s="160">
        <f t="shared" si="9"/>
        <v>108781.9400000001</v>
      </c>
    </row>
    <row r="633" spans="2:9" ht="19.5" hidden="1" x14ac:dyDescent="0.25">
      <c r="B633" s="148"/>
      <c r="C633" s="148" t="s">
        <v>22623</v>
      </c>
      <c r="D633" s="150">
        <v>44074</v>
      </c>
      <c r="E633" s="113" t="s">
        <v>22622</v>
      </c>
      <c r="F633" s="257" t="s">
        <v>14433</v>
      </c>
      <c r="H633" s="161">
        <v>55.48</v>
      </c>
      <c r="I633" s="160">
        <f t="shared" si="9"/>
        <v>108726.46000000011</v>
      </c>
    </row>
    <row r="634" spans="2:9" ht="19.5" hidden="1" x14ac:dyDescent="0.25">
      <c r="B634" s="148"/>
      <c r="C634" s="148" t="s">
        <v>22621</v>
      </c>
      <c r="D634" s="150">
        <v>44074</v>
      </c>
      <c r="E634" s="113" t="s">
        <v>22620</v>
      </c>
      <c r="F634" s="257" t="s">
        <v>14433</v>
      </c>
      <c r="H634" s="161">
        <v>1607.47</v>
      </c>
      <c r="I634" s="160">
        <f t="shared" si="9"/>
        <v>107118.99000000011</v>
      </c>
    </row>
    <row r="635" spans="2:9" ht="19.5" hidden="1" x14ac:dyDescent="0.25">
      <c r="B635" s="148"/>
      <c r="C635" s="148" t="s">
        <v>22619</v>
      </c>
      <c r="D635" s="150">
        <v>44074</v>
      </c>
      <c r="E635" s="113" t="s">
        <v>22618</v>
      </c>
      <c r="F635" s="257" t="s">
        <v>14433</v>
      </c>
      <c r="H635" s="161">
        <v>600</v>
      </c>
      <c r="I635" s="160">
        <f t="shared" si="9"/>
        <v>106518.99000000011</v>
      </c>
    </row>
    <row r="636" spans="2:9" hidden="1" x14ac:dyDescent="0.25">
      <c r="B636" s="148"/>
      <c r="C636" s="148" t="s">
        <v>22617</v>
      </c>
      <c r="D636" s="150">
        <v>44074</v>
      </c>
      <c r="E636" s="113" t="s">
        <v>22616</v>
      </c>
      <c r="F636" s="257" t="s">
        <v>14433</v>
      </c>
      <c r="H636" s="161">
        <v>3085.89</v>
      </c>
      <c r="I636" s="160">
        <f t="shared" si="9"/>
        <v>103433.10000000011</v>
      </c>
    </row>
    <row r="637" spans="2:9" x14ac:dyDescent="0.25">
      <c r="B637" s="109"/>
      <c r="C637" s="109" t="s">
        <v>323</v>
      </c>
      <c r="D637" s="151">
        <v>88763.56</v>
      </c>
      <c r="E637" s="313" t="s">
        <v>322</v>
      </c>
      <c r="F637" s="318"/>
      <c r="H637" s="153" t="s">
        <v>320</v>
      </c>
      <c r="I637" s="162">
        <f>+I636</f>
        <v>103433.10000000011</v>
      </c>
    </row>
    <row r="640" spans="2:9" x14ac:dyDescent="0.25">
      <c r="E640" s="114" t="s">
        <v>319</v>
      </c>
      <c r="I640" s="158" t="s">
        <v>318</v>
      </c>
    </row>
  </sheetData>
  <autoFilter ref="A17:K637" xr:uid="{9D8A7266-4E8B-4C21-BDCF-C9E57D13520A}">
    <filterColumn colId="5">
      <filters blank="1"/>
    </filterColumn>
  </autoFilter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89596-C9BE-43BE-81DB-6FC369C6926D}">
  <sheetPr>
    <pageSetUpPr fitToPage="1"/>
  </sheetPr>
  <dimension ref="A1:G205"/>
  <sheetViews>
    <sheetView topLeftCell="A43" workbookViewId="0">
      <selection activeCell="A60" sqref="A60:XFD61"/>
    </sheetView>
  </sheetViews>
  <sheetFormatPr baseColWidth="10" defaultColWidth="11.5703125" defaultRowHeight="15.75" x14ac:dyDescent="0.25"/>
  <cols>
    <col min="1" max="1" width="11.5703125" style="137"/>
    <col min="2" max="2" width="45.42578125" style="215" customWidth="1"/>
    <col min="3" max="3" width="7.7109375" style="142" customWidth="1"/>
    <col min="4" max="4" width="13.7109375" style="137" bestFit="1" customWidth="1"/>
    <col min="5" max="5" width="17.28515625" style="137" bestFit="1" customWidth="1"/>
    <col min="6" max="6" width="10.42578125" style="137" bestFit="1" customWidth="1"/>
    <col min="7" max="7" width="10.7109375" style="137" customWidth="1"/>
    <col min="8" max="16384" width="11.5703125" style="137"/>
  </cols>
  <sheetData>
    <row r="1" spans="1:6" x14ac:dyDescent="0.25">
      <c r="A1" s="384" t="s">
        <v>5917</v>
      </c>
      <c r="B1" s="384"/>
      <c r="C1" s="384"/>
      <c r="D1" s="384"/>
      <c r="E1" s="384"/>
      <c r="F1" s="384"/>
    </row>
    <row r="2" spans="1:6" x14ac:dyDescent="0.25">
      <c r="A2" s="123" t="s">
        <v>2772</v>
      </c>
      <c r="B2" s="123" t="s">
        <v>2773</v>
      </c>
      <c r="C2" s="208" t="s">
        <v>11</v>
      </c>
      <c r="D2" s="123" t="s">
        <v>2774</v>
      </c>
      <c r="E2" s="123" t="s">
        <v>7</v>
      </c>
      <c r="F2" s="123" t="s">
        <v>2775</v>
      </c>
    </row>
    <row r="3" spans="1:6" x14ac:dyDescent="0.25">
      <c r="A3" s="203" t="str">
        <f>"3909981"</f>
        <v>3909981</v>
      </c>
      <c r="B3" s="207" t="s">
        <v>2845</v>
      </c>
      <c r="C3" s="209">
        <v>1.9</v>
      </c>
      <c r="D3" s="203">
        <v>334391</v>
      </c>
      <c r="E3" s="205">
        <v>44046.769166666665</v>
      </c>
      <c r="F3" s="123">
        <v>9320</v>
      </c>
    </row>
    <row r="4" spans="1:6" x14ac:dyDescent="0.25">
      <c r="A4" s="203" t="str">
        <f>"3909223"</f>
        <v>3909223</v>
      </c>
      <c r="B4" s="207" t="s">
        <v>2846</v>
      </c>
      <c r="C4" s="209">
        <v>2.27</v>
      </c>
      <c r="D4" s="203">
        <v>335264</v>
      </c>
      <c r="E4" s="205">
        <v>44046.769166666665</v>
      </c>
      <c r="F4" s="123">
        <v>9321</v>
      </c>
    </row>
    <row r="5" spans="1:6" x14ac:dyDescent="0.25">
      <c r="A5" s="203" t="str">
        <f>"3960256"</f>
        <v>3960256</v>
      </c>
      <c r="B5" s="207" t="s">
        <v>2843</v>
      </c>
      <c r="C5" s="209">
        <v>17.899999999999999</v>
      </c>
      <c r="D5" s="203">
        <v>333891</v>
      </c>
      <c r="E5" s="205">
        <v>44046.769166666665</v>
      </c>
      <c r="F5" s="123">
        <v>9322</v>
      </c>
    </row>
    <row r="6" spans="1:6" x14ac:dyDescent="0.25">
      <c r="A6" s="203" t="str">
        <f>"3900676"</f>
        <v>3900676</v>
      </c>
      <c r="B6" s="207" t="s">
        <v>5795</v>
      </c>
      <c r="C6" s="209">
        <v>1.68</v>
      </c>
      <c r="D6" s="203">
        <v>336053</v>
      </c>
      <c r="E6" s="205">
        <v>44046.769166666665</v>
      </c>
      <c r="F6" s="123">
        <v>9323</v>
      </c>
    </row>
    <row r="7" spans="1:6" x14ac:dyDescent="0.25">
      <c r="A7" s="203" t="str">
        <f>"3945262"</f>
        <v>3945262</v>
      </c>
      <c r="B7" s="207" t="s">
        <v>2857</v>
      </c>
      <c r="C7" s="209">
        <v>3.36</v>
      </c>
      <c r="D7" s="203">
        <v>334115</v>
      </c>
      <c r="E7" s="205">
        <v>44046.769166666665</v>
      </c>
      <c r="F7" s="123">
        <v>9324</v>
      </c>
    </row>
    <row r="8" spans="1:6" x14ac:dyDescent="0.25">
      <c r="A8" s="203" t="str">
        <f>"3940013"</f>
        <v>3940013</v>
      </c>
      <c r="B8" s="207" t="s">
        <v>2854</v>
      </c>
      <c r="C8" s="209">
        <v>8.3800000000000008</v>
      </c>
      <c r="D8" s="203">
        <v>333874</v>
      </c>
      <c r="E8" s="205">
        <v>44046.769166666665</v>
      </c>
      <c r="F8" s="123">
        <v>9325</v>
      </c>
    </row>
    <row r="9" spans="1:6" x14ac:dyDescent="0.25">
      <c r="A9" s="203" t="str">
        <f>"3950041"</f>
        <v>3950041</v>
      </c>
      <c r="B9" s="207" t="s">
        <v>2850</v>
      </c>
      <c r="C9" s="209">
        <v>4.1900000000000004</v>
      </c>
      <c r="D9" s="203">
        <v>333894</v>
      </c>
      <c r="E9" s="205">
        <v>44046.769166666665</v>
      </c>
      <c r="F9" s="123">
        <v>9326</v>
      </c>
    </row>
    <row r="10" spans="1:6" x14ac:dyDescent="0.25">
      <c r="A10" s="203" t="str">
        <f>"3903282"</f>
        <v>3903282</v>
      </c>
      <c r="B10" s="207" t="s">
        <v>2847</v>
      </c>
      <c r="C10" s="209">
        <v>1.68</v>
      </c>
      <c r="D10" s="203">
        <v>335809</v>
      </c>
      <c r="E10" s="205">
        <v>44046.769166666665</v>
      </c>
      <c r="F10" s="123">
        <v>9327</v>
      </c>
    </row>
    <row r="11" spans="1:6" x14ac:dyDescent="0.25">
      <c r="A11" s="203" t="str">
        <f>"3950328"</f>
        <v>3950328</v>
      </c>
      <c r="B11" s="207" t="s">
        <v>2848</v>
      </c>
      <c r="C11" s="209">
        <v>8.3800000000000008</v>
      </c>
      <c r="D11" s="203">
        <v>334045</v>
      </c>
      <c r="E11" s="205">
        <v>44046.769166666665</v>
      </c>
      <c r="F11" s="123">
        <v>9328</v>
      </c>
    </row>
    <row r="12" spans="1:6" x14ac:dyDescent="0.25">
      <c r="A12" s="203" t="str">
        <f>"3900963"</f>
        <v>3900963</v>
      </c>
      <c r="B12" s="207" t="s">
        <v>5796</v>
      </c>
      <c r="C12" s="209">
        <v>2.56</v>
      </c>
      <c r="D12" s="203">
        <v>334476</v>
      </c>
      <c r="E12" s="205">
        <v>44046.769166666665</v>
      </c>
      <c r="F12" s="123">
        <v>9329</v>
      </c>
    </row>
    <row r="13" spans="1:6" x14ac:dyDescent="0.25">
      <c r="A13" s="203" t="str">
        <f>"3960264"</f>
        <v>3960264</v>
      </c>
      <c r="B13" s="207" t="s">
        <v>2858</v>
      </c>
      <c r="C13" s="209">
        <v>7.82</v>
      </c>
      <c r="D13" s="203">
        <v>333880</v>
      </c>
      <c r="E13" s="205">
        <v>44046.769166666665</v>
      </c>
      <c r="F13" s="123">
        <v>9330</v>
      </c>
    </row>
    <row r="14" spans="1:6" x14ac:dyDescent="0.25">
      <c r="A14" s="203" t="str">
        <f>"3960232"</f>
        <v>3960232</v>
      </c>
      <c r="B14" s="207" t="s">
        <v>2859</v>
      </c>
      <c r="C14" s="209">
        <v>12.3</v>
      </c>
      <c r="D14" s="203">
        <v>333964</v>
      </c>
      <c r="E14" s="205">
        <v>44046.769166666665</v>
      </c>
      <c r="F14" s="123">
        <v>9331</v>
      </c>
    </row>
    <row r="15" spans="1:6" x14ac:dyDescent="0.25">
      <c r="A15" s="203" t="str">
        <f>"3903098"</f>
        <v>3903098</v>
      </c>
      <c r="B15" s="207" t="s">
        <v>2849</v>
      </c>
      <c r="C15" s="209">
        <v>3.47</v>
      </c>
      <c r="D15" s="203">
        <v>334231</v>
      </c>
      <c r="E15" s="205">
        <v>44046.769166666665</v>
      </c>
      <c r="F15" s="123">
        <v>9332</v>
      </c>
    </row>
    <row r="16" spans="1:6" x14ac:dyDescent="0.25">
      <c r="A16" s="203" t="str">
        <f>"3906324"</f>
        <v>3906324</v>
      </c>
      <c r="B16" s="207" t="s">
        <v>2855</v>
      </c>
      <c r="C16" s="209">
        <v>5.21</v>
      </c>
      <c r="D16" s="203">
        <v>334136</v>
      </c>
      <c r="E16" s="205">
        <v>44046.769166666665</v>
      </c>
      <c r="F16" s="123">
        <v>9333</v>
      </c>
    </row>
    <row r="17" spans="1:6" x14ac:dyDescent="0.25">
      <c r="A17" s="203" t="str">
        <f>"3920281"</f>
        <v>3920281</v>
      </c>
      <c r="B17" s="207" t="s">
        <v>2851</v>
      </c>
      <c r="C17" s="209">
        <v>7.82</v>
      </c>
      <c r="D17" s="203">
        <v>333870</v>
      </c>
      <c r="E17" s="205">
        <v>44046.769166666665</v>
      </c>
      <c r="F17" s="123">
        <v>9334</v>
      </c>
    </row>
    <row r="18" spans="1:6" x14ac:dyDescent="0.25">
      <c r="A18" s="203" t="str">
        <f>"3908927"</f>
        <v>3908927</v>
      </c>
      <c r="B18" s="207" t="s">
        <v>2852</v>
      </c>
      <c r="C18" s="209">
        <v>1.68</v>
      </c>
      <c r="D18" s="203">
        <v>334645</v>
      </c>
      <c r="E18" s="205">
        <v>44046.769166666665</v>
      </c>
      <c r="F18" s="123">
        <v>9335</v>
      </c>
    </row>
    <row r="19" spans="1:6" x14ac:dyDescent="0.25">
      <c r="A19" s="203" t="str">
        <f>"3945272"</f>
        <v>3945272</v>
      </c>
      <c r="B19" s="207" t="s">
        <v>2853</v>
      </c>
      <c r="C19" s="209">
        <v>4.1900000000000004</v>
      </c>
      <c r="D19" s="203">
        <v>334112</v>
      </c>
      <c r="E19" s="205">
        <v>44046.769166666665</v>
      </c>
      <c r="F19" s="123">
        <v>9336</v>
      </c>
    </row>
    <row r="20" spans="1:6" x14ac:dyDescent="0.25">
      <c r="A20" s="203" t="str">
        <f>"3901113"</f>
        <v>3901113</v>
      </c>
      <c r="B20" s="207" t="s">
        <v>2856</v>
      </c>
      <c r="C20" s="209">
        <v>3.89</v>
      </c>
      <c r="D20" s="203">
        <v>334672</v>
      </c>
      <c r="E20" s="205">
        <v>44046.769166666665</v>
      </c>
      <c r="F20" s="123">
        <v>9337</v>
      </c>
    </row>
    <row r="21" spans="1:6" x14ac:dyDescent="0.25">
      <c r="A21" s="203" t="str">
        <f>"3902750"</f>
        <v>3902750</v>
      </c>
      <c r="B21" s="207" t="s">
        <v>2824</v>
      </c>
      <c r="C21" s="209">
        <v>12.89</v>
      </c>
      <c r="D21" s="203">
        <v>334099</v>
      </c>
      <c r="E21" s="205">
        <v>44046.769166666665</v>
      </c>
      <c r="F21" s="123">
        <v>9338</v>
      </c>
    </row>
    <row r="22" spans="1:6" x14ac:dyDescent="0.25">
      <c r="A22" s="203" t="str">
        <f>"3903127"</f>
        <v>3903127</v>
      </c>
      <c r="B22" s="207" t="s">
        <v>2840</v>
      </c>
      <c r="C22" s="209">
        <v>1.68</v>
      </c>
      <c r="D22" s="203">
        <v>334301</v>
      </c>
      <c r="E22" s="205">
        <v>44046.769166666665</v>
      </c>
      <c r="F22" s="123">
        <v>9339</v>
      </c>
    </row>
    <row r="23" spans="1:6" x14ac:dyDescent="0.25">
      <c r="A23" s="203" t="str">
        <f>"3945105"</f>
        <v>3945105</v>
      </c>
      <c r="B23" s="207" t="s">
        <v>5750</v>
      </c>
      <c r="C23" s="209">
        <v>8.3800000000000008</v>
      </c>
      <c r="D23" s="203">
        <v>333970</v>
      </c>
      <c r="E23" s="205">
        <v>44046.769166666665</v>
      </c>
      <c r="F23" s="123">
        <v>9340</v>
      </c>
    </row>
    <row r="24" spans="1:6" x14ac:dyDescent="0.25">
      <c r="A24" s="203" t="str">
        <f>"3907541"</f>
        <v>3907541</v>
      </c>
      <c r="B24" s="207" t="s">
        <v>2841</v>
      </c>
      <c r="C24" s="209">
        <v>8.2799999999999994</v>
      </c>
      <c r="D24" s="203">
        <v>334323</v>
      </c>
      <c r="E24" s="205">
        <v>44046.769166666665</v>
      </c>
      <c r="F24" s="123">
        <v>9341</v>
      </c>
    </row>
    <row r="25" spans="1:6" x14ac:dyDescent="0.25">
      <c r="A25" s="203" t="str">
        <f>"3909936"</f>
        <v>3909936</v>
      </c>
      <c r="B25" s="207" t="s">
        <v>2820</v>
      </c>
      <c r="C25" s="209">
        <v>4.55</v>
      </c>
      <c r="D25" s="203">
        <v>334465</v>
      </c>
      <c r="E25" s="205">
        <v>44046.769166666665</v>
      </c>
      <c r="F25" s="123">
        <v>9342</v>
      </c>
    </row>
    <row r="26" spans="1:6" x14ac:dyDescent="0.25">
      <c r="A26" s="203" t="str">
        <f>"3960212"</f>
        <v>3960212</v>
      </c>
      <c r="B26" s="207" t="s">
        <v>2837</v>
      </c>
      <c r="C26" s="209">
        <v>7.82</v>
      </c>
      <c r="D26" s="203">
        <v>333922</v>
      </c>
      <c r="E26" s="205">
        <v>44046.769166666665</v>
      </c>
      <c r="F26" s="123">
        <v>9343</v>
      </c>
    </row>
    <row r="27" spans="1:6" x14ac:dyDescent="0.25">
      <c r="A27" s="203" t="str">
        <f>"3903061"</f>
        <v>3903061</v>
      </c>
      <c r="B27" s="207" t="s">
        <v>2832</v>
      </c>
      <c r="C27" s="209">
        <v>6.94</v>
      </c>
      <c r="D27" s="203">
        <v>334221</v>
      </c>
      <c r="E27" s="205">
        <v>44046.769166666665</v>
      </c>
      <c r="F27" s="123">
        <v>9344</v>
      </c>
    </row>
    <row r="28" spans="1:6" x14ac:dyDescent="0.25">
      <c r="A28" s="203" t="str">
        <f>"3909039"</f>
        <v>3909039</v>
      </c>
      <c r="B28" s="207" t="s">
        <v>2833</v>
      </c>
      <c r="C28" s="209">
        <v>1.68</v>
      </c>
      <c r="D28" s="203">
        <v>334930</v>
      </c>
      <c r="E28" s="205">
        <v>44046.769166666665</v>
      </c>
      <c r="F28" s="123">
        <v>9345</v>
      </c>
    </row>
    <row r="29" spans="1:6" x14ac:dyDescent="0.25">
      <c r="A29" s="203" t="str">
        <f>"3945435"</f>
        <v>3945435</v>
      </c>
      <c r="B29" s="207" t="s">
        <v>2834</v>
      </c>
      <c r="C29" s="209">
        <v>8.3800000000000008</v>
      </c>
      <c r="D29" s="203">
        <v>334011</v>
      </c>
      <c r="E29" s="205">
        <v>44046.769166666665</v>
      </c>
      <c r="F29" s="123">
        <v>9346</v>
      </c>
    </row>
    <row r="30" spans="1:6" x14ac:dyDescent="0.25">
      <c r="A30" s="203" t="str">
        <f>"3903364"</f>
        <v>3903364</v>
      </c>
      <c r="B30" s="207" t="s">
        <v>2825</v>
      </c>
      <c r="C30" s="209">
        <v>11.7</v>
      </c>
      <c r="D30" s="203">
        <v>334604</v>
      </c>
      <c r="E30" s="205">
        <v>44046.769166666665</v>
      </c>
      <c r="F30" s="123">
        <v>9347</v>
      </c>
    </row>
    <row r="31" spans="1:6" x14ac:dyDescent="0.25">
      <c r="A31" s="203" t="str">
        <f>"3960315"</f>
        <v>3960315</v>
      </c>
      <c r="B31" s="207" t="s">
        <v>2826</v>
      </c>
      <c r="C31" s="209">
        <v>7.03</v>
      </c>
      <c r="D31" s="203">
        <v>334041</v>
      </c>
      <c r="E31" s="205">
        <v>44046.769166666665</v>
      </c>
      <c r="F31" s="123">
        <v>9348</v>
      </c>
    </row>
    <row r="32" spans="1:6" x14ac:dyDescent="0.25">
      <c r="A32" s="203" t="str">
        <f>"3900349"</f>
        <v>3900349</v>
      </c>
      <c r="B32" s="207" t="s">
        <v>2827</v>
      </c>
      <c r="C32" s="209">
        <v>4</v>
      </c>
      <c r="D32" s="203">
        <v>335445</v>
      </c>
      <c r="E32" s="205">
        <v>44046.769166666665</v>
      </c>
      <c r="F32" s="123">
        <v>9349</v>
      </c>
    </row>
    <row r="33" spans="1:7" x14ac:dyDescent="0.25">
      <c r="A33" s="203" t="str">
        <f>"3945284"</f>
        <v>3945284</v>
      </c>
      <c r="B33" s="207" t="s">
        <v>2842</v>
      </c>
      <c r="C33" s="209">
        <v>38.11</v>
      </c>
      <c r="D33" s="203">
        <v>334114</v>
      </c>
      <c r="E33" s="205">
        <v>44046.769166666665</v>
      </c>
      <c r="F33" s="123">
        <v>9350</v>
      </c>
      <c r="G33" s="216"/>
    </row>
    <row r="34" spans="1:7" x14ac:dyDescent="0.25">
      <c r="A34" s="203" t="str">
        <f>"3945102"</f>
        <v>3945102</v>
      </c>
      <c r="B34" s="207" t="s">
        <v>2835</v>
      </c>
      <c r="C34" s="209">
        <v>8.3800000000000008</v>
      </c>
      <c r="D34" s="203">
        <v>333963</v>
      </c>
      <c r="E34" s="205">
        <v>44046.769166666665</v>
      </c>
      <c r="F34" s="123">
        <v>9351</v>
      </c>
    </row>
    <row r="35" spans="1:7" x14ac:dyDescent="0.25">
      <c r="A35" s="203" t="str">
        <f>"3907239"</f>
        <v>3907239</v>
      </c>
      <c r="B35" s="207" t="s">
        <v>2836</v>
      </c>
      <c r="C35" s="209">
        <v>6.94</v>
      </c>
      <c r="D35" s="203">
        <v>334208</v>
      </c>
      <c r="E35" s="205">
        <v>44046.769166666665</v>
      </c>
      <c r="F35" s="123">
        <v>9352</v>
      </c>
    </row>
    <row r="36" spans="1:7" x14ac:dyDescent="0.25">
      <c r="A36" s="203" t="str">
        <f>"3900568"</f>
        <v>3900568</v>
      </c>
      <c r="B36" s="207" t="s">
        <v>5849</v>
      </c>
      <c r="C36" s="209">
        <v>1.92</v>
      </c>
      <c r="D36" s="203">
        <v>335530</v>
      </c>
      <c r="E36" s="205">
        <v>44046.769166666665</v>
      </c>
      <c r="F36" s="123">
        <v>9353</v>
      </c>
    </row>
    <row r="37" spans="1:7" x14ac:dyDescent="0.25">
      <c r="A37" s="203" t="str">
        <f>"3901398"</f>
        <v>3901398</v>
      </c>
      <c r="B37" s="207" t="s">
        <v>2829</v>
      </c>
      <c r="C37" s="209">
        <v>4.46</v>
      </c>
      <c r="D37" s="203">
        <v>335611</v>
      </c>
      <c r="E37" s="205">
        <v>44046.769166666665</v>
      </c>
      <c r="F37" s="123">
        <v>9354</v>
      </c>
    </row>
    <row r="38" spans="1:7" x14ac:dyDescent="0.25">
      <c r="A38" s="203" t="str">
        <f>"3902419"</f>
        <v>3902419</v>
      </c>
      <c r="B38" s="207" t="s">
        <v>2821</v>
      </c>
      <c r="C38" s="209">
        <v>9.5299999999999994</v>
      </c>
      <c r="D38" s="203">
        <v>335189</v>
      </c>
      <c r="E38" s="205">
        <v>44046.769166666665</v>
      </c>
      <c r="F38" s="123">
        <v>9355</v>
      </c>
    </row>
    <row r="39" spans="1:7" x14ac:dyDescent="0.25">
      <c r="A39" s="203" t="str">
        <f>"3906802"</f>
        <v>3906802</v>
      </c>
      <c r="B39" s="207" t="s">
        <v>2822</v>
      </c>
      <c r="C39" s="209">
        <v>1.77</v>
      </c>
      <c r="D39" s="203">
        <v>335048</v>
      </c>
      <c r="E39" s="205">
        <v>44046.769166666665</v>
      </c>
      <c r="F39" s="123">
        <v>9356</v>
      </c>
    </row>
    <row r="40" spans="1:7" x14ac:dyDescent="0.25">
      <c r="A40" s="203" t="str">
        <f>"3903467"</f>
        <v>3903467</v>
      </c>
      <c r="B40" s="207" t="s">
        <v>2823</v>
      </c>
      <c r="C40" s="209">
        <v>3.88</v>
      </c>
      <c r="D40" s="203">
        <v>334551</v>
      </c>
      <c r="E40" s="205">
        <v>44046.769166666665</v>
      </c>
      <c r="F40" s="123">
        <v>9357</v>
      </c>
    </row>
    <row r="41" spans="1:7" x14ac:dyDescent="0.25">
      <c r="A41" s="203" t="str">
        <f>"3960277"</f>
        <v>3960277</v>
      </c>
      <c r="B41" s="207" t="s">
        <v>2838</v>
      </c>
      <c r="C41" s="209">
        <v>10.52</v>
      </c>
      <c r="D41" s="203">
        <v>333908</v>
      </c>
      <c r="E41" s="205">
        <v>44046.769166666665</v>
      </c>
      <c r="F41" s="123">
        <v>9358</v>
      </c>
    </row>
    <row r="42" spans="1:7" x14ac:dyDescent="0.25">
      <c r="A42" s="203" t="str">
        <f>"3950033"</f>
        <v>3950033</v>
      </c>
      <c r="B42" s="207" t="s">
        <v>2828</v>
      </c>
      <c r="C42" s="209">
        <v>8.3800000000000008</v>
      </c>
      <c r="D42" s="203">
        <v>333895</v>
      </c>
      <c r="E42" s="205">
        <v>44046.769166666665</v>
      </c>
      <c r="F42" s="123">
        <v>9359</v>
      </c>
    </row>
    <row r="43" spans="1:7" x14ac:dyDescent="0.25">
      <c r="A43" s="203" t="str">
        <f>"3945221"</f>
        <v>3945221</v>
      </c>
      <c r="B43" s="207" t="s">
        <v>5751</v>
      </c>
      <c r="C43" s="209">
        <v>3.36</v>
      </c>
      <c r="D43" s="203">
        <v>334095</v>
      </c>
      <c r="E43" s="205">
        <v>44046.769166666665</v>
      </c>
      <c r="F43" s="123">
        <v>9360</v>
      </c>
    </row>
    <row r="44" spans="1:7" x14ac:dyDescent="0.25">
      <c r="A44" s="203" t="str">
        <f>"3945038"</f>
        <v>3945038</v>
      </c>
      <c r="B44" s="207" t="s">
        <v>2867</v>
      </c>
      <c r="C44" s="209">
        <v>15.3</v>
      </c>
      <c r="D44" s="203">
        <v>336298</v>
      </c>
      <c r="E44" s="205">
        <v>44046.769166666665</v>
      </c>
      <c r="F44" s="123">
        <v>9361</v>
      </c>
    </row>
    <row r="45" spans="1:7" x14ac:dyDescent="0.25">
      <c r="A45" s="203" t="str">
        <f>"3909054"</f>
        <v>3909054</v>
      </c>
      <c r="B45" s="207" t="s">
        <v>2864</v>
      </c>
      <c r="C45" s="209">
        <v>1.89</v>
      </c>
      <c r="D45" s="203">
        <v>336523</v>
      </c>
      <c r="E45" s="205">
        <v>44046.769166666665</v>
      </c>
      <c r="F45" s="123">
        <v>9362</v>
      </c>
    </row>
    <row r="46" spans="1:7" x14ac:dyDescent="0.25">
      <c r="A46" s="203" t="str">
        <f>"3900340"</f>
        <v>3900340</v>
      </c>
      <c r="B46" s="207" t="s">
        <v>2865</v>
      </c>
      <c r="C46" s="209">
        <v>15.3</v>
      </c>
      <c r="D46" s="203">
        <v>336294</v>
      </c>
      <c r="E46" s="205">
        <v>44046.769166666665</v>
      </c>
      <c r="F46" s="123">
        <v>9363</v>
      </c>
    </row>
    <row r="47" spans="1:7" x14ac:dyDescent="0.25">
      <c r="A47" s="203" t="str">
        <f>"3900344"</f>
        <v>3900344</v>
      </c>
      <c r="B47" s="207" t="s">
        <v>2865</v>
      </c>
      <c r="C47" s="209">
        <v>15.3</v>
      </c>
      <c r="D47" s="203">
        <v>336295</v>
      </c>
      <c r="E47" s="205">
        <v>44046.769166666665</v>
      </c>
      <c r="F47" s="123">
        <v>9364</v>
      </c>
    </row>
    <row r="48" spans="1:7" x14ac:dyDescent="0.25">
      <c r="A48" s="203" t="str">
        <f>"3900657"</f>
        <v>3900657</v>
      </c>
      <c r="B48" s="207" t="s">
        <v>2865</v>
      </c>
      <c r="C48" s="209">
        <v>15.3</v>
      </c>
      <c r="D48" s="203">
        <v>336293</v>
      </c>
      <c r="E48" s="205">
        <v>44046.769166666665</v>
      </c>
      <c r="F48" s="123">
        <v>9365</v>
      </c>
    </row>
    <row r="49" spans="1:6" x14ac:dyDescent="0.25">
      <c r="A49" s="203" t="str">
        <f>"3930195"</f>
        <v>3930195</v>
      </c>
      <c r="B49" s="207" t="s">
        <v>2866</v>
      </c>
      <c r="C49" s="209">
        <v>1.36</v>
      </c>
      <c r="D49" s="203">
        <v>336560</v>
      </c>
      <c r="E49" s="205">
        <v>44046.769166666665</v>
      </c>
      <c r="F49" s="123">
        <v>9366</v>
      </c>
    </row>
    <row r="50" spans="1:6" x14ac:dyDescent="0.25">
      <c r="A50" s="203" t="str">
        <f>"3901033"</f>
        <v>3901033</v>
      </c>
      <c r="B50" s="207" t="s">
        <v>2868</v>
      </c>
      <c r="C50" s="209">
        <v>30.6</v>
      </c>
      <c r="D50" s="203">
        <v>336304</v>
      </c>
      <c r="E50" s="205">
        <v>44046.769166666665</v>
      </c>
      <c r="F50" s="123">
        <v>9367</v>
      </c>
    </row>
    <row r="51" spans="1:6" x14ac:dyDescent="0.25">
      <c r="A51" s="203" t="str">
        <f>"3907922"</f>
        <v>3907922</v>
      </c>
      <c r="B51" s="207" t="s">
        <v>2860</v>
      </c>
      <c r="C51" s="209">
        <v>1.68</v>
      </c>
      <c r="D51" s="203">
        <v>336519</v>
      </c>
      <c r="E51" s="205">
        <v>44046.769166666665</v>
      </c>
      <c r="F51" s="123">
        <v>9368</v>
      </c>
    </row>
    <row r="52" spans="1:6" x14ac:dyDescent="0.25">
      <c r="A52" s="203" t="str">
        <f>"3906796"</f>
        <v>3906796</v>
      </c>
      <c r="B52" s="207" t="s">
        <v>2861</v>
      </c>
      <c r="C52" s="209">
        <v>2.99</v>
      </c>
      <c r="D52" s="203">
        <v>336537</v>
      </c>
      <c r="E52" s="205">
        <v>44046.769166666665</v>
      </c>
      <c r="F52" s="123">
        <v>9369</v>
      </c>
    </row>
    <row r="53" spans="1:6" x14ac:dyDescent="0.25">
      <c r="A53" s="203" t="str">
        <f>"3908716"</f>
        <v>3908716</v>
      </c>
      <c r="B53" s="207" t="s">
        <v>2862</v>
      </c>
      <c r="C53" s="209">
        <v>32.119999999999997</v>
      </c>
      <c r="D53" s="203">
        <v>336411</v>
      </c>
      <c r="E53" s="205">
        <v>44046.769166666665</v>
      </c>
      <c r="F53" s="123">
        <v>9370</v>
      </c>
    </row>
    <row r="54" spans="1:6" x14ac:dyDescent="0.25">
      <c r="A54" s="203" t="str">
        <f>"3908672"</f>
        <v>3908672</v>
      </c>
      <c r="B54" s="207" t="s">
        <v>2863</v>
      </c>
      <c r="C54" s="209">
        <v>2.06</v>
      </c>
      <c r="D54" s="203">
        <v>336402</v>
      </c>
      <c r="E54" s="205">
        <v>44046.769166666665</v>
      </c>
      <c r="F54" s="123">
        <v>9371</v>
      </c>
    </row>
    <row r="55" spans="1:6" x14ac:dyDescent="0.25">
      <c r="A55" s="203" t="str">
        <f>"3903549"</f>
        <v>3903549</v>
      </c>
      <c r="B55" s="207" t="s">
        <v>2814</v>
      </c>
      <c r="C55" s="209">
        <v>5.49</v>
      </c>
      <c r="D55" s="203">
        <v>334857</v>
      </c>
      <c r="E55" s="205">
        <v>44046.617442129631</v>
      </c>
      <c r="F55" s="123">
        <v>9372</v>
      </c>
    </row>
    <row r="56" spans="1:6" x14ac:dyDescent="0.25">
      <c r="A56" s="203" t="str">
        <f>"3908938"</f>
        <v>3908938</v>
      </c>
      <c r="B56" s="207" t="s">
        <v>5850</v>
      </c>
      <c r="C56" s="209">
        <v>5.84</v>
      </c>
      <c r="D56" s="203">
        <v>334644</v>
      </c>
      <c r="E56" s="205">
        <v>44046.669618055559</v>
      </c>
      <c r="F56" s="123">
        <v>9373</v>
      </c>
    </row>
    <row r="57" spans="1:6" x14ac:dyDescent="0.25">
      <c r="A57" s="203" t="str">
        <f>"23923168"</f>
        <v>23923168</v>
      </c>
      <c r="B57" s="207" t="s">
        <v>5818</v>
      </c>
      <c r="C57" s="209">
        <v>4.3899999999999997</v>
      </c>
      <c r="D57" s="203">
        <v>2350</v>
      </c>
      <c r="E57" s="205">
        <v>44046.689305555556</v>
      </c>
      <c r="F57" s="123">
        <v>9374</v>
      </c>
    </row>
    <row r="58" spans="1:6" x14ac:dyDescent="0.25">
      <c r="A58" s="203" t="str">
        <f>"3960257"</f>
        <v>3960257</v>
      </c>
      <c r="B58" s="207" t="s">
        <v>2880</v>
      </c>
      <c r="C58" s="209">
        <v>16.41</v>
      </c>
      <c r="D58" s="203">
        <v>336290</v>
      </c>
      <c r="E58" s="205">
        <v>44046.705277777779</v>
      </c>
      <c r="F58" s="123">
        <v>9375</v>
      </c>
    </row>
    <row r="59" spans="1:6" x14ac:dyDescent="0.25">
      <c r="A59" s="203" t="str">
        <f>"3960275"</f>
        <v>3960275</v>
      </c>
      <c r="B59" s="207" t="s">
        <v>2880</v>
      </c>
      <c r="C59" s="209">
        <v>34.200000000000003</v>
      </c>
      <c r="D59" s="203">
        <v>336297</v>
      </c>
      <c r="E59" s="205">
        <v>44046.705671296295</v>
      </c>
      <c r="F59" s="123">
        <v>9376</v>
      </c>
    </row>
    <row r="60" spans="1:6" s="164" customFormat="1" x14ac:dyDescent="0.25">
      <c r="A60" s="115"/>
      <c r="B60" s="115" t="s">
        <v>5691</v>
      </c>
      <c r="C60" s="222">
        <f>SUM(C3:C59)</f>
        <v>479.49000000000007</v>
      </c>
      <c r="D60" s="115">
        <v>1</v>
      </c>
      <c r="E60" s="163"/>
      <c r="F60" s="115"/>
    </row>
    <row r="61" spans="1:6" customFormat="1" x14ac:dyDescent="0.25">
      <c r="A61" s="118"/>
      <c r="B61" s="116"/>
      <c r="C61" s="223"/>
      <c r="D61" s="118"/>
      <c r="E61" s="117"/>
      <c r="F61" s="118"/>
    </row>
    <row r="62" spans="1:6" x14ac:dyDescent="0.25">
      <c r="A62" s="203" t="str">
        <f>"3903080"</f>
        <v>3903080</v>
      </c>
      <c r="B62" s="207" t="s">
        <v>5845</v>
      </c>
      <c r="C62" s="209">
        <v>3.37</v>
      </c>
      <c r="D62" s="203">
        <v>335799</v>
      </c>
      <c r="E62" s="205">
        <v>44047.416550925926</v>
      </c>
      <c r="F62" s="123">
        <v>9413</v>
      </c>
    </row>
    <row r="63" spans="1:6" x14ac:dyDescent="0.25">
      <c r="A63" s="203" t="str">
        <f>"3908657"</f>
        <v>3908657</v>
      </c>
      <c r="B63" s="207" t="s">
        <v>5916</v>
      </c>
      <c r="C63" s="209">
        <v>20.97</v>
      </c>
      <c r="D63" s="203">
        <v>335301</v>
      </c>
      <c r="E63" s="205">
        <v>44047.438275462962</v>
      </c>
      <c r="F63" s="123">
        <v>9414</v>
      </c>
    </row>
    <row r="64" spans="1:6" x14ac:dyDescent="0.25">
      <c r="A64" s="203" t="str">
        <f>"3930021"</f>
        <v>3930021</v>
      </c>
      <c r="B64" s="207" t="s">
        <v>5861</v>
      </c>
      <c r="C64" s="209">
        <v>1.68</v>
      </c>
      <c r="D64" s="203">
        <v>334559</v>
      </c>
      <c r="E64" s="205">
        <v>44047.440983796296</v>
      </c>
      <c r="F64" s="123">
        <v>9415</v>
      </c>
    </row>
    <row r="65" spans="1:6" x14ac:dyDescent="0.25">
      <c r="A65" s="203" t="str">
        <f>"3909154"</f>
        <v>3909154</v>
      </c>
      <c r="B65" s="207" t="s">
        <v>5832</v>
      </c>
      <c r="C65" s="209">
        <v>43.85</v>
      </c>
      <c r="D65" s="203">
        <v>336559</v>
      </c>
      <c r="E65" s="205">
        <v>44047.478125000001</v>
      </c>
      <c r="F65" s="123">
        <v>9416</v>
      </c>
    </row>
    <row r="66" spans="1:6" x14ac:dyDescent="0.25">
      <c r="A66" s="203" t="str">
        <f>"3945455"</f>
        <v>3945455</v>
      </c>
      <c r="B66" s="207" t="s">
        <v>5915</v>
      </c>
      <c r="C66" s="209">
        <v>10.56</v>
      </c>
      <c r="D66" s="203">
        <v>334013</v>
      </c>
      <c r="E66" s="205">
        <v>44047.504884259259</v>
      </c>
      <c r="F66" s="123">
        <v>9417</v>
      </c>
    </row>
    <row r="67" spans="1:6" x14ac:dyDescent="0.25">
      <c r="A67" s="203" t="str">
        <f>"3909033"</f>
        <v>3909033</v>
      </c>
      <c r="B67" s="207" t="s">
        <v>2812</v>
      </c>
      <c r="C67" s="209">
        <v>1.68</v>
      </c>
      <c r="D67" s="203">
        <v>335103</v>
      </c>
      <c r="E67" s="205">
        <v>44047.652187500003</v>
      </c>
      <c r="F67" s="123">
        <v>9418</v>
      </c>
    </row>
    <row r="68" spans="1:6" x14ac:dyDescent="0.25">
      <c r="A68" s="203" t="str">
        <f>"3907238"</f>
        <v>3907238</v>
      </c>
      <c r="B68" s="207" t="s">
        <v>5823</v>
      </c>
      <c r="C68" s="209">
        <v>6.94</v>
      </c>
      <c r="D68" s="203">
        <v>334210</v>
      </c>
      <c r="E68" s="205">
        <v>44047.783171296294</v>
      </c>
      <c r="F68" s="123">
        <v>9419</v>
      </c>
    </row>
    <row r="69" spans="1:6" s="164" customFormat="1" x14ac:dyDescent="0.25">
      <c r="A69" s="115"/>
      <c r="B69" s="115" t="s">
        <v>5691</v>
      </c>
      <c r="C69" s="222">
        <f>SUM(C62:C68)</f>
        <v>89.050000000000011</v>
      </c>
      <c r="D69" s="115">
        <v>2</v>
      </c>
      <c r="E69" s="163"/>
      <c r="F69" s="115"/>
    </row>
    <row r="70" spans="1:6" customFormat="1" x14ac:dyDescent="0.25">
      <c r="A70" s="118"/>
      <c r="B70" s="116"/>
      <c r="C70" s="223"/>
      <c r="D70" s="118"/>
      <c r="E70" s="117"/>
      <c r="F70" s="118"/>
    </row>
    <row r="71" spans="1:6" x14ac:dyDescent="0.25">
      <c r="A71" s="203" t="str">
        <f>"3901940"</f>
        <v>3901940</v>
      </c>
      <c r="B71" s="207" t="s">
        <v>2779</v>
      </c>
      <c r="C71" s="209">
        <v>8.49</v>
      </c>
      <c r="D71" s="203">
        <v>334313</v>
      </c>
      <c r="E71" s="205">
        <v>44048.405358796299</v>
      </c>
      <c r="F71" s="123">
        <v>9437</v>
      </c>
    </row>
    <row r="72" spans="1:6" x14ac:dyDescent="0.25">
      <c r="A72" s="203" t="str">
        <f>"3945113"</f>
        <v>3945113</v>
      </c>
      <c r="B72" s="207" t="s">
        <v>2790</v>
      </c>
      <c r="C72" s="209">
        <v>8.3800000000000008</v>
      </c>
      <c r="D72" s="203">
        <v>333981</v>
      </c>
      <c r="E72" s="205">
        <v>44048.408449074072</v>
      </c>
      <c r="F72" s="123">
        <v>9438</v>
      </c>
    </row>
    <row r="73" spans="1:6" x14ac:dyDescent="0.25">
      <c r="A73" s="203" t="str">
        <f>"3902247"</f>
        <v>3902247</v>
      </c>
      <c r="B73" s="207" t="s">
        <v>3002</v>
      </c>
      <c r="C73" s="209">
        <v>8.06</v>
      </c>
      <c r="D73" s="203">
        <v>335284</v>
      </c>
      <c r="E73" s="205">
        <v>44048.448564814818</v>
      </c>
      <c r="F73" s="123">
        <v>9439</v>
      </c>
    </row>
    <row r="74" spans="1:6" x14ac:dyDescent="0.25">
      <c r="A74" s="203" t="str">
        <f>"3960284"</f>
        <v>3960284</v>
      </c>
      <c r="B74" s="207" t="s">
        <v>2879</v>
      </c>
      <c r="C74" s="209">
        <v>8.3800000000000008</v>
      </c>
      <c r="D74" s="203">
        <v>333945</v>
      </c>
      <c r="E74" s="205">
        <v>44048.462453703702</v>
      </c>
      <c r="F74" s="123">
        <v>9440</v>
      </c>
    </row>
    <row r="75" spans="1:6" x14ac:dyDescent="0.25">
      <c r="A75" s="203" t="str">
        <f>"3901995"</f>
        <v>3901995</v>
      </c>
      <c r="B75" s="207" t="s">
        <v>5817</v>
      </c>
      <c r="C75" s="209">
        <v>4.2</v>
      </c>
      <c r="D75" s="203">
        <v>335356</v>
      </c>
      <c r="E75" s="205">
        <v>44048.466469907406</v>
      </c>
      <c r="F75" s="123">
        <v>9441</v>
      </c>
    </row>
    <row r="76" spans="1:6" x14ac:dyDescent="0.25">
      <c r="A76" s="203" t="str">
        <f>"3950310"</f>
        <v>3950310</v>
      </c>
      <c r="B76" s="207" t="s">
        <v>5868</v>
      </c>
      <c r="C76" s="209">
        <v>8.3800000000000008</v>
      </c>
      <c r="D76" s="203">
        <v>334036</v>
      </c>
      <c r="E76" s="205">
        <v>44048.471296296295</v>
      </c>
      <c r="F76" s="123">
        <v>9442</v>
      </c>
    </row>
    <row r="77" spans="1:6" x14ac:dyDescent="0.25">
      <c r="A77" s="203" t="str">
        <f>"3907867"</f>
        <v>3907867</v>
      </c>
      <c r="B77" s="207" t="s">
        <v>2791</v>
      </c>
      <c r="C77" s="209">
        <v>6.15</v>
      </c>
      <c r="D77" s="203">
        <v>334753</v>
      </c>
      <c r="E77" s="205">
        <v>44048.490729166668</v>
      </c>
      <c r="F77" s="123">
        <v>9443</v>
      </c>
    </row>
    <row r="78" spans="1:6" x14ac:dyDescent="0.25">
      <c r="A78" s="203" t="str">
        <f>"3909179"</f>
        <v>3909179</v>
      </c>
      <c r="B78" s="207" t="s">
        <v>5914</v>
      </c>
      <c r="C78" s="209">
        <v>8.1</v>
      </c>
      <c r="D78" s="203">
        <v>335110</v>
      </c>
      <c r="E78" s="205">
        <v>44048.514027777775</v>
      </c>
      <c r="F78" s="123">
        <v>9444</v>
      </c>
    </row>
    <row r="79" spans="1:6" x14ac:dyDescent="0.25">
      <c r="A79" s="203" t="str">
        <f>"3902757"</f>
        <v>3902757</v>
      </c>
      <c r="B79" s="207" t="s">
        <v>5888</v>
      </c>
      <c r="C79" s="209">
        <v>2.4500000000000002</v>
      </c>
      <c r="D79" s="203">
        <v>335776</v>
      </c>
      <c r="E79" s="205">
        <v>44048.525520833333</v>
      </c>
      <c r="F79" s="123">
        <v>9445</v>
      </c>
    </row>
    <row r="80" spans="1:6" x14ac:dyDescent="0.25">
      <c r="A80" s="203" t="str">
        <f>"3902786"</f>
        <v>3902786</v>
      </c>
      <c r="B80" s="207" t="s">
        <v>5913</v>
      </c>
      <c r="C80" s="209">
        <v>68.44</v>
      </c>
      <c r="D80" s="203">
        <v>335794</v>
      </c>
      <c r="E80" s="205">
        <v>44048.564259259256</v>
      </c>
      <c r="F80" s="123">
        <v>9446</v>
      </c>
    </row>
    <row r="81" spans="1:6" x14ac:dyDescent="0.25">
      <c r="A81" s="203" t="str">
        <f>"3908182"</f>
        <v>3908182</v>
      </c>
      <c r="B81" s="207" t="s">
        <v>5820</v>
      </c>
      <c r="C81" s="209">
        <v>1.8</v>
      </c>
      <c r="D81" s="203">
        <v>336163</v>
      </c>
      <c r="E81" s="205">
        <v>44048.577314814815</v>
      </c>
      <c r="F81" s="123">
        <v>9447</v>
      </c>
    </row>
    <row r="82" spans="1:6" x14ac:dyDescent="0.25">
      <c r="A82" s="203" t="str">
        <f>"3930235"</f>
        <v>3930235</v>
      </c>
      <c r="B82" s="207" t="s">
        <v>5700</v>
      </c>
      <c r="C82" s="209">
        <v>4.22</v>
      </c>
      <c r="D82" s="203">
        <v>334798</v>
      </c>
      <c r="E82" s="205">
        <v>44048.612349537034</v>
      </c>
      <c r="F82" s="123">
        <v>9448</v>
      </c>
    </row>
    <row r="83" spans="1:6" x14ac:dyDescent="0.25">
      <c r="A83" s="203" t="str">
        <f>"3960328"</f>
        <v>3960328</v>
      </c>
      <c r="B83" s="207" t="s">
        <v>5706</v>
      </c>
      <c r="C83" s="209">
        <v>54.17</v>
      </c>
      <c r="D83" s="203">
        <v>334106</v>
      </c>
      <c r="E83" s="205">
        <v>44048.631631944445</v>
      </c>
      <c r="F83" s="123">
        <v>9449</v>
      </c>
    </row>
    <row r="84" spans="1:6" x14ac:dyDescent="0.25">
      <c r="A84" s="203" t="str">
        <f>"3920065"</f>
        <v>3920065</v>
      </c>
      <c r="B84" s="207" t="s">
        <v>2895</v>
      </c>
      <c r="C84" s="209">
        <v>15.3</v>
      </c>
      <c r="D84" s="203">
        <v>336289</v>
      </c>
      <c r="E84" s="205">
        <v>44048.650173611109</v>
      </c>
      <c r="F84" s="123">
        <v>9450</v>
      </c>
    </row>
    <row r="85" spans="1:6" x14ac:dyDescent="0.25">
      <c r="A85" s="203" t="str">
        <f>"3903507"</f>
        <v>3903507</v>
      </c>
      <c r="B85" s="207" t="s">
        <v>2811</v>
      </c>
      <c r="C85" s="209">
        <v>44.38</v>
      </c>
      <c r="D85" s="203">
        <v>336500</v>
      </c>
      <c r="E85" s="205">
        <v>44048.653414351851</v>
      </c>
      <c r="F85" s="123">
        <v>9451</v>
      </c>
    </row>
    <row r="86" spans="1:6" x14ac:dyDescent="0.25">
      <c r="A86" s="203" t="str">
        <f>"3903545"</f>
        <v>3903545</v>
      </c>
      <c r="B86" s="207" t="s">
        <v>2877</v>
      </c>
      <c r="C86" s="209">
        <v>1.8</v>
      </c>
      <c r="D86" s="203">
        <v>334853</v>
      </c>
      <c r="E86" s="205">
        <v>44048.799745370372</v>
      </c>
      <c r="F86" s="123">
        <v>9452</v>
      </c>
    </row>
    <row r="87" spans="1:6" s="164" customFormat="1" x14ac:dyDescent="0.25">
      <c r="A87" s="115"/>
      <c r="B87" s="115" t="s">
        <v>5691</v>
      </c>
      <c r="C87" s="222">
        <f>SUM(C71:C86)</f>
        <v>252.70000000000005</v>
      </c>
      <c r="D87" s="115">
        <v>3</v>
      </c>
      <c r="E87" s="163"/>
      <c r="F87" s="115"/>
    </row>
    <row r="88" spans="1:6" customFormat="1" x14ac:dyDescent="0.25">
      <c r="A88" s="118"/>
      <c r="B88" s="116"/>
      <c r="C88" s="223"/>
      <c r="D88" s="118"/>
      <c r="E88" s="117"/>
      <c r="F88" s="118"/>
    </row>
    <row r="89" spans="1:6" x14ac:dyDescent="0.25">
      <c r="A89" s="203" t="str">
        <f>"3903497"</f>
        <v>3903497</v>
      </c>
      <c r="B89" s="207" t="s">
        <v>5847</v>
      </c>
      <c r="C89" s="209">
        <v>5.98</v>
      </c>
      <c r="D89" s="203">
        <v>336782</v>
      </c>
      <c r="E89" s="205">
        <v>44049.374328703707</v>
      </c>
      <c r="F89" s="123">
        <v>9543</v>
      </c>
    </row>
    <row r="90" spans="1:6" x14ac:dyDescent="0.25">
      <c r="A90" s="203" t="str">
        <f>"3960241"</f>
        <v>3960241</v>
      </c>
      <c r="B90" s="207" t="s">
        <v>5912</v>
      </c>
      <c r="C90" s="209">
        <v>30.6</v>
      </c>
      <c r="D90" s="203">
        <v>336301</v>
      </c>
      <c r="E90" s="205">
        <v>44049.518472222226</v>
      </c>
      <c r="F90" s="123">
        <v>9544</v>
      </c>
    </row>
    <row r="91" spans="1:6" x14ac:dyDescent="0.25">
      <c r="A91" s="203" t="str">
        <f>"3903866"</f>
        <v>3903866</v>
      </c>
      <c r="B91" s="207" t="s">
        <v>5792</v>
      </c>
      <c r="C91" s="209">
        <v>8.49</v>
      </c>
      <c r="D91" s="203">
        <v>335845</v>
      </c>
      <c r="E91" s="205">
        <v>44049.549953703703</v>
      </c>
      <c r="F91" s="123">
        <v>9545</v>
      </c>
    </row>
    <row r="92" spans="1:6" x14ac:dyDescent="0.25">
      <c r="A92" s="203" t="str">
        <f>"3902279"</f>
        <v>3902279</v>
      </c>
      <c r="B92" s="207" t="s">
        <v>5911</v>
      </c>
      <c r="C92" s="209">
        <v>11.76</v>
      </c>
      <c r="D92" s="203">
        <v>334812</v>
      </c>
      <c r="E92" s="205">
        <v>44049.625833333332</v>
      </c>
      <c r="F92" s="123">
        <v>9546</v>
      </c>
    </row>
    <row r="93" spans="1:6" x14ac:dyDescent="0.25">
      <c r="A93" s="203" t="str">
        <f>"3900375"</f>
        <v>3900375</v>
      </c>
      <c r="B93" s="207" t="s">
        <v>5887</v>
      </c>
      <c r="C93" s="209">
        <v>29.16</v>
      </c>
      <c r="D93" s="203">
        <v>336646</v>
      </c>
      <c r="E93" s="205">
        <v>44049.711967592593</v>
      </c>
      <c r="F93" s="123">
        <v>9547</v>
      </c>
    </row>
    <row r="94" spans="1:6" s="164" customFormat="1" x14ac:dyDescent="0.25">
      <c r="A94" s="115"/>
      <c r="B94" s="115" t="s">
        <v>5691</v>
      </c>
      <c r="C94" s="222">
        <f>SUM(C89:C93)</f>
        <v>85.99</v>
      </c>
      <c r="D94" s="115">
        <v>4</v>
      </c>
      <c r="E94" s="163"/>
      <c r="F94" s="115"/>
    </row>
    <row r="95" spans="1:6" customFormat="1" x14ac:dyDescent="0.25">
      <c r="A95" s="118"/>
      <c r="B95" s="116"/>
      <c r="C95" s="223"/>
      <c r="D95" s="118"/>
      <c r="E95" s="117"/>
      <c r="F95" s="118"/>
    </row>
    <row r="96" spans="1:6" x14ac:dyDescent="0.25">
      <c r="A96" s="203" t="str">
        <f>"3907873"</f>
        <v>3907873</v>
      </c>
      <c r="B96" s="207" t="s">
        <v>2787</v>
      </c>
      <c r="C96" s="209">
        <v>3.36</v>
      </c>
      <c r="D96" s="203">
        <v>334728</v>
      </c>
      <c r="E96" s="205">
        <v>44050.420937499999</v>
      </c>
      <c r="F96" s="123">
        <v>9577</v>
      </c>
    </row>
    <row r="97" spans="1:6" x14ac:dyDescent="0.25">
      <c r="A97" s="203" t="str">
        <f>"3960344"</f>
        <v>3960344</v>
      </c>
      <c r="B97" s="207" t="s">
        <v>2953</v>
      </c>
      <c r="C97" s="209">
        <v>8.3800000000000008</v>
      </c>
      <c r="D97" s="203">
        <v>333972</v>
      </c>
      <c r="E97" s="205">
        <v>44050.459803240738</v>
      </c>
      <c r="F97" s="123">
        <v>9578</v>
      </c>
    </row>
    <row r="98" spans="1:6" x14ac:dyDescent="0.25">
      <c r="A98" s="203" t="str">
        <f>"3930394"</f>
        <v>3930394</v>
      </c>
      <c r="B98" s="207" t="s">
        <v>2813</v>
      </c>
      <c r="C98" s="209">
        <v>1.9</v>
      </c>
      <c r="D98" s="203">
        <v>335158</v>
      </c>
      <c r="E98" s="205">
        <v>44050.494027777779</v>
      </c>
      <c r="F98" s="123">
        <v>9579</v>
      </c>
    </row>
    <row r="99" spans="1:6" x14ac:dyDescent="0.25">
      <c r="A99" s="203" t="str">
        <f>"3907156"</f>
        <v>3907156</v>
      </c>
      <c r="B99" s="207" t="s">
        <v>5862</v>
      </c>
      <c r="C99" s="209">
        <v>6.94</v>
      </c>
      <c r="D99" s="203">
        <v>334186</v>
      </c>
      <c r="E99" s="205">
        <v>44050.52239583333</v>
      </c>
      <c r="F99" s="123">
        <v>9580</v>
      </c>
    </row>
    <row r="100" spans="1:6" x14ac:dyDescent="0.25">
      <c r="A100" s="203" t="str">
        <f>"3903516"</f>
        <v>3903516</v>
      </c>
      <c r="B100" s="207" t="s">
        <v>2785</v>
      </c>
      <c r="C100" s="209">
        <v>9.81</v>
      </c>
      <c r="D100" s="203">
        <v>335098</v>
      </c>
      <c r="E100" s="205">
        <v>44050.54005787037</v>
      </c>
      <c r="F100" s="123">
        <v>9581</v>
      </c>
    </row>
    <row r="101" spans="1:6" x14ac:dyDescent="0.25">
      <c r="A101" s="203" t="str">
        <f>"3908176"</f>
        <v>3908176</v>
      </c>
      <c r="B101" s="207" t="s">
        <v>5910</v>
      </c>
      <c r="C101" s="209">
        <v>8.59</v>
      </c>
      <c r="D101" s="203">
        <v>336754</v>
      </c>
      <c r="E101" s="205">
        <v>44050.561979166669</v>
      </c>
      <c r="F101" s="123">
        <v>9582</v>
      </c>
    </row>
    <row r="102" spans="1:6" x14ac:dyDescent="0.25">
      <c r="A102" s="203" t="str">
        <f>"3908177"</f>
        <v>3908177</v>
      </c>
      <c r="B102" s="207" t="s">
        <v>5910</v>
      </c>
      <c r="C102" s="209">
        <v>32.56</v>
      </c>
      <c r="D102" s="203">
        <v>336755</v>
      </c>
      <c r="E102" s="205">
        <v>44050.562314814815</v>
      </c>
      <c r="F102" s="123">
        <v>9583</v>
      </c>
    </row>
    <row r="103" spans="1:6" x14ac:dyDescent="0.25">
      <c r="A103" s="203" t="str">
        <f>"3960357"</f>
        <v>3960357</v>
      </c>
      <c r="B103" s="207" t="s">
        <v>5729</v>
      </c>
      <c r="C103" s="209">
        <v>14.54</v>
      </c>
      <c r="D103" s="203">
        <v>334034</v>
      </c>
      <c r="E103" s="205">
        <v>44050.684583333335</v>
      </c>
      <c r="F103" s="123">
        <v>9584</v>
      </c>
    </row>
    <row r="104" spans="1:6" s="164" customFormat="1" x14ac:dyDescent="0.25">
      <c r="A104" s="115"/>
      <c r="B104" s="115" t="s">
        <v>5691</v>
      </c>
      <c r="C104" s="222">
        <f>SUM(C96:C103)</f>
        <v>86.080000000000013</v>
      </c>
      <c r="D104" s="115">
        <v>5</v>
      </c>
      <c r="E104" s="163"/>
      <c r="F104" s="115"/>
    </row>
    <row r="105" spans="1:6" customFormat="1" x14ac:dyDescent="0.25">
      <c r="A105" s="118"/>
      <c r="B105" s="116"/>
      <c r="C105" s="223"/>
      <c r="D105" s="118"/>
      <c r="E105" s="117"/>
      <c r="F105" s="118"/>
    </row>
    <row r="106" spans="1:6" x14ac:dyDescent="0.25">
      <c r="A106" s="203" t="str">
        <f>"3900576"</f>
        <v>3900576</v>
      </c>
      <c r="B106" s="207" t="s">
        <v>2995</v>
      </c>
      <c r="C106" s="209">
        <v>1.74</v>
      </c>
      <c r="D106" s="203">
        <v>335532</v>
      </c>
      <c r="E106" s="205">
        <v>44054.447650462964</v>
      </c>
      <c r="F106" s="123">
        <v>9618</v>
      </c>
    </row>
    <row r="107" spans="1:6" x14ac:dyDescent="0.25">
      <c r="A107" s="203" t="str">
        <f>"3900244"</f>
        <v>3900244</v>
      </c>
      <c r="B107" s="207" t="s">
        <v>2926</v>
      </c>
      <c r="C107" s="209">
        <v>4.49</v>
      </c>
      <c r="D107" s="203">
        <v>336636</v>
      </c>
      <c r="E107" s="205">
        <v>44054.404745370368</v>
      </c>
      <c r="F107" s="123">
        <v>9619</v>
      </c>
    </row>
    <row r="108" spans="1:6" x14ac:dyDescent="0.25">
      <c r="A108" s="203" t="str">
        <f>"3902047"</f>
        <v>3902047</v>
      </c>
      <c r="B108" s="207" t="s">
        <v>2920</v>
      </c>
      <c r="C108" s="209">
        <v>25.43</v>
      </c>
      <c r="D108" s="203">
        <v>334064</v>
      </c>
      <c r="E108" s="205">
        <v>44054.464328703703</v>
      </c>
      <c r="F108" s="123">
        <v>9620</v>
      </c>
    </row>
    <row r="109" spans="1:6" x14ac:dyDescent="0.25">
      <c r="A109" s="203" t="str">
        <f>"3901121"</f>
        <v>3901121</v>
      </c>
      <c r="B109" s="207" t="s">
        <v>2908</v>
      </c>
      <c r="C109" s="209">
        <v>1.98</v>
      </c>
      <c r="D109" s="203">
        <v>334673</v>
      </c>
      <c r="E109" s="205">
        <v>44054.621099537035</v>
      </c>
      <c r="F109" s="123">
        <v>9621</v>
      </c>
    </row>
    <row r="110" spans="1:6" x14ac:dyDescent="0.25">
      <c r="A110" s="203" t="str">
        <f>"3906658"</f>
        <v>3906658</v>
      </c>
      <c r="B110" s="207" t="s">
        <v>2907</v>
      </c>
      <c r="C110" s="209">
        <v>23.83</v>
      </c>
      <c r="D110" s="203">
        <v>336470</v>
      </c>
      <c r="E110" s="205">
        <v>44054.621736111112</v>
      </c>
      <c r="F110" s="123">
        <v>9622</v>
      </c>
    </row>
    <row r="111" spans="1:6" x14ac:dyDescent="0.25">
      <c r="A111" s="203" t="str">
        <f>"3906747"</f>
        <v>3906747</v>
      </c>
      <c r="B111" s="207" t="s">
        <v>2942</v>
      </c>
      <c r="C111" s="209">
        <v>14.07</v>
      </c>
      <c r="D111" s="203">
        <v>336515</v>
      </c>
      <c r="E111" s="205">
        <v>44054.634988425925</v>
      </c>
      <c r="F111" s="123">
        <v>9623</v>
      </c>
    </row>
    <row r="112" spans="1:6" x14ac:dyDescent="0.25">
      <c r="A112" s="203" t="str">
        <f>"3907330"</f>
        <v>3907330</v>
      </c>
      <c r="B112" s="207" t="s">
        <v>2899</v>
      </c>
      <c r="C112" s="209">
        <v>16.53</v>
      </c>
      <c r="D112" s="203">
        <v>334157</v>
      </c>
      <c r="E112" s="205">
        <v>44054.747523148151</v>
      </c>
      <c r="F112" s="123">
        <v>9624</v>
      </c>
    </row>
    <row r="113" spans="1:6" x14ac:dyDescent="0.25">
      <c r="A113" s="203" t="str">
        <f>"3902041"</f>
        <v>3902041</v>
      </c>
      <c r="B113" s="207" t="s">
        <v>2898</v>
      </c>
      <c r="C113" s="209">
        <v>8.3800000000000008</v>
      </c>
      <c r="D113" s="203">
        <v>334063</v>
      </c>
      <c r="E113" s="205">
        <v>44054.74832175926</v>
      </c>
      <c r="F113" s="123">
        <v>9625</v>
      </c>
    </row>
    <row r="114" spans="1:6" x14ac:dyDescent="0.25">
      <c r="A114" s="203" t="str">
        <f>"3960293"</f>
        <v>3960293</v>
      </c>
      <c r="B114" s="207" t="s">
        <v>5886</v>
      </c>
      <c r="C114" s="209">
        <v>7.82</v>
      </c>
      <c r="D114" s="203">
        <v>333901</v>
      </c>
      <c r="E114" s="205">
        <v>44054.812303240738</v>
      </c>
      <c r="F114" s="123">
        <v>9626</v>
      </c>
    </row>
    <row r="115" spans="1:6" s="164" customFormat="1" x14ac:dyDescent="0.25">
      <c r="A115" s="115"/>
      <c r="B115" s="115" t="s">
        <v>5691</v>
      </c>
      <c r="C115" s="222">
        <f>SUM(C106:C114)</f>
        <v>104.26999999999998</v>
      </c>
      <c r="D115" s="115">
        <v>6</v>
      </c>
      <c r="E115" s="163"/>
      <c r="F115" s="115"/>
    </row>
    <row r="116" spans="1:6" customFormat="1" x14ac:dyDescent="0.25">
      <c r="A116" s="118"/>
      <c r="B116" s="116"/>
      <c r="C116" s="223"/>
      <c r="D116" s="118"/>
      <c r="E116" s="117"/>
      <c r="F116" s="118"/>
    </row>
    <row r="117" spans="1:6" x14ac:dyDescent="0.25">
      <c r="A117" s="203" t="str">
        <f>"3902256"</f>
        <v>3902256</v>
      </c>
      <c r="B117" s="207" t="s">
        <v>5803</v>
      </c>
      <c r="C117" s="209">
        <v>9.08</v>
      </c>
      <c r="D117" s="203">
        <v>334693</v>
      </c>
      <c r="E117" s="205">
        <v>44055.494884259257</v>
      </c>
      <c r="F117" s="123">
        <v>9686</v>
      </c>
    </row>
    <row r="118" spans="1:6" s="164" customFormat="1" x14ac:dyDescent="0.25">
      <c r="A118" s="115"/>
      <c r="B118" s="115" t="s">
        <v>5691</v>
      </c>
      <c r="C118" s="222">
        <f>SUM(C117)</f>
        <v>9.08</v>
      </c>
      <c r="D118" s="115">
        <v>7</v>
      </c>
      <c r="E118" s="163"/>
      <c r="F118" s="115"/>
    </row>
    <row r="119" spans="1:6" customFormat="1" x14ac:dyDescent="0.25">
      <c r="A119" s="118"/>
      <c r="B119" s="116"/>
      <c r="C119" s="223"/>
      <c r="D119" s="118"/>
      <c r="E119" s="117"/>
      <c r="F119" s="118"/>
    </row>
    <row r="120" spans="1:6" x14ac:dyDescent="0.25">
      <c r="A120" s="203" t="str">
        <f>"3908621"</f>
        <v>3908621</v>
      </c>
      <c r="B120" s="207" t="s">
        <v>2912</v>
      </c>
      <c r="C120" s="209">
        <v>1.68</v>
      </c>
      <c r="D120" s="203">
        <v>334269</v>
      </c>
      <c r="E120" s="205">
        <v>44056.492766203701</v>
      </c>
      <c r="F120" s="123">
        <v>9721</v>
      </c>
    </row>
    <row r="121" spans="1:6" x14ac:dyDescent="0.25">
      <c r="A121" s="203" t="str">
        <f>"3945281"</f>
        <v>3945281</v>
      </c>
      <c r="B121" s="207" t="s">
        <v>5882</v>
      </c>
      <c r="C121" s="209">
        <v>4.1900000000000004</v>
      </c>
      <c r="D121" s="203">
        <v>334113</v>
      </c>
      <c r="E121" s="205">
        <v>44056.755671296298</v>
      </c>
      <c r="F121" s="123">
        <v>9722</v>
      </c>
    </row>
    <row r="122" spans="1:6" s="164" customFormat="1" x14ac:dyDescent="0.25">
      <c r="A122" s="115"/>
      <c r="B122" s="115" t="s">
        <v>5691</v>
      </c>
      <c r="C122" s="222">
        <f>SUM(C120:C121)</f>
        <v>5.87</v>
      </c>
      <c r="D122" s="115">
        <v>8</v>
      </c>
      <c r="E122" s="163"/>
      <c r="F122" s="115"/>
    </row>
    <row r="123" spans="1:6" customFormat="1" x14ac:dyDescent="0.25">
      <c r="A123" s="118"/>
      <c r="B123" s="116"/>
      <c r="C123" s="223"/>
      <c r="D123" s="118"/>
      <c r="E123" s="117"/>
      <c r="F123" s="118"/>
    </row>
    <row r="124" spans="1:6" x14ac:dyDescent="0.25">
      <c r="A124" s="203" t="str">
        <f>"3960373"</f>
        <v>3960373</v>
      </c>
      <c r="B124" s="207" t="s">
        <v>2940</v>
      </c>
      <c r="C124" s="209">
        <v>8.83</v>
      </c>
      <c r="D124" s="203">
        <v>333998</v>
      </c>
      <c r="E124" s="205">
        <v>44057.427708333336</v>
      </c>
      <c r="F124" s="123">
        <v>9755</v>
      </c>
    </row>
    <row r="125" spans="1:6" x14ac:dyDescent="0.25">
      <c r="A125" s="203" t="str">
        <f>"3909958"</f>
        <v>3909958</v>
      </c>
      <c r="B125" s="207" t="s">
        <v>5909</v>
      </c>
      <c r="C125" s="209">
        <v>5.2</v>
      </c>
      <c r="D125" s="203">
        <v>334451</v>
      </c>
      <c r="E125" s="205">
        <v>44057.543726851851</v>
      </c>
      <c r="F125" s="123">
        <v>9756</v>
      </c>
    </row>
    <row r="126" spans="1:6" x14ac:dyDescent="0.25">
      <c r="A126" s="203" t="str">
        <f>"3950128"</f>
        <v>3950128</v>
      </c>
      <c r="B126" s="207" t="s">
        <v>2921</v>
      </c>
      <c r="C126" s="209">
        <v>12.3</v>
      </c>
      <c r="D126" s="203">
        <v>333900</v>
      </c>
      <c r="E126" s="205">
        <v>44057.574907407405</v>
      </c>
      <c r="F126" s="123">
        <v>9757</v>
      </c>
    </row>
    <row r="127" spans="1:6" x14ac:dyDescent="0.25">
      <c r="A127" s="203" t="str">
        <f>"3930042"</f>
        <v>3930042</v>
      </c>
      <c r="B127" s="207" t="s">
        <v>2929</v>
      </c>
      <c r="C127" s="209">
        <v>15.78</v>
      </c>
      <c r="D127" s="203">
        <v>336429</v>
      </c>
      <c r="E127" s="205">
        <v>44057.604074074072</v>
      </c>
      <c r="F127" s="123">
        <v>9758</v>
      </c>
    </row>
    <row r="128" spans="1:6" x14ac:dyDescent="0.25">
      <c r="A128" s="203" t="str">
        <f>"23923029"</f>
        <v>23923029</v>
      </c>
      <c r="B128" s="207" t="s">
        <v>2930</v>
      </c>
      <c r="C128" s="209">
        <v>8.89</v>
      </c>
      <c r="D128" s="203">
        <v>2181</v>
      </c>
      <c r="E128" s="205">
        <v>44057.614166666666</v>
      </c>
      <c r="F128" s="123">
        <v>9759</v>
      </c>
    </row>
    <row r="129" spans="1:6" x14ac:dyDescent="0.25">
      <c r="A129" s="203" t="str">
        <f>"3908064"</f>
        <v>3908064</v>
      </c>
      <c r="B129" s="207" t="s">
        <v>2976</v>
      </c>
      <c r="C129" s="209">
        <v>3.36</v>
      </c>
      <c r="D129" s="203">
        <v>335232</v>
      </c>
      <c r="E129" s="205">
        <v>44057.856076388889</v>
      </c>
      <c r="F129" s="123" t="s">
        <v>5908</v>
      </c>
    </row>
    <row r="130" spans="1:6" s="164" customFormat="1" x14ac:dyDescent="0.25">
      <c r="A130" s="115"/>
      <c r="B130" s="115" t="s">
        <v>5691</v>
      </c>
      <c r="C130" s="222">
        <f>SUM(C124:C129)</f>
        <v>54.36</v>
      </c>
      <c r="D130" s="115">
        <v>9</v>
      </c>
      <c r="E130" s="163"/>
      <c r="F130" s="115"/>
    </row>
    <row r="131" spans="1:6" customFormat="1" x14ac:dyDescent="0.25">
      <c r="A131" s="118"/>
      <c r="B131" s="116"/>
      <c r="C131" s="223"/>
      <c r="D131" s="118"/>
      <c r="E131" s="117"/>
      <c r="F131" s="118"/>
    </row>
    <row r="132" spans="1:6" x14ac:dyDescent="0.25">
      <c r="A132" s="203" t="str">
        <f>"3901741"</f>
        <v>3901741</v>
      </c>
      <c r="B132" s="207" t="s">
        <v>5907</v>
      </c>
      <c r="C132" s="209">
        <v>2.5099999999999998</v>
      </c>
      <c r="D132" s="203">
        <v>336175</v>
      </c>
      <c r="E132" s="205">
        <v>44060.547280092593</v>
      </c>
      <c r="F132" s="123">
        <v>9797</v>
      </c>
    </row>
    <row r="133" spans="1:6" x14ac:dyDescent="0.25">
      <c r="A133" s="203" t="str">
        <f>"3960269"</f>
        <v>3960269</v>
      </c>
      <c r="B133" s="207" t="s">
        <v>2927</v>
      </c>
      <c r="C133" s="209">
        <v>12.3</v>
      </c>
      <c r="D133" s="203">
        <v>333885</v>
      </c>
      <c r="E133" s="205">
        <v>44060.581180555557</v>
      </c>
      <c r="F133" s="123">
        <v>9798</v>
      </c>
    </row>
    <row r="134" spans="1:6" x14ac:dyDescent="0.25">
      <c r="A134" s="203" t="str">
        <f>"3960091"</f>
        <v>3960091</v>
      </c>
      <c r="B134" s="207" t="s">
        <v>5810</v>
      </c>
      <c r="C134" s="209">
        <v>8.5</v>
      </c>
      <c r="D134" s="203">
        <v>334053</v>
      </c>
      <c r="E134" s="205">
        <v>44060.614074074074</v>
      </c>
      <c r="F134" s="123" t="s">
        <v>5906</v>
      </c>
    </row>
    <row r="135" spans="1:6" x14ac:dyDescent="0.25">
      <c r="A135" s="203" t="str">
        <f>"3900207"</f>
        <v>3900207</v>
      </c>
      <c r="B135" s="207" t="s">
        <v>5905</v>
      </c>
      <c r="C135" s="209">
        <v>5.47</v>
      </c>
      <c r="D135" s="203">
        <v>335394</v>
      </c>
      <c r="E135" s="205">
        <v>44060.366053240738</v>
      </c>
      <c r="F135" s="123">
        <v>9799</v>
      </c>
    </row>
    <row r="136" spans="1:6" x14ac:dyDescent="0.25">
      <c r="A136" s="203" t="str">
        <f>"3902009"</f>
        <v>3902009</v>
      </c>
      <c r="B136" s="207" t="s">
        <v>2890</v>
      </c>
      <c r="C136" s="209">
        <v>3.36</v>
      </c>
      <c r="D136" s="203">
        <v>336449</v>
      </c>
      <c r="E136" s="205">
        <v>44060.44971064815</v>
      </c>
      <c r="F136" s="123">
        <v>9800</v>
      </c>
    </row>
    <row r="137" spans="1:6" x14ac:dyDescent="0.25">
      <c r="A137" s="203" t="str">
        <f>"3960375"</f>
        <v>3960375</v>
      </c>
      <c r="B137" s="207" t="s">
        <v>2936</v>
      </c>
      <c r="C137" s="209">
        <v>4.97</v>
      </c>
      <c r="D137" s="203">
        <v>334002</v>
      </c>
      <c r="E137" s="205">
        <v>44060.470543981479</v>
      </c>
      <c r="F137" s="123">
        <v>9801</v>
      </c>
    </row>
    <row r="138" spans="1:6" x14ac:dyDescent="0.25">
      <c r="A138" s="203" t="str">
        <f>"3901913"</f>
        <v>3901913</v>
      </c>
      <c r="B138" s="207" t="s">
        <v>2904</v>
      </c>
      <c r="C138" s="209">
        <v>9.51</v>
      </c>
      <c r="D138" s="203">
        <v>336621</v>
      </c>
      <c r="E138" s="205">
        <v>44060.477939814817</v>
      </c>
      <c r="F138" s="123">
        <v>9802</v>
      </c>
    </row>
    <row r="139" spans="1:6" x14ac:dyDescent="0.25">
      <c r="A139" s="203" t="str">
        <f>"3902951"</f>
        <v>3902951</v>
      </c>
      <c r="B139" s="207" t="s">
        <v>2904</v>
      </c>
      <c r="C139" s="209">
        <v>3.02</v>
      </c>
      <c r="D139" s="203">
        <v>336628</v>
      </c>
      <c r="E139" s="205">
        <v>44060.478067129632</v>
      </c>
      <c r="F139" s="123">
        <v>9803</v>
      </c>
    </row>
    <row r="140" spans="1:6" x14ac:dyDescent="0.25">
      <c r="A140" s="203" t="str">
        <f>"3960319"</f>
        <v>3960319</v>
      </c>
      <c r="B140" s="207" t="s">
        <v>5798</v>
      </c>
      <c r="C140" s="209">
        <v>8.3800000000000008</v>
      </c>
      <c r="D140" s="203">
        <v>334047</v>
      </c>
      <c r="E140" s="205">
        <v>44060.578993055555</v>
      </c>
      <c r="F140" s="123">
        <v>9804</v>
      </c>
    </row>
    <row r="141" spans="1:6" x14ac:dyDescent="0.25">
      <c r="A141" s="203" t="str">
        <f>"3907525"</f>
        <v>3907525</v>
      </c>
      <c r="B141" s="207" t="s">
        <v>2905</v>
      </c>
      <c r="C141" s="209">
        <v>3.11</v>
      </c>
      <c r="D141" s="203">
        <v>336405</v>
      </c>
      <c r="E141" s="205">
        <v>44060.685879629629</v>
      </c>
      <c r="F141" s="123">
        <v>9805</v>
      </c>
    </row>
    <row r="142" spans="1:6" x14ac:dyDescent="0.25">
      <c r="A142" s="203" t="str">
        <f>"3907544"</f>
        <v>3907544</v>
      </c>
      <c r="B142" s="207" t="s">
        <v>2905</v>
      </c>
      <c r="C142" s="209">
        <v>1.94</v>
      </c>
      <c r="D142" s="203">
        <v>336404</v>
      </c>
      <c r="E142" s="205">
        <v>44060.686793981484</v>
      </c>
      <c r="F142" s="123">
        <v>9806</v>
      </c>
    </row>
    <row r="143" spans="1:6" x14ac:dyDescent="0.25">
      <c r="A143" s="203" t="str">
        <f>"3900329"</f>
        <v>3900329</v>
      </c>
      <c r="B143" s="207" t="s">
        <v>5762</v>
      </c>
      <c r="C143" s="209">
        <v>1.88</v>
      </c>
      <c r="D143" s="203">
        <v>335436</v>
      </c>
      <c r="E143" s="205">
        <v>44060.80159722222</v>
      </c>
      <c r="F143" s="123">
        <v>9807</v>
      </c>
    </row>
    <row r="144" spans="1:6" s="164" customFormat="1" x14ac:dyDescent="0.25">
      <c r="A144" s="115"/>
      <c r="B144" s="115" t="s">
        <v>5691</v>
      </c>
      <c r="C144" s="222">
        <f>SUM(C132:C143)</f>
        <v>64.95</v>
      </c>
      <c r="D144" s="115">
        <v>10</v>
      </c>
      <c r="E144" s="163"/>
      <c r="F144" s="115"/>
    </row>
    <row r="145" spans="1:6" customFormat="1" x14ac:dyDescent="0.25">
      <c r="A145" s="118"/>
      <c r="B145" s="116"/>
      <c r="C145" s="223"/>
      <c r="D145" s="118"/>
      <c r="E145" s="117"/>
      <c r="F145" s="118"/>
    </row>
    <row r="146" spans="1:6" x14ac:dyDescent="0.25">
      <c r="A146" s="203" t="str">
        <f>"3907615"</f>
        <v>3907615</v>
      </c>
      <c r="B146" s="207" t="s">
        <v>2781</v>
      </c>
      <c r="C146" s="209">
        <v>2.41</v>
      </c>
      <c r="D146" s="203">
        <v>334428</v>
      </c>
      <c r="E146" s="205">
        <v>44061.355370370373</v>
      </c>
      <c r="F146" s="123">
        <v>9845</v>
      </c>
    </row>
    <row r="147" spans="1:6" x14ac:dyDescent="0.25">
      <c r="A147" s="203" t="str">
        <f>"3904232"</f>
        <v>3904232</v>
      </c>
      <c r="B147" s="207" t="s">
        <v>5872</v>
      </c>
      <c r="C147" s="209">
        <v>15.66</v>
      </c>
      <c r="D147" s="203">
        <v>336319</v>
      </c>
      <c r="E147" s="205">
        <v>44061.468240740738</v>
      </c>
      <c r="F147" s="123">
        <v>9846</v>
      </c>
    </row>
    <row r="148" spans="1:6" x14ac:dyDescent="0.25">
      <c r="A148" s="203" t="str">
        <f>"3901242"</f>
        <v>3901242</v>
      </c>
      <c r="B148" s="207" t="s">
        <v>5904</v>
      </c>
      <c r="C148" s="209">
        <v>11.76</v>
      </c>
      <c r="D148" s="203">
        <v>334993</v>
      </c>
      <c r="E148" s="205">
        <v>44061.527997685182</v>
      </c>
      <c r="F148" s="123">
        <v>9847</v>
      </c>
    </row>
    <row r="149" spans="1:6" x14ac:dyDescent="0.25">
      <c r="A149" s="203" t="str">
        <f>"3900176"</f>
        <v>3900176</v>
      </c>
      <c r="B149" s="207" t="s">
        <v>5833</v>
      </c>
      <c r="C149" s="209">
        <v>1.94</v>
      </c>
      <c r="D149" s="203">
        <v>336766</v>
      </c>
      <c r="E149" s="205">
        <v>44061.598032407404</v>
      </c>
      <c r="F149" s="123">
        <v>9848</v>
      </c>
    </row>
    <row r="150" spans="1:6" x14ac:dyDescent="0.25">
      <c r="A150" s="203" t="str">
        <f>"23923067"</f>
        <v>23923067</v>
      </c>
      <c r="B150" s="207" t="s">
        <v>5903</v>
      </c>
      <c r="C150" s="209">
        <v>10.46</v>
      </c>
      <c r="D150" s="203">
        <v>2201</v>
      </c>
      <c r="E150" s="205">
        <v>44061.688206018516</v>
      </c>
      <c r="F150" s="123">
        <v>9849</v>
      </c>
    </row>
    <row r="151" spans="1:6" s="164" customFormat="1" x14ac:dyDescent="0.25">
      <c r="A151" s="115"/>
      <c r="B151" s="115" t="s">
        <v>5691</v>
      </c>
      <c r="C151" s="222">
        <f>SUM(C146:C150)</f>
        <v>42.230000000000004</v>
      </c>
      <c r="D151" s="115">
        <v>11</v>
      </c>
      <c r="E151" s="163"/>
      <c r="F151" s="115"/>
    </row>
    <row r="152" spans="1:6" customFormat="1" x14ac:dyDescent="0.25">
      <c r="A152" s="118"/>
      <c r="B152" s="116"/>
      <c r="C152" s="223"/>
      <c r="D152" s="118"/>
      <c r="E152" s="117"/>
      <c r="F152" s="118"/>
    </row>
    <row r="153" spans="1:6" x14ac:dyDescent="0.25">
      <c r="A153" s="203" t="str">
        <f>"23923204"</f>
        <v>23923204</v>
      </c>
      <c r="B153" s="207" t="s">
        <v>5763</v>
      </c>
      <c r="C153" s="209">
        <v>4.24</v>
      </c>
      <c r="D153" s="203">
        <v>2278</v>
      </c>
      <c r="E153" s="205">
        <v>44062.584733796299</v>
      </c>
      <c r="F153" s="123">
        <v>9924</v>
      </c>
    </row>
    <row r="154" spans="1:6" s="164" customFormat="1" x14ac:dyDescent="0.25">
      <c r="A154" s="115"/>
      <c r="B154" s="115" t="s">
        <v>5691</v>
      </c>
      <c r="C154" s="222">
        <f>SUM(C153)</f>
        <v>4.24</v>
      </c>
      <c r="D154" s="115">
        <v>12</v>
      </c>
      <c r="E154" s="163"/>
      <c r="F154" s="115"/>
    </row>
    <row r="155" spans="1:6" customFormat="1" x14ac:dyDescent="0.25">
      <c r="A155" s="118"/>
      <c r="B155" s="116"/>
      <c r="C155" s="223"/>
      <c r="D155" s="118"/>
      <c r="E155" s="117"/>
      <c r="F155" s="118"/>
    </row>
    <row r="156" spans="1:6" x14ac:dyDescent="0.25">
      <c r="A156" s="203" t="s">
        <v>5902</v>
      </c>
      <c r="B156" s="207" t="s">
        <v>2943</v>
      </c>
      <c r="C156" s="209">
        <v>8.3800000000000008</v>
      </c>
      <c r="D156" s="203">
        <v>333980</v>
      </c>
      <c r="E156" s="205">
        <v>44063.384965277779</v>
      </c>
      <c r="F156" s="123">
        <v>9959</v>
      </c>
    </row>
    <row r="157" spans="1:6" x14ac:dyDescent="0.25">
      <c r="A157" s="203" t="s">
        <v>5901</v>
      </c>
      <c r="B157" s="207" t="s">
        <v>5787</v>
      </c>
      <c r="C157" s="209">
        <v>7.64</v>
      </c>
      <c r="D157" s="203">
        <v>334394</v>
      </c>
      <c r="E157" s="205">
        <v>44063.46837962963</v>
      </c>
      <c r="F157" s="123">
        <v>9960</v>
      </c>
    </row>
    <row r="158" spans="1:6" x14ac:dyDescent="0.25">
      <c r="A158" s="203" t="s">
        <v>4338</v>
      </c>
      <c r="B158" s="207" t="s">
        <v>5900</v>
      </c>
      <c r="C158" s="209">
        <v>12.88</v>
      </c>
      <c r="D158" s="203">
        <v>336609</v>
      </c>
      <c r="E158" s="205">
        <v>44063.554548611108</v>
      </c>
      <c r="F158" s="123">
        <v>9961</v>
      </c>
    </row>
    <row r="159" spans="1:6" x14ac:dyDescent="0.25">
      <c r="A159" s="203" t="s">
        <v>5899</v>
      </c>
      <c r="B159" s="207" t="s">
        <v>5898</v>
      </c>
      <c r="C159" s="209">
        <v>10.11</v>
      </c>
      <c r="D159" s="203">
        <v>335857</v>
      </c>
      <c r="E159" s="205">
        <v>44063.556400462963</v>
      </c>
      <c r="F159" s="123">
        <v>9962</v>
      </c>
    </row>
    <row r="160" spans="1:6" x14ac:dyDescent="0.25">
      <c r="A160" s="203" t="s">
        <v>5897</v>
      </c>
      <c r="B160" s="207" t="s">
        <v>5754</v>
      </c>
      <c r="C160" s="209">
        <v>3.14</v>
      </c>
      <c r="D160" s="203">
        <v>335081</v>
      </c>
      <c r="E160" s="205">
        <v>44063.680694444447</v>
      </c>
      <c r="F160" s="123">
        <v>9963</v>
      </c>
    </row>
    <row r="161" spans="1:6" s="164" customFormat="1" x14ac:dyDescent="0.25">
      <c r="A161" s="115"/>
      <c r="B161" s="115" t="s">
        <v>5691</v>
      </c>
      <c r="C161" s="222">
        <f>SUM(C156:C160)</f>
        <v>42.15</v>
      </c>
      <c r="D161" s="115">
        <v>13</v>
      </c>
      <c r="E161" s="163"/>
      <c r="F161" s="115"/>
    </row>
    <row r="162" spans="1:6" customFormat="1" x14ac:dyDescent="0.25">
      <c r="A162" s="118"/>
      <c r="B162" s="116"/>
      <c r="C162" s="223"/>
      <c r="D162" s="118"/>
      <c r="E162" s="117"/>
      <c r="F162" s="118"/>
    </row>
    <row r="163" spans="1:6" x14ac:dyDescent="0.25">
      <c r="A163" s="203" t="str">
        <f>"3900321"</f>
        <v>3900321</v>
      </c>
      <c r="B163" s="207" t="s">
        <v>5778</v>
      </c>
      <c r="C163" s="209">
        <v>10</v>
      </c>
      <c r="D163" s="203">
        <v>335431</v>
      </c>
      <c r="E163" s="205">
        <v>44064.557442129626</v>
      </c>
      <c r="F163" s="123">
        <v>9979</v>
      </c>
    </row>
    <row r="164" spans="1:6" s="164" customFormat="1" x14ac:dyDescent="0.25">
      <c r="A164" s="115"/>
      <c r="B164" s="115" t="s">
        <v>5691</v>
      </c>
      <c r="C164" s="222">
        <f>SUM(C163)</f>
        <v>10</v>
      </c>
      <c r="D164" s="115">
        <v>14</v>
      </c>
      <c r="E164" s="163"/>
      <c r="F164" s="115"/>
    </row>
    <row r="165" spans="1:6" customFormat="1" x14ac:dyDescent="0.25">
      <c r="A165" s="118"/>
      <c r="B165" s="116"/>
      <c r="C165" s="223"/>
      <c r="D165" s="118"/>
      <c r="E165" s="117"/>
      <c r="F165" s="118"/>
    </row>
    <row r="166" spans="1:6" x14ac:dyDescent="0.25">
      <c r="A166" s="203" t="str">
        <f>"3940102"</f>
        <v>3940102</v>
      </c>
      <c r="B166" s="207" t="s">
        <v>5695</v>
      </c>
      <c r="C166" s="209">
        <v>25.14</v>
      </c>
      <c r="D166" s="203">
        <v>336821</v>
      </c>
      <c r="E166" s="205">
        <v>44067.452685185184</v>
      </c>
      <c r="F166" s="123">
        <v>9994</v>
      </c>
    </row>
    <row r="167" spans="1:6" x14ac:dyDescent="0.25">
      <c r="A167" s="203" t="str">
        <f>"3907960"</f>
        <v>3907960</v>
      </c>
      <c r="B167" s="207" t="s">
        <v>2916</v>
      </c>
      <c r="C167" s="209">
        <v>2.44</v>
      </c>
      <c r="D167" s="203">
        <v>338113</v>
      </c>
      <c r="E167" s="205">
        <v>44067.289270833331</v>
      </c>
      <c r="F167" s="123">
        <v>9995</v>
      </c>
    </row>
    <row r="168" spans="1:6" x14ac:dyDescent="0.25">
      <c r="A168" s="203" t="str">
        <f>"3930021"</f>
        <v>3930021</v>
      </c>
      <c r="B168" s="207" t="s">
        <v>5861</v>
      </c>
      <c r="C168" s="209">
        <v>1.68</v>
      </c>
      <c r="D168" s="203">
        <v>337497</v>
      </c>
      <c r="E168" s="205">
        <v>44067.485891203702</v>
      </c>
      <c r="F168" s="123">
        <v>9996</v>
      </c>
    </row>
    <row r="169" spans="1:6" x14ac:dyDescent="0.25">
      <c r="A169" s="203" t="str">
        <f>"3901461"</f>
        <v>3901461</v>
      </c>
      <c r="B169" s="207" t="s">
        <v>2931</v>
      </c>
      <c r="C169" s="209">
        <v>15.3</v>
      </c>
      <c r="D169" s="203">
        <v>336310</v>
      </c>
      <c r="E169" s="205">
        <v>44067.521516203706</v>
      </c>
      <c r="F169" s="123">
        <v>9997</v>
      </c>
    </row>
    <row r="170" spans="1:6" s="164" customFormat="1" x14ac:dyDescent="0.25">
      <c r="A170" s="115"/>
      <c r="B170" s="115" t="s">
        <v>5691</v>
      </c>
      <c r="C170" s="222">
        <f>SUM(C166:C169)</f>
        <v>44.56</v>
      </c>
      <c r="D170" s="115">
        <v>15</v>
      </c>
      <c r="E170" s="163"/>
      <c r="F170" s="115"/>
    </row>
    <row r="171" spans="1:6" customFormat="1" x14ac:dyDescent="0.25">
      <c r="A171" s="118"/>
      <c r="B171" s="116"/>
      <c r="C171" s="223"/>
      <c r="D171" s="118"/>
      <c r="E171" s="117"/>
      <c r="F171" s="118"/>
    </row>
    <row r="172" spans="1:6" x14ac:dyDescent="0.25">
      <c r="A172" s="203" t="s">
        <v>5896</v>
      </c>
      <c r="B172" s="207" t="s">
        <v>5895</v>
      </c>
      <c r="C172" s="209">
        <v>9.1</v>
      </c>
      <c r="D172" s="203">
        <v>338251</v>
      </c>
      <c r="E172" s="205">
        <v>44068.392164351855</v>
      </c>
      <c r="F172" s="123">
        <v>10047</v>
      </c>
    </row>
    <row r="173" spans="1:6" x14ac:dyDescent="0.25">
      <c r="A173" s="203" t="s">
        <v>5894</v>
      </c>
      <c r="B173" s="207" t="s">
        <v>2974</v>
      </c>
      <c r="C173" s="209">
        <v>2.39</v>
      </c>
      <c r="D173" s="203">
        <v>338403</v>
      </c>
      <c r="E173" s="205">
        <v>44068.438611111109</v>
      </c>
      <c r="F173" s="123">
        <v>10048</v>
      </c>
    </row>
    <row r="174" spans="1:6" x14ac:dyDescent="0.25">
      <c r="A174" s="203" t="s">
        <v>5893</v>
      </c>
      <c r="B174" s="207" t="s">
        <v>5809</v>
      </c>
      <c r="C174" s="209">
        <v>1.68</v>
      </c>
      <c r="D174" s="203">
        <v>339070</v>
      </c>
      <c r="E174" s="205">
        <v>44068.535717592589</v>
      </c>
      <c r="F174" s="123">
        <v>10049</v>
      </c>
    </row>
    <row r="175" spans="1:6" x14ac:dyDescent="0.25">
      <c r="A175" s="203" t="s">
        <v>5892</v>
      </c>
      <c r="B175" s="207" t="s">
        <v>5742</v>
      </c>
      <c r="C175" s="209">
        <v>6.67</v>
      </c>
      <c r="D175" s="203">
        <v>338201</v>
      </c>
      <c r="E175" s="205">
        <v>44068.596168981479</v>
      </c>
      <c r="F175" s="123">
        <v>10050</v>
      </c>
    </row>
    <row r="176" spans="1:6" x14ac:dyDescent="0.25">
      <c r="A176" s="203" t="s">
        <v>5891</v>
      </c>
      <c r="B176" s="207" t="s">
        <v>5877</v>
      </c>
      <c r="C176" s="209">
        <v>2.77</v>
      </c>
      <c r="D176" s="203">
        <v>339093</v>
      </c>
      <c r="E176" s="205">
        <v>44068.74486111111</v>
      </c>
      <c r="F176" s="123">
        <v>10051</v>
      </c>
    </row>
    <row r="177" spans="1:6" s="164" customFormat="1" x14ac:dyDescent="0.25">
      <c r="A177" s="115"/>
      <c r="B177" s="115" t="s">
        <v>5691</v>
      </c>
      <c r="C177" s="222">
        <f>SUM(C172:C176)</f>
        <v>22.61</v>
      </c>
      <c r="D177" s="115">
        <v>16</v>
      </c>
      <c r="E177" s="163"/>
      <c r="F177" s="115"/>
    </row>
    <row r="178" spans="1:6" customFormat="1" x14ac:dyDescent="0.25">
      <c r="A178" s="118"/>
      <c r="B178" s="116"/>
      <c r="C178" s="223"/>
      <c r="D178" s="118"/>
      <c r="E178" s="117"/>
      <c r="F178" s="118"/>
    </row>
    <row r="179" spans="1:6" x14ac:dyDescent="0.25">
      <c r="A179" s="203" t="str">
        <f>"3908208"</f>
        <v>3908208</v>
      </c>
      <c r="B179" s="207" t="s">
        <v>5890</v>
      </c>
      <c r="C179" s="209">
        <v>78.63</v>
      </c>
      <c r="D179" s="203">
        <v>339000</v>
      </c>
      <c r="E179" s="205">
        <v>44069.415625000001</v>
      </c>
      <c r="F179" s="123">
        <v>10119</v>
      </c>
    </row>
    <row r="180" spans="1:6" x14ac:dyDescent="0.25">
      <c r="A180" s="203" t="str">
        <f>"3903105"</f>
        <v>3903105</v>
      </c>
      <c r="B180" s="207" t="s">
        <v>2903</v>
      </c>
      <c r="C180" s="209">
        <v>1.94</v>
      </c>
      <c r="D180" s="203">
        <v>336614</v>
      </c>
      <c r="E180" s="205">
        <v>44069.513379629629</v>
      </c>
      <c r="F180" s="123">
        <v>10120</v>
      </c>
    </row>
    <row r="181" spans="1:6" x14ac:dyDescent="0.25">
      <c r="A181" s="203" t="str">
        <f>"3920083"</f>
        <v>3920083</v>
      </c>
      <c r="B181" s="207" t="s">
        <v>2954</v>
      </c>
      <c r="C181" s="209">
        <v>7.71</v>
      </c>
      <c r="D181" s="203">
        <v>336860</v>
      </c>
      <c r="E181" s="205">
        <v>44069.537604166668</v>
      </c>
      <c r="F181" s="123">
        <v>10121</v>
      </c>
    </row>
    <row r="182" spans="1:6" x14ac:dyDescent="0.25">
      <c r="A182" s="203" t="str">
        <f>"3909959"</f>
        <v>3909959</v>
      </c>
      <c r="B182" s="207" t="s">
        <v>2998</v>
      </c>
      <c r="C182" s="209">
        <v>4.08</v>
      </c>
      <c r="D182" s="203">
        <v>337388</v>
      </c>
      <c r="E182" s="205">
        <v>44069.656886574077</v>
      </c>
      <c r="F182" s="123">
        <v>10122</v>
      </c>
    </row>
    <row r="183" spans="1:6" s="164" customFormat="1" x14ac:dyDescent="0.25">
      <c r="A183" s="115"/>
      <c r="B183" s="115" t="s">
        <v>5691</v>
      </c>
      <c r="C183" s="222">
        <f>SUM(C179:C182)</f>
        <v>92.359999999999985</v>
      </c>
      <c r="D183" s="115">
        <v>17</v>
      </c>
      <c r="E183" s="163"/>
      <c r="F183" s="115"/>
    </row>
    <row r="184" spans="1:6" customFormat="1" x14ac:dyDescent="0.25">
      <c r="A184" s="118"/>
      <c r="B184" s="116"/>
      <c r="C184" s="223"/>
      <c r="D184" s="118"/>
      <c r="E184" s="117"/>
      <c r="F184" s="118"/>
    </row>
    <row r="185" spans="1:6" x14ac:dyDescent="0.25">
      <c r="A185" s="203" t="str">
        <f>"3930280"</f>
        <v>3930280</v>
      </c>
      <c r="B185" s="207" t="s">
        <v>2996</v>
      </c>
      <c r="C185" s="209">
        <v>1.71</v>
      </c>
      <c r="D185" s="203">
        <v>337903</v>
      </c>
      <c r="E185" s="205">
        <v>44070.402349537035</v>
      </c>
      <c r="F185" s="123">
        <v>10165</v>
      </c>
    </row>
    <row r="186" spans="1:6" x14ac:dyDescent="0.25">
      <c r="A186" s="203" t="str">
        <f>"3945504"</f>
        <v>3945504</v>
      </c>
      <c r="B186" s="207" t="s">
        <v>5831</v>
      </c>
      <c r="C186" s="209">
        <v>4.1900000000000004</v>
      </c>
      <c r="D186" s="203">
        <v>336966</v>
      </c>
      <c r="E186" s="205">
        <v>44070.488888888889</v>
      </c>
      <c r="F186" s="123">
        <v>10166</v>
      </c>
    </row>
    <row r="187" spans="1:6" x14ac:dyDescent="0.25">
      <c r="A187" s="203" t="str">
        <f>"3960274"</f>
        <v>3960274</v>
      </c>
      <c r="B187" s="207" t="s">
        <v>2798</v>
      </c>
      <c r="C187" s="209">
        <v>16.22</v>
      </c>
      <c r="D187" s="203">
        <v>336833</v>
      </c>
      <c r="E187" s="205">
        <v>44070.603217592594</v>
      </c>
      <c r="F187" s="123">
        <v>10167</v>
      </c>
    </row>
    <row r="188" spans="1:6" s="164" customFormat="1" x14ac:dyDescent="0.25">
      <c r="A188" s="115"/>
      <c r="B188" s="115" t="s">
        <v>5691</v>
      </c>
      <c r="C188" s="222">
        <f>SUM(C185:C187)</f>
        <v>22.119999999999997</v>
      </c>
      <c r="D188" s="115">
        <v>18</v>
      </c>
      <c r="E188" s="163"/>
      <c r="F188" s="115"/>
    </row>
    <row r="189" spans="1:6" customFormat="1" x14ac:dyDescent="0.25">
      <c r="A189" s="118"/>
      <c r="B189" s="116"/>
      <c r="C189" s="223"/>
      <c r="D189" s="118"/>
      <c r="E189" s="117"/>
      <c r="F189" s="118"/>
    </row>
    <row r="190" spans="1:6" x14ac:dyDescent="0.25">
      <c r="A190" s="203" t="str">
        <f>"3945263"</f>
        <v>3945263</v>
      </c>
      <c r="B190" s="207" t="s">
        <v>5867</v>
      </c>
      <c r="C190" s="209">
        <v>25.14</v>
      </c>
      <c r="D190" s="203">
        <v>337047</v>
      </c>
      <c r="E190" s="205">
        <v>44071.480312500003</v>
      </c>
      <c r="F190" s="123">
        <v>10224</v>
      </c>
    </row>
    <row r="191" spans="1:6" x14ac:dyDescent="0.25">
      <c r="A191" s="203" t="str">
        <f>"3907393"</f>
        <v>3907393</v>
      </c>
      <c r="B191" s="207" t="s">
        <v>5889</v>
      </c>
      <c r="C191" s="209">
        <v>6.91</v>
      </c>
      <c r="D191" s="203">
        <v>338946</v>
      </c>
      <c r="E191" s="205">
        <v>44071.521122685182</v>
      </c>
      <c r="F191" s="123">
        <v>10225</v>
      </c>
    </row>
    <row r="192" spans="1:6" x14ac:dyDescent="0.25">
      <c r="A192" s="203" t="str">
        <f>"3930371"</f>
        <v>3930371</v>
      </c>
      <c r="B192" s="207" t="s">
        <v>2801</v>
      </c>
      <c r="C192" s="209">
        <v>3.54</v>
      </c>
      <c r="D192" s="203">
        <v>336570</v>
      </c>
      <c r="E192" s="205">
        <v>44071.68109953704</v>
      </c>
      <c r="F192" s="123">
        <v>10226</v>
      </c>
    </row>
    <row r="193" spans="1:6" s="164" customFormat="1" x14ac:dyDescent="0.25">
      <c r="A193" s="115"/>
      <c r="B193" s="115" t="s">
        <v>5691</v>
      </c>
      <c r="C193" s="222">
        <f>SUM(C190:C192)</f>
        <v>35.589999999999996</v>
      </c>
      <c r="D193" s="115">
        <v>19</v>
      </c>
      <c r="E193" s="163"/>
      <c r="F193" s="115"/>
    </row>
    <row r="194" spans="1:6" customFormat="1" x14ac:dyDescent="0.25">
      <c r="A194" s="118"/>
      <c r="B194" s="116"/>
      <c r="C194" s="223"/>
      <c r="D194" s="118"/>
      <c r="E194" s="117"/>
      <c r="F194" s="118"/>
    </row>
    <row r="195" spans="1:6" x14ac:dyDescent="0.25">
      <c r="A195" s="203" t="str">
        <f>"3900593"</f>
        <v>3900593</v>
      </c>
      <c r="B195" s="207" t="s">
        <v>2797</v>
      </c>
      <c r="C195" s="209">
        <v>3.36</v>
      </c>
      <c r="D195" s="203">
        <v>338484</v>
      </c>
      <c r="E195" s="205">
        <v>44074.532002314816</v>
      </c>
      <c r="F195" s="123">
        <v>10306</v>
      </c>
    </row>
    <row r="196" spans="1:6" x14ac:dyDescent="0.25">
      <c r="A196" s="203" t="str">
        <f>"3903866"</f>
        <v>3903866</v>
      </c>
      <c r="B196" s="207" t="s">
        <v>5792</v>
      </c>
      <c r="C196" s="209">
        <v>2.31</v>
      </c>
      <c r="D196" s="203">
        <v>338790</v>
      </c>
      <c r="E196" s="205">
        <v>44074.595891203702</v>
      </c>
      <c r="F196" s="123">
        <v>10307</v>
      </c>
    </row>
    <row r="197" spans="1:6" x14ac:dyDescent="0.25">
      <c r="A197" s="203" t="str">
        <f>"3900576"</f>
        <v>3900576</v>
      </c>
      <c r="B197" s="207" t="s">
        <v>2995</v>
      </c>
      <c r="C197" s="209">
        <v>1.74</v>
      </c>
      <c r="D197" s="203">
        <v>338474</v>
      </c>
      <c r="E197" s="205">
        <v>44074.671423611115</v>
      </c>
      <c r="F197" s="123">
        <v>10308</v>
      </c>
    </row>
    <row r="198" spans="1:6" x14ac:dyDescent="0.25">
      <c r="A198" s="203" t="str">
        <f>"3908182"</f>
        <v>3908182</v>
      </c>
      <c r="B198" s="207" t="s">
        <v>5820</v>
      </c>
      <c r="C198" s="209">
        <v>1.78</v>
      </c>
      <c r="D198" s="203">
        <v>339109</v>
      </c>
      <c r="E198" s="205">
        <v>44074.395532407405</v>
      </c>
      <c r="F198" s="123">
        <v>10309</v>
      </c>
    </row>
    <row r="199" spans="1:6" x14ac:dyDescent="0.25">
      <c r="A199" s="203" t="str">
        <f>"3960265"</f>
        <v>3960265</v>
      </c>
      <c r="B199" s="207" t="s">
        <v>2999</v>
      </c>
      <c r="C199" s="209">
        <v>12.3</v>
      </c>
      <c r="D199" s="203">
        <v>336828</v>
      </c>
      <c r="E199" s="205">
        <v>44074.403923611113</v>
      </c>
      <c r="F199" s="123">
        <v>10310</v>
      </c>
    </row>
    <row r="200" spans="1:6" x14ac:dyDescent="0.25">
      <c r="A200" s="203" t="str">
        <f>"3960276"</f>
        <v>3960276</v>
      </c>
      <c r="B200" s="207" t="s">
        <v>2894</v>
      </c>
      <c r="C200" s="209">
        <v>12.3</v>
      </c>
      <c r="D200" s="203">
        <v>336853</v>
      </c>
      <c r="E200" s="205">
        <v>44074.417187500003</v>
      </c>
      <c r="F200" s="123">
        <v>10311</v>
      </c>
    </row>
    <row r="201" spans="1:6" x14ac:dyDescent="0.25">
      <c r="A201" s="203" t="str">
        <f>"3907618"</f>
        <v>3907618</v>
      </c>
      <c r="B201" s="207" t="s">
        <v>2783</v>
      </c>
      <c r="C201" s="209">
        <v>2.34</v>
      </c>
      <c r="D201" s="203">
        <v>339014</v>
      </c>
      <c r="E201" s="205">
        <v>44074.458993055552</v>
      </c>
      <c r="F201" s="123">
        <v>10312</v>
      </c>
    </row>
    <row r="202" spans="1:6" x14ac:dyDescent="0.25">
      <c r="A202" s="203" t="str">
        <f>"3930391"</f>
        <v>3930391</v>
      </c>
      <c r="B202" s="207" t="s">
        <v>5771</v>
      </c>
      <c r="C202" s="209">
        <v>5.53</v>
      </c>
      <c r="D202" s="203">
        <v>338091</v>
      </c>
      <c r="E202" s="205">
        <v>44074.71398148148</v>
      </c>
      <c r="F202" s="123">
        <v>10313</v>
      </c>
    </row>
    <row r="203" spans="1:6" x14ac:dyDescent="0.25">
      <c r="A203" s="203" t="str">
        <f>"3908057"</f>
        <v>3908057</v>
      </c>
      <c r="B203" s="207" t="s">
        <v>3000</v>
      </c>
      <c r="C203" s="209">
        <v>8.89</v>
      </c>
      <c r="D203" s="203">
        <v>338170</v>
      </c>
      <c r="E203" s="205">
        <v>44074.85900462963</v>
      </c>
      <c r="F203" s="123">
        <v>10314</v>
      </c>
    </row>
    <row r="204" spans="1:6" s="164" customFormat="1" x14ac:dyDescent="0.25">
      <c r="A204" s="115"/>
      <c r="B204" s="115" t="s">
        <v>5691</v>
      </c>
      <c r="C204" s="222">
        <f>SUM(C195:C203)</f>
        <v>50.550000000000011</v>
      </c>
      <c r="D204" s="115">
        <v>20</v>
      </c>
      <c r="E204" s="163"/>
      <c r="F204" s="115"/>
    </row>
    <row r="205" spans="1:6" customFormat="1" x14ac:dyDescent="0.25">
      <c r="A205" s="118"/>
      <c r="B205" s="116"/>
      <c r="C205" s="223"/>
      <c r="D205" s="118"/>
      <c r="E205" s="117"/>
      <c r="F205" s="118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2" fitToHeight="5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AC52A-2652-4E7F-B105-B4218CD21A62}">
  <sheetPr>
    <pageSetUpPr fitToPage="1"/>
  </sheetPr>
  <dimension ref="A1:K355"/>
  <sheetViews>
    <sheetView topLeftCell="A181" workbookViewId="0">
      <selection activeCell="A185" sqref="A185:XFD188"/>
    </sheetView>
  </sheetViews>
  <sheetFormatPr baseColWidth="10" defaultColWidth="11.5703125" defaultRowHeight="15.75" x14ac:dyDescent="0.25"/>
  <cols>
    <col min="1" max="1" width="9.85546875" style="137" bestFit="1" customWidth="1"/>
    <col min="2" max="2" width="9" style="137" bestFit="1" customWidth="1"/>
    <col min="3" max="3" width="46.28515625" style="137" customWidth="1"/>
    <col min="4" max="4" width="9.85546875" style="137" bestFit="1" customWidth="1"/>
    <col min="5" max="5" width="10.7109375" style="142" customWidth="1"/>
    <col min="6" max="6" width="17.42578125" style="137" customWidth="1"/>
    <col min="7" max="7" width="8.7109375" style="137" bestFit="1" customWidth="1"/>
    <col min="8" max="8" width="8" style="137" bestFit="1" customWidth="1"/>
    <col min="9" max="10" width="11.5703125" style="137"/>
    <col min="11" max="11" width="1.5703125" style="137" bestFit="1" customWidth="1"/>
    <col min="12" max="16384" width="11.5703125" style="137"/>
  </cols>
  <sheetData>
    <row r="1" spans="1:8" ht="16.5" thickBot="1" x14ac:dyDescent="0.3">
      <c r="A1" s="380" t="s">
        <v>14426</v>
      </c>
      <c r="B1" s="381"/>
      <c r="C1" s="381"/>
      <c r="D1" s="381"/>
      <c r="E1" s="381"/>
      <c r="F1" s="381"/>
      <c r="G1" s="143"/>
      <c r="H1" s="201"/>
    </row>
    <row r="2" spans="1:8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ht="31.5" x14ac:dyDescent="0.25">
      <c r="A3" s="134" t="s">
        <v>12890</v>
      </c>
      <c r="B3" s="134" t="s">
        <v>12916</v>
      </c>
      <c r="C3" s="134" t="s">
        <v>12915</v>
      </c>
      <c r="D3" s="134" t="s">
        <v>6574</v>
      </c>
      <c r="E3" s="139">
        <v>17.16</v>
      </c>
      <c r="F3" s="134" t="s">
        <v>6573</v>
      </c>
      <c r="G3" s="134" t="s">
        <v>3007</v>
      </c>
      <c r="H3" s="123">
        <v>9141</v>
      </c>
    </row>
    <row r="4" spans="1:8" ht="31.5" x14ac:dyDescent="0.25">
      <c r="A4" s="134" t="s">
        <v>12890</v>
      </c>
      <c r="B4" s="134" t="s">
        <v>12914</v>
      </c>
      <c r="C4" s="134" t="s">
        <v>12913</v>
      </c>
      <c r="D4" s="134" t="s">
        <v>4602</v>
      </c>
      <c r="E4" s="139">
        <v>12.99</v>
      </c>
      <c r="F4" s="134" t="s">
        <v>4601</v>
      </c>
      <c r="G4" s="134" t="s">
        <v>3007</v>
      </c>
      <c r="H4" s="123">
        <v>9142</v>
      </c>
    </row>
    <row r="5" spans="1:8" ht="31.5" x14ac:dyDescent="0.25">
      <c r="A5" s="134" t="s">
        <v>12890</v>
      </c>
      <c r="B5" s="134" t="s">
        <v>12912</v>
      </c>
      <c r="C5" s="134" t="s">
        <v>12911</v>
      </c>
      <c r="D5" s="134" t="s">
        <v>7524</v>
      </c>
      <c r="E5" s="139">
        <v>8.5</v>
      </c>
      <c r="F5" s="134" t="s">
        <v>7523</v>
      </c>
      <c r="G5" s="134" t="s">
        <v>3007</v>
      </c>
      <c r="H5" s="123">
        <v>9143</v>
      </c>
    </row>
    <row r="6" spans="1:8" ht="31.5" x14ac:dyDescent="0.25">
      <c r="A6" s="134" t="s">
        <v>12890</v>
      </c>
      <c r="B6" s="134" t="s">
        <v>12910</v>
      </c>
      <c r="C6" s="134" t="s">
        <v>12909</v>
      </c>
      <c r="D6" s="134" t="s">
        <v>9702</v>
      </c>
      <c r="E6" s="139">
        <v>2.02</v>
      </c>
      <c r="F6" s="134" t="s">
        <v>9701</v>
      </c>
      <c r="G6" s="134" t="s">
        <v>3007</v>
      </c>
      <c r="H6" s="123">
        <v>9144</v>
      </c>
    </row>
    <row r="7" spans="1:8" ht="31.5" x14ac:dyDescent="0.25">
      <c r="A7" s="134" t="s">
        <v>12890</v>
      </c>
      <c r="B7" s="134" t="s">
        <v>12908</v>
      </c>
      <c r="C7" s="134" t="s">
        <v>12907</v>
      </c>
      <c r="D7" s="134" t="s">
        <v>10050</v>
      </c>
      <c r="E7" s="139">
        <v>7.09</v>
      </c>
      <c r="F7" s="134" t="s">
        <v>10049</v>
      </c>
      <c r="G7" s="134" t="s">
        <v>3007</v>
      </c>
      <c r="H7" s="123">
        <v>9145</v>
      </c>
    </row>
    <row r="8" spans="1:8" ht="31.5" x14ac:dyDescent="0.25">
      <c r="A8" s="134" t="s">
        <v>12890</v>
      </c>
      <c r="B8" s="134" t="s">
        <v>12906</v>
      </c>
      <c r="C8" s="134" t="s">
        <v>12905</v>
      </c>
      <c r="D8" s="134" t="s">
        <v>6250</v>
      </c>
      <c r="E8" s="139">
        <v>10.89</v>
      </c>
      <c r="F8" s="134" t="s">
        <v>6249</v>
      </c>
      <c r="G8" s="134" t="s">
        <v>3007</v>
      </c>
      <c r="H8" s="123">
        <v>9146</v>
      </c>
    </row>
    <row r="9" spans="1:8" ht="31.5" x14ac:dyDescent="0.25">
      <c r="A9" s="134" t="s">
        <v>12890</v>
      </c>
      <c r="B9" s="134" t="s">
        <v>12904</v>
      </c>
      <c r="C9" s="134" t="s">
        <v>12903</v>
      </c>
      <c r="D9" s="134" t="s">
        <v>4443</v>
      </c>
      <c r="E9" s="139">
        <v>5</v>
      </c>
      <c r="F9" s="134" t="s">
        <v>4442</v>
      </c>
      <c r="G9" s="134" t="s">
        <v>3007</v>
      </c>
      <c r="H9" s="123">
        <v>9147</v>
      </c>
    </row>
    <row r="10" spans="1:8" ht="31.5" x14ac:dyDescent="0.25">
      <c r="A10" s="134" t="s">
        <v>12890</v>
      </c>
      <c r="B10" s="134" t="s">
        <v>12902</v>
      </c>
      <c r="C10" s="134" t="s">
        <v>12901</v>
      </c>
      <c r="D10" s="134" t="s">
        <v>5210</v>
      </c>
      <c r="E10" s="139">
        <v>4.29</v>
      </c>
      <c r="F10" s="134" t="s">
        <v>5209</v>
      </c>
      <c r="G10" s="134" t="s">
        <v>3007</v>
      </c>
      <c r="H10" s="123">
        <v>9148</v>
      </c>
    </row>
    <row r="11" spans="1:8" ht="31.5" x14ac:dyDescent="0.25">
      <c r="A11" s="134" t="s">
        <v>12890</v>
      </c>
      <c r="B11" s="134" t="s">
        <v>12900</v>
      </c>
      <c r="C11" s="134" t="s">
        <v>12899</v>
      </c>
      <c r="D11" s="134" t="s">
        <v>3195</v>
      </c>
      <c r="E11" s="139">
        <v>4.09</v>
      </c>
      <c r="F11" s="134" t="s">
        <v>3194</v>
      </c>
      <c r="G11" s="134" t="s">
        <v>3007</v>
      </c>
      <c r="H11" s="123">
        <v>9149</v>
      </c>
    </row>
    <row r="12" spans="1:8" ht="31.5" x14ac:dyDescent="0.25">
      <c r="A12" s="134" t="s">
        <v>12890</v>
      </c>
      <c r="B12" s="134" t="s">
        <v>12898</v>
      </c>
      <c r="C12" s="134" t="s">
        <v>12897</v>
      </c>
      <c r="D12" s="134" t="s">
        <v>3583</v>
      </c>
      <c r="E12" s="139">
        <v>15.2</v>
      </c>
      <c r="F12" s="134" t="s">
        <v>3582</v>
      </c>
      <c r="G12" s="134" t="s">
        <v>3007</v>
      </c>
      <c r="H12" s="123">
        <v>9150</v>
      </c>
    </row>
    <row r="13" spans="1:8" ht="31.5" x14ac:dyDescent="0.25">
      <c r="A13" s="134" t="s">
        <v>12890</v>
      </c>
      <c r="B13" s="134" t="s">
        <v>12896</v>
      </c>
      <c r="C13" s="134" t="s">
        <v>12895</v>
      </c>
      <c r="D13" s="134" t="s">
        <v>8211</v>
      </c>
      <c r="E13" s="139">
        <v>2.1800000000000002</v>
      </c>
      <c r="F13" s="134" t="s">
        <v>8210</v>
      </c>
      <c r="G13" s="134" t="s">
        <v>3007</v>
      </c>
      <c r="H13" s="123">
        <v>9151</v>
      </c>
    </row>
    <row r="14" spans="1:8" ht="31.5" x14ac:dyDescent="0.25">
      <c r="A14" s="134" t="s">
        <v>12890</v>
      </c>
      <c r="B14" s="134" t="s">
        <v>12894</v>
      </c>
      <c r="C14" s="134" t="s">
        <v>12893</v>
      </c>
      <c r="D14" s="134" t="s">
        <v>3462</v>
      </c>
      <c r="E14" s="139">
        <v>2.72</v>
      </c>
      <c r="F14" s="134" t="s">
        <v>3461</v>
      </c>
      <c r="G14" s="134" t="s">
        <v>3007</v>
      </c>
      <c r="H14" s="123">
        <v>9152</v>
      </c>
    </row>
    <row r="15" spans="1:8" ht="31.5" x14ac:dyDescent="0.25">
      <c r="A15" s="134" t="s">
        <v>12890</v>
      </c>
      <c r="B15" s="134" t="s">
        <v>12892</v>
      </c>
      <c r="C15" s="134" t="s">
        <v>12891</v>
      </c>
      <c r="D15" s="134" t="s">
        <v>3719</v>
      </c>
      <c r="E15" s="139">
        <v>4.1900000000000004</v>
      </c>
      <c r="F15" s="134" t="s">
        <v>3718</v>
      </c>
      <c r="G15" s="134" t="s">
        <v>3007</v>
      </c>
      <c r="H15" s="123">
        <v>9153</v>
      </c>
    </row>
    <row r="16" spans="1:8" ht="31.5" x14ac:dyDescent="0.25">
      <c r="A16" s="134" t="s">
        <v>12890</v>
      </c>
      <c r="B16" s="134" t="s">
        <v>12889</v>
      </c>
      <c r="C16" s="134" t="s">
        <v>12888</v>
      </c>
      <c r="D16" s="134" t="s">
        <v>7425</v>
      </c>
      <c r="E16" s="139">
        <v>14.4</v>
      </c>
      <c r="F16" s="134" t="s">
        <v>7424</v>
      </c>
      <c r="G16" s="134" t="s">
        <v>3007</v>
      </c>
      <c r="H16" s="123">
        <v>9154</v>
      </c>
    </row>
    <row r="17" spans="1:8" ht="31.5" x14ac:dyDescent="0.25">
      <c r="A17" s="134" t="s">
        <v>12870</v>
      </c>
      <c r="B17" s="134" t="s">
        <v>12887</v>
      </c>
      <c r="C17" s="134" t="s">
        <v>12886</v>
      </c>
      <c r="D17" s="134" t="s">
        <v>3050</v>
      </c>
      <c r="E17" s="139">
        <v>2.6</v>
      </c>
      <c r="F17" s="134" t="s">
        <v>3049</v>
      </c>
      <c r="G17" s="134" t="s">
        <v>3007</v>
      </c>
      <c r="H17" s="123">
        <v>9155</v>
      </c>
    </row>
    <row r="18" spans="1:8" ht="31.5" x14ac:dyDescent="0.25">
      <c r="A18" s="134" t="s">
        <v>12870</v>
      </c>
      <c r="B18" s="134" t="s">
        <v>12885</v>
      </c>
      <c r="C18" s="134" t="s">
        <v>12884</v>
      </c>
      <c r="D18" s="134" t="s">
        <v>7166</v>
      </c>
      <c r="E18" s="139">
        <v>3.36</v>
      </c>
      <c r="F18" s="134" t="s">
        <v>7165</v>
      </c>
      <c r="G18" s="134" t="s">
        <v>3007</v>
      </c>
      <c r="H18" s="123">
        <v>9156</v>
      </c>
    </row>
    <row r="19" spans="1:8" ht="31.5" x14ac:dyDescent="0.25">
      <c r="A19" s="134" t="s">
        <v>12870</v>
      </c>
      <c r="B19" s="134" t="s">
        <v>12883</v>
      </c>
      <c r="C19" s="134" t="s">
        <v>12882</v>
      </c>
      <c r="D19" s="134" t="s">
        <v>5281</v>
      </c>
      <c r="E19" s="139">
        <v>3.44</v>
      </c>
      <c r="F19" s="134" t="s">
        <v>5280</v>
      </c>
      <c r="G19" s="134" t="s">
        <v>3007</v>
      </c>
      <c r="H19" s="123">
        <v>9157</v>
      </c>
    </row>
    <row r="20" spans="1:8" ht="31.5" x14ac:dyDescent="0.25">
      <c r="A20" s="134" t="s">
        <v>12870</v>
      </c>
      <c r="B20" s="134" t="s">
        <v>12881</v>
      </c>
      <c r="C20" s="134" t="s">
        <v>12880</v>
      </c>
      <c r="D20" s="134" t="s">
        <v>9822</v>
      </c>
      <c r="E20" s="139">
        <v>8.4700000000000006</v>
      </c>
      <c r="F20" s="134" t="s">
        <v>9821</v>
      </c>
      <c r="G20" s="134" t="s">
        <v>3007</v>
      </c>
      <c r="H20" s="123">
        <v>9158</v>
      </c>
    </row>
    <row r="21" spans="1:8" ht="31.5" x14ac:dyDescent="0.25">
      <c r="A21" s="134" t="s">
        <v>12870</v>
      </c>
      <c r="B21" s="134" t="s">
        <v>12879</v>
      </c>
      <c r="C21" s="134" t="s">
        <v>12878</v>
      </c>
      <c r="D21" s="134" t="s">
        <v>8007</v>
      </c>
      <c r="E21" s="139">
        <v>3.56</v>
      </c>
      <c r="F21" s="134" t="s">
        <v>8006</v>
      </c>
      <c r="G21" s="134" t="s">
        <v>3007</v>
      </c>
      <c r="H21" s="123" t="s">
        <v>12877</v>
      </c>
    </row>
    <row r="22" spans="1:8" ht="31.5" x14ac:dyDescent="0.25">
      <c r="A22" s="134" t="s">
        <v>12870</v>
      </c>
      <c r="B22" s="134" t="s">
        <v>12876</v>
      </c>
      <c r="C22" s="134" t="s">
        <v>12875</v>
      </c>
      <c r="D22" s="134" t="s">
        <v>4724</v>
      </c>
      <c r="E22" s="139">
        <v>11.76</v>
      </c>
      <c r="F22" s="134" t="s">
        <v>4723</v>
      </c>
      <c r="G22" s="134" t="s">
        <v>3007</v>
      </c>
      <c r="H22" s="123">
        <v>9159</v>
      </c>
    </row>
    <row r="23" spans="1:8" ht="31.5" x14ac:dyDescent="0.25">
      <c r="A23" s="134" t="s">
        <v>12870</v>
      </c>
      <c r="B23" s="134" t="s">
        <v>12874</v>
      </c>
      <c r="C23" s="134" t="s">
        <v>12873</v>
      </c>
      <c r="D23" s="134" t="s">
        <v>12872</v>
      </c>
      <c r="E23" s="139">
        <v>12.94</v>
      </c>
      <c r="F23" s="134" t="s">
        <v>12871</v>
      </c>
      <c r="G23" s="134" t="s">
        <v>3007</v>
      </c>
      <c r="H23" s="123">
        <v>9160</v>
      </c>
    </row>
    <row r="24" spans="1:8" ht="31.5" x14ac:dyDescent="0.25">
      <c r="A24" s="134" t="s">
        <v>12870</v>
      </c>
      <c r="B24" s="134" t="s">
        <v>12869</v>
      </c>
      <c r="C24" s="134" t="s">
        <v>12868</v>
      </c>
      <c r="D24" s="134" t="s">
        <v>3506</v>
      </c>
      <c r="E24" s="139">
        <v>1.69</v>
      </c>
      <c r="F24" s="134" t="s">
        <v>3505</v>
      </c>
      <c r="G24" s="134" t="s">
        <v>3007</v>
      </c>
      <c r="H24" s="123">
        <v>9161</v>
      </c>
    </row>
    <row r="25" spans="1:8" ht="31.5" x14ac:dyDescent="0.25">
      <c r="A25" s="134" t="s">
        <v>12800</v>
      </c>
      <c r="B25" s="134" t="s">
        <v>12867</v>
      </c>
      <c r="C25" s="134" t="s">
        <v>12866</v>
      </c>
      <c r="D25" s="134" t="s">
        <v>8775</v>
      </c>
      <c r="E25" s="139">
        <v>6.69</v>
      </c>
      <c r="F25" s="134" t="s">
        <v>8774</v>
      </c>
      <c r="G25" s="134" t="s">
        <v>3007</v>
      </c>
      <c r="H25" s="123">
        <v>9188</v>
      </c>
    </row>
    <row r="26" spans="1:8" ht="31.5" x14ac:dyDescent="0.25">
      <c r="A26" s="134" t="s">
        <v>12800</v>
      </c>
      <c r="B26" s="134" t="s">
        <v>12865</v>
      </c>
      <c r="C26" s="134" t="s">
        <v>12864</v>
      </c>
      <c r="D26" s="134" t="s">
        <v>8311</v>
      </c>
      <c r="E26" s="139">
        <v>10.74</v>
      </c>
      <c r="F26" s="134" t="s">
        <v>8310</v>
      </c>
      <c r="G26" s="134" t="s">
        <v>3007</v>
      </c>
      <c r="H26" s="123">
        <v>9189</v>
      </c>
    </row>
    <row r="27" spans="1:8" ht="31.5" x14ac:dyDescent="0.25">
      <c r="A27" s="134" t="s">
        <v>12800</v>
      </c>
      <c r="B27" s="134" t="s">
        <v>12863</v>
      </c>
      <c r="C27" s="134" t="s">
        <v>12862</v>
      </c>
      <c r="D27" s="134" t="s">
        <v>3534</v>
      </c>
      <c r="E27" s="139">
        <v>14.51</v>
      </c>
      <c r="F27" s="134" t="s">
        <v>3533</v>
      </c>
      <c r="G27" s="134" t="s">
        <v>3007</v>
      </c>
      <c r="H27" s="123">
        <v>9190</v>
      </c>
    </row>
    <row r="28" spans="1:8" ht="31.5" x14ac:dyDescent="0.25">
      <c r="A28" s="134" t="s">
        <v>12800</v>
      </c>
      <c r="B28" s="134" t="s">
        <v>12861</v>
      </c>
      <c r="C28" s="134" t="s">
        <v>12860</v>
      </c>
      <c r="D28" s="134" t="s">
        <v>10262</v>
      </c>
      <c r="E28" s="139">
        <v>4.72</v>
      </c>
      <c r="F28" s="134" t="s">
        <v>10261</v>
      </c>
      <c r="G28" s="134" t="s">
        <v>3007</v>
      </c>
      <c r="H28" s="123">
        <v>9191</v>
      </c>
    </row>
    <row r="29" spans="1:8" ht="31.5" x14ac:dyDescent="0.25">
      <c r="A29" s="134" t="s">
        <v>12800</v>
      </c>
      <c r="B29" s="134" t="s">
        <v>12859</v>
      </c>
      <c r="C29" s="134" t="s">
        <v>12858</v>
      </c>
      <c r="D29" s="134" t="s">
        <v>5309</v>
      </c>
      <c r="E29" s="139">
        <v>3.79</v>
      </c>
      <c r="F29" s="134" t="s">
        <v>5308</v>
      </c>
      <c r="G29" s="134" t="s">
        <v>3007</v>
      </c>
      <c r="H29" s="124">
        <v>9192</v>
      </c>
    </row>
    <row r="30" spans="1:8" ht="31.5" x14ac:dyDescent="0.25">
      <c r="A30" s="134" t="s">
        <v>12800</v>
      </c>
      <c r="B30" s="134" t="s">
        <v>12857</v>
      </c>
      <c r="C30" s="134" t="s">
        <v>12856</v>
      </c>
      <c r="D30" s="134" t="s">
        <v>7240</v>
      </c>
      <c r="E30" s="139">
        <v>10.11</v>
      </c>
      <c r="F30" s="134" t="s">
        <v>7239</v>
      </c>
      <c r="G30" s="134" t="s">
        <v>3007</v>
      </c>
      <c r="H30" s="124">
        <v>9193</v>
      </c>
    </row>
    <row r="31" spans="1:8" ht="31.5" x14ac:dyDescent="0.25">
      <c r="A31" s="134" t="s">
        <v>12800</v>
      </c>
      <c r="B31" s="134" t="s">
        <v>12855</v>
      </c>
      <c r="C31" s="134" t="s">
        <v>12854</v>
      </c>
      <c r="D31" s="134" t="s">
        <v>4799</v>
      </c>
      <c r="E31" s="139">
        <v>3.36</v>
      </c>
      <c r="F31" s="134" t="s">
        <v>4798</v>
      </c>
      <c r="G31" s="134" t="s">
        <v>3007</v>
      </c>
      <c r="H31" s="124">
        <v>9194</v>
      </c>
    </row>
    <row r="32" spans="1:8" ht="31.5" x14ac:dyDescent="0.25">
      <c r="A32" s="134" t="s">
        <v>12800</v>
      </c>
      <c r="B32" s="134" t="s">
        <v>12853</v>
      </c>
      <c r="C32" s="134" t="s">
        <v>12852</v>
      </c>
      <c r="D32" s="134" t="s">
        <v>9535</v>
      </c>
      <c r="E32" s="139">
        <v>4.01</v>
      </c>
      <c r="F32" s="134" t="s">
        <v>9534</v>
      </c>
      <c r="G32" s="134" t="s">
        <v>3007</v>
      </c>
      <c r="H32" s="124">
        <v>9195</v>
      </c>
    </row>
    <row r="33" spans="1:11" ht="31.5" x14ac:dyDescent="0.25">
      <c r="A33" s="134" t="s">
        <v>12800</v>
      </c>
      <c r="B33" s="134" t="s">
        <v>12851</v>
      </c>
      <c r="C33" s="134" t="s">
        <v>12850</v>
      </c>
      <c r="D33" s="134" t="s">
        <v>3953</v>
      </c>
      <c r="E33" s="139">
        <v>1.68</v>
      </c>
      <c r="F33" s="134" t="s">
        <v>3952</v>
      </c>
      <c r="G33" s="134" t="s">
        <v>3007</v>
      </c>
      <c r="H33" s="124">
        <v>9196</v>
      </c>
    </row>
    <row r="34" spans="1:11" ht="31.5" x14ac:dyDescent="0.25">
      <c r="A34" s="134" t="s">
        <v>12800</v>
      </c>
      <c r="B34" s="134" t="s">
        <v>12849</v>
      </c>
      <c r="C34" s="134" t="s">
        <v>12848</v>
      </c>
      <c r="D34" s="134" t="s">
        <v>5313</v>
      </c>
      <c r="E34" s="139">
        <v>1.68</v>
      </c>
      <c r="F34" s="134" t="s">
        <v>5312</v>
      </c>
      <c r="G34" s="134" t="s">
        <v>3007</v>
      </c>
      <c r="H34" s="124">
        <v>9211</v>
      </c>
    </row>
    <row r="35" spans="1:11" ht="31.5" x14ac:dyDescent="0.25">
      <c r="A35" s="134" t="s">
        <v>12800</v>
      </c>
      <c r="B35" s="134" t="s">
        <v>12847</v>
      </c>
      <c r="C35" s="134" t="s">
        <v>12846</v>
      </c>
      <c r="D35" s="134" t="s">
        <v>8227</v>
      </c>
      <c r="E35" s="139">
        <v>6.68</v>
      </c>
      <c r="F35" s="134" t="s">
        <v>8226</v>
      </c>
      <c r="G35" s="134" t="s">
        <v>3007</v>
      </c>
      <c r="H35" s="124">
        <v>9215</v>
      </c>
    </row>
    <row r="36" spans="1:11" ht="31.5" x14ac:dyDescent="0.25">
      <c r="A36" s="134" t="s">
        <v>12800</v>
      </c>
      <c r="B36" s="134" t="s">
        <v>12845</v>
      </c>
      <c r="C36" s="134" t="s">
        <v>12844</v>
      </c>
      <c r="D36" s="134" t="s">
        <v>12843</v>
      </c>
      <c r="E36" s="139">
        <v>7.21</v>
      </c>
      <c r="F36" s="134" t="s">
        <v>12842</v>
      </c>
      <c r="G36" s="134" t="s">
        <v>3007</v>
      </c>
      <c r="H36" s="124">
        <v>9219</v>
      </c>
    </row>
    <row r="37" spans="1:11" ht="31.5" x14ac:dyDescent="0.25">
      <c r="A37" s="134" t="s">
        <v>12800</v>
      </c>
      <c r="B37" s="134" t="s">
        <v>12841</v>
      </c>
      <c r="C37" s="134" t="s">
        <v>12840</v>
      </c>
      <c r="D37" s="134" t="s">
        <v>12839</v>
      </c>
      <c r="E37" s="139">
        <v>30.6</v>
      </c>
      <c r="F37" s="134" t="s">
        <v>12838</v>
      </c>
      <c r="G37" s="134" t="s">
        <v>3007</v>
      </c>
      <c r="H37" s="123">
        <v>9222</v>
      </c>
    </row>
    <row r="38" spans="1:11" ht="31.5" x14ac:dyDescent="0.25">
      <c r="A38" s="134" t="s">
        <v>12800</v>
      </c>
      <c r="B38" s="134" t="s">
        <v>12837</v>
      </c>
      <c r="C38" s="134" t="s">
        <v>12836</v>
      </c>
      <c r="D38" s="134" t="s">
        <v>12336</v>
      </c>
      <c r="E38" s="139">
        <v>34.700000000000003</v>
      </c>
      <c r="F38" s="134" t="s">
        <v>12335</v>
      </c>
      <c r="G38" s="134" t="s">
        <v>3007</v>
      </c>
      <c r="H38" s="123">
        <v>9226</v>
      </c>
    </row>
    <row r="39" spans="1:11" ht="31.5" x14ac:dyDescent="0.25">
      <c r="A39" s="134" t="s">
        <v>12800</v>
      </c>
      <c r="B39" s="134" t="s">
        <v>12835</v>
      </c>
      <c r="C39" s="134" t="s">
        <v>12834</v>
      </c>
      <c r="D39" s="134" t="s">
        <v>12833</v>
      </c>
      <c r="E39" s="139">
        <v>41.9</v>
      </c>
      <c r="F39" s="134" t="s">
        <v>12335</v>
      </c>
      <c r="G39" s="134" t="s">
        <v>3007</v>
      </c>
      <c r="H39" s="123">
        <v>9223</v>
      </c>
    </row>
    <row r="40" spans="1:11" ht="31.5" x14ac:dyDescent="0.25">
      <c r="A40" s="134" t="s">
        <v>12800</v>
      </c>
      <c r="B40" s="134" t="s">
        <v>12832</v>
      </c>
      <c r="C40" s="134" t="s">
        <v>12831</v>
      </c>
      <c r="D40" s="134" t="s">
        <v>5166</v>
      </c>
      <c r="E40" s="139">
        <v>7.15</v>
      </c>
      <c r="F40" s="134" t="s">
        <v>5165</v>
      </c>
      <c r="G40" s="134" t="s">
        <v>3007</v>
      </c>
      <c r="H40" s="123">
        <v>9227</v>
      </c>
    </row>
    <row r="41" spans="1:11" ht="31.5" x14ac:dyDescent="0.25">
      <c r="A41" s="134" t="s">
        <v>12800</v>
      </c>
      <c r="B41" s="134" t="s">
        <v>12830</v>
      </c>
      <c r="C41" s="134" t="s">
        <v>12829</v>
      </c>
      <c r="D41" s="134" t="s">
        <v>12828</v>
      </c>
      <c r="E41" s="139">
        <v>10.02</v>
      </c>
      <c r="F41" s="134" t="s">
        <v>12827</v>
      </c>
      <c r="G41" s="134" t="s">
        <v>3007</v>
      </c>
      <c r="H41" s="123">
        <v>9228</v>
      </c>
    </row>
    <row r="42" spans="1:11" ht="31.5" x14ac:dyDescent="0.25">
      <c r="A42" s="134" t="s">
        <v>12800</v>
      </c>
      <c r="B42" s="134" t="s">
        <v>12826</v>
      </c>
      <c r="C42" s="134" t="s">
        <v>12825</v>
      </c>
      <c r="D42" s="134" t="s">
        <v>4681</v>
      </c>
      <c r="E42" s="139">
        <v>13.18</v>
      </c>
      <c r="F42" s="134" t="s">
        <v>4680</v>
      </c>
      <c r="G42" s="134" t="s">
        <v>3007</v>
      </c>
      <c r="H42" s="123">
        <v>9229</v>
      </c>
    </row>
    <row r="43" spans="1:11" ht="31.5" x14ac:dyDescent="0.25">
      <c r="A43" s="134" t="s">
        <v>12800</v>
      </c>
      <c r="B43" s="134" t="s">
        <v>12824</v>
      </c>
      <c r="C43" s="134" t="s">
        <v>12823</v>
      </c>
      <c r="D43" s="134" t="s">
        <v>7843</v>
      </c>
      <c r="E43" s="139">
        <v>5.05</v>
      </c>
      <c r="F43" s="134" t="s">
        <v>7842</v>
      </c>
      <c r="G43" s="134" t="s">
        <v>3007</v>
      </c>
      <c r="H43" s="123">
        <v>9230</v>
      </c>
    </row>
    <row r="44" spans="1:11" ht="31.5" x14ac:dyDescent="0.25">
      <c r="A44" s="134" t="s">
        <v>12800</v>
      </c>
      <c r="B44" s="134" t="s">
        <v>12822</v>
      </c>
      <c r="C44" s="134" t="s">
        <v>12821</v>
      </c>
      <c r="D44" s="134" t="s">
        <v>7289</v>
      </c>
      <c r="E44" s="139">
        <v>41.8</v>
      </c>
      <c r="F44" s="134" t="s">
        <v>7288</v>
      </c>
      <c r="G44" s="134" t="s">
        <v>3007</v>
      </c>
      <c r="H44" s="123">
        <v>9233</v>
      </c>
    </row>
    <row r="45" spans="1:11" ht="31.5" x14ac:dyDescent="0.25">
      <c r="A45" s="134" t="s">
        <v>12800</v>
      </c>
      <c r="B45" s="134" t="s">
        <v>12820</v>
      </c>
      <c r="C45" s="134" t="s">
        <v>12819</v>
      </c>
      <c r="D45" s="134" t="s">
        <v>5618</v>
      </c>
      <c r="E45" s="139">
        <v>1.68</v>
      </c>
      <c r="F45" s="134" t="s">
        <v>5617</v>
      </c>
      <c r="G45" s="134" t="s">
        <v>3007</v>
      </c>
      <c r="H45" s="123">
        <v>9234</v>
      </c>
    </row>
    <row r="46" spans="1:11" ht="31.5" x14ac:dyDescent="0.25">
      <c r="A46" s="134" t="s">
        <v>12800</v>
      </c>
      <c r="B46" s="134" t="s">
        <v>12818</v>
      </c>
      <c r="C46" s="134" t="s">
        <v>12817</v>
      </c>
      <c r="D46" s="134" t="s">
        <v>3115</v>
      </c>
      <c r="E46" s="139">
        <v>30.3</v>
      </c>
      <c r="F46" s="134" t="s">
        <v>3114</v>
      </c>
      <c r="G46" s="134" t="s">
        <v>3007</v>
      </c>
      <c r="H46" s="123">
        <v>9235</v>
      </c>
      <c r="K46" s="137" t="s">
        <v>5521</v>
      </c>
    </row>
    <row r="47" spans="1:11" ht="31.5" x14ac:dyDescent="0.25">
      <c r="A47" s="134" t="s">
        <v>12800</v>
      </c>
      <c r="B47" s="134" t="s">
        <v>12816</v>
      </c>
      <c r="C47" s="134" t="s">
        <v>12815</v>
      </c>
      <c r="D47" s="134" t="s">
        <v>3579</v>
      </c>
      <c r="E47" s="139">
        <v>3.06</v>
      </c>
      <c r="F47" s="134" t="s">
        <v>3578</v>
      </c>
      <c r="G47" s="134" t="s">
        <v>3007</v>
      </c>
      <c r="H47" s="123">
        <v>9236</v>
      </c>
    </row>
    <row r="48" spans="1:11" ht="31.5" x14ac:dyDescent="0.25">
      <c r="A48" s="134" t="s">
        <v>12800</v>
      </c>
      <c r="B48" s="134" t="s">
        <v>9680</v>
      </c>
      <c r="C48" s="134" t="s">
        <v>12814</v>
      </c>
      <c r="D48" s="134" t="s">
        <v>6927</v>
      </c>
      <c r="E48" s="139">
        <v>39.81</v>
      </c>
      <c r="F48" s="134" t="s">
        <v>6926</v>
      </c>
      <c r="G48" s="134" t="s">
        <v>3007</v>
      </c>
      <c r="H48" s="123">
        <v>9237</v>
      </c>
    </row>
    <row r="49" spans="1:8" ht="31.5" x14ac:dyDescent="0.25">
      <c r="A49" s="134" t="s">
        <v>12800</v>
      </c>
      <c r="B49" s="134" t="s">
        <v>12813</v>
      </c>
      <c r="C49" s="134" t="s">
        <v>12812</v>
      </c>
      <c r="D49" s="134" t="s">
        <v>9907</v>
      </c>
      <c r="E49" s="139">
        <v>1.74</v>
      </c>
      <c r="F49" s="134" t="s">
        <v>9906</v>
      </c>
      <c r="G49" s="134" t="s">
        <v>3007</v>
      </c>
      <c r="H49" s="123">
        <v>9238</v>
      </c>
    </row>
    <row r="50" spans="1:8" ht="31.5" x14ac:dyDescent="0.25">
      <c r="A50" s="134" t="s">
        <v>12800</v>
      </c>
      <c r="B50" s="134" t="s">
        <v>12811</v>
      </c>
      <c r="C50" s="134" t="s">
        <v>12810</v>
      </c>
      <c r="D50" s="134" t="s">
        <v>5396</v>
      </c>
      <c r="E50" s="139">
        <v>2.96</v>
      </c>
      <c r="F50" s="134" t="s">
        <v>5395</v>
      </c>
      <c r="G50" s="134" t="s">
        <v>3007</v>
      </c>
      <c r="H50" s="123">
        <v>9239</v>
      </c>
    </row>
    <row r="51" spans="1:8" ht="31.5" x14ac:dyDescent="0.25">
      <c r="A51" s="134" t="s">
        <v>12800</v>
      </c>
      <c r="B51" s="134" t="s">
        <v>12809</v>
      </c>
      <c r="C51" s="134" t="s">
        <v>12808</v>
      </c>
      <c r="D51" s="134" t="s">
        <v>7316</v>
      </c>
      <c r="E51" s="139">
        <v>11.34</v>
      </c>
      <c r="F51" s="134" t="s">
        <v>7315</v>
      </c>
      <c r="G51" s="134" t="s">
        <v>3007</v>
      </c>
      <c r="H51" s="123">
        <v>9240</v>
      </c>
    </row>
    <row r="52" spans="1:8" ht="31.5" x14ac:dyDescent="0.25">
      <c r="A52" s="134" t="s">
        <v>12800</v>
      </c>
      <c r="B52" s="134" t="s">
        <v>12807</v>
      </c>
      <c r="C52" s="134" t="s">
        <v>12806</v>
      </c>
      <c r="D52" s="134" t="s">
        <v>5470</v>
      </c>
      <c r="E52" s="139">
        <v>5.66</v>
      </c>
      <c r="F52" s="134" t="s">
        <v>5469</v>
      </c>
      <c r="G52" s="134" t="s">
        <v>3007</v>
      </c>
      <c r="H52" s="123">
        <v>9241</v>
      </c>
    </row>
    <row r="53" spans="1:8" ht="31.5" x14ac:dyDescent="0.25">
      <c r="A53" s="134" t="s">
        <v>12800</v>
      </c>
      <c r="B53" s="134" t="s">
        <v>12805</v>
      </c>
      <c r="C53" s="134" t="s">
        <v>12804</v>
      </c>
      <c r="D53" s="134" t="s">
        <v>7341</v>
      </c>
      <c r="E53" s="139">
        <v>7.82</v>
      </c>
      <c r="F53" s="134" t="s">
        <v>7340</v>
      </c>
      <c r="G53" s="134" t="s">
        <v>3007</v>
      </c>
      <c r="H53" s="123">
        <v>9242</v>
      </c>
    </row>
    <row r="54" spans="1:8" ht="31.5" x14ac:dyDescent="0.25">
      <c r="A54" s="134" t="s">
        <v>12800</v>
      </c>
      <c r="B54" s="134" t="s">
        <v>12803</v>
      </c>
      <c r="C54" s="134" t="s">
        <v>12802</v>
      </c>
      <c r="D54" s="134" t="s">
        <v>7042</v>
      </c>
      <c r="E54" s="139">
        <v>2.13</v>
      </c>
      <c r="F54" s="134" t="s">
        <v>7038</v>
      </c>
      <c r="G54" s="134" t="s">
        <v>3007</v>
      </c>
      <c r="H54" s="123">
        <v>9243</v>
      </c>
    </row>
    <row r="55" spans="1:8" ht="31.5" x14ac:dyDescent="0.25">
      <c r="A55" s="134" t="s">
        <v>12800</v>
      </c>
      <c r="B55" s="134" t="s">
        <v>9395</v>
      </c>
      <c r="C55" s="134" t="s">
        <v>12801</v>
      </c>
      <c r="D55" s="134" t="s">
        <v>7039</v>
      </c>
      <c r="E55" s="139">
        <v>1.68</v>
      </c>
      <c r="F55" s="134" t="s">
        <v>7038</v>
      </c>
      <c r="G55" s="134" t="s">
        <v>3007</v>
      </c>
      <c r="H55" s="123">
        <v>9244</v>
      </c>
    </row>
    <row r="56" spans="1:8" ht="31.5" x14ac:dyDescent="0.25">
      <c r="A56" s="134" t="s">
        <v>12800</v>
      </c>
      <c r="B56" s="134" t="s">
        <v>12799</v>
      </c>
      <c r="C56" s="134" t="s">
        <v>12798</v>
      </c>
      <c r="D56" s="134" t="s">
        <v>6099</v>
      </c>
      <c r="E56" s="139">
        <v>8.66</v>
      </c>
      <c r="F56" s="134" t="s">
        <v>6095</v>
      </c>
      <c r="G56" s="134" t="s">
        <v>3007</v>
      </c>
      <c r="H56" s="123">
        <v>9245</v>
      </c>
    </row>
    <row r="57" spans="1:8" ht="31.5" x14ac:dyDescent="0.25">
      <c r="A57" s="134" t="s">
        <v>12735</v>
      </c>
      <c r="B57" s="134" t="s">
        <v>12797</v>
      </c>
      <c r="C57" s="134" t="s">
        <v>12796</v>
      </c>
      <c r="D57" s="134" t="s">
        <v>7349</v>
      </c>
      <c r="E57" s="139">
        <v>8.3800000000000008</v>
      </c>
      <c r="F57" s="134" t="s">
        <v>7348</v>
      </c>
      <c r="G57" s="134" t="s">
        <v>3007</v>
      </c>
      <c r="H57" s="123">
        <v>9383</v>
      </c>
    </row>
    <row r="58" spans="1:8" ht="31.5" x14ac:dyDescent="0.25">
      <c r="A58" s="134" t="s">
        <v>12735</v>
      </c>
      <c r="B58" s="134" t="s">
        <v>12795</v>
      </c>
      <c r="C58" s="134" t="s">
        <v>12794</v>
      </c>
      <c r="D58" s="134" t="s">
        <v>5417</v>
      </c>
      <c r="E58" s="139">
        <v>5.21</v>
      </c>
      <c r="F58" s="134" t="s">
        <v>5416</v>
      </c>
      <c r="G58" s="134" t="s">
        <v>3007</v>
      </c>
      <c r="H58" s="123">
        <v>9384</v>
      </c>
    </row>
    <row r="59" spans="1:8" ht="31.5" x14ac:dyDescent="0.25">
      <c r="A59" s="134" t="s">
        <v>12735</v>
      </c>
      <c r="B59" s="134" t="s">
        <v>12793</v>
      </c>
      <c r="C59" s="134" t="s">
        <v>12792</v>
      </c>
      <c r="D59" s="134" t="s">
        <v>5285</v>
      </c>
      <c r="E59" s="139">
        <v>11.63</v>
      </c>
      <c r="F59" s="134" t="s">
        <v>5284</v>
      </c>
      <c r="G59" s="134" t="s">
        <v>3007</v>
      </c>
      <c r="H59" s="123">
        <v>9385</v>
      </c>
    </row>
    <row r="60" spans="1:8" ht="31.5" x14ac:dyDescent="0.25">
      <c r="A60" s="134" t="s">
        <v>12735</v>
      </c>
      <c r="B60" s="134" t="s">
        <v>12791</v>
      </c>
      <c r="C60" s="134" t="s">
        <v>12790</v>
      </c>
      <c r="D60" s="134" t="s">
        <v>7585</v>
      </c>
      <c r="E60" s="139">
        <v>3.6</v>
      </c>
      <c r="F60" s="134" t="s">
        <v>7584</v>
      </c>
      <c r="G60" s="134" t="s">
        <v>3007</v>
      </c>
      <c r="H60" s="123">
        <v>9386</v>
      </c>
    </row>
    <row r="61" spans="1:8" ht="31.5" x14ac:dyDescent="0.25">
      <c r="A61" s="134" t="s">
        <v>12735</v>
      </c>
      <c r="B61" s="134" t="s">
        <v>12789</v>
      </c>
      <c r="C61" s="134" t="s">
        <v>12788</v>
      </c>
      <c r="D61" s="134" t="s">
        <v>7031</v>
      </c>
      <c r="E61" s="139">
        <v>9.83</v>
      </c>
      <c r="F61" s="134" t="s">
        <v>7030</v>
      </c>
      <c r="G61" s="134" t="s">
        <v>3007</v>
      </c>
      <c r="H61" s="123">
        <v>9387</v>
      </c>
    </row>
    <row r="62" spans="1:8" ht="31.5" x14ac:dyDescent="0.25">
      <c r="A62" s="134" t="s">
        <v>12735</v>
      </c>
      <c r="B62" s="134" t="s">
        <v>12787</v>
      </c>
      <c r="C62" s="134" t="s">
        <v>12786</v>
      </c>
      <c r="D62" s="134" t="s">
        <v>6907</v>
      </c>
      <c r="E62" s="139">
        <v>1.68</v>
      </c>
      <c r="F62" s="134" t="s">
        <v>6906</v>
      </c>
      <c r="G62" s="134" t="s">
        <v>3007</v>
      </c>
      <c r="H62" s="123">
        <v>9388</v>
      </c>
    </row>
    <row r="63" spans="1:8" ht="31.5" x14ac:dyDescent="0.25">
      <c r="A63" s="134" t="s">
        <v>12735</v>
      </c>
      <c r="B63" s="134" t="s">
        <v>12785</v>
      </c>
      <c r="C63" s="134" t="s">
        <v>12784</v>
      </c>
      <c r="D63" s="134" t="s">
        <v>7113</v>
      </c>
      <c r="E63" s="139">
        <v>2.25</v>
      </c>
      <c r="F63" s="134" t="s">
        <v>7112</v>
      </c>
      <c r="G63" s="134" t="s">
        <v>3007</v>
      </c>
      <c r="H63" s="123">
        <v>9389</v>
      </c>
    </row>
    <row r="64" spans="1:8" ht="31.5" x14ac:dyDescent="0.25">
      <c r="A64" s="134" t="s">
        <v>12735</v>
      </c>
      <c r="B64" s="134" t="s">
        <v>12783</v>
      </c>
      <c r="C64" s="134" t="s">
        <v>12782</v>
      </c>
      <c r="D64" s="134" t="s">
        <v>12781</v>
      </c>
      <c r="E64" s="139">
        <v>8.4700000000000006</v>
      </c>
      <c r="F64" s="134" t="s">
        <v>12780</v>
      </c>
      <c r="G64" s="134" t="s">
        <v>3007</v>
      </c>
      <c r="H64" s="123">
        <v>9390</v>
      </c>
    </row>
    <row r="65" spans="1:8" ht="31.5" x14ac:dyDescent="0.25">
      <c r="A65" s="134" t="s">
        <v>12735</v>
      </c>
      <c r="B65" s="134" t="s">
        <v>12779</v>
      </c>
      <c r="C65" s="134" t="s">
        <v>12778</v>
      </c>
      <c r="D65" s="134" t="s">
        <v>12777</v>
      </c>
      <c r="E65" s="139">
        <v>8.64</v>
      </c>
      <c r="F65" s="134" t="s">
        <v>12776</v>
      </c>
      <c r="G65" s="134" t="s">
        <v>3007</v>
      </c>
      <c r="H65" s="123">
        <v>9391</v>
      </c>
    </row>
    <row r="66" spans="1:8" ht="31.5" x14ac:dyDescent="0.25">
      <c r="A66" s="134" t="s">
        <v>12735</v>
      </c>
      <c r="B66" s="134" t="s">
        <v>12775</v>
      </c>
      <c r="C66" s="134" t="s">
        <v>12774</v>
      </c>
      <c r="D66" s="134" t="s">
        <v>4184</v>
      </c>
      <c r="E66" s="139">
        <v>12.91</v>
      </c>
      <c r="F66" s="134" t="s">
        <v>4183</v>
      </c>
      <c r="G66" s="134" t="s">
        <v>3007</v>
      </c>
      <c r="H66" s="123">
        <v>9392</v>
      </c>
    </row>
    <row r="67" spans="1:8" ht="31.5" x14ac:dyDescent="0.25">
      <c r="A67" s="134" t="s">
        <v>12735</v>
      </c>
      <c r="B67" s="134" t="s">
        <v>12773</v>
      </c>
      <c r="C67" s="134" t="s">
        <v>12772</v>
      </c>
      <c r="D67" s="134" t="s">
        <v>6022</v>
      </c>
      <c r="E67" s="139">
        <v>1.69</v>
      </c>
      <c r="F67" s="134" t="s">
        <v>6021</v>
      </c>
      <c r="G67" s="134" t="s">
        <v>3007</v>
      </c>
      <c r="H67" s="123">
        <v>9393</v>
      </c>
    </row>
    <row r="68" spans="1:8" ht="31.5" x14ac:dyDescent="0.25">
      <c r="A68" s="134" t="s">
        <v>12735</v>
      </c>
      <c r="B68" s="134" t="s">
        <v>12771</v>
      </c>
      <c r="C68" s="134" t="s">
        <v>12770</v>
      </c>
      <c r="D68" s="134" t="s">
        <v>12769</v>
      </c>
      <c r="E68" s="139">
        <v>10.57</v>
      </c>
      <c r="F68" s="134" t="s">
        <v>12768</v>
      </c>
      <c r="G68" s="134" t="s">
        <v>3007</v>
      </c>
      <c r="H68" s="123">
        <v>9394</v>
      </c>
    </row>
    <row r="69" spans="1:8" ht="31.5" x14ac:dyDescent="0.25">
      <c r="A69" s="134" t="s">
        <v>12735</v>
      </c>
      <c r="B69" s="134" t="s">
        <v>12767</v>
      </c>
      <c r="C69" s="134" t="s">
        <v>12766</v>
      </c>
      <c r="D69" s="134" t="s">
        <v>5622</v>
      </c>
      <c r="E69" s="139">
        <v>2.31</v>
      </c>
      <c r="F69" s="134" t="s">
        <v>5621</v>
      </c>
      <c r="G69" s="134" t="s">
        <v>3007</v>
      </c>
      <c r="H69" s="123">
        <v>9395</v>
      </c>
    </row>
    <row r="70" spans="1:8" ht="31.5" x14ac:dyDescent="0.25">
      <c r="A70" s="134" t="s">
        <v>12735</v>
      </c>
      <c r="B70" s="134" t="s">
        <v>12765</v>
      </c>
      <c r="C70" s="134" t="s">
        <v>12764</v>
      </c>
      <c r="D70" s="134" t="s">
        <v>3390</v>
      </c>
      <c r="E70" s="139">
        <v>8.3800000000000008</v>
      </c>
      <c r="F70" s="134" t="s">
        <v>3389</v>
      </c>
      <c r="G70" s="134" t="s">
        <v>3007</v>
      </c>
      <c r="H70" s="123">
        <v>9396</v>
      </c>
    </row>
    <row r="71" spans="1:8" ht="31.5" x14ac:dyDescent="0.25">
      <c r="A71" s="134" t="s">
        <v>12735</v>
      </c>
      <c r="B71" s="134" t="s">
        <v>12763</v>
      </c>
      <c r="C71" s="134" t="s">
        <v>12762</v>
      </c>
      <c r="D71" s="134" t="s">
        <v>5376</v>
      </c>
      <c r="E71" s="139">
        <v>2.16</v>
      </c>
      <c r="F71" s="134" t="s">
        <v>5375</v>
      </c>
      <c r="G71" s="134" t="s">
        <v>3007</v>
      </c>
      <c r="H71" s="123">
        <v>9397</v>
      </c>
    </row>
    <row r="72" spans="1:8" ht="31.5" x14ac:dyDescent="0.25">
      <c r="A72" s="134" t="s">
        <v>12735</v>
      </c>
      <c r="B72" s="134" t="s">
        <v>12761</v>
      </c>
      <c r="C72" s="134" t="s">
        <v>12760</v>
      </c>
      <c r="D72" s="134" t="s">
        <v>4164</v>
      </c>
      <c r="E72" s="139">
        <v>14.12</v>
      </c>
      <c r="F72" s="134" t="s">
        <v>4163</v>
      </c>
      <c r="G72" s="134" t="s">
        <v>3007</v>
      </c>
      <c r="H72" s="123">
        <v>9398</v>
      </c>
    </row>
    <row r="73" spans="1:8" ht="31.5" x14ac:dyDescent="0.25">
      <c r="A73" s="134" t="s">
        <v>12735</v>
      </c>
      <c r="B73" s="134" t="s">
        <v>12759</v>
      </c>
      <c r="C73" s="134" t="s">
        <v>12758</v>
      </c>
      <c r="D73" s="134" t="s">
        <v>5444</v>
      </c>
      <c r="E73" s="139">
        <v>4.05</v>
      </c>
      <c r="F73" s="134" t="s">
        <v>5443</v>
      </c>
      <c r="G73" s="134" t="s">
        <v>3007</v>
      </c>
      <c r="H73" s="123">
        <v>9399</v>
      </c>
    </row>
    <row r="74" spans="1:8" ht="31.5" x14ac:dyDescent="0.25">
      <c r="A74" s="134" t="s">
        <v>12735</v>
      </c>
      <c r="B74" s="134" t="s">
        <v>11048</v>
      </c>
      <c r="C74" s="134" t="s">
        <v>12757</v>
      </c>
      <c r="D74" s="134" t="s">
        <v>3418</v>
      </c>
      <c r="E74" s="139">
        <v>6.85</v>
      </c>
      <c r="F74" s="134" t="s">
        <v>3417</v>
      </c>
      <c r="G74" s="134" t="s">
        <v>3007</v>
      </c>
      <c r="H74" s="123">
        <v>9400</v>
      </c>
    </row>
    <row r="75" spans="1:8" ht="31.5" x14ac:dyDescent="0.25">
      <c r="A75" s="134" t="s">
        <v>12735</v>
      </c>
      <c r="B75" s="134" t="s">
        <v>12756</v>
      </c>
      <c r="C75" s="134" t="s">
        <v>12755</v>
      </c>
      <c r="D75" s="134" t="s">
        <v>12131</v>
      </c>
      <c r="E75" s="139">
        <v>4.87</v>
      </c>
      <c r="F75" s="134" t="s">
        <v>12130</v>
      </c>
      <c r="G75" s="134" t="s">
        <v>3007</v>
      </c>
      <c r="H75" s="123">
        <v>9401</v>
      </c>
    </row>
    <row r="76" spans="1:8" ht="31.5" x14ac:dyDescent="0.25">
      <c r="A76" s="134" t="s">
        <v>12735</v>
      </c>
      <c r="B76" s="134" t="s">
        <v>12754</v>
      </c>
      <c r="C76" s="134" t="s">
        <v>12753</v>
      </c>
      <c r="D76" s="134" t="s">
        <v>9792</v>
      </c>
      <c r="E76" s="139">
        <v>8.2799999999999994</v>
      </c>
      <c r="F76" s="134" t="s">
        <v>9791</v>
      </c>
      <c r="G76" s="134" t="s">
        <v>3007</v>
      </c>
      <c r="H76" s="123">
        <v>9402</v>
      </c>
    </row>
    <row r="77" spans="1:8" ht="31.5" x14ac:dyDescent="0.25">
      <c r="A77" s="134" t="s">
        <v>12735</v>
      </c>
      <c r="B77" s="134" t="s">
        <v>12752</v>
      </c>
      <c r="C77" s="134" t="s">
        <v>12751</v>
      </c>
      <c r="D77" s="134" t="s">
        <v>9471</v>
      </c>
      <c r="E77" s="139">
        <v>22.22</v>
      </c>
      <c r="F77" s="134" t="s">
        <v>9470</v>
      </c>
      <c r="G77" s="134" t="s">
        <v>3007</v>
      </c>
      <c r="H77" s="123">
        <v>9403</v>
      </c>
    </row>
    <row r="78" spans="1:8" ht="31.5" x14ac:dyDescent="0.25">
      <c r="A78" s="134" t="s">
        <v>12735</v>
      </c>
      <c r="B78" s="134" t="s">
        <v>12750</v>
      </c>
      <c r="C78" s="134" t="s">
        <v>12749</v>
      </c>
      <c r="D78" s="134" t="s">
        <v>3627</v>
      </c>
      <c r="E78" s="139">
        <v>25.85</v>
      </c>
      <c r="F78" s="134" t="s">
        <v>3626</v>
      </c>
      <c r="G78" s="134" t="s">
        <v>3007</v>
      </c>
      <c r="H78" s="123">
        <v>9404</v>
      </c>
    </row>
    <row r="79" spans="1:8" ht="31.5" x14ac:dyDescent="0.25">
      <c r="A79" s="134" t="s">
        <v>12735</v>
      </c>
      <c r="B79" s="134" t="s">
        <v>12748</v>
      </c>
      <c r="C79" s="134" t="s">
        <v>12747</v>
      </c>
      <c r="D79" s="134" t="s">
        <v>10345</v>
      </c>
      <c r="E79" s="139">
        <v>6.94</v>
      </c>
      <c r="F79" s="134" t="s">
        <v>10344</v>
      </c>
      <c r="G79" s="134" t="s">
        <v>3007</v>
      </c>
      <c r="H79" s="123">
        <v>9405</v>
      </c>
    </row>
    <row r="80" spans="1:8" ht="31.5" x14ac:dyDescent="0.25">
      <c r="A80" s="134" t="s">
        <v>12735</v>
      </c>
      <c r="B80" s="134" t="s">
        <v>8254</v>
      </c>
      <c r="C80" s="134" t="s">
        <v>12746</v>
      </c>
      <c r="D80" s="134" t="s">
        <v>3123</v>
      </c>
      <c r="E80" s="139">
        <v>2.12</v>
      </c>
      <c r="F80" s="134" t="s">
        <v>3122</v>
      </c>
      <c r="G80" s="134" t="s">
        <v>3007</v>
      </c>
      <c r="H80" s="123">
        <v>9406</v>
      </c>
    </row>
    <row r="81" spans="1:11" ht="31.5" x14ac:dyDescent="0.25">
      <c r="A81" s="134" t="s">
        <v>12735</v>
      </c>
      <c r="B81" s="134" t="s">
        <v>12745</v>
      </c>
      <c r="C81" s="134" t="s">
        <v>12744</v>
      </c>
      <c r="D81" s="134" t="s">
        <v>4847</v>
      </c>
      <c r="E81" s="139">
        <v>2.59</v>
      </c>
      <c r="F81" s="134" t="s">
        <v>4846</v>
      </c>
      <c r="G81" s="134" t="s">
        <v>3007</v>
      </c>
      <c r="H81" s="123">
        <v>9407</v>
      </c>
    </row>
    <row r="82" spans="1:11" ht="31.5" x14ac:dyDescent="0.25">
      <c r="A82" s="134" t="s">
        <v>12735</v>
      </c>
      <c r="B82" s="134" t="s">
        <v>12743</v>
      </c>
      <c r="C82" s="134" t="s">
        <v>12742</v>
      </c>
      <c r="D82" s="134" t="s">
        <v>5983</v>
      </c>
      <c r="E82" s="139">
        <v>0.4</v>
      </c>
      <c r="F82" s="134" t="s">
        <v>5982</v>
      </c>
      <c r="G82" s="134" t="s">
        <v>3007</v>
      </c>
      <c r="H82" s="123">
        <v>9408</v>
      </c>
    </row>
    <row r="83" spans="1:11" ht="31.5" x14ac:dyDescent="0.25">
      <c r="A83" s="134" t="s">
        <v>12735</v>
      </c>
      <c r="B83" s="134" t="s">
        <v>12741</v>
      </c>
      <c r="C83" s="134" t="s">
        <v>12740</v>
      </c>
      <c r="D83" s="134" t="s">
        <v>3219</v>
      </c>
      <c r="E83" s="139">
        <v>5.09</v>
      </c>
      <c r="F83" s="134" t="s">
        <v>3218</v>
      </c>
      <c r="G83" s="134" t="s">
        <v>3007</v>
      </c>
      <c r="H83" s="123">
        <v>9409</v>
      </c>
    </row>
    <row r="84" spans="1:11" ht="31.5" x14ac:dyDescent="0.25">
      <c r="A84" s="134" t="s">
        <v>12735</v>
      </c>
      <c r="B84" s="134" t="s">
        <v>12739</v>
      </c>
      <c r="C84" s="134" t="s">
        <v>12738</v>
      </c>
      <c r="D84" s="134" t="s">
        <v>6996</v>
      </c>
      <c r="E84" s="139">
        <v>7.77</v>
      </c>
      <c r="F84" s="134" t="s">
        <v>6995</v>
      </c>
      <c r="G84" s="134" t="s">
        <v>3007</v>
      </c>
      <c r="H84" s="123">
        <v>9410</v>
      </c>
    </row>
    <row r="85" spans="1:11" ht="31.5" x14ac:dyDescent="0.25">
      <c r="A85" s="134" t="s">
        <v>12735</v>
      </c>
      <c r="B85" s="134" t="s">
        <v>12737</v>
      </c>
      <c r="C85" s="134" t="s">
        <v>12736</v>
      </c>
      <c r="D85" s="134" t="s">
        <v>4775</v>
      </c>
      <c r="E85" s="139">
        <v>28.99</v>
      </c>
      <c r="F85" s="134" t="s">
        <v>4774</v>
      </c>
      <c r="G85" s="134" t="s">
        <v>3007</v>
      </c>
      <c r="H85" s="123">
        <v>9411</v>
      </c>
      <c r="I85" s="202"/>
      <c r="K85" s="123"/>
    </row>
    <row r="86" spans="1:11" ht="31.5" x14ac:dyDescent="0.25">
      <c r="A86" s="134" t="s">
        <v>12735</v>
      </c>
      <c r="B86" s="134" t="s">
        <v>12734</v>
      </c>
      <c r="C86" s="134" t="s">
        <v>12733</v>
      </c>
      <c r="D86" s="134" t="s">
        <v>7083</v>
      </c>
      <c r="E86" s="139">
        <v>5.04</v>
      </c>
      <c r="F86" s="134" t="s">
        <v>7082</v>
      </c>
      <c r="G86" s="134" t="s">
        <v>3007</v>
      </c>
      <c r="H86" s="123">
        <v>9412</v>
      </c>
    </row>
    <row r="87" spans="1:11" ht="31.5" x14ac:dyDescent="0.25">
      <c r="A87" s="134" t="s">
        <v>12690</v>
      </c>
      <c r="B87" s="134" t="s">
        <v>12732</v>
      </c>
      <c r="C87" s="134" t="s">
        <v>12731</v>
      </c>
      <c r="D87" s="134" t="s">
        <v>12188</v>
      </c>
      <c r="E87" s="139">
        <v>3.38</v>
      </c>
      <c r="F87" s="134" t="s">
        <v>12187</v>
      </c>
      <c r="G87" s="134" t="s">
        <v>3007</v>
      </c>
      <c r="H87" s="123">
        <v>9453</v>
      </c>
    </row>
    <row r="88" spans="1:11" ht="31.5" x14ac:dyDescent="0.25">
      <c r="A88" s="134" t="s">
        <v>12690</v>
      </c>
      <c r="B88" s="134" t="s">
        <v>12730</v>
      </c>
      <c r="C88" s="134" t="s">
        <v>12729</v>
      </c>
      <c r="D88" s="134" t="s">
        <v>3325</v>
      </c>
      <c r="E88" s="139">
        <v>8.3800000000000008</v>
      </c>
      <c r="F88" s="134" t="s">
        <v>3324</v>
      </c>
      <c r="G88" s="134" t="s">
        <v>3007</v>
      </c>
      <c r="H88" s="123">
        <v>9454</v>
      </c>
    </row>
    <row r="89" spans="1:11" ht="31.5" x14ac:dyDescent="0.25">
      <c r="A89" s="134" t="s">
        <v>12690</v>
      </c>
      <c r="B89" s="134" t="s">
        <v>12728</v>
      </c>
      <c r="C89" s="134" t="s">
        <v>12727</v>
      </c>
      <c r="D89" s="134" t="s">
        <v>3848</v>
      </c>
      <c r="E89" s="139">
        <v>2.95</v>
      </c>
      <c r="F89" s="134" t="s">
        <v>3847</v>
      </c>
      <c r="G89" s="134" t="s">
        <v>3007</v>
      </c>
      <c r="H89" s="123">
        <v>9455</v>
      </c>
    </row>
    <row r="90" spans="1:11" ht="31.5" x14ac:dyDescent="0.25">
      <c r="A90" s="134" t="s">
        <v>12690</v>
      </c>
      <c r="B90" s="134" t="s">
        <v>12726</v>
      </c>
      <c r="C90" s="134" t="s">
        <v>12725</v>
      </c>
      <c r="D90" s="134" t="s">
        <v>3851</v>
      </c>
      <c r="E90" s="139">
        <v>6.93</v>
      </c>
      <c r="F90" s="134" t="s">
        <v>3847</v>
      </c>
      <c r="G90" s="134" t="s">
        <v>3007</v>
      </c>
      <c r="H90" s="123">
        <v>9456</v>
      </c>
    </row>
    <row r="91" spans="1:11" ht="31.5" x14ac:dyDescent="0.25">
      <c r="A91" s="134" t="s">
        <v>12690</v>
      </c>
      <c r="B91" s="134" t="s">
        <v>12724</v>
      </c>
      <c r="C91" s="134" t="s">
        <v>12723</v>
      </c>
      <c r="D91" s="134" t="s">
        <v>4384</v>
      </c>
      <c r="E91" s="139">
        <v>4.3600000000000003</v>
      </c>
      <c r="F91" s="134" t="s">
        <v>4383</v>
      </c>
      <c r="G91" s="134" t="s">
        <v>3007</v>
      </c>
      <c r="H91" s="123">
        <v>9457</v>
      </c>
    </row>
    <row r="92" spans="1:11" ht="31.5" x14ac:dyDescent="0.25">
      <c r="A92" s="134" t="s">
        <v>12690</v>
      </c>
      <c r="B92" s="134" t="s">
        <v>12722</v>
      </c>
      <c r="C92" s="134" t="s">
        <v>12721</v>
      </c>
      <c r="D92" s="134" t="s">
        <v>3542</v>
      </c>
      <c r="E92" s="139">
        <v>1.72</v>
      </c>
      <c r="F92" s="134" t="s">
        <v>3541</v>
      </c>
      <c r="G92" s="134" t="s">
        <v>3007</v>
      </c>
      <c r="H92" s="123">
        <v>9458</v>
      </c>
    </row>
    <row r="93" spans="1:11" ht="31.5" x14ac:dyDescent="0.25">
      <c r="A93" s="134" t="s">
        <v>12690</v>
      </c>
      <c r="B93" s="134" t="s">
        <v>12720</v>
      </c>
      <c r="C93" s="134" t="s">
        <v>12719</v>
      </c>
      <c r="D93" s="134" t="s">
        <v>7337</v>
      </c>
      <c r="E93" s="139">
        <v>10.57</v>
      </c>
      <c r="F93" s="134" t="s">
        <v>7336</v>
      </c>
      <c r="G93" s="134" t="s">
        <v>3007</v>
      </c>
      <c r="H93" s="123">
        <v>9459</v>
      </c>
    </row>
    <row r="94" spans="1:11" ht="31.5" x14ac:dyDescent="0.25">
      <c r="A94" s="134" t="s">
        <v>12690</v>
      </c>
      <c r="B94" s="134" t="s">
        <v>12718</v>
      </c>
      <c r="C94" s="134" t="s">
        <v>12717</v>
      </c>
      <c r="D94" s="134" t="s">
        <v>6514</v>
      </c>
      <c r="E94" s="139">
        <v>1.68</v>
      </c>
      <c r="F94" s="134" t="s">
        <v>6513</v>
      </c>
      <c r="G94" s="134" t="s">
        <v>3007</v>
      </c>
      <c r="H94" s="123">
        <v>9460</v>
      </c>
    </row>
    <row r="95" spans="1:11" ht="31.5" x14ac:dyDescent="0.25">
      <c r="A95" s="134" t="s">
        <v>12690</v>
      </c>
      <c r="B95" s="134" t="s">
        <v>12716</v>
      </c>
      <c r="C95" s="134" t="s">
        <v>12715</v>
      </c>
      <c r="D95" s="134" t="s">
        <v>5500</v>
      </c>
      <c r="E95" s="139">
        <v>3.37</v>
      </c>
      <c r="F95" s="134" t="s">
        <v>5499</v>
      </c>
      <c r="G95" s="134" t="s">
        <v>3007</v>
      </c>
      <c r="H95" s="124">
        <v>9461</v>
      </c>
    </row>
    <row r="96" spans="1:11" ht="31.5" x14ac:dyDescent="0.25">
      <c r="A96" s="134" t="s">
        <v>12690</v>
      </c>
      <c r="B96" s="134" t="s">
        <v>12714</v>
      </c>
      <c r="C96" s="134" t="s">
        <v>12713</v>
      </c>
      <c r="D96" s="134" t="s">
        <v>4358</v>
      </c>
      <c r="E96" s="139">
        <v>1.86</v>
      </c>
      <c r="F96" s="134" t="s">
        <v>4357</v>
      </c>
      <c r="G96" s="134" t="s">
        <v>3007</v>
      </c>
      <c r="H96" s="123">
        <v>9462</v>
      </c>
    </row>
    <row r="97" spans="1:8" ht="31.5" x14ac:dyDescent="0.25">
      <c r="A97" s="134" t="s">
        <v>12690</v>
      </c>
      <c r="B97" s="134" t="s">
        <v>12712</v>
      </c>
      <c r="C97" s="134" t="s">
        <v>12711</v>
      </c>
      <c r="D97" s="134" t="s">
        <v>6790</v>
      </c>
      <c r="E97" s="139">
        <v>7.31</v>
      </c>
      <c r="F97" s="134" t="s">
        <v>6789</v>
      </c>
      <c r="G97" s="134" t="s">
        <v>3007</v>
      </c>
      <c r="H97" s="123">
        <v>9463</v>
      </c>
    </row>
    <row r="98" spans="1:8" ht="31.5" x14ac:dyDescent="0.25">
      <c r="A98" s="134" t="s">
        <v>12690</v>
      </c>
      <c r="B98" s="134" t="s">
        <v>12710</v>
      </c>
      <c r="C98" s="134" t="s">
        <v>12709</v>
      </c>
      <c r="D98" s="134" t="s">
        <v>5198</v>
      </c>
      <c r="E98" s="139">
        <v>3.02</v>
      </c>
      <c r="F98" s="134" t="s">
        <v>5197</v>
      </c>
      <c r="G98" s="134" t="s">
        <v>3007</v>
      </c>
      <c r="H98" s="123">
        <v>9464</v>
      </c>
    </row>
    <row r="99" spans="1:8" ht="31.5" x14ac:dyDescent="0.25">
      <c r="A99" s="134" t="s">
        <v>12690</v>
      </c>
      <c r="B99" s="134" t="s">
        <v>12708</v>
      </c>
      <c r="C99" s="134" t="s">
        <v>12707</v>
      </c>
      <c r="D99" s="134" t="s">
        <v>12706</v>
      </c>
      <c r="E99" s="139">
        <v>5.04</v>
      </c>
      <c r="F99" s="134" t="s">
        <v>12705</v>
      </c>
      <c r="G99" s="134" t="s">
        <v>3007</v>
      </c>
      <c r="H99" s="123">
        <v>9465</v>
      </c>
    </row>
    <row r="100" spans="1:8" ht="31.5" x14ac:dyDescent="0.25">
      <c r="A100" s="134" t="s">
        <v>12690</v>
      </c>
      <c r="B100" s="134" t="s">
        <v>12704</v>
      </c>
      <c r="C100" s="134" t="s">
        <v>12703</v>
      </c>
      <c r="D100" s="134" t="s">
        <v>3668</v>
      </c>
      <c r="E100" s="139">
        <v>4.08</v>
      </c>
      <c r="F100" s="134" t="s">
        <v>3667</v>
      </c>
      <c r="G100" s="134" t="s">
        <v>3007</v>
      </c>
      <c r="H100" s="123">
        <v>9466</v>
      </c>
    </row>
    <row r="101" spans="1:8" ht="31.5" x14ac:dyDescent="0.25">
      <c r="A101" s="134" t="s">
        <v>12690</v>
      </c>
      <c r="B101" s="134" t="s">
        <v>12702</v>
      </c>
      <c r="C101" s="134" t="s">
        <v>12701</v>
      </c>
      <c r="D101" s="134" t="s">
        <v>5265</v>
      </c>
      <c r="E101" s="139">
        <v>7.2</v>
      </c>
      <c r="F101" s="134" t="s">
        <v>5264</v>
      </c>
      <c r="G101" s="134" t="s">
        <v>3007</v>
      </c>
      <c r="H101" s="123">
        <v>9467</v>
      </c>
    </row>
    <row r="102" spans="1:8" ht="31.5" x14ac:dyDescent="0.25">
      <c r="A102" s="134" t="s">
        <v>12690</v>
      </c>
      <c r="B102" s="134" t="s">
        <v>12700</v>
      </c>
      <c r="C102" s="134" t="s">
        <v>12699</v>
      </c>
      <c r="D102" s="134" t="s">
        <v>4342</v>
      </c>
      <c r="E102" s="139">
        <v>5.87</v>
      </c>
      <c r="F102" s="134" t="s">
        <v>4341</v>
      </c>
      <c r="G102" s="134" t="s">
        <v>3007</v>
      </c>
      <c r="H102" s="123">
        <v>9468</v>
      </c>
    </row>
    <row r="103" spans="1:8" ht="31.5" x14ac:dyDescent="0.25">
      <c r="A103" s="134" t="s">
        <v>12690</v>
      </c>
      <c r="B103" s="134" t="s">
        <v>12698</v>
      </c>
      <c r="C103" s="134" t="s">
        <v>12697</v>
      </c>
      <c r="D103" s="134" t="s">
        <v>9254</v>
      </c>
      <c r="E103" s="139">
        <v>4.3</v>
      </c>
      <c r="F103" s="134" t="s">
        <v>9253</v>
      </c>
      <c r="G103" s="134" t="s">
        <v>3007</v>
      </c>
      <c r="H103" s="123">
        <v>9469</v>
      </c>
    </row>
    <row r="104" spans="1:8" ht="31.5" x14ac:dyDescent="0.25">
      <c r="A104" s="134" t="s">
        <v>12690</v>
      </c>
      <c r="B104" s="134" t="s">
        <v>12696</v>
      </c>
      <c r="C104" s="134" t="s">
        <v>12695</v>
      </c>
      <c r="D104" s="134" t="s">
        <v>12694</v>
      </c>
      <c r="E104" s="139">
        <v>0.08</v>
      </c>
      <c r="F104" s="134" t="s">
        <v>12693</v>
      </c>
      <c r="G104" s="134" t="s">
        <v>3007</v>
      </c>
      <c r="H104" s="123">
        <v>9470</v>
      </c>
    </row>
    <row r="105" spans="1:8" ht="31.5" x14ac:dyDescent="0.25">
      <c r="A105" s="134" t="s">
        <v>12690</v>
      </c>
      <c r="B105" s="134" t="s">
        <v>12692</v>
      </c>
      <c r="C105" s="134" t="s">
        <v>12691</v>
      </c>
      <c r="D105" s="134" t="s">
        <v>5048</v>
      </c>
      <c r="E105" s="139">
        <v>1.68</v>
      </c>
      <c r="F105" s="134" t="s">
        <v>5047</v>
      </c>
      <c r="G105" s="134" t="s">
        <v>3007</v>
      </c>
      <c r="H105" s="123">
        <v>9471</v>
      </c>
    </row>
    <row r="106" spans="1:8" ht="31.5" x14ac:dyDescent="0.25">
      <c r="A106" s="134" t="s">
        <v>12690</v>
      </c>
      <c r="B106" s="134" t="s">
        <v>12689</v>
      </c>
      <c r="C106" s="134" t="s">
        <v>12688</v>
      </c>
      <c r="D106" s="134" t="s">
        <v>5638</v>
      </c>
      <c r="E106" s="139">
        <v>3.49</v>
      </c>
      <c r="F106" s="134" t="s">
        <v>5637</v>
      </c>
      <c r="G106" s="134" t="s">
        <v>3007</v>
      </c>
      <c r="H106" s="123">
        <v>9472</v>
      </c>
    </row>
    <row r="107" spans="1:8" ht="31.5" x14ac:dyDescent="0.25">
      <c r="A107" s="134" t="s">
        <v>12664</v>
      </c>
      <c r="B107" s="134" t="s">
        <v>8245</v>
      </c>
      <c r="C107" s="134" t="s">
        <v>12687</v>
      </c>
      <c r="D107" s="134" t="s">
        <v>3924</v>
      </c>
      <c r="E107" s="139">
        <v>20.39</v>
      </c>
      <c r="F107" s="134" t="s">
        <v>3923</v>
      </c>
      <c r="G107" s="134" t="s">
        <v>3007</v>
      </c>
      <c r="H107" s="123">
        <v>9532</v>
      </c>
    </row>
    <row r="108" spans="1:8" ht="31.5" x14ac:dyDescent="0.25">
      <c r="A108" s="134" t="s">
        <v>12664</v>
      </c>
      <c r="B108" s="134" t="s">
        <v>12686</v>
      </c>
      <c r="C108" s="134" t="s">
        <v>12685</v>
      </c>
      <c r="D108" s="134" t="s">
        <v>12684</v>
      </c>
      <c r="E108" s="139">
        <v>50.28</v>
      </c>
      <c r="F108" s="134" t="s">
        <v>12683</v>
      </c>
      <c r="G108" s="134" t="s">
        <v>3007</v>
      </c>
      <c r="H108" s="123">
        <v>9533</v>
      </c>
    </row>
    <row r="109" spans="1:8" ht="31.5" x14ac:dyDescent="0.25">
      <c r="A109" s="134" t="s">
        <v>12664</v>
      </c>
      <c r="B109" s="134" t="s">
        <v>12682</v>
      </c>
      <c r="C109" s="134" t="s">
        <v>12681</v>
      </c>
      <c r="D109" s="134" t="s">
        <v>7563</v>
      </c>
      <c r="E109" s="139">
        <v>17.420000000000002</v>
      </c>
      <c r="F109" s="134" t="s">
        <v>7562</v>
      </c>
      <c r="G109" s="134" t="s">
        <v>3007</v>
      </c>
      <c r="H109" s="123">
        <v>9534</v>
      </c>
    </row>
    <row r="110" spans="1:8" ht="31.5" x14ac:dyDescent="0.25">
      <c r="A110" s="134" t="s">
        <v>12664</v>
      </c>
      <c r="B110" s="134" t="s">
        <v>12680</v>
      </c>
      <c r="C110" s="134" t="s">
        <v>12679</v>
      </c>
      <c r="D110" s="134" t="s">
        <v>7498</v>
      </c>
      <c r="E110" s="139">
        <v>33.520000000000003</v>
      </c>
      <c r="F110" s="134" t="s">
        <v>7497</v>
      </c>
      <c r="G110" s="134" t="s">
        <v>3007</v>
      </c>
      <c r="H110" s="123">
        <v>9535</v>
      </c>
    </row>
    <row r="111" spans="1:8" ht="31.5" x14ac:dyDescent="0.25">
      <c r="A111" s="134" t="s">
        <v>12664</v>
      </c>
      <c r="B111" s="134" t="s">
        <v>12678</v>
      </c>
      <c r="C111" s="134" t="s">
        <v>12677</v>
      </c>
      <c r="D111" s="134" t="s">
        <v>4598</v>
      </c>
      <c r="E111" s="139">
        <v>5.96</v>
      </c>
      <c r="F111" s="134" t="s">
        <v>4597</v>
      </c>
      <c r="G111" s="134" t="s">
        <v>3007</v>
      </c>
      <c r="H111" s="123">
        <v>9536</v>
      </c>
    </row>
    <row r="112" spans="1:8" ht="31.5" x14ac:dyDescent="0.25">
      <c r="A112" s="134" t="s">
        <v>12664</v>
      </c>
      <c r="B112" s="134" t="s">
        <v>12676</v>
      </c>
      <c r="C112" s="134" t="s">
        <v>12675</v>
      </c>
      <c r="D112" s="134" t="s">
        <v>10645</v>
      </c>
      <c r="E112" s="139">
        <v>10.11</v>
      </c>
      <c r="F112" s="134" t="s">
        <v>10644</v>
      </c>
      <c r="G112" s="134" t="s">
        <v>3007</v>
      </c>
      <c r="H112" s="123">
        <v>9537</v>
      </c>
    </row>
    <row r="113" spans="1:8" ht="31.5" x14ac:dyDescent="0.25">
      <c r="A113" s="134" t="s">
        <v>12664</v>
      </c>
      <c r="B113" s="134" t="s">
        <v>12674</v>
      </c>
      <c r="C113" s="134" t="s">
        <v>12673</v>
      </c>
      <c r="D113" s="134" t="s">
        <v>9725</v>
      </c>
      <c r="E113" s="139">
        <v>3.91</v>
      </c>
      <c r="F113" s="134" t="s">
        <v>9724</v>
      </c>
      <c r="G113" s="134" t="s">
        <v>3007</v>
      </c>
      <c r="H113" s="123">
        <v>9538</v>
      </c>
    </row>
    <row r="114" spans="1:8" ht="31.5" x14ac:dyDescent="0.25">
      <c r="A114" s="134" t="s">
        <v>12664</v>
      </c>
      <c r="B114" s="134" t="s">
        <v>12672</v>
      </c>
      <c r="C114" s="134" t="s">
        <v>12671</v>
      </c>
      <c r="D114" s="134" t="s">
        <v>5486</v>
      </c>
      <c r="E114" s="139">
        <v>15.17</v>
      </c>
      <c r="F114" s="134" t="s">
        <v>5485</v>
      </c>
      <c r="G114" s="134" t="s">
        <v>3007</v>
      </c>
      <c r="H114" s="123">
        <v>9539</v>
      </c>
    </row>
    <row r="115" spans="1:8" ht="31.5" x14ac:dyDescent="0.25">
      <c r="A115" s="134" t="s">
        <v>12664</v>
      </c>
      <c r="B115" s="134" t="s">
        <v>12670</v>
      </c>
      <c r="C115" s="134" t="s">
        <v>12669</v>
      </c>
      <c r="D115" s="134" t="s">
        <v>5510</v>
      </c>
      <c r="E115" s="139">
        <v>30.88</v>
      </c>
      <c r="F115" s="134" t="s">
        <v>5509</v>
      </c>
      <c r="G115" s="134" t="s">
        <v>3007</v>
      </c>
      <c r="H115" s="123">
        <v>9540</v>
      </c>
    </row>
    <row r="116" spans="1:8" ht="31.5" x14ac:dyDescent="0.25">
      <c r="A116" s="134" t="s">
        <v>12664</v>
      </c>
      <c r="B116" s="134" t="s">
        <v>12668</v>
      </c>
      <c r="C116" s="134" t="s">
        <v>12667</v>
      </c>
      <c r="D116" s="134" t="s">
        <v>12666</v>
      </c>
      <c r="E116" s="139">
        <v>18.93</v>
      </c>
      <c r="F116" s="134" t="s">
        <v>12665</v>
      </c>
      <c r="G116" s="134" t="s">
        <v>3007</v>
      </c>
      <c r="H116" s="123">
        <v>9541</v>
      </c>
    </row>
    <row r="117" spans="1:8" ht="31.5" x14ac:dyDescent="0.25">
      <c r="A117" s="134" t="s">
        <v>12664</v>
      </c>
      <c r="B117" s="134" t="s">
        <v>12663</v>
      </c>
      <c r="C117" s="134" t="s">
        <v>12662</v>
      </c>
      <c r="D117" s="134" t="s">
        <v>12141</v>
      </c>
      <c r="E117" s="139">
        <v>2.71</v>
      </c>
      <c r="F117" s="134" t="s">
        <v>12140</v>
      </c>
      <c r="G117" s="134" t="s">
        <v>3007</v>
      </c>
      <c r="H117" s="123">
        <v>9542</v>
      </c>
    </row>
    <row r="118" spans="1:8" s="200" customFormat="1" x14ac:dyDescent="0.25">
      <c r="A118" s="198"/>
      <c r="B118" s="198"/>
      <c r="C118" s="198" t="s">
        <v>5691</v>
      </c>
      <c r="D118" s="198" t="s">
        <v>14408</v>
      </c>
      <c r="E118" s="199">
        <f>SUM(E3:E117)</f>
        <v>1074.4000000000001</v>
      </c>
      <c r="F118" s="198"/>
      <c r="G118" s="198"/>
      <c r="H118" s="172"/>
    </row>
    <row r="119" spans="1:8" s="200" customFormat="1" x14ac:dyDescent="0.25">
      <c r="A119" s="198"/>
      <c r="B119" s="198"/>
      <c r="C119" s="198"/>
      <c r="D119" s="198"/>
      <c r="E119" s="199"/>
      <c r="F119" s="198"/>
      <c r="G119" s="198"/>
      <c r="H119" s="172"/>
    </row>
    <row r="120" spans="1:8" ht="31.5" x14ac:dyDescent="0.25">
      <c r="A120" s="134" t="s">
        <v>12631</v>
      </c>
      <c r="B120" s="134" t="s">
        <v>12661</v>
      </c>
      <c r="C120" s="134" t="s">
        <v>12660</v>
      </c>
      <c r="D120" s="134" t="s">
        <v>4622</v>
      </c>
      <c r="E120" s="139">
        <v>5.35</v>
      </c>
      <c r="F120" s="134" t="s">
        <v>4621</v>
      </c>
      <c r="G120" s="134" t="s">
        <v>3007</v>
      </c>
      <c r="H120" s="123">
        <v>9563</v>
      </c>
    </row>
    <row r="121" spans="1:8" ht="31.5" x14ac:dyDescent="0.25">
      <c r="A121" s="134" t="s">
        <v>12631</v>
      </c>
      <c r="B121" s="134" t="s">
        <v>12659</v>
      </c>
      <c r="C121" s="134" t="s">
        <v>12658</v>
      </c>
      <c r="D121" s="134" t="s">
        <v>9407</v>
      </c>
      <c r="E121" s="139">
        <v>3.48</v>
      </c>
      <c r="F121" s="134" t="s">
        <v>9406</v>
      </c>
      <c r="G121" s="134" t="s">
        <v>3007</v>
      </c>
      <c r="H121" s="123">
        <v>9564</v>
      </c>
    </row>
    <row r="122" spans="1:8" ht="31.5" x14ac:dyDescent="0.25">
      <c r="A122" s="134" t="s">
        <v>12631</v>
      </c>
      <c r="B122" s="134" t="s">
        <v>12657</v>
      </c>
      <c r="C122" s="134" t="s">
        <v>12656</v>
      </c>
      <c r="D122" s="134" t="s">
        <v>3345</v>
      </c>
      <c r="E122" s="139">
        <v>1.68</v>
      </c>
      <c r="F122" s="134" t="s">
        <v>3344</v>
      </c>
      <c r="G122" s="134" t="s">
        <v>3007</v>
      </c>
      <c r="H122" s="123">
        <v>9565</v>
      </c>
    </row>
    <row r="123" spans="1:8" ht="31.5" x14ac:dyDescent="0.25">
      <c r="A123" s="134" t="s">
        <v>12631</v>
      </c>
      <c r="B123" s="134" t="s">
        <v>12655</v>
      </c>
      <c r="C123" s="134" t="s">
        <v>12654</v>
      </c>
      <c r="D123" s="134" t="s">
        <v>5539</v>
      </c>
      <c r="E123" s="139">
        <v>5.75</v>
      </c>
      <c r="F123" s="134" t="s">
        <v>5538</v>
      </c>
      <c r="G123" s="134" t="s">
        <v>3007</v>
      </c>
      <c r="H123" s="123">
        <v>9566</v>
      </c>
    </row>
    <row r="124" spans="1:8" ht="31.5" x14ac:dyDescent="0.25">
      <c r="A124" s="134" t="s">
        <v>12631</v>
      </c>
      <c r="B124" s="134" t="s">
        <v>12653</v>
      </c>
      <c r="C124" s="134" t="s">
        <v>12652</v>
      </c>
      <c r="D124" s="134" t="s">
        <v>10278</v>
      </c>
      <c r="E124" s="139">
        <v>3.66</v>
      </c>
      <c r="F124" s="134" t="s">
        <v>10277</v>
      </c>
      <c r="G124" s="134" t="s">
        <v>3007</v>
      </c>
      <c r="H124" s="123">
        <v>9567</v>
      </c>
    </row>
    <row r="125" spans="1:8" ht="31.5" x14ac:dyDescent="0.25">
      <c r="A125" s="134" t="s">
        <v>12631</v>
      </c>
      <c r="B125" s="134" t="s">
        <v>12651</v>
      </c>
      <c r="C125" s="134" t="s">
        <v>12650</v>
      </c>
      <c r="D125" s="134" t="s">
        <v>4362</v>
      </c>
      <c r="E125" s="139">
        <v>5.37</v>
      </c>
      <c r="F125" s="134" t="s">
        <v>4361</v>
      </c>
      <c r="G125" s="134" t="s">
        <v>3007</v>
      </c>
      <c r="H125" s="123">
        <v>9568</v>
      </c>
    </row>
    <row r="126" spans="1:8" ht="31.5" x14ac:dyDescent="0.25">
      <c r="A126" s="134" t="s">
        <v>12631</v>
      </c>
      <c r="B126" s="134" t="s">
        <v>12649</v>
      </c>
      <c r="C126" s="134" t="s">
        <v>12648</v>
      </c>
      <c r="D126" s="134" t="s">
        <v>3591</v>
      </c>
      <c r="E126" s="139">
        <v>5.58</v>
      </c>
      <c r="F126" s="134" t="s">
        <v>3590</v>
      </c>
      <c r="G126" s="134" t="s">
        <v>3007</v>
      </c>
      <c r="H126" s="123">
        <v>9569</v>
      </c>
    </row>
    <row r="127" spans="1:8" ht="31.5" x14ac:dyDescent="0.25">
      <c r="A127" s="134" t="s">
        <v>12631</v>
      </c>
      <c r="B127" s="134" t="s">
        <v>12647</v>
      </c>
      <c r="C127" s="134" t="s">
        <v>12646</v>
      </c>
      <c r="D127" s="134" t="s">
        <v>6842</v>
      </c>
      <c r="E127" s="139">
        <v>7.11</v>
      </c>
      <c r="F127" s="134" t="s">
        <v>6841</v>
      </c>
      <c r="G127" s="134" t="s">
        <v>3007</v>
      </c>
      <c r="H127" s="123">
        <v>9570</v>
      </c>
    </row>
    <row r="128" spans="1:8" ht="31.5" x14ac:dyDescent="0.25">
      <c r="A128" s="134" t="s">
        <v>12631</v>
      </c>
      <c r="B128" s="134" t="s">
        <v>12645</v>
      </c>
      <c r="C128" s="134" t="s">
        <v>12644</v>
      </c>
      <c r="D128" s="134" t="s">
        <v>3410</v>
      </c>
      <c r="E128" s="139">
        <v>19.600000000000001</v>
      </c>
      <c r="F128" s="134" t="s">
        <v>3409</v>
      </c>
      <c r="G128" s="134" t="s">
        <v>3007</v>
      </c>
      <c r="H128" s="123">
        <v>9571</v>
      </c>
    </row>
    <row r="129" spans="1:8" ht="31.5" x14ac:dyDescent="0.25">
      <c r="A129" s="134" t="s">
        <v>12631</v>
      </c>
      <c r="B129" s="134" t="s">
        <v>12643</v>
      </c>
      <c r="C129" s="134" t="s">
        <v>12642</v>
      </c>
      <c r="D129" s="134" t="s">
        <v>7138</v>
      </c>
      <c r="E129" s="139">
        <v>6.39</v>
      </c>
      <c r="F129" s="134" t="s">
        <v>7137</v>
      </c>
      <c r="G129" s="134" t="s">
        <v>3007</v>
      </c>
      <c r="H129" s="123">
        <v>9572</v>
      </c>
    </row>
    <row r="130" spans="1:8" ht="31.5" x14ac:dyDescent="0.25">
      <c r="A130" s="134" t="s">
        <v>12631</v>
      </c>
      <c r="B130" s="134" t="s">
        <v>12641</v>
      </c>
      <c r="C130" s="134" t="s">
        <v>12640</v>
      </c>
      <c r="D130" s="134" t="s">
        <v>12639</v>
      </c>
      <c r="E130" s="139">
        <v>8.4</v>
      </c>
      <c r="F130" s="134" t="s">
        <v>12638</v>
      </c>
      <c r="G130" s="134" t="s">
        <v>3007</v>
      </c>
      <c r="H130" s="123">
        <v>9573</v>
      </c>
    </row>
    <row r="131" spans="1:8" ht="31.5" x14ac:dyDescent="0.25">
      <c r="A131" s="134" t="s">
        <v>12631</v>
      </c>
      <c r="B131" s="134" t="s">
        <v>12637</v>
      </c>
      <c r="C131" s="134" t="s">
        <v>12636</v>
      </c>
      <c r="D131" s="134" t="s">
        <v>5032</v>
      </c>
      <c r="E131" s="139">
        <v>20.96</v>
      </c>
      <c r="F131" s="134" t="s">
        <v>5031</v>
      </c>
      <c r="G131" s="134" t="s">
        <v>3007</v>
      </c>
      <c r="H131" s="123">
        <v>9574</v>
      </c>
    </row>
    <row r="132" spans="1:8" ht="31.5" x14ac:dyDescent="0.25">
      <c r="A132" s="134" t="s">
        <v>12631</v>
      </c>
      <c r="B132" s="134" t="s">
        <v>12635</v>
      </c>
      <c r="C132" s="134" t="s">
        <v>12634</v>
      </c>
      <c r="D132" s="134" t="s">
        <v>12633</v>
      </c>
      <c r="E132" s="139">
        <v>14.43</v>
      </c>
      <c r="F132" s="134" t="s">
        <v>12632</v>
      </c>
      <c r="G132" s="134" t="s">
        <v>3007</v>
      </c>
      <c r="H132" s="123">
        <v>9575</v>
      </c>
    </row>
    <row r="133" spans="1:8" ht="31.5" x14ac:dyDescent="0.25">
      <c r="A133" s="134" t="s">
        <v>12631</v>
      </c>
      <c r="B133" s="134" t="s">
        <v>12630</v>
      </c>
      <c r="C133" s="134" t="s">
        <v>12629</v>
      </c>
      <c r="D133" s="134" t="s">
        <v>4983</v>
      </c>
      <c r="E133" s="139">
        <v>7.76</v>
      </c>
      <c r="F133" s="134" t="s">
        <v>4982</v>
      </c>
      <c r="G133" s="134" t="s">
        <v>3007</v>
      </c>
      <c r="H133" s="123">
        <v>9576</v>
      </c>
    </row>
    <row r="134" spans="1:8" ht="31.5" x14ac:dyDescent="0.25">
      <c r="A134" s="134" t="s">
        <v>12616</v>
      </c>
      <c r="B134" s="134" t="s">
        <v>12628</v>
      </c>
      <c r="C134" s="134" t="s">
        <v>12627</v>
      </c>
      <c r="D134" s="134" t="s">
        <v>4366</v>
      </c>
      <c r="E134" s="139">
        <v>20.170000000000002</v>
      </c>
      <c r="F134" s="134" t="s">
        <v>4365</v>
      </c>
      <c r="G134" s="134" t="s">
        <v>3007</v>
      </c>
      <c r="H134" s="123">
        <v>9588</v>
      </c>
    </row>
    <row r="135" spans="1:8" ht="31.5" x14ac:dyDescent="0.25">
      <c r="A135" s="134" t="s">
        <v>12616</v>
      </c>
      <c r="B135" s="134" t="s">
        <v>12626</v>
      </c>
      <c r="C135" s="134" t="s">
        <v>12625</v>
      </c>
      <c r="D135" s="134" t="s">
        <v>7701</v>
      </c>
      <c r="E135" s="139">
        <v>4.47</v>
      </c>
      <c r="F135" s="134" t="s">
        <v>7700</v>
      </c>
      <c r="G135" s="134" t="s">
        <v>3007</v>
      </c>
      <c r="H135" s="123">
        <v>9589</v>
      </c>
    </row>
    <row r="136" spans="1:8" ht="31.5" x14ac:dyDescent="0.25">
      <c r="A136" s="134" t="s">
        <v>12616</v>
      </c>
      <c r="B136" s="134" t="s">
        <v>12624</v>
      </c>
      <c r="C136" s="134" t="s">
        <v>12623</v>
      </c>
      <c r="D136" s="134" t="s">
        <v>5634</v>
      </c>
      <c r="E136" s="139">
        <v>59.34</v>
      </c>
      <c r="F136" s="134" t="s">
        <v>5633</v>
      </c>
      <c r="G136" s="134" t="s">
        <v>3007</v>
      </c>
      <c r="H136" s="123">
        <v>9590</v>
      </c>
    </row>
    <row r="137" spans="1:8" ht="31.5" x14ac:dyDescent="0.25">
      <c r="A137" s="134" t="s">
        <v>12616</v>
      </c>
      <c r="B137" s="134" t="s">
        <v>12622</v>
      </c>
      <c r="C137" s="134" t="s">
        <v>12621</v>
      </c>
      <c r="D137" s="134" t="s">
        <v>4767</v>
      </c>
      <c r="E137" s="139">
        <v>4.0999999999999996</v>
      </c>
      <c r="F137" s="134" t="s">
        <v>4766</v>
      </c>
      <c r="G137" s="134" t="s">
        <v>3007</v>
      </c>
      <c r="H137" s="123">
        <v>9591</v>
      </c>
    </row>
    <row r="138" spans="1:8" ht="31.5" x14ac:dyDescent="0.25">
      <c r="A138" s="134" t="s">
        <v>12616</v>
      </c>
      <c r="B138" s="134" t="s">
        <v>12620</v>
      </c>
      <c r="C138" s="134" t="s">
        <v>12619</v>
      </c>
      <c r="D138" s="134" t="s">
        <v>12618</v>
      </c>
      <c r="E138" s="139">
        <v>7.6</v>
      </c>
      <c r="F138" s="134" t="s">
        <v>12617</v>
      </c>
      <c r="G138" s="134" t="s">
        <v>3007</v>
      </c>
      <c r="H138" s="123">
        <v>9592</v>
      </c>
    </row>
    <row r="139" spans="1:8" ht="31.5" x14ac:dyDescent="0.25">
      <c r="A139" s="134" t="s">
        <v>12616</v>
      </c>
      <c r="B139" s="134" t="s">
        <v>12615</v>
      </c>
      <c r="C139" s="134" t="s">
        <v>12614</v>
      </c>
      <c r="D139" s="134" t="s">
        <v>3940</v>
      </c>
      <c r="E139" s="139">
        <v>2.6</v>
      </c>
      <c r="F139" s="134" t="s">
        <v>3939</v>
      </c>
      <c r="G139" s="134" t="s">
        <v>3007</v>
      </c>
      <c r="H139" s="123">
        <v>9593</v>
      </c>
    </row>
    <row r="140" spans="1:8" ht="31.5" x14ac:dyDescent="0.25">
      <c r="A140" s="134" t="s">
        <v>12611</v>
      </c>
      <c r="B140" s="134" t="s">
        <v>12613</v>
      </c>
      <c r="C140" s="134" t="s">
        <v>12612</v>
      </c>
      <c r="D140" s="134" t="s">
        <v>4783</v>
      </c>
      <c r="E140" s="139">
        <v>9.6999999999999993</v>
      </c>
      <c r="F140" s="134" t="s">
        <v>4782</v>
      </c>
      <c r="G140" s="134" t="s">
        <v>3007</v>
      </c>
      <c r="H140" s="123">
        <v>9594</v>
      </c>
    </row>
    <row r="141" spans="1:8" ht="31.5" x14ac:dyDescent="0.25">
      <c r="A141" s="134" t="s">
        <v>12611</v>
      </c>
      <c r="B141" s="134" t="s">
        <v>12610</v>
      </c>
      <c r="C141" s="134" t="s">
        <v>12609</v>
      </c>
      <c r="D141" s="134" t="s">
        <v>9190</v>
      </c>
      <c r="E141" s="139">
        <v>2.6</v>
      </c>
      <c r="F141" s="134" t="s">
        <v>9189</v>
      </c>
      <c r="G141" s="134" t="s">
        <v>3007</v>
      </c>
      <c r="H141" s="123">
        <v>9595</v>
      </c>
    </row>
    <row r="142" spans="1:8" ht="31.5" x14ac:dyDescent="0.25">
      <c r="A142" s="134" t="s">
        <v>12606</v>
      </c>
      <c r="B142" s="134" t="s">
        <v>12608</v>
      </c>
      <c r="C142" s="134" t="s">
        <v>12607</v>
      </c>
      <c r="D142" s="134" t="s">
        <v>5490</v>
      </c>
      <c r="E142" s="139">
        <v>21.25</v>
      </c>
      <c r="F142" s="134" t="s">
        <v>5489</v>
      </c>
      <c r="G142" s="134" t="s">
        <v>3007</v>
      </c>
      <c r="H142" s="123">
        <v>9596</v>
      </c>
    </row>
    <row r="143" spans="1:8" ht="31.5" x14ac:dyDescent="0.25">
      <c r="A143" s="134" t="s">
        <v>12606</v>
      </c>
      <c r="B143" s="134" t="s">
        <v>12605</v>
      </c>
      <c r="C143" s="134" t="s">
        <v>12604</v>
      </c>
      <c r="D143" s="134" t="s">
        <v>5044</v>
      </c>
      <c r="E143" s="139">
        <v>13.55</v>
      </c>
      <c r="F143" s="134" t="s">
        <v>5043</v>
      </c>
      <c r="G143" s="134" t="s">
        <v>3007</v>
      </c>
      <c r="H143" s="123">
        <v>9597</v>
      </c>
    </row>
    <row r="144" spans="1:8" ht="31.5" x14ac:dyDescent="0.25">
      <c r="A144" s="134" t="s">
        <v>12583</v>
      </c>
      <c r="B144" s="134" t="s">
        <v>12603</v>
      </c>
      <c r="C144" s="134" t="s">
        <v>12602</v>
      </c>
      <c r="D144" s="134" t="s">
        <v>3912</v>
      </c>
      <c r="E144" s="139">
        <v>4.75</v>
      </c>
      <c r="F144" s="134" t="s">
        <v>3911</v>
      </c>
      <c r="G144" s="134" t="s">
        <v>3007</v>
      </c>
      <c r="H144" s="123">
        <v>9607</v>
      </c>
    </row>
    <row r="145" spans="1:8" ht="31.5" x14ac:dyDescent="0.25">
      <c r="A145" s="134" t="s">
        <v>12583</v>
      </c>
      <c r="B145" s="134" t="s">
        <v>12601</v>
      </c>
      <c r="C145" s="134" t="s">
        <v>12600</v>
      </c>
      <c r="D145" s="134" t="s">
        <v>4685</v>
      </c>
      <c r="E145" s="139">
        <v>8.3699999999999992</v>
      </c>
      <c r="F145" s="134" t="s">
        <v>4684</v>
      </c>
      <c r="G145" s="134" t="s">
        <v>3007</v>
      </c>
      <c r="H145" s="123">
        <v>9608</v>
      </c>
    </row>
    <row r="146" spans="1:8" ht="31.5" x14ac:dyDescent="0.25">
      <c r="A146" s="134" t="s">
        <v>12583</v>
      </c>
      <c r="B146" s="134" t="s">
        <v>12599</v>
      </c>
      <c r="C146" s="134" t="s">
        <v>12598</v>
      </c>
      <c r="D146" s="134" t="s">
        <v>4803</v>
      </c>
      <c r="E146" s="139">
        <v>8.3800000000000008</v>
      </c>
      <c r="F146" s="134" t="s">
        <v>4802</v>
      </c>
      <c r="G146" s="134" t="s">
        <v>3007</v>
      </c>
      <c r="H146" s="123">
        <v>9609</v>
      </c>
    </row>
    <row r="147" spans="1:8" ht="31.5" x14ac:dyDescent="0.25">
      <c r="A147" s="134" t="s">
        <v>12583</v>
      </c>
      <c r="B147" s="134" t="s">
        <v>12597</v>
      </c>
      <c r="C147" s="134" t="s">
        <v>12596</v>
      </c>
      <c r="D147" s="134" t="s">
        <v>8724</v>
      </c>
      <c r="E147" s="139">
        <v>4.76</v>
      </c>
      <c r="F147" s="134" t="s">
        <v>8723</v>
      </c>
      <c r="G147" s="134" t="s">
        <v>3007</v>
      </c>
      <c r="H147" s="123">
        <v>9610</v>
      </c>
    </row>
    <row r="148" spans="1:8" ht="31.5" x14ac:dyDescent="0.25">
      <c r="A148" s="134" t="s">
        <v>12583</v>
      </c>
      <c r="B148" s="134" t="s">
        <v>12595</v>
      </c>
      <c r="C148" s="134" t="s">
        <v>12594</v>
      </c>
      <c r="D148" s="134" t="s">
        <v>8513</v>
      </c>
      <c r="E148" s="139">
        <v>17.95</v>
      </c>
      <c r="F148" s="134" t="s">
        <v>8512</v>
      </c>
      <c r="G148" s="134" t="s">
        <v>3007</v>
      </c>
      <c r="H148" s="123">
        <v>9611</v>
      </c>
    </row>
    <row r="149" spans="1:8" ht="31.5" x14ac:dyDescent="0.25">
      <c r="A149" s="134" t="s">
        <v>12583</v>
      </c>
      <c r="B149" s="134" t="s">
        <v>12593</v>
      </c>
      <c r="C149" s="134" t="s">
        <v>12592</v>
      </c>
      <c r="D149" s="134" t="s">
        <v>3223</v>
      </c>
      <c r="E149" s="139">
        <v>5.04</v>
      </c>
      <c r="F149" s="134" t="s">
        <v>3222</v>
      </c>
      <c r="G149" s="134" t="s">
        <v>3007</v>
      </c>
      <c r="H149" s="123">
        <v>9612</v>
      </c>
    </row>
    <row r="150" spans="1:8" ht="31.5" x14ac:dyDescent="0.25">
      <c r="A150" s="134" t="s">
        <v>12583</v>
      </c>
      <c r="B150" s="134" t="s">
        <v>12591</v>
      </c>
      <c r="C150" s="134" t="s">
        <v>12590</v>
      </c>
      <c r="D150" s="134" t="s">
        <v>10934</v>
      </c>
      <c r="E150" s="139">
        <v>15.36</v>
      </c>
      <c r="F150" s="134" t="s">
        <v>10933</v>
      </c>
      <c r="G150" s="134" t="s">
        <v>3007</v>
      </c>
      <c r="H150" s="123">
        <v>9613</v>
      </c>
    </row>
    <row r="151" spans="1:8" ht="31.5" x14ac:dyDescent="0.25">
      <c r="A151" s="134" t="s">
        <v>12583</v>
      </c>
      <c r="B151" s="134" t="s">
        <v>12589</v>
      </c>
      <c r="C151" s="134" t="s">
        <v>12588</v>
      </c>
      <c r="D151" s="134" t="s">
        <v>10937</v>
      </c>
      <c r="E151" s="139">
        <v>29.04</v>
      </c>
      <c r="F151" s="134" t="s">
        <v>10933</v>
      </c>
      <c r="G151" s="134" t="s">
        <v>3007</v>
      </c>
      <c r="H151" s="123">
        <v>9614</v>
      </c>
    </row>
    <row r="152" spans="1:8" ht="31.5" x14ac:dyDescent="0.25">
      <c r="A152" s="134" t="s">
        <v>12583</v>
      </c>
      <c r="B152" s="134" t="s">
        <v>12587</v>
      </c>
      <c r="C152" s="134" t="s">
        <v>12586</v>
      </c>
      <c r="D152" s="134" t="s">
        <v>10548</v>
      </c>
      <c r="E152" s="139">
        <v>16.760000000000002</v>
      </c>
      <c r="F152" s="134" t="s">
        <v>10547</v>
      </c>
      <c r="G152" s="134" t="s">
        <v>3007</v>
      </c>
      <c r="H152" s="123">
        <v>9615</v>
      </c>
    </row>
    <row r="153" spans="1:8" ht="31.5" x14ac:dyDescent="0.25">
      <c r="A153" s="134" t="s">
        <v>12583</v>
      </c>
      <c r="B153" s="134" t="s">
        <v>12585</v>
      </c>
      <c r="C153" s="134" t="s">
        <v>12584</v>
      </c>
      <c r="D153" s="134" t="s">
        <v>4433</v>
      </c>
      <c r="E153" s="139">
        <v>17.760000000000002</v>
      </c>
      <c r="F153" s="134" t="s">
        <v>4432</v>
      </c>
      <c r="G153" s="134" t="s">
        <v>3007</v>
      </c>
      <c r="H153" s="123">
        <v>9616</v>
      </c>
    </row>
    <row r="154" spans="1:8" ht="31.5" x14ac:dyDescent="0.25">
      <c r="A154" s="134" t="s">
        <v>12583</v>
      </c>
      <c r="B154" s="134" t="s">
        <v>10291</v>
      </c>
      <c r="C154" s="134" t="s">
        <v>12582</v>
      </c>
      <c r="D154" s="134" t="s">
        <v>5106</v>
      </c>
      <c r="E154" s="139">
        <v>6.13</v>
      </c>
      <c r="F154" s="134" t="s">
        <v>5105</v>
      </c>
      <c r="G154" s="134" t="s">
        <v>3007</v>
      </c>
      <c r="H154" s="123">
        <v>9617</v>
      </c>
    </row>
    <row r="155" spans="1:8" ht="31.5" x14ac:dyDescent="0.25">
      <c r="A155" s="134" t="s">
        <v>12551</v>
      </c>
      <c r="B155" s="134" t="s">
        <v>12581</v>
      </c>
      <c r="C155" s="134" t="s">
        <v>12580</v>
      </c>
      <c r="D155" s="134" t="s">
        <v>3102</v>
      </c>
      <c r="E155" s="139">
        <v>6.26</v>
      </c>
      <c r="F155" s="134" t="s">
        <v>3101</v>
      </c>
      <c r="G155" s="134" t="s">
        <v>3007</v>
      </c>
      <c r="H155" s="123">
        <v>9667</v>
      </c>
    </row>
    <row r="156" spans="1:8" ht="31.5" x14ac:dyDescent="0.25">
      <c r="A156" s="134" t="s">
        <v>12551</v>
      </c>
      <c r="B156" s="134" t="s">
        <v>12579</v>
      </c>
      <c r="C156" s="134" t="s">
        <v>12578</v>
      </c>
      <c r="D156" s="134" t="s">
        <v>3235</v>
      </c>
      <c r="E156" s="139">
        <v>2.79</v>
      </c>
      <c r="F156" s="134" t="s">
        <v>3234</v>
      </c>
      <c r="G156" s="134" t="s">
        <v>3007</v>
      </c>
      <c r="H156" s="123">
        <v>9668</v>
      </c>
    </row>
    <row r="157" spans="1:8" ht="31.5" x14ac:dyDescent="0.25">
      <c r="A157" s="134" t="s">
        <v>12551</v>
      </c>
      <c r="B157" s="134" t="s">
        <v>12577</v>
      </c>
      <c r="C157" s="134" t="s">
        <v>12576</v>
      </c>
      <c r="D157" s="134" t="s">
        <v>7592</v>
      </c>
      <c r="E157" s="139">
        <v>7.99</v>
      </c>
      <c r="F157" s="134" t="s">
        <v>7588</v>
      </c>
      <c r="G157" s="134" t="s">
        <v>3007</v>
      </c>
      <c r="H157" s="123">
        <v>9669</v>
      </c>
    </row>
    <row r="158" spans="1:8" ht="31.5" x14ac:dyDescent="0.25">
      <c r="A158" s="134" t="s">
        <v>12551</v>
      </c>
      <c r="B158" s="134" t="s">
        <v>12575</v>
      </c>
      <c r="C158" s="134" t="s">
        <v>12574</v>
      </c>
      <c r="D158" s="134" t="s">
        <v>7011</v>
      </c>
      <c r="E158" s="139">
        <v>1.71</v>
      </c>
      <c r="F158" s="134" t="s">
        <v>7010</v>
      </c>
      <c r="G158" s="134" t="s">
        <v>3007</v>
      </c>
      <c r="H158" s="123">
        <v>9670</v>
      </c>
    </row>
    <row r="159" spans="1:8" ht="31.5" x14ac:dyDescent="0.25">
      <c r="A159" s="134" t="s">
        <v>12551</v>
      </c>
      <c r="B159" s="134" t="s">
        <v>12573</v>
      </c>
      <c r="C159" s="134" t="s">
        <v>12572</v>
      </c>
      <c r="D159" s="134" t="s">
        <v>4392</v>
      </c>
      <c r="E159" s="139">
        <v>7.83</v>
      </c>
      <c r="F159" s="134" t="s">
        <v>4391</v>
      </c>
      <c r="G159" s="134" t="s">
        <v>3007</v>
      </c>
      <c r="H159" s="123">
        <v>9671</v>
      </c>
    </row>
    <row r="160" spans="1:8" ht="31.5" x14ac:dyDescent="0.25">
      <c r="A160" s="134" t="s">
        <v>12551</v>
      </c>
      <c r="B160" s="134" t="s">
        <v>12571</v>
      </c>
      <c r="C160" s="134" t="s">
        <v>12570</v>
      </c>
      <c r="D160" s="134" t="s">
        <v>8070</v>
      </c>
      <c r="E160" s="139">
        <v>5.94</v>
      </c>
      <c r="F160" s="134" t="s">
        <v>8069</v>
      </c>
      <c r="G160" s="134" t="s">
        <v>3007</v>
      </c>
      <c r="H160" s="123">
        <v>9672</v>
      </c>
    </row>
    <row r="161" spans="1:8" ht="31.5" x14ac:dyDescent="0.25">
      <c r="A161" s="134" t="s">
        <v>12551</v>
      </c>
      <c r="B161" s="134" t="s">
        <v>12569</v>
      </c>
      <c r="C161" s="134" t="s">
        <v>12568</v>
      </c>
      <c r="D161" s="134" t="s">
        <v>12567</v>
      </c>
      <c r="E161" s="139">
        <v>0.72</v>
      </c>
      <c r="F161" s="134" t="s">
        <v>12566</v>
      </c>
      <c r="G161" s="134" t="s">
        <v>3007</v>
      </c>
      <c r="H161" s="123">
        <v>9673</v>
      </c>
    </row>
    <row r="162" spans="1:8" ht="31.5" x14ac:dyDescent="0.25">
      <c r="A162" s="134" t="s">
        <v>12551</v>
      </c>
      <c r="B162" s="134" t="s">
        <v>12565</v>
      </c>
      <c r="C162" s="134" t="s">
        <v>12564</v>
      </c>
      <c r="D162" s="134" t="s">
        <v>9541</v>
      </c>
      <c r="E162" s="139">
        <v>8.3800000000000008</v>
      </c>
      <c r="F162" s="134" t="s">
        <v>9540</v>
      </c>
      <c r="G162" s="134" t="s">
        <v>3007</v>
      </c>
      <c r="H162" s="123">
        <v>9674</v>
      </c>
    </row>
    <row r="163" spans="1:8" ht="31.5" x14ac:dyDescent="0.25">
      <c r="A163" s="134" t="s">
        <v>12551</v>
      </c>
      <c r="B163" s="134" t="s">
        <v>12563</v>
      </c>
      <c r="C163" s="134" t="s">
        <v>12562</v>
      </c>
      <c r="D163" s="134" t="s">
        <v>12561</v>
      </c>
      <c r="E163" s="139">
        <v>5.41</v>
      </c>
      <c r="F163" s="134" t="s">
        <v>12560</v>
      </c>
      <c r="G163" s="134" t="s">
        <v>3007</v>
      </c>
      <c r="H163" s="123">
        <v>9675</v>
      </c>
    </row>
    <row r="164" spans="1:8" ht="31.5" x14ac:dyDescent="0.25">
      <c r="A164" s="134" t="s">
        <v>12551</v>
      </c>
      <c r="B164" s="134" t="s">
        <v>12559</v>
      </c>
      <c r="C164" s="134" t="s">
        <v>12558</v>
      </c>
      <c r="D164" s="134" t="s">
        <v>6933</v>
      </c>
      <c r="E164" s="139">
        <v>10.32</v>
      </c>
      <c r="F164" s="134" t="s">
        <v>6932</v>
      </c>
      <c r="G164" s="134" t="s">
        <v>3007</v>
      </c>
      <c r="H164" s="123">
        <v>9676</v>
      </c>
    </row>
    <row r="165" spans="1:8" ht="31.5" x14ac:dyDescent="0.25">
      <c r="A165" s="134" t="s">
        <v>12551</v>
      </c>
      <c r="B165" s="134" t="s">
        <v>12557</v>
      </c>
      <c r="C165" s="134" t="s">
        <v>12556</v>
      </c>
      <c r="D165" s="134" t="s">
        <v>5040</v>
      </c>
      <c r="E165" s="139">
        <v>11.96</v>
      </c>
      <c r="F165" s="134" t="s">
        <v>5039</v>
      </c>
      <c r="G165" s="134" t="s">
        <v>3007</v>
      </c>
      <c r="H165" s="123">
        <v>9677</v>
      </c>
    </row>
    <row r="166" spans="1:8" ht="31.5" x14ac:dyDescent="0.25">
      <c r="A166" s="134" t="s">
        <v>12551</v>
      </c>
      <c r="B166" s="134" t="s">
        <v>12555</v>
      </c>
      <c r="C166" s="134" t="s">
        <v>12554</v>
      </c>
      <c r="D166" s="134" t="s">
        <v>6720</v>
      </c>
      <c r="E166" s="139">
        <v>14.69</v>
      </c>
      <c r="F166" s="134" t="s">
        <v>6719</v>
      </c>
      <c r="G166" s="134" t="s">
        <v>3007</v>
      </c>
      <c r="H166" s="123">
        <v>9678</v>
      </c>
    </row>
    <row r="167" spans="1:8" ht="31.5" x14ac:dyDescent="0.25">
      <c r="A167" s="134" t="s">
        <v>12551</v>
      </c>
      <c r="B167" s="134" t="s">
        <v>12553</v>
      </c>
      <c r="C167" s="134" t="s">
        <v>12552</v>
      </c>
      <c r="D167" s="134" t="s">
        <v>8174</v>
      </c>
      <c r="E167" s="139">
        <v>15.27</v>
      </c>
      <c r="F167" s="134" t="s">
        <v>8173</v>
      </c>
      <c r="G167" s="134" t="s">
        <v>3007</v>
      </c>
      <c r="H167" s="123">
        <v>9679</v>
      </c>
    </row>
    <row r="168" spans="1:8" ht="31.5" x14ac:dyDescent="0.25">
      <c r="A168" s="134" t="s">
        <v>12551</v>
      </c>
      <c r="B168" s="134" t="s">
        <v>12550</v>
      </c>
      <c r="C168" s="134" t="s">
        <v>12549</v>
      </c>
      <c r="D168" s="134" t="s">
        <v>4425</v>
      </c>
      <c r="E168" s="139">
        <v>7.97</v>
      </c>
      <c r="F168" s="134" t="s">
        <v>4424</v>
      </c>
      <c r="G168" s="134" t="s">
        <v>3007</v>
      </c>
      <c r="H168" s="123">
        <v>9680</v>
      </c>
    </row>
    <row r="169" spans="1:8" ht="31.5" x14ac:dyDescent="0.25">
      <c r="A169" s="134" t="s">
        <v>12516</v>
      </c>
      <c r="B169" s="134" t="s">
        <v>12548</v>
      </c>
      <c r="C169" s="134" t="s">
        <v>12547</v>
      </c>
      <c r="D169" s="134" t="s">
        <v>10850</v>
      </c>
      <c r="E169" s="139">
        <v>7.57</v>
      </c>
      <c r="F169" s="134" t="s">
        <v>10849</v>
      </c>
      <c r="G169" s="134" t="s">
        <v>3007</v>
      </c>
      <c r="H169" s="123">
        <v>9702</v>
      </c>
    </row>
    <row r="170" spans="1:8" ht="31.5" x14ac:dyDescent="0.25">
      <c r="A170" s="134" t="s">
        <v>12516</v>
      </c>
      <c r="B170" s="134" t="s">
        <v>12546</v>
      </c>
      <c r="C170" s="134" t="s">
        <v>12545</v>
      </c>
      <c r="D170" s="134" t="s">
        <v>6870</v>
      </c>
      <c r="E170" s="139">
        <v>3.36</v>
      </c>
      <c r="F170" s="134" t="s">
        <v>6869</v>
      </c>
      <c r="G170" s="134" t="s">
        <v>3007</v>
      </c>
      <c r="H170" s="123">
        <v>9703</v>
      </c>
    </row>
    <row r="171" spans="1:8" ht="31.5" x14ac:dyDescent="0.25">
      <c r="A171" s="134" t="s">
        <v>12516</v>
      </c>
      <c r="B171" s="134" t="s">
        <v>12544</v>
      </c>
      <c r="C171" s="134" t="s">
        <v>12543</v>
      </c>
      <c r="D171" s="134" t="s">
        <v>3783</v>
      </c>
      <c r="E171" s="139">
        <v>2.3199999999999998</v>
      </c>
      <c r="F171" s="134" t="s">
        <v>3782</v>
      </c>
      <c r="G171" s="134" t="s">
        <v>3007</v>
      </c>
      <c r="H171" s="123">
        <v>9704</v>
      </c>
    </row>
    <row r="172" spans="1:8" ht="31.5" x14ac:dyDescent="0.25">
      <c r="A172" s="134" t="s">
        <v>12516</v>
      </c>
      <c r="B172" s="134" t="s">
        <v>12542</v>
      </c>
      <c r="C172" s="134" t="s">
        <v>12541</v>
      </c>
      <c r="D172" s="134" t="s">
        <v>5020</v>
      </c>
      <c r="E172" s="139">
        <v>9.1199999999999992</v>
      </c>
      <c r="F172" s="134" t="s">
        <v>5019</v>
      </c>
      <c r="G172" s="134" t="s">
        <v>3007</v>
      </c>
      <c r="H172" s="123">
        <v>9705</v>
      </c>
    </row>
    <row r="173" spans="1:8" ht="31.5" x14ac:dyDescent="0.25">
      <c r="A173" s="134" t="s">
        <v>12516</v>
      </c>
      <c r="B173" s="134" t="s">
        <v>12540</v>
      </c>
      <c r="C173" s="134" t="s">
        <v>12539</v>
      </c>
      <c r="D173" s="134" t="s">
        <v>5259</v>
      </c>
      <c r="E173" s="139">
        <v>6.24</v>
      </c>
      <c r="F173" s="134" t="s">
        <v>5258</v>
      </c>
      <c r="G173" s="134" t="s">
        <v>3007</v>
      </c>
      <c r="H173" s="123">
        <v>9706</v>
      </c>
    </row>
    <row r="174" spans="1:8" ht="31.5" x14ac:dyDescent="0.25">
      <c r="A174" s="134" t="s">
        <v>12516</v>
      </c>
      <c r="B174" s="134" t="s">
        <v>12538</v>
      </c>
      <c r="C174" s="134" t="s">
        <v>12537</v>
      </c>
      <c r="D174" s="134" t="s">
        <v>11932</v>
      </c>
      <c r="E174" s="139">
        <v>0.66</v>
      </c>
      <c r="F174" s="134" t="s">
        <v>11931</v>
      </c>
      <c r="G174" s="134" t="s">
        <v>3007</v>
      </c>
      <c r="H174" s="123">
        <v>9707</v>
      </c>
    </row>
    <row r="175" spans="1:8" ht="31.5" x14ac:dyDescent="0.25">
      <c r="A175" s="134" t="s">
        <v>12516</v>
      </c>
      <c r="B175" s="134" t="s">
        <v>12536</v>
      </c>
      <c r="C175" s="134" t="s">
        <v>12535</v>
      </c>
      <c r="D175" s="134" t="s">
        <v>6846</v>
      </c>
      <c r="E175" s="139">
        <v>2.02</v>
      </c>
      <c r="F175" s="134" t="s">
        <v>11169</v>
      </c>
      <c r="G175" s="134" t="s">
        <v>3007</v>
      </c>
      <c r="H175" s="123">
        <v>9708</v>
      </c>
    </row>
    <row r="176" spans="1:8" ht="31.5" x14ac:dyDescent="0.25">
      <c r="A176" s="134" t="s">
        <v>12516</v>
      </c>
      <c r="B176" s="134" t="s">
        <v>12534</v>
      </c>
      <c r="C176" s="134" t="s">
        <v>12533</v>
      </c>
      <c r="D176" s="134" t="s">
        <v>8759</v>
      </c>
      <c r="E176" s="139">
        <v>6.65</v>
      </c>
      <c r="F176" s="134" t="s">
        <v>8758</v>
      </c>
      <c r="G176" s="134" t="s">
        <v>3007</v>
      </c>
      <c r="H176" s="123">
        <v>9709</v>
      </c>
    </row>
    <row r="177" spans="1:8" ht="31.5" x14ac:dyDescent="0.25">
      <c r="A177" s="134" t="s">
        <v>12516</v>
      </c>
      <c r="B177" s="134" t="s">
        <v>12532</v>
      </c>
      <c r="C177" s="134" t="s">
        <v>12531</v>
      </c>
      <c r="D177" s="134" t="s">
        <v>10203</v>
      </c>
      <c r="E177" s="139">
        <v>12.9</v>
      </c>
      <c r="F177" s="134" t="s">
        <v>10202</v>
      </c>
      <c r="G177" s="134" t="s">
        <v>3007</v>
      </c>
      <c r="H177" s="123">
        <v>9710</v>
      </c>
    </row>
    <row r="178" spans="1:8" ht="31.5" x14ac:dyDescent="0.25">
      <c r="A178" s="134" t="s">
        <v>12516</v>
      </c>
      <c r="B178" s="134" t="s">
        <v>12530</v>
      </c>
      <c r="C178" s="134" t="s">
        <v>12529</v>
      </c>
      <c r="D178" s="134" t="s">
        <v>12528</v>
      </c>
      <c r="E178" s="139">
        <v>13.58</v>
      </c>
      <c r="F178" s="134" t="s">
        <v>12527</v>
      </c>
      <c r="G178" s="134" t="s">
        <v>3007</v>
      </c>
      <c r="H178" s="123">
        <v>9711</v>
      </c>
    </row>
    <row r="179" spans="1:8" ht="31.5" x14ac:dyDescent="0.25">
      <c r="A179" s="134" t="s">
        <v>12516</v>
      </c>
      <c r="B179" s="134" t="s">
        <v>12526</v>
      </c>
      <c r="C179" s="134" t="s">
        <v>12525</v>
      </c>
      <c r="D179" s="134" t="s">
        <v>6798</v>
      </c>
      <c r="E179" s="139">
        <v>31.21</v>
      </c>
      <c r="F179" s="134" t="s">
        <v>6797</v>
      </c>
      <c r="G179" s="134" t="s">
        <v>3007</v>
      </c>
      <c r="H179" s="123">
        <v>9712</v>
      </c>
    </row>
    <row r="180" spans="1:8" ht="31.5" x14ac:dyDescent="0.25">
      <c r="A180" s="134" t="s">
        <v>12516</v>
      </c>
      <c r="B180" s="134" t="s">
        <v>12524</v>
      </c>
      <c r="C180" s="134" t="s">
        <v>12523</v>
      </c>
      <c r="D180" s="134" t="s">
        <v>7066</v>
      </c>
      <c r="E180" s="139">
        <v>19.53</v>
      </c>
      <c r="F180" s="134" t="s">
        <v>7065</v>
      </c>
      <c r="G180" s="134" t="s">
        <v>3007</v>
      </c>
      <c r="H180" s="123">
        <v>9713</v>
      </c>
    </row>
    <row r="181" spans="1:8" ht="31.5" x14ac:dyDescent="0.25">
      <c r="A181" s="134" t="s">
        <v>12516</v>
      </c>
      <c r="B181" s="134" t="s">
        <v>12522</v>
      </c>
      <c r="C181" s="134" t="s">
        <v>12521</v>
      </c>
      <c r="D181" s="134" t="s">
        <v>7407</v>
      </c>
      <c r="E181" s="139">
        <v>9.84</v>
      </c>
      <c r="F181" s="134" t="s">
        <v>7406</v>
      </c>
      <c r="G181" s="134" t="s">
        <v>3007</v>
      </c>
      <c r="H181" s="123">
        <v>9714</v>
      </c>
    </row>
    <row r="182" spans="1:8" ht="31.5" x14ac:dyDescent="0.25">
      <c r="A182" s="134" t="s">
        <v>12516</v>
      </c>
      <c r="B182" s="134" t="s">
        <v>12520</v>
      </c>
      <c r="C182" s="134" t="s">
        <v>12519</v>
      </c>
      <c r="D182" s="134" t="s">
        <v>10496</v>
      </c>
      <c r="E182" s="139">
        <v>3</v>
      </c>
      <c r="F182" s="134" t="s">
        <v>10495</v>
      </c>
      <c r="G182" s="134" t="s">
        <v>3007</v>
      </c>
      <c r="H182" s="123">
        <v>9715</v>
      </c>
    </row>
    <row r="183" spans="1:8" ht="31.5" x14ac:dyDescent="0.25">
      <c r="A183" s="134" t="s">
        <v>12516</v>
      </c>
      <c r="B183" s="134" t="s">
        <v>12518</v>
      </c>
      <c r="C183" s="134" t="s">
        <v>12517</v>
      </c>
      <c r="D183" s="134" t="s">
        <v>9488</v>
      </c>
      <c r="E183" s="139">
        <v>5.38</v>
      </c>
      <c r="F183" s="134" t="s">
        <v>9487</v>
      </c>
      <c r="G183" s="134" t="s">
        <v>3007</v>
      </c>
      <c r="H183" s="123">
        <v>9716</v>
      </c>
    </row>
    <row r="184" spans="1:8" ht="31.5" x14ac:dyDescent="0.25">
      <c r="A184" s="134" t="s">
        <v>12516</v>
      </c>
      <c r="B184" s="134" t="s">
        <v>12515</v>
      </c>
      <c r="C184" s="134" t="s">
        <v>12514</v>
      </c>
      <c r="D184" s="134" t="s">
        <v>8103</v>
      </c>
      <c r="E184" s="139">
        <v>15.27</v>
      </c>
      <c r="F184" s="134" t="s">
        <v>8102</v>
      </c>
      <c r="G184" s="134" t="s">
        <v>3007</v>
      </c>
      <c r="H184" s="123">
        <v>9717</v>
      </c>
    </row>
    <row r="185" spans="1:8" s="200" customFormat="1" x14ac:dyDescent="0.25">
      <c r="A185" s="198"/>
      <c r="B185" s="198"/>
      <c r="C185" s="198" t="s">
        <v>5691</v>
      </c>
      <c r="D185" s="198" t="s">
        <v>14409</v>
      </c>
      <c r="E185" s="199">
        <f>SUM(E120:E184)</f>
        <v>651.09</v>
      </c>
      <c r="F185" s="198"/>
      <c r="G185" s="198"/>
      <c r="H185" s="172"/>
    </row>
    <row r="186" spans="1:8" s="195" customFormat="1" ht="16.5" thickBot="1" x14ac:dyDescent="0.3">
      <c r="A186" s="193"/>
      <c r="B186" s="193"/>
      <c r="C186" s="193" t="s">
        <v>14410</v>
      </c>
      <c r="D186" s="193"/>
      <c r="E186" s="197">
        <v>-70.099999999999994</v>
      </c>
      <c r="F186" s="193"/>
      <c r="G186" s="193"/>
      <c r="H186" s="123"/>
    </row>
    <row r="187" spans="1:8" s="195" customFormat="1" x14ac:dyDescent="0.25">
      <c r="A187" s="193"/>
      <c r="B187" s="193"/>
      <c r="C187" s="193" t="s">
        <v>5691</v>
      </c>
      <c r="D187" s="193"/>
      <c r="E187" s="196">
        <f>SUM(E185:E186)</f>
        <v>580.99</v>
      </c>
      <c r="F187" s="193"/>
      <c r="G187" s="193"/>
      <c r="H187" s="123"/>
    </row>
    <row r="188" spans="1:8" s="195" customFormat="1" x14ac:dyDescent="0.25">
      <c r="A188" s="193"/>
      <c r="B188" s="193"/>
      <c r="C188" s="193"/>
      <c r="D188" s="193"/>
      <c r="E188" s="196"/>
      <c r="F188" s="193"/>
      <c r="G188" s="193"/>
      <c r="H188" s="123"/>
    </row>
    <row r="189" spans="1:8" ht="31.5" x14ac:dyDescent="0.25">
      <c r="A189" s="134" t="s">
        <v>12497</v>
      </c>
      <c r="B189" s="134" t="s">
        <v>12513</v>
      </c>
      <c r="C189" s="134" t="s">
        <v>12512</v>
      </c>
      <c r="D189" s="134" t="s">
        <v>10722</v>
      </c>
      <c r="E189" s="139">
        <v>1.68</v>
      </c>
      <c r="F189" s="134" t="s">
        <v>10721</v>
      </c>
      <c r="G189" s="134" t="s">
        <v>3007</v>
      </c>
      <c r="H189" s="123">
        <v>9746</v>
      </c>
    </row>
    <row r="190" spans="1:8" ht="31.5" x14ac:dyDescent="0.25">
      <c r="A190" s="134" t="s">
        <v>12497</v>
      </c>
      <c r="B190" s="134" t="s">
        <v>12511</v>
      </c>
      <c r="C190" s="134" t="s">
        <v>12510</v>
      </c>
      <c r="D190" s="134" t="s">
        <v>4787</v>
      </c>
      <c r="E190" s="139">
        <v>7.3</v>
      </c>
      <c r="F190" s="134" t="s">
        <v>4786</v>
      </c>
      <c r="G190" s="134" t="s">
        <v>3007</v>
      </c>
      <c r="H190" s="123">
        <v>9747</v>
      </c>
    </row>
    <row r="191" spans="1:8" ht="31.5" x14ac:dyDescent="0.25">
      <c r="A191" s="134" t="s">
        <v>12497</v>
      </c>
      <c r="B191" s="134" t="s">
        <v>12509</v>
      </c>
      <c r="C191" s="134" t="s">
        <v>12508</v>
      </c>
      <c r="D191" s="134" t="s">
        <v>4795</v>
      </c>
      <c r="E191" s="139">
        <v>12.88</v>
      </c>
      <c r="F191" s="134" t="s">
        <v>4794</v>
      </c>
      <c r="G191" s="134" t="s">
        <v>3007</v>
      </c>
      <c r="H191" s="123">
        <v>9748</v>
      </c>
    </row>
    <row r="192" spans="1:8" ht="31.5" x14ac:dyDescent="0.25">
      <c r="A192" s="134" t="s">
        <v>12497</v>
      </c>
      <c r="B192" s="134" t="s">
        <v>12507</v>
      </c>
      <c r="C192" s="134" t="s">
        <v>12506</v>
      </c>
      <c r="D192" s="134" t="s">
        <v>7543</v>
      </c>
      <c r="E192" s="139">
        <v>10.44</v>
      </c>
      <c r="F192" s="134" t="s">
        <v>7542</v>
      </c>
      <c r="G192" s="134" t="s">
        <v>3007</v>
      </c>
      <c r="H192" s="123">
        <v>9749</v>
      </c>
    </row>
    <row r="193" spans="1:8" ht="31.5" x14ac:dyDescent="0.25">
      <c r="A193" s="134" t="s">
        <v>12497</v>
      </c>
      <c r="B193" s="134" t="s">
        <v>12505</v>
      </c>
      <c r="C193" s="134" t="s">
        <v>12504</v>
      </c>
      <c r="D193" s="134" t="s">
        <v>3082</v>
      </c>
      <c r="E193" s="139">
        <v>5.48</v>
      </c>
      <c r="F193" s="134" t="s">
        <v>3081</v>
      </c>
      <c r="G193" s="134" t="s">
        <v>3007</v>
      </c>
      <c r="H193" s="123">
        <v>9750</v>
      </c>
    </row>
    <row r="194" spans="1:8" ht="31.5" x14ac:dyDescent="0.25">
      <c r="A194" s="134" t="s">
        <v>12497</v>
      </c>
      <c r="B194" s="134" t="s">
        <v>12503</v>
      </c>
      <c r="C194" s="134" t="s">
        <v>12502</v>
      </c>
      <c r="D194" s="134" t="s">
        <v>6431</v>
      </c>
      <c r="E194" s="139">
        <v>3.44</v>
      </c>
      <c r="F194" s="134" t="s">
        <v>6430</v>
      </c>
      <c r="G194" s="134" t="s">
        <v>3007</v>
      </c>
      <c r="H194" s="123">
        <v>9751</v>
      </c>
    </row>
    <row r="195" spans="1:8" ht="31.5" x14ac:dyDescent="0.25">
      <c r="A195" s="134" t="s">
        <v>12497</v>
      </c>
      <c r="B195" s="134" t="s">
        <v>12501</v>
      </c>
      <c r="C195" s="134" t="s">
        <v>12500</v>
      </c>
      <c r="D195" s="134" t="s">
        <v>7201</v>
      </c>
      <c r="E195" s="139">
        <v>5.51</v>
      </c>
      <c r="F195" s="134" t="s">
        <v>7200</v>
      </c>
      <c r="G195" s="134" t="s">
        <v>3007</v>
      </c>
      <c r="H195" s="123">
        <v>9752</v>
      </c>
    </row>
    <row r="196" spans="1:8" ht="31.5" x14ac:dyDescent="0.25">
      <c r="A196" s="134" t="s">
        <v>12497</v>
      </c>
      <c r="B196" s="134" t="s">
        <v>12499</v>
      </c>
      <c r="C196" s="134" t="s">
        <v>12498</v>
      </c>
      <c r="D196" s="134" t="s">
        <v>9880</v>
      </c>
      <c r="E196" s="139">
        <v>1.98</v>
      </c>
      <c r="F196" s="134" t="s">
        <v>9879</v>
      </c>
      <c r="G196" s="134" t="s">
        <v>3007</v>
      </c>
      <c r="H196" s="123">
        <v>9753</v>
      </c>
    </row>
    <row r="197" spans="1:8" ht="31.5" x14ac:dyDescent="0.25">
      <c r="A197" s="134" t="s">
        <v>12497</v>
      </c>
      <c r="B197" s="134" t="s">
        <v>12496</v>
      </c>
      <c r="C197" s="134" t="s">
        <v>12495</v>
      </c>
      <c r="D197" s="134" t="s">
        <v>5317</v>
      </c>
      <c r="E197" s="139">
        <v>1.72</v>
      </c>
      <c r="F197" s="134" t="s">
        <v>5316</v>
      </c>
      <c r="G197" s="134" t="s">
        <v>3007</v>
      </c>
      <c r="H197" s="123">
        <v>9754</v>
      </c>
    </row>
    <row r="198" spans="1:8" ht="31.5" x14ac:dyDescent="0.25">
      <c r="A198" s="134" t="s">
        <v>12482</v>
      </c>
      <c r="B198" s="134" t="s">
        <v>12494</v>
      </c>
      <c r="C198" s="134" t="s">
        <v>12493</v>
      </c>
      <c r="D198" s="134" t="s">
        <v>3816</v>
      </c>
      <c r="E198" s="139">
        <v>19.7</v>
      </c>
      <c r="F198" s="134" t="s">
        <v>3815</v>
      </c>
      <c r="G198" s="134" t="s">
        <v>3007</v>
      </c>
      <c r="H198" s="123">
        <v>9771</v>
      </c>
    </row>
    <row r="199" spans="1:8" ht="31.5" x14ac:dyDescent="0.25">
      <c r="A199" s="134" t="s">
        <v>12482</v>
      </c>
      <c r="B199" s="134" t="s">
        <v>12492</v>
      </c>
      <c r="C199" s="134" t="s">
        <v>12491</v>
      </c>
      <c r="D199" s="134" t="s">
        <v>4245</v>
      </c>
      <c r="E199" s="139">
        <v>3.43</v>
      </c>
      <c r="F199" s="134" t="s">
        <v>4244</v>
      </c>
      <c r="G199" s="134" t="s">
        <v>3007</v>
      </c>
      <c r="H199" s="123">
        <v>9772</v>
      </c>
    </row>
    <row r="200" spans="1:8" ht="31.5" x14ac:dyDescent="0.25">
      <c r="A200" s="134" t="s">
        <v>12482</v>
      </c>
      <c r="B200" s="134" t="s">
        <v>12490</v>
      </c>
      <c r="C200" s="134" t="s">
        <v>12489</v>
      </c>
      <c r="D200" s="134" t="s">
        <v>5130</v>
      </c>
      <c r="E200" s="139">
        <v>3.68</v>
      </c>
      <c r="F200" s="134" t="s">
        <v>5129</v>
      </c>
      <c r="G200" s="134" t="s">
        <v>3007</v>
      </c>
      <c r="H200" s="123">
        <v>9773</v>
      </c>
    </row>
    <row r="201" spans="1:8" ht="31.5" x14ac:dyDescent="0.25">
      <c r="A201" s="134" t="s">
        <v>12482</v>
      </c>
      <c r="B201" s="134" t="s">
        <v>12488</v>
      </c>
      <c r="C201" s="134" t="s">
        <v>12487</v>
      </c>
      <c r="D201" s="134" t="s">
        <v>7248</v>
      </c>
      <c r="E201" s="139">
        <v>11.72</v>
      </c>
      <c r="F201" s="134" t="s">
        <v>7247</v>
      </c>
      <c r="G201" s="134" t="s">
        <v>3007</v>
      </c>
      <c r="H201" s="123">
        <v>9774</v>
      </c>
    </row>
    <row r="202" spans="1:8" ht="31.5" x14ac:dyDescent="0.25">
      <c r="A202" s="134" t="s">
        <v>12482</v>
      </c>
      <c r="B202" s="134" t="s">
        <v>12486</v>
      </c>
      <c r="C202" s="134" t="s">
        <v>12485</v>
      </c>
      <c r="D202" s="134" t="s">
        <v>12484</v>
      </c>
      <c r="E202" s="139">
        <v>13.04</v>
      </c>
      <c r="F202" s="134" t="s">
        <v>12483</v>
      </c>
      <c r="G202" s="134" t="s">
        <v>3007</v>
      </c>
      <c r="H202" s="123">
        <v>9775</v>
      </c>
    </row>
    <row r="203" spans="1:8" ht="31.5" x14ac:dyDescent="0.25">
      <c r="A203" s="134" t="s">
        <v>12482</v>
      </c>
      <c r="B203" s="134" t="s">
        <v>12481</v>
      </c>
      <c r="C203" s="134" t="s">
        <v>12480</v>
      </c>
      <c r="D203" s="134" t="s">
        <v>8116</v>
      </c>
      <c r="E203" s="139">
        <v>3.42</v>
      </c>
      <c r="F203" s="134" t="s">
        <v>8115</v>
      </c>
      <c r="G203" s="134" t="s">
        <v>3007</v>
      </c>
      <c r="H203" s="123">
        <v>9776</v>
      </c>
    </row>
    <row r="204" spans="1:8" ht="31.5" x14ac:dyDescent="0.25">
      <c r="A204" s="134" t="s">
        <v>12479</v>
      </c>
      <c r="B204" s="134" t="s">
        <v>12478</v>
      </c>
      <c r="C204" s="134" t="s">
        <v>12477</v>
      </c>
      <c r="D204" s="134" t="s">
        <v>7025</v>
      </c>
      <c r="E204" s="139">
        <v>43.31</v>
      </c>
      <c r="F204" s="134" t="s">
        <v>7024</v>
      </c>
      <c r="G204" s="134" t="s">
        <v>3007</v>
      </c>
      <c r="H204" s="123">
        <v>9777</v>
      </c>
    </row>
    <row r="205" spans="1:8" ht="31.5" x14ac:dyDescent="0.25">
      <c r="A205" s="134" t="s">
        <v>12458</v>
      </c>
      <c r="B205" s="134" t="s">
        <v>12476</v>
      </c>
      <c r="C205" s="134" t="s">
        <v>12475</v>
      </c>
      <c r="D205" s="134" t="s">
        <v>7054</v>
      </c>
      <c r="E205" s="139">
        <v>1.68</v>
      </c>
      <c r="F205" s="134" t="s">
        <v>7053</v>
      </c>
      <c r="G205" s="134" t="s">
        <v>3007</v>
      </c>
      <c r="H205" s="123">
        <v>9786</v>
      </c>
    </row>
    <row r="206" spans="1:8" ht="31.5" x14ac:dyDescent="0.25">
      <c r="A206" s="134" t="s">
        <v>12458</v>
      </c>
      <c r="B206" s="134" t="s">
        <v>12474</v>
      </c>
      <c r="C206" s="134" t="s">
        <v>12473</v>
      </c>
      <c r="D206" s="134" t="s">
        <v>4237</v>
      </c>
      <c r="E206" s="139">
        <v>7.51</v>
      </c>
      <c r="F206" s="134" t="s">
        <v>4236</v>
      </c>
      <c r="G206" s="134" t="s">
        <v>3007</v>
      </c>
      <c r="H206" s="123">
        <v>9787</v>
      </c>
    </row>
    <row r="207" spans="1:8" ht="31.5" x14ac:dyDescent="0.25">
      <c r="A207" s="134" t="s">
        <v>12458</v>
      </c>
      <c r="B207" s="134" t="s">
        <v>12472</v>
      </c>
      <c r="C207" s="134" t="s">
        <v>12471</v>
      </c>
      <c r="D207" s="134" t="s">
        <v>8078</v>
      </c>
      <c r="E207" s="139">
        <v>5.1100000000000003</v>
      </c>
      <c r="F207" s="134" t="s">
        <v>8077</v>
      </c>
      <c r="G207" s="134" t="s">
        <v>3007</v>
      </c>
      <c r="H207" s="123">
        <v>9788</v>
      </c>
    </row>
    <row r="208" spans="1:8" ht="31.5" x14ac:dyDescent="0.25">
      <c r="A208" s="134" t="s">
        <v>12458</v>
      </c>
      <c r="B208" s="134" t="s">
        <v>12470</v>
      </c>
      <c r="C208" s="134" t="s">
        <v>12469</v>
      </c>
      <c r="D208" s="134" t="s">
        <v>4013</v>
      </c>
      <c r="E208" s="139">
        <v>8.41</v>
      </c>
      <c r="F208" s="134" t="s">
        <v>4012</v>
      </c>
      <c r="G208" s="134" t="s">
        <v>3007</v>
      </c>
      <c r="H208" s="123">
        <v>9789</v>
      </c>
    </row>
    <row r="209" spans="1:8" ht="31.5" x14ac:dyDescent="0.25">
      <c r="A209" s="134" t="s">
        <v>12458</v>
      </c>
      <c r="B209" s="134" t="s">
        <v>12468</v>
      </c>
      <c r="C209" s="134" t="s">
        <v>12467</v>
      </c>
      <c r="D209" s="134" t="s">
        <v>4021</v>
      </c>
      <c r="E209" s="139">
        <v>4.16</v>
      </c>
      <c r="F209" s="134" t="s">
        <v>4020</v>
      </c>
      <c r="G209" s="134" t="s">
        <v>3007</v>
      </c>
      <c r="H209" s="123">
        <v>9790</v>
      </c>
    </row>
    <row r="210" spans="1:8" ht="31.5" x14ac:dyDescent="0.25">
      <c r="A210" s="134" t="s">
        <v>12458</v>
      </c>
      <c r="B210" s="134" t="s">
        <v>6749</v>
      </c>
      <c r="C210" s="134" t="s">
        <v>12466</v>
      </c>
      <c r="D210" s="134" t="s">
        <v>6699</v>
      </c>
      <c r="E210" s="139">
        <v>1.69</v>
      </c>
      <c r="F210" s="134" t="s">
        <v>6698</v>
      </c>
      <c r="G210" s="134" t="s">
        <v>3007</v>
      </c>
      <c r="H210" s="123">
        <v>9791</v>
      </c>
    </row>
    <row r="211" spans="1:8" ht="31.5" x14ac:dyDescent="0.25">
      <c r="A211" s="134" t="s">
        <v>12458</v>
      </c>
      <c r="B211" s="134" t="s">
        <v>12465</v>
      </c>
      <c r="C211" s="134" t="s">
        <v>12464</v>
      </c>
      <c r="D211" s="134" t="s">
        <v>8293</v>
      </c>
      <c r="E211" s="139">
        <v>8.43</v>
      </c>
      <c r="F211" s="134" t="s">
        <v>8292</v>
      </c>
      <c r="G211" s="134" t="s">
        <v>3007</v>
      </c>
      <c r="H211" s="123">
        <v>9792</v>
      </c>
    </row>
    <row r="212" spans="1:8" ht="31.5" x14ac:dyDescent="0.25">
      <c r="A212" s="134" t="s">
        <v>12458</v>
      </c>
      <c r="B212" s="134" t="s">
        <v>12463</v>
      </c>
      <c r="C212" s="134" t="s">
        <v>12462</v>
      </c>
      <c r="D212" s="134" t="s">
        <v>5214</v>
      </c>
      <c r="E212" s="139">
        <v>32.659999999999997</v>
      </c>
      <c r="F212" s="134" t="s">
        <v>5213</v>
      </c>
      <c r="G212" s="134" t="s">
        <v>3007</v>
      </c>
      <c r="H212" s="123">
        <v>9793</v>
      </c>
    </row>
    <row r="213" spans="1:8" ht="31.5" x14ac:dyDescent="0.25">
      <c r="A213" s="134" t="s">
        <v>12458</v>
      </c>
      <c r="B213" s="134" t="s">
        <v>12461</v>
      </c>
      <c r="C213" s="134" t="s">
        <v>12460</v>
      </c>
      <c r="D213" s="134" t="s">
        <v>3787</v>
      </c>
      <c r="E213" s="139">
        <v>8.33</v>
      </c>
      <c r="F213" s="134" t="s">
        <v>3786</v>
      </c>
      <c r="G213" s="134" t="s">
        <v>3007</v>
      </c>
      <c r="H213" s="123">
        <v>9794</v>
      </c>
    </row>
    <row r="214" spans="1:8" ht="31.5" x14ac:dyDescent="0.25">
      <c r="A214" s="134" t="s">
        <v>12458</v>
      </c>
      <c r="B214" s="134" t="s">
        <v>9798</v>
      </c>
      <c r="C214" s="134" t="s">
        <v>12459</v>
      </c>
      <c r="D214" s="134" t="s">
        <v>6658</v>
      </c>
      <c r="E214" s="139">
        <v>3.36</v>
      </c>
      <c r="F214" s="134" t="s">
        <v>6657</v>
      </c>
      <c r="G214" s="134" t="s">
        <v>3007</v>
      </c>
      <c r="H214" s="123">
        <v>9795</v>
      </c>
    </row>
    <row r="215" spans="1:8" ht="31.5" x14ac:dyDescent="0.25">
      <c r="A215" s="134" t="s">
        <v>12458</v>
      </c>
      <c r="B215" s="134" t="s">
        <v>12457</v>
      </c>
      <c r="C215" s="134" t="s">
        <v>12456</v>
      </c>
      <c r="D215" s="134" t="s">
        <v>6028</v>
      </c>
      <c r="E215" s="139">
        <v>7.29</v>
      </c>
      <c r="F215" s="134" t="s">
        <v>6027</v>
      </c>
      <c r="G215" s="134" t="s">
        <v>3007</v>
      </c>
      <c r="H215" s="123">
        <v>9796</v>
      </c>
    </row>
    <row r="216" spans="1:8" ht="31.5" x14ac:dyDescent="0.25">
      <c r="A216" s="134" t="s">
        <v>12436</v>
      </c>
      <c r="B216" s="134" t="s">
        <v>12455</v>
      </c>
      <c r="C216" s="134" t="s">
        <v>12454</v>
      </c>
      <c r="D216" s="134" t="s">
        <v>5721</v>
      </c>
      <c r="E216" s="139">
        <v>77.89</v>
      </c>
      <c r="F216" s="134" t="s">
        <v>9814</v>
      </c>
      <c r="G216" s="134" t="s">
        <v>3007</v>
      </c>
      <c r="H216" s="123">
        <v>9838</v>
      </c>
    </row>
    <row r="217" spans="1:8" ht="31.5" x14ac:dyDescent="0.25">
      <c r="A217" s="134" t="s">
        <v>12436</v>
      </c>
      <c r="B217" s="134" t="s">
        <v>12453</v>
      </c>
      <c r="C217" s="134" t="s">
        <v>12452</v>
      </c>
      <c r="D217" s="134" t="s">
        <v>12451</v>
      </c>
      <c r="E217" s="139">
        <v>2.0099999999999998</v>
      </c>
      <c r="F217" s="134" t="s">
        <v>12450</v>
      </c>
      <c r="G217" s="134" t="s">
        <v>3007</v>
      </c>
      <c r="H217" s="123">
        <v>9839</v>
      </c>
    </row>
    <row r="218" spans="1:8" ht="31.5" x14ac:dyDescent="0.25">
      <c r="A218" s="134" t="s">
        <v>12436</v>
      </c>
      <c r="B218" s="134" t="s">
        <v>12449</v>
      </c>
      <c r="C218" s="134" t="s">
        <v>12448</v>
      </c>
      <c r="D218" s="134" t="s">
        <v>5198</v>
      </c>
      <c r="E218" s="139">
        <v>3.02</v>
      </c>
      <c r="F218" s="134" t="s">
        <v>5197</v>
      </c>
      <c r="G218" s="134" t="s">
        <v>3007</v>
      </c>
      <c r="H218" s="123" t="s">
        <v>12447</v>
      </c>
    </row>
    <row r="219" spans="1:8" ht="31.5" x14ac:dyDescent="0.25">
      <c r="A219" s="134" t="s">
        <v>12436</v>
      </c>
      <c r="B219" s="134" t="s">
        <v>12446</v>
      </c>
      <c r="C219" s="134" t="s">
        <v>12445</v>
      </c>
      <c r="D219" s="134" t="s">
        <v>5362</v>
      </c>
      <c r="E219" s="139">
        <v>3.75</v>
      </c>
      <c r="F219" s="134" t="s">
        <v>5361</v>
      </c>
      <c r="G219" s="134" t="s">
        <v>3007</v>
      </c>
      <c r="H219" s="123">
        <v>9840</v>
      </c>
    </row>
    <row r="220" spans="1:8" ht="31.5" x14ac:dyDescent="0.25">
      <c r="A220" s="134" t="s">
        <v>12436</v>
      </c>
      <c r="B220" s="134" t="s">
        <v>12444</v>
      </c>
      <c r="C220" s="134" t="s">
        <v>12443</v>
      </c>
      <c r="D220" s="134" t="s">
        <v>12442</v>
      </c>
      <c r="E220" s="139">
        <v>0.23</v>
      </c>
      <c r="F220" s="134" t="s">
        <v>12441</v>
      </c>
      <c r="G220" s="134" t="s">
        <v>3007</v>
      </c>
      <c r="H220" s="123">
        <v>9841</v>
      </c>
    </row>
    <row r="221" spans="1:8" ht="31.5" x14ac:dyDescent="0.25">
      <c r="A221" s="134" t="s">
        <v>12436</v>
      </c>
      <c r="B221" s="134" t="s">
        <v>12440</v>
      </c>
      <c r="C221" s="134" t="s">
        <v>12439</v>
      </c>
      <c r="D221" s="134" t="s">
        <v>6070</v>
      </c>
      <c r="E221" s="139">
        <v>77.680000000000007</v>
      </c>
      <c r="F221" s="134" t="s">
        <v>6069</v>
      </c>
      <c r="G221" s="134" t="s">
        <v>3007</v>
      </c>
      <c r="H221" s="123">
        <v>9842</v>
      </c>
    </row>
    <row r="222" spans="1:8" ht="31.5" x14ac:dyDescent="0.25">
      <c r="A222" s="134" t="s">
        <v>12436</v>
      </c>
      <c r="B222" s="134" t="s">
        <v>12438</v>
      </c>
      <c r="C222" s="134" t="s">
        <v>12437</v>
      </c>
      <c r="D222" s="134" t="s">
        <v>7602</v>
      </c>
      <c r="E222" s="139">
        <v>4.17</v>
      </c>
      <c r="F222" s="134" t="s">
        <v>7601</v>
      </c>
      <c r="G222" s="134" t="s">
        <v>3007</v>
      </c>
      <c r="H222" s="123">
        <v>9843</v>
      </c>
    </row>
    <row r="223" spans="1:8" ht="31.5" x14ac:dyDescent="0.25">
      <c r="A223" s="134" t="s">
        <v>12436</v>
      </c>
      <c r="B223" s="134" t="s">
        <v>12435</v>
      </c>
      <c r="C223" s="134" t="s">
        <v>12434</v>
      </c>
      <c r="D223" s="134" t="s">
        <v>6613</v>
      </c>
      <c r="E223" s="139">
        <v>51.39</v>
      </c>
      <c r="F223" s="134" t="s">
        <v>6612</v>
      </c>
      <c r="G223" s="134" t="s">
        <v>3007</v>
      </c>
      <c r="H223" s="123">
        <v>9844</v>
      </c>
    </row>
    <row r="224" spans="1:8" ht="31.5" x14ac:dyDescent="0.25">
      <c r="A224" s="134" t="s">
        <v>12418</v>
      </c>
      <c r="B224" s="134" t="s">
        <v>12433</v>
      </c>
      <c r="C224" s="134" t="s">
        <v>12432</v>
      </c>
      <c r="D224" s="134" t="s">
        <v>3046</v>
      </c>
      <c r="E224" s="139">
        <v>8.4</v>
      </c>
      <c r="F224" s="134" t="s">
        <v>3045</v>
      </c>
      <c r="G224" s="134" t="s">
        <v>3007</v>
      </c>
      <c r="H224" s="123">
        <v>9916</v>
      </c>
    </row>
    <row r="225" spans="1:8" ht="31.5" x14ac:dyDescent="0.25">
      <c r="A225" s="134" t="s">
        <v>12418</v>
      </c>
      <c r="B225" s="134" t="s">
        <v>12431</v>
      </c>
      <c r="C225" s="134" t="s">
        <v>12430</v>
      </c>
      <c r="D225" s="134" t="s">
        <v>12429</v>
      </c>
      <c r="E225" s="139">
        <v>1.94</v>
      </c>
      <c r="F225" s="134" t="s">
        <v>12428</v>
      </c>
      <c r="G225" s="134" t="s">
        <v>3007</v>
      </c>
      <c r="H225" s="123">
        <v>9917</v>
      </c>
    </row>
    <row r="226" spans="1:8" ht="31.5" x14ac:dyDescent="0.25">
      <c r="A226" s="134" t="s">
        <v>12418</v>
      </c>
      <c r="B226" s="134" t="s">
        <v>12427</v>
      </c>
      <c r="C226" s="134" t="s">
        <v>12426</v>
      </c>
      <c r="D226" s="134" t="s">
        <v>9110</v>
      </c>
      <c r="E226" s="139">
        <v>69.36</v>
      </c>
      <c r="F226" s="134" t="s">
        <v>9109</v>
      </c>
      <c r="G226" s="134" t="s">
        <v>3007</v>
      </c>
      <c r="H226" s="123">
        <v>9918</v>
      </c>
    </row>
    <row r="227" spans="1:8" ht="31.5" x14ac:dyDescent="0.25">
      <c r="A227" s="134" t="s">
        <v>12418</v>
      </c>
      <c r="B227" s="134" t="s">
        <v>12425</v>
      </c>
      <c r="C227" s="134" t="s">
        <v>12424</v>
      </c>
      <c r="D227" s="134" t="s">
        <v>5630</v>
      </c>
      <c r="E227" s="139">
        <v>13.57</v>
      </c>
      <c r="F227" s="134" t="s">
        <v>5629</v>
      </c>
      <c r="G227" s="134" t="s">
        <v>3007</v>
      </c>
      <c r="H227" s="123">
        <v>9919</v>
      </c>
    </row>
    <row r="228" spans="1:8" ht="31.5" x14ac:dyDescent="0.25">
      <c r="A228" s="134" t="s">
        <v>12418</v>
      </c>
      <c r="B228" s="134" t="s">
        <v>12423</v>
      </c>
      <c r="C228" s="134" t="s">
        <v>12422</v>
      </c>
      <c r="D228" s="134" t="s">
        <v>3965</v>
      </c>
      <c r="E228" s="139">
        <v>1.68</v>
      </c>
      <c r="F228" s="134" t="s">
        <v>3964</v>
      </c>
      <c r="G228" s="134" t="s">
        <v>3007</v>
      </c>
      <c r="H228" s="123">
        <v>9920</v>
      </c>
    </row>
    <row r="229" spans="1:8" ht="31.5" x14ac:dyDescent="0.25">
      <c r="A229" s="134" t="s">
        <v>12418</v>
      </c>
      <c r="B229" s="134" t="s">
        <v>3237</v>
      </c>
      <c r="C229" s="134" t="s">
        <v>12421</v>
      </c>
      <c r="D229" s="134" t="s">
        <v>9980</v>
      </c>
      <c r="E229" s="139">
        <v>5.04</v>
      </c>
      <c r="F229" s="134" t="s">
        <v>9979</v>
      </c>
      <c r="G229" s="134" t="s">
        <v>3007</v>
      </c>
      <c r="H229" s="123">
        <v>9921</v>
      </c>
    </row>
    <row r="230" spans="1:8" ht="31.5" x14ac:dyDescent="0.25">
      <c r="A230" s="134" t="s">
        <v>12418</v>
      </c>
      <c r="B230" s="134" t="s">
        <v>12420</v>
      </c>
      <c r="C230" s="134" t="s">
        <v>12419</v>
      </c>
      <c r="D230" s="134" t="s">
        <v>4791</v>
      </c>
      <c r="E230" s="139">
        <v>1.7</v>
      </c>
      <c r="F230" s="134" t="s">
        <v>4790</v>
      </c>
      <c r="G230" s="134" t="s">
        <v>3007</v>
      </c>
      <c r="H230" s="123">
        <v>9922</v>
      </c>
    </row>
    <row r="231" spans="1:8" ht="31.5" x14ac:dyDescent="0.25">
      <c r="A231" s="134" t="s">
        <v>12418</v>
      </c>
      <c r="B231" s="134" t="s">
        <v>12417</v>
      </c>
      <c r="C231" s="134" t="s">
        <v>12416</v>
      </c>
      <c r="D231" s="134" t="s">
        <v>12415</v>
      </c>
      <c r="E231" s="139">
        <v>9.76</v>
      </c>
      <c r="F231" s="134" t="s">
        <v>12414</v>
      </c>
      <c r="G231" s="134" t="s">
        <v>3007</v>
      </c>
      <c r="H231" s="123">
        <v>9923</v>
      </c>
    </row>
    <row r="232" spans="1:8" ht="31.5" x14ac:dyDescent="0.25">
      <c r="A232" s="134" t="s">
        <v>12387</v>
      </c>
      <c r="B232" s="134" t="s">
        <v>12413</v>
      </c>
      <c r="C232" s="134" t="s">
        <v>12412</v>
      </c>
      <c r="D232" s="134" t="s">
        <v>4305</v>
      </c>
      <c r="E232" s="139">
        <v>11.97</v>
      </c>
      <c r="F232" s="134" t="s">
        <v>4304</v>
      </c>
      <c r="G232" s="134" t="s">
        <v>3007</v>
      </c>
      <c r="H232" s="123">
        <v>9946</v>
      </c>
    </row>
    <row r="233" spans="1:8" ht="31.5" x14ac:dyDescent="0.25">
      <c r="A233" s="134" t="s">
        <v>12387</v>
      </c>
      <c r="B233" s="134" t="s">
        <v>12411</v>
      </c>
      <c r="C233" s="134" t="s">
        <v>12410</v>
      </c>
      <c r="D233" s="134" t="s">
        <v>4465</v>
      </c>
      <c r="E233" s="139">
        <v>5.64</v>
      </c>
      <c r="F233" s="134" t="s">
        <v>4464</v>
      </c>
      <c r="G233" s="134" t="s">
        <v>3007</v>
      </c>
      <c r="H233" s="123">
        <v>9947</v>
      </c>
    </row>
    <row r="234" spans="1:8" ht="31.5" x14ac:dyDescent="0.25">
      <c r="A234" s="134" t="s">
        <v>12387</v>
      </c>
      <c r="B234" s="134" t="s">
        <v>12409</v>
      </c>
      <c r="C234" s="134" t="s">
        <v>12408</v>
      </c>
      <c r="D234" s="134" t="s">
        <v>4176</v>
      </c>
      <c r="E234" s="139">
        <v>4.66</v>
      </c>
      <c r="F234" s="134" t="s">
        <v>4175</v>
      </c>
      <c r="G234" s="134" t="s">
        <v>3007</v>
      </c>
      <c r="H234" s="123">
        <v>9948</v>
      </c>
    </row>
    <row r="235" spans="1:8" ht="31.5" x14ac:dyDescent="0.25">
      <c r="A235" s="134" t="s">
        <v>12387</v>
      </c>
      <c r="B235" s="134" t="s">
        <v>12407</v>
      </c>
      <c r="C235" s="134" t="s">
        <v>12406</v>
      </c>
      <c r="D235" s="134" t="s">
        <v>8736</v>
      </c>
      <c r="E235" s="139">
        <v>34.6</v>
      </c>
      <c r="F235" s="134" t="s">
        <v>8735</v>
      </c>
      <c r="G235" s="134" t="s">
        <v>3007</v>
      </c>
      <c r="H235" s="123">
        <v>9949</v>
      </c>
    </row>
    <row r="236" spans="1:8" ht="31.5" x14ac:dyDescent="0.25">
      <c r="A236" s="134" t="s">
        <v>12387</v>
      </c>
      <c r="B236" s="134" t="s">
        <v>12405</v>
      </c>
      <c r="C236" s="134" t="s">
        <v>12404</v>
      </c>
      <c r="D236" s="134" t="s">
        <v>11577</v>
      </c>
      <c r="E236" s="139">
        <v>1.1299999999999999</v>
      </c>
      <c r="F236" s="134" t="s">
        <v>11576</v>
      </c>
      <c r="G236" s="134" t="s">
        <v>3007</v>
      </c>
      <c r="H236" s="123">
        <v>9950</v>
      </c>
    </row>
    <row r="237" spans="1:8" ht="31.5" x14ac:dyDescent="0.25">
      <c r="A237" s="134" t="s">
        <v>12387</v>
      </c>
      <c r="B237" s="134" t="s">
        <v>12403</v>
      </c>
      <c r="C237" s="134" t="s">
        <v>12402</v>
      </c>
      <c r="D237" s="134" t="s">
        <v>12401</v>
      </c>
      <c r="E237" s="139">
        <v>6.73</v>
      </c>
      <c r="F237" s="134" t="s">
        <v>12400</v>
      </c>
      <c r="G237" s="134" t="s">
        <v>3007</v>
      </c>
      <c r="H237" s="123">
        <v>9951</v>
      </c>
    </row>
    <row r="238" spans="1:8" ht="31.5" x14ac:dyDescent="0.25">
      <c r="A238" s="134" t="s">
        <v>12387</v>
      </c>
      <c r="B238" s="134" t="s">
        <v>12399</v>
      </c>
      <c r="C238" s="134" t="s">
        <v>12398</v>
      </c>
      <c r="D238" s="134" t="s">
        <v>4614</v>
      </c>
      <c r="E238" s="139">
        <v>1.74</v>
      </c>
      <c r="F238" s="134" t="s">
        <v>4613</v>
      </c>
      <c r="G238" s="134" t="s">
        <v>3007</v>
      </c>
      <c r="H238" s="123">
        <v>9952</v>
      </c>
    </row>
    <row r="239" spans="1:8" ht="31.5" x14ac:dyDescent="0.25">
      <c r="A239" s="134" t="s">
        <v>12387</v>
      </c>
      <c r="B239" s="134" t="s">
        <v>12397</v>
      </c>
      <c r="C239" s="134" t="s">
        <v>12396</v>
      </c>
      <c r="D239" s="134" t="s">
        <v>7160</v>
      </c>
      <c r="E239" s="139">
        <v>5.52</v>
      </c>
      <c r="F239" s="134" t="s">
        <v>7159</v>
      </c>
      <c r="G239" s="134" t="s">
        <v>3007</v>
      </c>
      <c r="H239" s="123">
        <v>9953</v>
      </c>
    </row>
    <row r="240" spans="1:8" ht="31.5" x14ac:dyDescent="0.25">
      <c r="A240" s="134" t="s">
        <v>12387</v>
      </c>
      <c r="B240" s="134" t="s">
        <v>12395</v>
      </c>
      <c r="C240" s="134" t="s">
        <v>12394</v>
      </c>
      <c r="D240" s="134" t="s">
        <v>6090</v>
      </c>
      <c r="E240" s="139">
        <v>36.06</v>
      </c>
      <c r="F240" s="134" t="s">
        <v>6089</v>
      </c>
      <c r="G240" s="134" t="s">
        <v>3007</v>
      </c>
      <c r="H240" s="123">
        <v>9954</v>
      </c>
    </row>
    <row r="241" spans="1:8" ht="31.5" x14ac:dyDescent="0.25">
      <c r="A241" s="134" t="s">
        <v>12387</v>
      </c>
      <c r="B241" s="134" t="s">
        <v>12393</v>
      </c>
      <c r="C241" s="134" t="s">
        <v>12392</v>
      </c>
      <c r="D241" s="134" t="s">
        <v>6957</v>
      </c>
      <c r="E241" s="139">
        <v>8.69</v>
      </c>
      <c r="F241" s="134" t="s">
        <v>6956</v>
      </c>
      <c r="G241" s="134" t="s">
        <v>3007</v>
      </c>
      <c r="H241" s="123">
        <v>9955</v>
      </c>
    </row>
    <row r="242" spans="1:8" ht="31.5" x14ac:dyDescent="0.25">
      <c r="A242" s="134" t="s">
        <v>12387</v>
      </c>
      <c r="B242" s="134" t="s">
        <v>12391</v>
      </c>
      <c r="C242" s="134" t="s">
        <v>12390</v>
      </c>
      <c r="D242" s="134" t="s">
        <v>9222</v>
      </c>
      <c r="E242" s="139">
        <v>6.42</v>
      </c>
      <c r="F242" s="134" t="s">
        <v>9221</v>
      </c>
      <c r="G242" s="134" t="s">
        <v>3007</v>
      </c>
      <c r="H242" s="123">
        <v>9956</v>
      </c>
    </row>
    <row r="243" spans="1:8" ht="31.5" x14ac:dyDescent="0.25">
      <c r="A243" s="134" t="s">
        <v>12387</v>
      </c>
      <c r="B243" s="134" t="s">
        <v>12389</v>
      </c>
      <c r="C243" s="134" t="s">
        <v>12388</v>
      </c>
      <c r="D243" s="134" t="s">
        <v>10077</v>
      </c>
      <c r="E243" s="139">
        <v>6.68</v>
      </c>
      <c r="F243" s="134" t="s">
        <v>10076</v>
      </c>
      <c r="G243" s="134" t="s">
        <v>3007</v>
      </c>
      <c r="H243" s="123">
        <v>9957</v>
      </c>
    </row>
    <row r="244" spans="1:8" ht="31.5" x14ac:dyDescent="0.25">
      <c r="A244" s="134" t="s">
        <v>12387</v>
      </c>
      <c r="B244" s="134" t="s">
        <v>12386</v>
      </c>
      <c r="C244" s="134" t="s">
        <v>12385</v>
      </c>
      <c r="D244" s="134" t="s">
        <v>12384</v>
      </c>
      <c r="E244" s="139">
        <v>0.76</v>
      </c>
      <c r="F244" s="134" t="s">
        <v>12383</v>
      </c>
      <c r="G244" s="134" t="s">
        <v>3007</v>
      </c>
      <c r="H244" s="123">
        <v>9958</v>
      </c>
    </row>
    <row r="245" spans="1:8" s="200" customFormat="1" x14ac:dyDescent="0.25">
      <c r="A245" s="198"/>
      <c r="B245" s="198"/>
      <c r="C245" s="198" t="s">
        <v>5691</v>
      </c>
      <c r="D245" s="198" t="s">
        <v>14412</v>
      </c>
      <c r="E245" s="199">
        <f>SUM(E189:E244)</f>
        <v>699.55</v>
      </c>
      <c r="F245" s="198"/>
      <c r="G245" s="198"/>
      <c r="H245" s="172"/>
    </row>
    <row r="246" spans="1:8" s="200" customFormat="1" x14ac:dyDescent="0.25">
      <c r="A246" s="198"/>
      <c r="B246" s="198"/>
      <c r="C246" s="198"/>
      <c r="D246" s="198"/>
      <c r="E246" s="199"/>
      <c r="F246" s="198"/>
      <c r="G246" s="198"/>
      <c r="H246" s="172"/>
    </row>
    <row r="247" spans="1:8" ht="31.5" x14ac:dyDescent="0.25">
      <c r="A247" s="134" t="s">
        <v>12382</v>
      </c>
      <c r="B247" s="134" t="s">
        <v>12381</v>
      </c>
      <c r="C247" s="134" t="s">
        <v>12380</v>
      </c>
      <c r="D247" s="134" t="s">
        <v>12379</v>
      </c>
      <c r="E247" s="139">
        <v>5.04</v>
      </c>
      <c r="F247" s="134" t="s">
        <v>12378</v>
      </c>
      <c r="G247" s="134" t="s">
        <v>3007</v>
      </c>
      <c r="H247" s="123">
        <v>10039</v>
      </c>
    </row>
    <row r="248" spans="1:8" ht="31.5" x14ac:dyDescent="0.25">
      <c r="A248" s="134" t="s">
        <v>12330</v>
      </c>
      <c r="B248" s="134" t="s">
        <v>12377</v>
      </c>
      <c r="C248" s="134" t="s">
        <v>12376</v>
      </c>
      <c r="D248" s="134" t="s">
        <v>8607</v>
      </c>
      <c r="E248" s="139">
        <v>4.07</v>
      </c>
      <c r="F248" s="134" t="s">
        <v>8606</v>
      </c>
      <c r="G248" s="134" t="s">
        <v>3007</v>
      </c>
      <c r="H248" s="123">
        <v>10096</v>
      </c>
    </row>
    <row r="249" spans="1:8" ht="31.5" x14ac:dyDescent="0.25">
      <c r="A249" s="134" t="s">
        <v>12330</v>
      </c>
      <c r="B249" s="134" t="s">
        <v>4973</v>
      </c>
      <c r="C249" s="134" t="s">
        <v>12375</v>
      </c>
      <c r="D249" s="134" t="s">
        <v>3369</v>
      </c>
      <c r="E249" s="139">
        <v>5.67</v>
      </c>
      <c r="F249" s="134" t="s">
        <v>3368</v>
      </c>
      <c r="G249" s="134" t="s">
        <v>3007</v>
      </c>
      <c r="H249" s="123">
        <v>10097</v>
      </c>
    </row>
    <row r="250" spans="1:8" ht="31.5" x14ac:dyDescent="0.25">
      <c r="A250" s="134" t="s">
        <v>12330</v>
      </c>
      <c r="B250" s="134" t="s">
        <v>12374</v>
      </c>
      <c r="C250" s="134" t="s">
        <v>12373</v>
      </c>
      <c r="D250" s="134" t="s">
        <v>4388</v>
      </c>
      <c r="E250" s="139">
        <v>13.49</v>
      </c>
      <c r="F250" s="134" t="s">
        <v>4387</v>
      </c>
      <c r="G250" s="134" t="s">
        <v>3007</v>
      </c>
      <c r="H250" s="123">
        <v>10098</v>
      </c>
    </row>
    <row r="251" spans="1:8" ht="31.5" x14ac:dyDescent="0.25">
      <c r="A251" s="134" t="s">
        <v>12330</v>
      </c>
      <c r="B251" s="134" t="s">
        <v>12372</v>
      </c>
      <c r="C251" s="134" t="s">
        <v>12371</v>
      </c>
      <c r="D251" s="134" t="s">
        <v>8759</v>
      </c>
      <c r="E251" s="139">
        <v>5.01</v>
      </c>
      <c r="F251" s="134" t="s">
        <v>8758</v>
      </c>
      <c r="G251" s="134" t="s">
        <v>3007</v>
      </c>
      <c r="H251" s="123">
        <v>10099</v>
      </c>
    </row>
    <row r="252" spans="1:8" ht="31.5" x14ac:dyDescent="0.25">
      <c r="A252" s="134" t="s">
        <v>12330</v>
      </c>
      <c r="B252" s="134" t="s">
        <v>12370</v>
      </c>
      <c r="C252" s="134" t="s">
        <v>12369</v>
      </c>
      <c r="D252" s="134" t="s">
        <v>3450</v>
      </c>
      <c r="E252" s="139">
        <v>10.029999999999999</v>
      </c>
      <c r="F252" s="134" t="s">
        <v>3449</v>
      </c>
      <c r="G252" s="134" t="s">
        <v>3007</v>
      </c>
      <c r="H252" s="123">
        <v>10100</v>
      </c>
    </row>
    <row r="253" spans="1:8" ht="31.5" x14ac:dyDescent="0.25">
      <c r="A253" s="134" t="s">
        <v>12330</v>
      </c>
      <c r="B253" s="134" t="s">
        <v>12368</v>
      </c>
      <c r="C253" s="134" t="s">
        <v>12367</v>
      </c>
      <c r="D253" s="134" t="s">
        <v>11525</v>
      </c>
      <c r="E253" s="139">
        <v>4.45</v>
      </c>
      <c r="F253" s="134" t="s">
        <v>11524</v>
      </c>
      <c r="G253" s="134" t="s">
        <v>3007</v>
      </c>
      <c r="H253" s="123">
        <v>10101</v>
      </c>
    </row>
    <row r="254" spans="1:8" ht="31.5" x14ac:dyDescent="0.25">
      <c r="A254" s="134" t="s">
        <v>12330</v>
      </c>
      <c r="B254" s="134" t="s">
        <v>12366</v>
      </c>
      <c r="C254" s="134" t="s">
        <v>12365</v>
      </c>
      <c r="D254" s="134" t="s">
        <v>3530</v>
      </c>
      <c r="E254" s="139">
        <v>5.76</v>
      </c>
      <c r="F254" s="134" t="s">
        <v>3526</v>
      </c>
      <c r="G254" s="134" t="s">
        <v>3007</v>
      </c>
      <c r="H254" s="123">
        <v>10102</v>
      </c>
    </row>
    <row r="255" spans="1:8" ht="31.5" x14ac:dyDescent="0.25">
      <c r="A255" s="134" t="s">
        <v>12330</v>
      </c>
      <c r="B255" s="134" t="s">
        <v>10378</v>
      </c>
      <c r="C255" s="134" t="s">
        <v>12364</v>
      </c>
      <c r="D255" s="134" t="s">
        <v>3527</v>
      </c>
      <c r="E255" s="139">
        <v>2.61</v>
      </c>
      <c r="F255" s="134" t="s">
        <v>3526</v>
      </c>
      <c r="G255" s="134" t="s">
        <v>3007</v>
      </c>
      <c r="H255" s="123">
        <v>10103</v>
      </c>
    </row>
    <row r="256" spans="1:8" ht="31.5" x14ac:dyDescent="0.25">
      <c r="A256" s="134" t="s">
        <v>12330</v>
      </c>
      <c r="B256" s="134" t="s">
        <v>12363</v>
      </c>
      <c r="C256" s="134" t="s">
        <v>12362</v>
      </c>
      <c r="D256" s="134" t="s">
        <v>3767</v>
      </c>
      <c r="E256" s="139">
        <v>10.02</v>
      </c>
      <c r="F256" s="134" t="s">
        <v>3766</v>
      </c>
      <c r="G256" s="134" t="s">
        <v>3007</v>
      </c>
      <c r="H256" s="123">
        <v>10104</v>
      </c>
    </row>
    <row r="257" spans="1:8" ht="31.5" x14ac:dyDescent="0.25">
      <c r="A257" s="134" t="s">
        <v>12330</v>
      </c>
      <c r="B257" s="134" t="s">
        <v>12361</v>
      </c>
      <c r="C257" s="134" t="s">
        <v>12360</v>
      </c>
      <c r="D257" s="134" t="s">
        <v>10827</v>
      </c>
      <c r="E257" s="139">
        <v>7.58</v>
      </c>
      <c r="F257" s="134" t="s">
        <v>10826</v>
      </c>
      <c r="G257" s="134" t="s">
        <v>3007</v>
      </c>
      <c r="H257" s="123">
        <v>10105</v>
      </c>
    </row>
    <row r="258" spans="1:8" ht="31.5" x14ac:dyDescent="0.25">
      <c r="A258" s="134" t="s">
        <v>12330</v>
      </c>
      <c r="B258" s="134" t="s">
        <v>12359</v>
      </c>
      <c r="C258" s="134" t="s">
        <v>12358</v>
      </c>
      <c r="D258" s="134" t="s">
        <v>12357</v>
      </c>
      <c r="E258" s="139">
        <v>7.35</v>
      </c>
      <c r="F258" s="134" t="s">
        <v>12356</v>
      </c>
      <c r="G258" s="134" t="s">
        <v>3007</v>
      </c>
      <c r="H258" s="123">
        <v>10106</v>
      </c>
    </row>
    <row r="259" spans="1:8" ht="31.5" x14ac:dyDescent="0.25">
      <c r="A259" s="134" t="s">
        <v>12330</v>
      </c>
      <c r="B259" s="134" t="s">
        <v>12355</v>
      </c>
      <c r="C259" s="134" t="s">
        <v>12354</v>
      </c>
      <c r="D259" s="134" t="s">
        <v>3949</v>
      </c>
      <c r="E259" s="139">
        <v>5.7</v>
      </c>
      <c r="F259" s="134" t="s">
        <v>3948</v>
      </c>
      <c r="G259" s="134" t="s">
        <v>3007</v>
      </c>
      <c r="H259" s="123">
        <v>10107</v>
      </c>
    </row>
    <row r="260" spans="1:8" ht="31.5" x14ac:dyDescent="0.25">
      <c r="A260" s="134" t="s">
        <v>12330</v>
      </c>
      <c r="B260" s="134" t="s">
        <v>12353</v>
      </c>
      <c r="C260" s="134" t="s">
        <v>12352</v>
      </c>
      <c r="D260" s="134" t="s">
        <v>5478</v>
      </c>
      <c r="E260" s="139">
        <v>5.48</v>
      </c>
      <c r="F260" s="134" t="s">
        <v>5477</v>
      </c>
      <c r="G260" s="134" t="s">
        <v>3007</v>
      </c>
      <c r="H260" s="123">
        <v>10108</v>
      </c>
    </row>
    <row r="261" spans="1:8" ht="31.5" x14ac:dyDescent="0.25">
      <c r="A261" s="134" t="s">
        <v>12330</v>
      </c>
      <c r="B261" s="134" t="s">
        <v>12351</v>
      </c>
      <c r="C261" s="134" t="s">
        <v>12350</v>
      </c>
      <c r="D261" s="134" t="s">
        <v>12349</v>
      </c>
      <c r="E261" s="139">
        <v>29.09</v>
      </c>
      <c r="F261" s="134" t="s">
        <v>12348</v>
      </c>
      <c r="G261" s="134" t="s">
        <v>3007</v>
      </c>
      <c r="H261" s="123">
        <v>10109</v>
      </c>
    </row>
    <row r="262" spans="1:8" ht="31.5" x14ac:dyDescent="0.25">
      <c r="A262" s="134" t="s">
        <v>12330</v>
      </c>
      <c r="B262" s="134" t="s">
        <v>12347</v>
      </c>
      <c r="C262" s="134" t="s">
        <v>12346</v>
      </c>
      <c r="D262" s="134" t="s">
        <v>3207</v>
      </c>
      <c r="E262" s="139">
        <v>6.3</v>
      </c>
      <c r="F262" s="134" t="s">
        <v>3206</v>
      </c>
      <c r="G262" s="134" t="s">
        <v>3007</v>
      </c>
      <c r="H262" s="123">
        <v>10110</v>
      </c>
    </row>
    <row r="263" spans="1:8" ht="31.5" x14ac:dyDescent="0.25">
      <c r="A263" s="134" t="s">
        <v>12330</v>
      </c>
      <c r="B263" s="134" t="s">
        <v>12345</v>
      </c>
      <c r="C263" s="134" t="s">
        <v>12344</v>
      </c>
      <c r="D263" s="134" t="s">
        <v>5444</v>
      </c>
      <c r="E263" s="139">
        <v>1.68</v>
      </c>
      <c r="F263" s="134" t="s">
        <v>5443</v>
      </c>
      <c r="G263" s="134" t="s">
        <v>3007</v>
      </c>
      <c r="H263" s="123">
        <v>10111</v>
      </c>
    </row>
    <row r="264" spans="1:8" ht="31.5" x14ac:dyDescent="0.25">
      <c r="A264" s="134" t="s">
        <v>12330</v>
      </c>
      <c r="B264" s="134" t="s">
        <v>12343</v>
      </c>
      <c r="C264" s="134" t="s">
        <v>12342</v>
      </c>
      <c r="D264" s="134" t="s">
        <v>3700</v>
      </c>
      <c r="E264" s="139">
        <v>30.19</v>
      </c>
      <c r="F264" s="134" t="s">
        <v>3699</v>
      </c>
      <c r="G264" s="134" t="s">
        <v>3007</v>
      </c>
      <c r="H264" s="123">
        <v>10112</v>
      </c>
    </row>
    <row r="265" spans="1:8" ht="31.5" x14ac:dyDescent="0.25">
      <c r="A265" s="134" t="s">
        <v>12330</v>
      </c>
      <c r="B265" s="134" t="s">
        <v>12341</v>
      </c>
      <c r="C265" s="134" t="s">
        <v>12340</v>
      </c>
      <c r="D265" s="134" t="s">
        <v>11071</v>
      </c>
      <c r="E265" s="139">
        <v>10.11</v>
      </c>
      <c r="F265" s="134" t="s">
        <v>11070</v>
      </c>
      <c r="G265" s="134" t="s">
        <v>3007</v>
      </c>
      <c r="H265" s="123">
        <v>10113</v>
      </c>
    </row>
    <row r="266" spans="1:8" ht="31.5" x14ac:dyDescent="0.25">
      <c r="A266" s="134" t="s">
        <v>12330</v>
      </c>
      <c r="B266" s="134" t="s">
        <v>12339</v>
      </c>
      <c r="C266" s="134" t="s">
        <v>12338</v>
      </c>
      <c r="D266" s="134" t="s">
        <v>4556</v>
      </c>
      <c r="E266" s="139">
        <v>13.44</v>
      </c>
      <c r="F266" s="134" t="s">
        <v>4555</v>
      </c>
      <c r="G266" s="134" t="s">
        <v>3007</v>
      </c>
      <c r="H266" s="123">
        <v>10114</v>
      </c>
    </row>
    <row r="267" spans="1:8" ht="31.5" x14ac:dyDescent="0.25">
      <c r="A267" s="134" t="s">
        <v>12330</v>
      </c>
      <c r="B267" s="134" t="s">
        <v>9076</v>
      </c>
      <c r="C267" s="134" t="s">
        <v>12337</v>
      </c>
      <c r="D267" s="134" t="s">
        <v>12336</v>
      </c>
      <c r="E267" s="139">
        <v>6.94</v>
      </c>
      <c r="F267" s="134" t="s">
        <v>12335</v>
      </c>
      <c r="G267" s="134" t="s">
        <v>3007</v>
      </c>
      <c r="H267" s="123">
        <v>10115</v>
      </c>
    </row>
    <row r="268" spans="1:8" ht="31.5" x14ac:dyDescent="0.25">
      <c r="A268" s="134" t="s">
        <v>12330</v>
      </c>
      <c r="B268" s="134" t="s">
        <v>12334</v>
      </c>
      <c r="C268" s="134" t="s">
        <v>12333</v>
      </c>
      <c r="D268" s="134" t="s">
        <v>4953</v>
      </c>
      <c r="E268" s="139">
        <v>8.25</v>
      </c>
      <c r="F268" s="134" t="s">
        <v>4952</v>
      </c>
      <c r="G268" s="134" t="s">
        <v>3007</v>
      </c>
      <c r="H268" s="123">
        <v>10116</v>
      </c>
    </row>
    <row r="269" spans="1:8" ht="31.5" x14ac:dyDescent="0.25">
      <c r="A269" s="134" t="s">
        <v>12330</v>
      </c>
      <c r="B269" s="134" t="s">
        <v>12332</v>
      </c>
      <c r="C269" s="134" t="s">
        <v>12331</v>
      </c>
      <c r="D269" s="134" t="s">
        <v>6010</v>
      </c>
      <c r="E269" s="139">
        <v>16.760000000000002</v>
      </c>
      <c r="F269" s="134" t="s">
        <v>6009</v>
      </c>
      <c r="G269" s="134" t="s">
        <v>3007</v>
      </c>
      <c r="H269" s="123">
        <v>10117</v>
      </c>
    </row>
    <row r="270" spans="1:8" ht="31.5" x14ac:dyDescent="0.25">
      <c r="A270" s="134" t="s">
        <v>12330</v>
      </c>
      <c r="B270" s="134" t="s">
        <v>12329</v>
      </c>
      <c r="C270" s="134" t="s">
        <v>12328</v>
      </c>
      <c r="D270" s="134" t="s">
        <v>3317</v>
      </c>
      <c r="E270" s="139">
        <v>2.13</v>
      </c>
      <c r="F270" s="134" t="s">
        <v>3316</v>
      </c>
      <c r="G270" s="134" t="s">
        <v>3007</v>
      </c>
      <c r="H270" s="123">
        <v>10118</v>
      </c>
    </row>
    <row r="271" spans="1:8" ht="31.5" x14ac:dyDescent="0.25">
      <c r="A271" s="134" t="s">
        <v>12270</v>
      </c>
      <c r="B271" s="134" t="s">
        <v>12327</v>
      </c>
      <c r="C271" s="134" t="s">
        <v>12326</v>
      </c>
      <c r="D271" s="134" t="s">
        <v>4108</v>
      </c>
      <c r="E271" s="139">
        <v>7.21</v>
      </c>
      <c r="F271" s="134" t="s">
        <v>4107</v>
      </c>
      <c r="G271" s="134" t="s">
        <v>3007</v>
      </c>
      <c r="H271" s="123">
        <v>10124</v>
      </c>
    </row>
    <row r="272" spans="1:8" ht="31.5" x14ac:dyDescent="0.25">
      <c r="A272" s="134" t="s">
        <v>12270</v>
      </c>
      <c r="B272" s="134" t="s">
        <v>12325</v>
      </c>
      <c r="C272" s="134" t="s">
        <v>12324</v>
      </c>
      <c r="D272" s="134" t="s">
        <v>9545</v>
      </c>
      <c r="E272" s="139">
        <v>7.6</v>
      </c>
      <c r="F272" s="134" t="s">
        <v>9544</v>
      </c>
      <c r="G272" s="134" t="s">
        <v>3007</v>
      </c>
      <c r="H272" s="123">
        <v>10125</v>
      </c>
    </row>
    <row r="273" spans="1:8" ht="31.5" x14ac:dyDescent="0.25">
      <c r="A273" s="134" t="s">
        <v>12270</v>
      </c>
      <c r="B273" s="134" t="s">
        <v>12323</v>
      </c>
      <c r="C273" s="134" t="s">
        <v>12322</v>
      </c>
      <c r="D273" s="134" t="s">
        <v>4627</v>
      </c>
      <c r="E273" s="139">
        <v>18.7</v>
      </c>
      <c r="F273" s="134" t="s">
        <v>4626</v>
      </c>
      <c r="G273" s="134" t="s">
        <v>3007</v>
      </c>
      <c r="H273" s="123">
        <v>10126</v>
      </c>
    </row>
    <row r="274" spans="1:8" ht="31.5" x14ac:dyDescent="0.25">
      <c r="A274" s="134" t="s">
        <v>12270</v>
      </c>
      <c r="B274" s="134" t="s">
        <v>12321</v>
      </c>
      <c r="C274" s="134" t="s">
        <v>12320</v>
      </c>
      <c r="D274" s="134" t="s">
        <v>3828</v>
      </c>
      <c r="E274" s="139">
        <v>28.7</v>
      </c>
      <c r="F274" s="134" t="s">
        <v>3827</v>
      </c>
      <c r="G274" s="134" t="s">
        <v>3007</v>
      </c>
      <c r="H274" s="123">
        <v>10127</v>
      </c>
    </row>
    <row r="275" spans="1:8" ht="31.5" x14ac:dyDescent="0.25">
      <c r="A275" s="134" t="s">
        <v>12270</v>
      </c>
      <c r="B275" s="134" t="s">
        <v>12319</v>
      </c>
      <c r="C275" s="134" t="s">
        <v>12318</v>
      </c>
      <c r="D275" s="134" t="s">
        <v>3434</v>
      </c>
      <c r="E275" s="139">
        <v>8.3800000000000008</v>
      </c>
      <c r="F275" s="134" t="s">
        <v>3433</v>
      </c>
      <c r="G275" s="134" t="s">
        <v>3007</v>
      </c>
      <c r="H275" s="123">
        <v>10128</v>
      </c>
    </row>
    <row r="276" spans="1:8" ht="31.5" x14ac:dyDescent="0.25">
      <c r="A276" s="134" t="s">
        <v>12270</v>
      </c>
      <c r="B276" s="134" t="s">
        <v>7385</v>
      </c>
      <c r="C276" s="134" t="s">
        <v>12317</v>
      </c>
      <c r="D276" s="134" t="s">
        <v>6296</v>
      </c>
      <c r="E276" s="139">
        <v>3.95</v>
      </c>
      <c r="F276" s="134" t="s">
        <v>6295</v>
      </c>
      <c r="G276" s="134" t="s">
        <v>3007</v>
      </c>
      <c r="H276" s="123">
        <v>10129</v>
      </c>
    </row>
    <row r="277" spans="1:8" ht="31.5" x14ac:dyDescent="0.25">
      <c r="A277" s="134" t="s">
        <v>12270</v>
      </c>
      <c r="B277" s="134" t="s">
        <v>12316</v>
      </c>
      <c r="C277" s="134" t="s">
        <v>12315</v>
      </c>
      <c r="D277" s="134" t="s">
        <v>7592</v>
      </c>
      <c r="E277" s="139">
        <v>7.11</v>
      </c>
      <c r="F277" s="134" t="s">
        <v>7588</v>
      </c>
      <c r="G277" s="134" t="s">
        <v>3007</v>
      </c>
      <c r="H277" s="123">
        <v>10130</v>
      </c>
    </row>
    <row r="278" spans="1:8" ht="31.5" x14ac:dyDescent="0.25">
      <c r="A278" s="134" t="s">
        <v>12270</v>
      </c>
      <c r="B278" s="134" t="s">
        <v>12314</v>
      </c>
      <c r="C278" s="134" t="s">
        <v>12313</v>
      </c>
      <c r="D278" s="134" t="s">
        <v>3559</v>
      </c>
      <c r="E278" s="139">
        <v>1.98</v>
      </c>
      <c r="F278" s="134" t="s">
        <v>3558</v>
      </c>
      <c r="G278" s="134" t="s">
        <v>3007</v>
      </c>
      <c r="H278" s="123">
        <v>10131</v>
      </c>
    </row>
    <row r="279" spans="1:8" ht="31.5" x14ac:dyDescent="0.25">
      <c r="A279" s="134" t="s">
        <v>12270</v>
      </c>
      <c r="B279" s="134" t="s">
        <v>12312</v>
      </c>
      <c r="C279" s="134" t="s">
        <v>12311</v>
      </c>
      <c r="D279" s="134" t="s">
        <v>4524</v>
      </c>
      <c r="E279" s="139">
        <v>4.29</v>
      </c>
      <c r="F279" s="134" t="s">
        <v>4523</v>
      </c>
      <c r="G279" s="134" t="s">
        <v>3007</v>
      </c>
      <c r="H279" s="123">
        <v>10132</v>
      </c>
    </row>
    <row r="280" spans="1:8" ht="31.5" x14ac:dyDescent="0.25">
      <c r="A280" s="134" t="s">
        <v>12270</v>
      </c>
      <c r="B280" s="134" t="s">
        <v>11810</v>
      </c>
      <c r="C280" s="134" t="s">
        <v>12310</v>
      </c>
      <c r="D280" s="134" t="s">
        <v>12309</v>
      </c>
      <c r="E280" s="139">
        <v>10.09</v>
      </c>
      <c r="F280" s="134" t="s">
        <v>12305</v>
      </c>
      <c r="G280" s="134" t="s">
        <v>3007</v>
      </c>
      <c r="H280" s="123">
        <v>10136</v>
      </c>
    </row>
    <row r="281" spans="1:8" ht="31.5" x14ac:dyDescent="0.25">
      <c r="A281" s="134" t="s">
        <v>12270</v>
      </c>
      <c r="B281" s="134" t="s">
        <v>12308</v>
      </c>
      <c r="C281" s="134" t="s">
        <v>12307</v>
      </c>
      <c r="D281" s="134" t="s">
        <v>12306</v>
      </c>
      <c r="E281" s="139">
        <v>32.17</v>
      </c>
      <c r="F281" s="134" t="s">
        <v>12305</v>
      </c>
      <c r="G281" s="134" t="s">
        <v>3007</v>
      </c>
      <c r="H281" s="123">
        <v>10135</v>
      </c>
    </row>
    <row r="282" spans="1:8" ht="31.5" x14ac:dyDescent="0.25">
      <c r="A282" s="134" t="s">
        <v>12270</v>
      </c>
      <c r="B282" s="134" t="s">
        <v>12304</v>
      </c>
      <c r="C282" s="134" t="s">
        <v>12303</v>
      </c>
      <c r="D282" s="134" t="s">
        <v>12302</v>
      </c>
      <c r="E282" s="139">
        <v>6.73</v>
      </c>
      <c r="F282" s="134" t="s">
        <v>12301</v>
      </c>
      <c r="G282" s="134" t="s">
        <v>3007</v>
      </c>
      <c r="H282" s="123">
        <v>10137</v>
      </c>
    </row>
    <row r="283" spans="1:8" ht="31.5" x14ac:dyDescent="0.25">
      <c r="A283" s="134" t="s">
        <v>12270</v>
      </c>
      <c r="B283" s="134" t="s">
        <v>12300</v>
      </c>
      <c r="C283" s="134" t="s">
        <v>12299</v>
      </c>
      <c r="D283" s="134" t="s">
        <v>12298</v>
      </c>
      <c r="E283" s="139">
        <v>8.3800000000000008</v>
      </c>
      <c r="F283" s="134" t="s">
        <v>12297</v>
      </c>
      <c r="G283" s="134" t="s">
        <v>3007</v>
      </c>
      <c r="H283" s="123">
        <v>10138</v>
      </c>
    </row>
    <row r="284" spans="1:8" ht="31.5" x14ac:dyDescent="0.25">
      <c r="A284" s="134" t="s">
        <v>12270</v>
      </c>
      <c r="B284" s="134" t="s">
        <v>12296</v>
      </c>
      <c r="C284" s="134" t="s">
        <v>12295</v>
      </c>
      <c r="D284" s="134" t="s">
        <v>12294</v>
      </c>
      <c r="E284" s="139">
        <v>1.32</v>
      </c>
      <c r="F284" s="134" t="s">
        <v>12293</v>
      </c>
      <c r="G284" s="134" t="s">
        <v>3007</v>
      </c>
      <c r="H284" s="123">
        <v>10139</v>
      </c>
    </row>
    <row r="285" spans="1:8" ht="31.5" x14ac:dyDescent="0.25">
      <c r="A285" s="134" t="s">
        <v>12270</v>
      </c>
      <c r="B285" s="134" t="s">
        <v>12292</v>
      </c>
      <c r="C285" s="134" t="s">
        <v>12291</v>
      </c>
      <c r="D285" s="134" t="s">
        <v>7152</v>
      </c>
      <c r="E285" s="139">
        <v>3.36</v>
      </c>
      <c r="F285" s="134" t="s">
        <v>7151</v>
      </c>
      <c r="G285" s="134" t="s">
        <v>3007</v>
      </c>
      <c r="H285" s="123">
        <v>10140</v>
      </c>
    </row>
    <row r="286" spans="1:8" ht="31.5" x14ac:dyDescent="0.25">
      <c r="A286" s="134" t="s">
        <v>12270</v>
      </c>
      <c r="B286" s="134" t="s">
        <v>12290</v>
      </c>
      <c r="C286" s="134" t="s">
        <v>12289</v>
      </c>
      <c r="D286" s="134" t="s">
        <v>3916</v>
      </c>
      <c r="E286" s="139">
        <v>8.3800000000000008</v>
      </c>
      <c r="F286" s="134" t="s">
        <v>3915</v>
      </c>
      <c r="G286" s="134" t="s">
        <v>3007</v>
      </c>
      <c r="H286" s="123">
        <v>10141</v>
      </c>
    </row>
    <row r="287" spans="1:8" ht="31.5" x14ac:dyDescent="0.25">
      <c r="A287" s="134" t="s">
        <v>12270</v>
      </c>
      <c r="B287" s="134" t="s">
        <v>12288</v>
      </c>
      <c r="C287" s="134" t="s">
        <v>12287</v>
      </c>
      <c r="D287" s="134" t="s">
        <v>3812</v>
      </c>
      <c r="E287" s="139">
        <v>8.19</v>
      </c>
      <c r="F287" s="134" t="s">
        <v>3811</v>
      </c>
      <c r="G287" s="134" t="s">
        <v>3007</v>
      </c>
      <c r="H287" s="123">
        <v>10142</v>
      </c>
    </row>
    <row r="288" spans="1:8" ht="31.5" x14ac:dyDescent="0.25">
      <c r="A288" s="134" t="s">
        <v>12270</v>
      </c>
      <c r="B288" s="134" t="s">
        <v>12286</v>
      </c>
      <c r="C288" s="134" t="s">
        <v>12285</v>
      </c>
      <c r="D288" s="134" t="s">
        <v>4855</v>
      </c>
      <c r="E288" s="139">
        <v>8.24</v>
      </c>
      <c r="F288" s="134" t="s">
        <v>4854</v>
      </c>
      <c r="G288" s="134" t="s">
        <v>3007</v>
      </c>
      <c r="H288" s="123">
        <v>10143</v>
      </c>
    </row>
    <row r="289" spans="1:8" ht="31.5" x14ac:dyDescent="0.25">
      <c r="A289" s="134" t="s">
        <v>12270</v>
      </c>
      <c r="B289" s="134" t="s">
        <v>12284</v>
      </c>
      <c r="C289" s="134" t="s">
        <v>12283</v>
      </c>
      <c r="D289" s="134" t="s">
        <v>4859</v>
      </c>
      <c r="E289" s="139">
        <v>3.8</v>
      </c>
      <c r="F289" s="134" t="s">
        <v>4854</v>
      </c>
      <c r="G289" s="134" t="s">
        <v>3007</v>
      </c>
      <c r="H289" s="123">
        <v>10144</v>
      </c>
    </row>
    <row r="290" spans="1:8" ht="31.5" x14ac:dyDescent="0.25">
      <c r="A290" s="134" t="s">
        <v>12270</v>
      </c>
      <c r="B290" s="134" t="s">
        <v>12282</v>
      </c>
      <c r="C290" s="134" t="s">
        <v>12281</v>
      </c>
      <c r="D290" s="134" t="s">
        <v>4867</v>
      </c>
      <c r="E290" s="139">
        <v>7.39</v>
      </c>
      <c r="F290" s="134" t="s">
        <v>4866</v>
      </c>
      <c r="G290" s="134" t="s">
        <v>3007</v>
      </c>
      <c r="H290" s="123">
        <v>10145</v>
      </c>
    </row>
    <row r="291" spans="1:8" ht="31.5" x14ac:dyDescent="0.25">
      <c r="A291" s="134" t="s">
        <v>12270</v>
      </c>
      <c r="B291" s="134" t="s">
        <v>12280</v>
      </c>
      <c r="C291" s="134" t="s">
        <v>12279</v>
      </c>
      <c r="D291" s="134" t="s">
        <v>8227</v>
      </c>
      <c r="E291" s="139">
        <v>4.72</v>
      </c>
      <c r="F291" s="134" t="s">
        <v>8226</v>
      </c>
      <c r="G291" s="134" t="s">
        <v>3007</v>
      </c>
      <c r="H291" s="123">
        <v>10146</v>
      </c>
    </row>
    <row r="292" spans="1:8" ht="31.5" x14ac:dyDescent="0.25">
      <c r="A292" s="134" t="s">
        <v>12270</v>
      </c>
      <c r="B292" s="134" t="s">
        <v>12278</v>
      </c>
      <c r="C292" s="134" t="s">
        <v>12277</v>
      </c>
      <c r="D292" s="134" t="s">
        <v>3719</v>
      </c>
      <c r="E292" s="139">
        <v>5.07</v>
      </c>
      <c r="F292" s="134" t="s">
        <v>3718</v>
      </c>
      <c r="G292" s="134" t="s">
        <v>3007</v>
      </c>
      <c r="H292" s="123">
        <v>10147</v>
      </c>
    </row>
    <row r="293" spans="1:8" ht="31.5" x14ac:dyDescent="0.25">
      <c r="A293" s="134" t="s">
        <v>12270</v>
      </c>
      <c r="B293" s="134" t="s">
        <v>12276</v>
      </c>
      <c r="C293" s="134" t="s">
        <v>12275</v>
      </c>
      <c r="D293" s="134" t="s">
        <v>9174</v>
      </c>
      <c r="E293" s="139">
        <v>15.61</v>
      </c>
      <c r="F293" s="134" t="s">
        <v>9173</v>
      </c>
      <c r="G293" s="134" t="s">
        <v>3007</v>
      </c>
      <c r="H293" s="123">
        <v>10148</v>
      </c>
    </row>
    <row r="294" spans="1:8" ht="31.5" x14ac:dyDescent="0.25">
      <c r="A294" s="134" t="s">
        <v>12270</v>
      </c>
      <c r="B294" s="134" t="s">
        <v>12274</v>
      </c>
      <c r="C294" s="134" t="s">
        <v>12273</v>
      </c>
      <c r="D294" s="134" t="s">
        <v>3361</v>
      </c>
      <c r="E294" s="139">
        <v>3.36</v>
      </c>
      <c r="F294" s="134" t="s">
        <v>3360</v>
      </c>
      <c r="G294" s="134" t="s">
        <v>3007</v>
      </c>
      <c r="H294" s="123">
        <v>10149</v>
      </c>
    </row>
    <row r="295" spans="1:8" ht="31.5" x14ac:dyDescent="0.25">
      <c r="A295" s="134" t="s">
        <v>12270</v>
      </c>
      <c r="B295" s="134" t="s">
        <v>12272</v>
      </c>
      <c r="C295" s="134" t="s">
        <v>12271</v>
      </c>
      <c r="D295" s="134" t="s">
        <v>4376</v>
      </c>
      <c r="E295" s="139">
        <v>7.22</v>
      </c>
      <c r="F295" s="134" t="s">
        <v>4375</v>
      </c>
      <c r="G295" s="134" t="s">
        <v>3007</v>
      </c>
      <c r="H295" s="123">
        <v>10150</v>
      </c>
    </row>
    <row r="296" spans="1:8" ht="31.5" x14ac:dyDescent="0.25">
      <c r="A296" s="134" t="s">
        <v>12270</v>
      </c>
      <c r="B296" s="134" t="s">
        <v>12269</v>
      </c>
      <c r="C296" s="134" t="s">
        <v>12268</v>
      </c>
      <c r="D296" s="134" t="s">
        <v>12267</v>
      </c>
      <c r="E296" s="139">
        <v>14.34</v>
      </c>
      <c r="F296" s="134" t="s">
        <v>12266</v>
      </c>
      <c r="G296" s="134" t="s">
        <v>3007</v>
      </c>
      <c r="H296" s="123">
        <v>10151</v>
      </c>
    </row>
    <row r="297" spans="1:8" s="200" customFormat="1" x14ac:dyDescent="0.25">
      <c r="A297" s="198"/>
      <c r="B297" s="198"/>
      <c r="C297" s="198" t="s">
        <v>5691</v>
      </c>
      <c r="D297" s="198" t="s">
        <v>14413</v>
      </c>
      <c r="E297" s="199">
        <f>SUM(E247:E296)</f>
        <v>453.44000000000005</v>
      </c>
      <c r="F297" s="198"/>
      <c r="G297" s="198"/>
      <c r="H297" s="172"/>
    </row>
    <row r="298" spans="1:8" s="200" customFormat="1" x14ac:dyDescent="0.25">
      <c r="A298" s="198"/>
      <c r="B298" s="198"/>
      <c r="C298" s="198"/>
      <c r="D298" s="198"/>
      <c r="E298" s="199"/>
      <c r="F298" s="198"/>
      <c r="G298" s="198"/>
      <c r="H298" s="172"/>
    </row>
    <row r="299" spans="1:8" ht="31.5" x14ac:dyDescent="0.25">
      <c r="A299" s="134" t="s">
        <v>12236</v>
      </c>
      <c r="B299" s="134" t="s">
        <v>12265</v>
      </c>
      <c r="C299" s="134" t="s">
        <v>12264</v>
      </c>
      <c r="D299" s="134" t="s">
        <v>3050</v>
      </c>
      <c r="E299" s="139">
        <v>3.07</v>
      </c>
      <c r="F299" s="134" t="s">
        <v>3049</v>
      </c>
      <c r="G299" s="134" t="s">
        <v>3007</v>
      </c>
      <c r="H299" s="123">
        <v>10196</v>
      </c>
    </row>
    <row r="300" spans="1:8" ht="31.5" x14ac:dyDescent="0.25">
      <c r="A300" s="134" t="s">
        <v>12236</v>
      </c>
      <c r="B300" s="134" t="s">
        <v>12263</v>
      </c>
      <c r="C300" s="134" t="s">
        <v>12262</v>
      </c>
      <c r="D300" s="134" t="s">
        <v>10262</v>
      </c>
      <c r="E300" s="139">
        <v>2.87</v>
      </c>
      <c r="F300" s="134" t="s">
        <v>10261</v>
      </c>
      <c r="G300" s="134" t="s">
        <v>3007</v>
      </c>
      <c r="H300" s="123">
        <v>10197</v>
      </c>
    </row>
    <row r="301" spans="1:8" ht="31.5" x14ac:dyDescent="0.25">
      <c r="A301" s="134" t="s">
        <v>12236</v>
      </c>
      <c r="B301" s="134" t="s">
        <v>12261</v>
      </c>
      <c r="C301" s="134" t="s">
        <v>12260</v>
      </c>
      <c r="D301" s="134" t="s">
        <v>9924</v>
      </c>
      <c r="E301" s="139">
        <v>2.3199999999999998</v>
      </c>
      <c r="F301" s="134" t="s">
        <v>9923</v>
      </c>
      <c r="G301" s="134" t="s">
        <v>3007</v>
      </c>
      <c r="H301" s="123">
        <v>10198</v>
      </c>
    </row>
    <row r="302" spans="1:8" ht="31.5" x14ac:dyDescent="0.25">
      <c r="A302" s="134" t="s">
        <v>12236</v>
      </c>
      <c r="B302" s="134" t="s">
        <v>12259</v>
      </c>
      <c r="C302" s="134" t="s">
        <v>12258</v>
      </c>
      <c r="D302" s="134" t="s">
        <v>4372</v>
      </c>
      <c r="E302" s="139">
        <v>6.65</v>
      </c>
      <c r="F302" s="134" t="s">
        <v>4371</v>
      </c>
      <c r="G302" s="134" t="s">
        <v>3007</v>
      </c>
      <c r="H302" s="123">
        <v>10199</v>
      </c>
    </row>
    <row r="303" spans="1:8" ht="31.5" x14ac:dyDescent="0.25">
      <c r="A303" s="134" t="s">
        <v>12236</v>
      </c>
      <c r="B303" s="134" t="s">
        <v>12257</v>
      </c>
      <c r="C303" s="134" t="s">
        <v>12256</v>
      </c>
      <c r="D303" s="134" t="s">
        <v>3187</v>
      </c>
      <c r="E303" s="139">
        <v>3.36</v>
      </c>
      <c r="F303" s="134" t="s">
        <v>3186</v>
      </c>
      <c r="G303" s="134" t="s">
        <v>3007</v>
      </c>
      <c r="H303" s="123">
        <v>10205</v>
      </c>
    </row>
    <row r="304" spans="1:8" ht="31.5" x14ac:dyDescent="0.25">
      <c r="A304" s="134" t="s">
        <v>12236</v>
      </c>
      <c r="B304" s="134" t="s">
        <v>12255</v>
      </c>
      <c r="C304" s="134" t="s">
        <v>12254</v>
      </c>
      <c r="D304" s="134" t="s">
        <v>3579</v>
      </c>
      <c r="E304" s="139">
        <v>2.89</v>
      </c>
      <c r="F304" s="134" t="s">
        <v>3578</v>
      </c>
      <c r="G304" s="134" t="s">
        <v>3007</v>
      </c>
      <c r="H304" s="123">
        <v>10206</v>
      </c>
    </row>
    <row r="305" spans="1:8" ht="31.5" x14ac:dyDescent="0.25">
      <c r="A305" s="134" t="s">
        <v>12236</v>
      </c>
      <c r="B305" s="134" t="s">
        <v>12253</v>
      </c>
      <c r="C305" s="134" t="s">
        <v>12252</v>
      </c>
      <c r="D305" s="134" t="s">
        <v>9907</v>
      </c>
      <c r="E305" s="139">
        <v>1.71</v>
      </c>
      <c r="F305" s="134" t="s">
        <v>9906</v>
      </c>
      <c r="G305" s="134" t="s">
        <v>3007</v>
      </c>
      <c r="H305" s="123">
        <v>10207</v>
      </c>
    </row>
    <row r="306" spans="1:8" ht="31.5" x14ac:dyDescent="0.25">
      <c r="A306" s="134" t="s">
        <v>12236</v>
      </c>
      <c r="B306" s="134" t="s">
        <v>12251</v>
      </c>
      <c r="C306" s="134" t="s">
        <v>12250</v>
      </c>
      <c r="D306" s="134" t="s">
        <v>3009</v>
      </c>
      <c r="E306" s="139">
        <v>3.62</v>
      </c>
      <c r="F306" s="134" t="s">
        <v>3008</v>
      </c>
      <c r="G306" s="134" t="s">
        <v>3007</v>
      </c>
      <c r="H306" s="123">
        <v>10208</v>
      </c>
    </row>
    <row r="307" spans="1:8" ht="31.5" x14ac:dyDescent="0.25">
      <c r="A307" s="134" t="s">
        <v>12236</v>
      </c>
      <c r="B307" s="134" t="s">
        <v>12249</v>
      </c>
      <c r="C307" s="134" t="s">
        <v>12248</v>
      </c>
      <c r="D307" s="134" t="s">
        <v>5098</v>
      </c>
      <c r="E307" s="139">
        <v>11.76</v>
      </c>
      <c r="F307" s="134" t="s">
        <v>5094</v>
      </c>
      <c r="G307" s="134" t="s">
        <v>3007</v>
      </c>
      <c r="H307" s="123">
        <v>10209</v>
      </c>
    </row>
    <row r="308" spans="1:8" ht="31.5" x14ac:dyDescent="0.25">
      <c r="A308" s="134" t="s">
        <v>12236</v>
      </c>
      <c r="B308" s="134" t="s">
        <v>12247</v>
      </c>
      <c r="C308" s="134" t="s">
        <v>12246</v>
      </c>
      <c r="D308" s="134" t="s">
        <v>5095</v>
      </c>
      <c r="E308" s="139">
        <v>13.44</v>
      </c>
      <c r="F308" s="134" t="s">
        <v>5094</v>
      </c>
      <c r="G308" s="134" t="s">
        <v>3007</v>
      </c>
      <c r="H308" s="123">
        <v>10210</v>
      </c>
    </row>
    <row r="309" spans="1:8" ht="31.5" x14ac:dyDescent="0.25">
      <c r="A309" s="134" t="s">
        <v>12236</v>
      </c>
      <c r="B309" s="134" t="s">
        <v>12245</v>
      </c>
      <c r="C309" s="134" t="s">
        <v>12244</v>
      </c>
      <c r="D309" s="134" t="s">
        <v>5186</v>
      </c>
      <c r="E309" s="139">
        <v>7.86</v>
      </c>
      <c r="F309" s="134" t="s">
        <v>5185</v>
      </c>
      <c r="G309" s="134" t="s">
        <v>3007</v>
      </c>
      <c r="H309" s="123">
        <v>10211</v>
      </c>
    </row>
    <row r="310" spans="1:8" ht="31.5" x14ac:dyDescent="0.25">
      <c r="A310" s="134" t="s">
        <v>12236</v>
      </c>
      <c r="B310" s="134" t="s">
        <v>11370</v>
      </c>
      <c r="C310" s="134" t="s">
        <v>12243</v>
      </c>
      <c r="D310" s="134" t="s">
        <v>3668</v>
      </c>
      <c r="E310" s="139">
        <v>5.3</v>
      </c>
      <c r="F310" s="134" t="s">
        <v>3667</v>
      </c>
      <c r="G310" s="134" t="s">
        <v>3007</v>
      </c>
      <c r="H310" s="123">
        <v>10212</v>
      </c>
    </row>
    <row r="311" spans="1:8" ht="31.5" x14ac:dyDescent="0.25">
      <c r="A311" s="134" t="s">
        <v>12236</v>
      </c>
      <c r="B311" s="134" t="s">
        <v>12242</v>
      </c>
      <c r="C311" s="134" t="s">
        <v>12241</v>
      </c>
      <c r="D311" s="134" t="s">
        <v>10944</v>
      </c>
      <c r="E311" s="139">
        <v>4.78</v>
      </c>
      <c r="F311" s="134" t="s">
        <v>10943</v>
      </c>
      <c r="G311" s="134" t="s">
        <v>3007</v>
      </c>
      <c r="H311" s="123">
        <v>10213</v>
      </c>
    </row>
    <row r="312" spans="1:8" ht="31.5" x14ac:dyDescent="0.25">
      <c r="A312" s="134" t="s">
        <v>12236</v>
      </c>
      <c r="B312" s="134" t="s">
        <v>12240</v>
      </c>
      <c r="C312" s="134" t="s">
        <v>12239</v>
      </c>
      <c r="D312" s="134" t="s">
        <v>11711</v>
      </c>
      <c r="E312" s="139">
        <v>29.23</v>
      </c>
      <c r="F312" s="134" t="s">
        <v>11710</v>
      </c>
      <c r="G312" s="134" t="s">
        <v>3007</v>
      </c>
      <c r="H312" s="123">
        <v>10214</v>
      </c>
    </row>
    <row r="313" spans="1:8" ht="31.5" x14ac:dyDescent="0.25">
      <c r="A313" s="134" t="s">
        <v>12236</v>
      </c>
      <c r="B313" s="134" t="s">
        <v>12238</v>
      </c>
      <c r="C313" s="134" t="s">
        <v>12237</v>
      </c>
      <c r="D313" s="134" t="s">
        <v>7508</v>
      </c>
      <c r="E313" s="139">
        <v>27.17</v>
      </c>
      <c r="F313" s="134" t="s">
        <v>7507</v>
      </c>
      <c r="G313" s="134" t="s">
        <v>3007</v>
      </c>
      <c r="H313" s="123">
        <v>10215</v>
      </c>
    </row>
    <row r="314" spans="1:8" ht="31.5" x14ac:dyDescent="0.25">
      <c r="A314" s="134" t="s">
        <v>12236</v>
      </c>
      <c r="B314" s="134" t="s">
        <v>12235</v>
      </c>
      <c r="C314" s="134" t="s">
        <v>12234</v>
      </c>
      <c r="D314" s="134" t="s">
        <v>3611</v>
      </c>
      <c r="E314" s="139">
        <v>4.4000000000000004</v>
      </c>
      <c r="F314" s="134" t="s">
        <v>3610</v>
      </c>
      <c r="G314" s="134" t="s">
        <v>3007</v>
      </c>
      <c r="H314" s="124">
        <v>10216</v>
      </c>
    </row>
    <row r="315" spans="1:8" ht="31.5" x14ac:dyDescent="0.25">
      <c r="A315" s="134" t="s">
        <v>12207</v>
      </c>
      <c r="B315" s="134" t="s">
        <v>12233</v>
      </c>
      <c r="C315" s="134" t="s">
        <v>12232</v>
      </c>
      <c r="D315" s="134" t="s">
        <v>6695</v>
      </c>
      <c r="E315" s="139">
        <v>3.73</v>
      </c>
      <c r="F315" s="134" t="s">
        <v>6694</v>
      </c>
      <c r="G315" s="134" t="s">
        <v>3007</v>
      </c>
      <c r="H315" s="123">
        <v>10217</v>
      </c>
    </row>
    <row r="316" spans="1:8" ht="31.5" x14ac:dyDescent="0.25">
      <c r="A316" s="134" t="s">
        <v>12207</v>
      </c>
      <c r="B316" s="134" t="s">
        <v>12231</v>
      </c>
      <c r="C316" s="134" t="s">
        <v>12230</v>
      </c>
      <c r="D316" s="134" t="s">
        <v>3595</v>
      </c>
      <c r="E316" s="139">
        <v>3.91</v>
      </c>
      <c r="F316" s="134" t="s">
        <v>3594</v>
      </c>
      <c r="G316" s="134" t="s">
        <v>3007</v>
      </c>
      <c r="H316" s="123">
        <v>10218</v>
      </c>
    </row>
    <row r="317" spans="1:8" ht="31.5" x14ac:dyDescent="0.25">
      <c r="A317" s="134" t="s">
        <v>12207</v>
      </c>
      <c r="B317" s="134" t="s">
        <v>12229</v>
      </c>
      <c r="C317" s="134" t="s">
        <v>12228</v>
      </c>
      <c r="D317" s="134" t="s">
        <v>4622</v>
      </c>
      <c r="E317" s="139">
        <v>2.16</v>
      </c>
      <c r="F317" s="134" t="s">
        <v>4621</v>
      </c>
      <c r="G317" s="134" t="s">
        <v>3007</v>
      </c>
      <c r="H317" s="123">
        <v>10219</v>
      </c>
    </row>
    <row r="318" spans="1:8" ht="31.5" x14ac:dyDescent="0.25">
      <c r="A318" s="134" t="s">
        <v>12207</v>
      </c>
      <c r="B318" s="134" t="s">
        <v>12227</v>
      </c>
      <c r="C318" s="134" t="s">
        <v>12226</v>
      </c>
      <c r="D318" s="134" t="s">
        <v>3506</v>
      </c>
      <c r="E318" s="139">
        <v>1.93</v>
      </c>
      <c r="F318" s="134" t="s">
        <v>3505</v>
      </c>
      <c r="G318" s="134" t="s">
        <v>3007</v>
      </c>
      <c r="H318" s="123">
        <v>10220</v>
      </c>
    </row>
    <row r="319" spans="1:8" ht="31.5" x14ac:dyDescent="0.25">
      <c r="A319" s="134" t="s">
        <v>12207</v>
      </c>
      <c r="B319" s="134" t="s">
        <v>12225</v>
      </c>
      <c r="C319" s="134" t="s">
        <v>12224</v>
      </c>
      <c r="D319" s="134" t="s">
        <v>11343</v>
      </c>
      <c r="E319" s="139">
        <v>1.68</v>
      </c>
      <c r="F319" s="134" t="s">
        <v>11342</v>
      </c>
      <c r="G319" s="134" t="s">
        <v>3007</v>
      </c>
      <c r="H319" s="123">
        <v>10221</v>
      </c>
    </row>
    <row r="320" spans="1:8" ht="31.5" x14ac:dyDescent="0.25">
      <c r="A320" s="134" t="s">
        <v>12207</v>
      </c>
      <c r="B320" s="134" t="s">
        <v>12223</v>
      </c>
      <c r="C320" s="134" t="s">
        <v>12222</v>
      </c>
      <c r="D320" s="134" t="s">
        <v>3373</v>
      </c>
      <c r="E320" s="139">
        <v>6.59</v>
      </c>
      <c r="F320" s="134" t="s">
        <v>3372</v>
      </c>
      <c r="G320" s="134" t="s">
        <v>3007</v>
      </c>
      <c r="H320" s="123">
        <v>10222</v>
      </c>
    </row>
    <row r="321" spans="1:8" ht="31.5" x14ac:dyDescent="0.25">
      <c r="A321" s="134" t="s">
        <v>12207</v>
      </c>
      <c r="B321" s="134" t="s">
        <v>12221</v>
      </c>
      <c r="C321" s="134" t="s">
        <v>12220</v>
      </c>
      <c r="D321" s="134" t="s">
        <v>12219</v>
      </c>
      <c r="E321" s="139">
        <v>5.17</v>
      </c>
      <c r="F321" s="134" t="s">
        <v>12218</v>
      </c>
      <c r="G321" s="134" t="s">
        <v>3007</v>
      </c>
      <c r="H321" s="123">
        <v>10223</v>
      </c>
    </row>
    <row r="322" spans="1:8" ht="31.5" x14ac:dyDescent="0.25">
      <c r="A322" s="134" t="s">
        <v>12207</v>
      </c>
      <c r="B322" s="134" t="s">
        <v>12217</v>
      </c>
      <c r="C322" s="134" t="s">
        <v>12216</v>
      </c>
      <c r="D322" s="134" t="s">
        <v>4408</v>
      </c>
      <c r="E322" s="139">
        <v>12.71</v>
      </c>
      <c r="F322" s="134" t="s">
        <v>4407</v>
      </c>
      <c r="G322" s="134" t="s">
        <v>3007</v>
      </c>
      <c r="H322" s="123">
        <v>10227</v>
      </c>
    </row>
    <row r="323" spans="1:8" ht="31.5" x14ac:dyDescent="0.25">
      <c r="A323" s="134" t="s">
        <v>12207</v>
      </c>
      <c r="B323" s="134" t="s">
        <v>12215</v>
      </c>
      <c r="C323" s="134" t="s">
        <v>12214</v>
      </c>
      <c r="D323" s="134" t="s">
        <v>6892</v>
      </c>
      <c r="E323" s="139">
        <v>13.35</v>
      </c>
      <c r="F323" s="134" t="s">
        <v>6885</v>
      </c>
      <c r="G323" s="134" t="s">
        <v>3007</v>
      </c>
      <c r="H323" s="123">
        <v>10228</v>
      </c>
    </row>
    <row r="324" spans="1:8" ht="31.5" x14ac:dyDescent="0.25">
      <c r="A324" s="134" t="s">
        <v>12207</v>
      </c>
      <c r="B324" s="134" t="s">
        <v>12213</v>
      </c>
      <c r="C324" s="134" t="s">
        <v>12212</v>
      </c>
      <c r="D324" s="134" t="s">
        <v>3022</v>
      </c>
      <c r="E324" s="139">
        <v>6.99</v>
      </c>
      <c r="F324" s="134" t="s">
        <v>3021</v>
      </c>
      <c r="G324" s="134" t="s">
        <v>3007</v>
      </c>
      <c r="H324" s="123">
        <v>10229</v>
      </c>
    </row>
    <row r="325" spans="1:8" ht="31.5" x14ac:dyDescent="0.25">
      <c r="A325" s="134" t="s">
        <v>12207</v>
      </c>
      <c r="B325" s="134" t="s">
        <v>12211</v>
      </c>
      <c r="C325" s="134" t="s">
        <v>12210</v>
      </c>
      <c r="D325" s="134" t="s">
        <v>5584</v>
      </c>
      <c r="E325" s="139">
        <v>3.48</v>
      </c>
      <c r="F325" s="134" t="s">
        <v>5583</v>
      </c>
      <c r="G325" s="134" t="s">
        <v>3007</v>
      </c>
      <c r="H325" s="123">
        <v>10230</v>
      </c>
    </row>
    <row r="326" spans="1:8" ht="31.5" x14ac:dyDescent="0.25">
      <c r="A326" s="134" t="s">
        <v>12207</v>
      </c>
      <c r="B326" s="134" t="s">
        <v>12209</v>
      </c>
      <c r="C326" s="134" t="s">
        <v>12208</v>
      </c>
      <c r="D326" s="134" t="s">
        <v>3107</v>
      </c>
      <c r="E326" s="139">
        <v>5.22</v>
      </c>
      <c r="F326" s="134" t="s">
        <v>3106</v>
      </c>
      <c r="G326" s="134" t="s">
        <v>3007</v>
      </c>
      <c r="H326" s="123">
        <v>10231</v>
      </c>
    </row>
    <row r="327" spans="1:8" ht="31.5" x14ac:dyDescent="0.25">
      <c r="A327" s="134" t="s">
        <v>12207</v>
      </c>
      <c r="B327" s="134" t="s">
        <v>12206</v>
      </c>
      <c r="C327" s="134" t="s">
        <v>12205</v>
      </c>
      <c r="D327" s="134" t="s">
        <v>5673</v>
      </c>
      <c r="E327" s="139">
        <v>3.36</v>
      </c>
      <c r="F327" s="134" t="s">
        <v>5672</v>
      </c>
      <c r="G327" s="134" t="s">
        <v>3007</v>
      </c>
      <c r="H327" s="123">
        <v>10232</v>
      </c>
    </row>
    <row r="328" spans="1:8" ht="31.5" x14ac:dyDescent="0.25">
      <c r="A328" s="134" t="s">
        <v>12193</v>
      </c>
      <c r="B328" s="134" t="s">
        <v>12204</v>
      </c>
      <c r="C328" s="134" t="s">
        <v>12203</v>
      </c>
      <c r="D328" s="134" t="s">
        <v>3920</v>
      </c>
      <c r="E328" s="139">
        <v>18.850000000000001</v>
      </c>
      <c r="F328" s="134" t="s">
        <v>3919</v>
      </c>
      <c r="G328" s="134" t="s">
        <v>3007</v>
      </c>
      <c r="H328" s="123">
        <v>10233</v>
      </c>
    </row>
    <row r="329" spans="1:8" ht="31.5" x14ac:dyDescent="0.25">
      <c r="A329" s="134" t="s">
        <v>12193</v>
      </c>
      <c r="B329" s="134" t="s">
        <v>4398</v>
      </c>
      <c r="C329" s="134" t="s">
        <v>12202</v>
      </c>
      <c r="D329" s="134" t="s">
        <v>7214</v>
      </c>
      <c r="E329" s="139">
        <v>15.55</v>
      </c>
      <c r="F329" s="134" t="s">
        <v>7213</v>
      </c>
      <c r="G329" s="134" t="s">
        <v>3007</v>
      </c>
      <c r="H329" s="123">
        <v>10234</v>
      </c>
    </row>
    <row r="330" spans="1:8" ht="31.5" x14ac:dyDescent="0.25">
      <c r="A330" s="134" t="s">
        <v>12193</v>
      </c>
      <c r="B330" s="134" t="s">
        <v>12201</v>
      </c>
      <c r="C330" s="134" t="s">
        <v>12200</v>
      </c>
      <c r="D330" s="134" t="s">
        <v>6798</v>
      </c>
      <c r="E330" s="139">
        <v>12.79</v>
      </c>
      <c r="F330" s="134" t="s">
        <v>6797</v>
      </c>
      <c r="G330" s="134" t="s">
        <v>3007</v>
      </c>
      <c r="H330" s="123">
        <v>10235</v>
      </c>
    </row>
    <row r="331" spans="1:8" ht="31.5" x14ac:dyDescent="0.25">
      <c r="A331" s="134" t="s">
        <v>12193</v>
      </c>
      <c r="B331" s="134" t="s">
        <v>12199</v>
      </c>
      <c r="C331" s="134" t="s">
        <v>12198</v>
      </c>
      <c r="D331" s="134" t="s">
        <v>6707</v>
      </c>
      <c r="E331" s="139">
        <v>2.4300000000000002</v>
      </c>
      <c r="F331" s="134" t="s">
        <v>6706</v>
      </c>
      <c r="G331" s="134" t="s">
        <v>3007</v>
      </c>
      <c r="H331" s="123">
        <v>10236</v>
      </c>
    </row>
    <row r="332" spans="1:8" ht="31.5" x14ac:dyDescent="0.25">
      <c r="A332" s="134" t="s">
        <v>12193</v>
      </c>
      <c r="B332" s="134" t="s">
        <v>12197</v>
      </c>
      <c r="C332" s="134" t="s">
        <v>12196</v>
      </c>
      <c r="D332" s="134" t="s">
        <v>7912</v>
      </c>
      <c r="E332" s="139">
        <v>1.78</v>
      </c>
      <c r="F332" s="134" t="s">
        <v>7911</v>
      </c>
      <c r="G332" s="134" t="s">
        <v>3007</v>
      </c>
      <c r="H332" s="123">
        <v>10237</v>
      </c>
    </row>
    <row r="333" spans="1:8" ht="31.5" x14ac:dyDescent="0.25">
      <c r="A333" s="134" t="s">
        <v>12193</v>
      </c>
      <c r="B333" s="134" t="s">
        <v>12195</v>
      </c>
      <c r="C333" s="134" t="s">
        <v>12194</v>
      </c>
      <c r="D333" s="134" t="s">
        <v>5329</v>
      </c>
      <c r="E333" s="139">
        <v>18.43</v>
      </c>
      <c r="F333" s="134" t="s">
        <v>5328</v>
      </c>
      <c r="G333" s="134" t="s">
        <v>3007</v>
      </c>
      <c r="H333" s="123">
        <v>10239</v>
      </c>
    </row>
    <row r="334" spans="1:8" ht="31.5" x14ac:dyDescent="0.25">
      <c r="A334" s="134" t="s">
        <v>12193</v>
      </c>
      <c r="B334" s="134" t="s">
        <v>12192</v>
      </c>
      <c r="C334" s="134" t="s">
        <v>12191</v>
      </c>
      <c r="D334" s="134" t="s">
        <v>10682</v>
      </c>
      <c r="E334" s="139">
        <v>9.51</v>
      </c>
      <c r="F334" s="134" t="s">
        <v>10681</v>
      </c>
      <c r="G334" s="134" t="s">
        <v>3007</v>
      </c>
      <c r="H334" s="123">
        <v>10240</v>
      </c>
    </row>
    <row r="335" spans="1:8" ht="31.5" x14ac:dyDescent="0.25">
      <c r="A335" s="134" t="s">
        <v>12150</v>
      </c>
      <c r="B335" s="134" t="s">
        <v>12190</v>
      </c>
      <c r="C335" s="134" t="s">
        <v>12189</v>
      </c>
      <c r="D335" s="134" t="s">
        <v>12188</v>
      </c>
      <c r="E335" s="139">
        <v>1.68</v>
      </c>
      <c r="F335" s="134" t="s">
        <v>12187</v>
      </c>
      <c r="G335" s="134" t="s">
        <v>3007</v>
      </c>
      <c r="H335" s="123">
        <v>10285</v>
      </c>
    </row>
    <row r="336" spans="1:8" ht="31.5" x14ac:dyDescent="0.25">
      <c r="A336" s="134" t="s">
        <v>12150</v>
      </c>
      <c r="B336" s="134" t="s">
        <v>12186</v>
      </c>
      <c r="C336" s="134" t="s">
        <v>12185</v>
      </c>
      <c r="D336" s="134" t="s">
        <v>12184</v>
      </c>
      <c r="E336" s="139">
        <v>42.55</v>
      </c>
      <c r="F336" s="134" t="s">
        <v>12183</v>
      </c>
      <c r="G336" s="134" t="s">
        <v>3007</v>
      </c>
      <c r="H336" s="123">
        <v>10286</v>
      </c>
    </row>
    <row r="337" spans="1:8" ht="31.5" x14ac:dyDescent="0.25">
      <c r="A337" s="134" t="s">
        <v>12150</v>
      </c>
      <c r="B337" s="134" t="s">
        <v>12182</v>
      </c>
      <c r="C337" s="134" t="s">
        <v>12181</v>
      </c>
      <c r="D337" s="134" t="s">
        <v>7042</v>
      </c>
      <c r="E337" s="139">
        <v>4.1100000000000003</v>
      </c>
      <c r="F337" s="134" t="s">
        <v>7038</v>
      </c>
      <c r="G337" s="134" t="s">
        <v>3007</v>
      </c>
      <c r="H337" s="123">
        <v>10287</v>
      </c>
    </row>
    <row r="338" spans="1:8" ht="31.5" x14ac:dyDescent="0.25">
      <c r="A338" s="134" t="s">
        <v>12150</v>
      </c>
      <c r="B338" s="134" t="s">
        <v>4299</v>
      </c>
      <c r="C338" s="134" t="s">
        <v>12180</v>
      </c>
      <c r="D338" s="134" t="s">
        <v>7039</v>
      </c>
      <c r="E338" s="139">
        <v>1.86</v>
      </c>
      <c r="F338" s="134" t="s">
        <v>7038</v>
      </c>
      <c r="G338" s="134" t="s">
        <v>3007</v>
      </c>
      <c r="H338" s="123">
        <v>10288</v>
      </c>
    </row>
    <row r="339" spans="1:8" ht="31.5" x14ac:dyDescent="0.25">
      <c r="A339" s="134" t="s">
        <v>12150</v>
      </c>
      <c r="B339" s="134" t="s">
        <v>12179</v>
      </c>
      <c r="C339" s="134" t="s">
        <v>12178</v>
      </c>
      <c r="D339" s="134" t="s">
        <v>12177</v>
      </c>
      <c r="E339" s="139">
        <v>7.85</v>
      </c>
      <c r="F339" s="134" t="s">
        <v>12176</v>
      </c>
      <c r="G339" s="134" t="s">
        <v>3007</v>
      </c>
      <c r="H339" s="123">
        <v>10289</v>
      </c>
    </row>
    <row r="340" spans="1:8" ht="31.5" x14ac:dyDescent="0.25">
      <c r="A340" s="134" t="s">
        <v>12150</v>
      </c>
      <c r="B340" s="134" t="s">
        <v>12175</v>
      </c>
      <c r="C340" s="134" t="s">
        <v>12174</v>
      </c>
      <c r="D340" s="134" t="s">
        <v>6306</v>
      </c>
      <c r="E340" s="139">
        <v>2.42</v>
      </c>
      <c r="F340" s="134" t="s">
        <v>6305</v>
      </c>
      <c r="G340" s="134" t="s">
        <v>3007</v>
      </c>
      <c r="H340" s="123">
        <v>10290</v>
      </c>
    </row>
    <row r="341" spans="1:8" ht="31.5" x14ac:dyDescent="0.25">
      <c r="A341" s="134" t="s">
        <v>12150</v>
      </c>
      <c r="B341" s="134" t="s">
        <v>12173</v>
      </c>
      <c r="C341" s="134" t="s">
        <v>12172</v>
      </c>
      <c r="D341" s="134" t="s">
        <v>7123</v>
      </c>
      <c r="E341" s="139">
        <v>2</v>
      </c>
      <c r="F341" s="134" t="s">
        <v>7122</v>
      </c>
      <c r="G341" s="134" t="s">
        <v>3007</v>
      </c>
      <c r="H341" s="123">
        <v>10291</v>
      </c>
    </row>
    <row r="342" spans="1:8" ht="31.5" x14ac:dyDescent="0.25">
      <c r="A342" s="134" t="s">
        <v>12150</v>
      </c>
      <c r="B342" s="134" t="s">
        <v>12171</v>
      </c>
      <c r="C342" s="134" t="s">
        <v>12170</v>
      </c>
      <c r="D342" s="134" t="s">
        <v>5554</v>
      </c>
      <c r="E342" s="139">
        <v>6.9</v>
      </c>
      <c r="F342" s="134" t="s">
        <v>5553</v>
      </c>
      <c r="G342" s="134" t="s">
        <v>3007</v>
      </c>
      <c r="H342" s="123">
        <v>10292</v>
      </c>
    </row>
    <row r="343" spans="1:8" ht="31.5" x14ac:dyDescent="0.25">
      <c r="A343" s="134" t="s">
        <v>12150</v>
      </c>
      <c r="B343" s="134" t="s">
        <v>9433</v>
      </c>
      <c r="C343" s="134" t="s">
        <v>12169</v>
      </c>
      <c r="D343" s="134" t="s">
        <v>5558</v>
      </c>
      <c r="E343" s="139">
        <v>8.0299999999999994</v>
      </c>
      <c r="F343" s="134" t="s">
        <v>5557</v>
      </c>
      <c r="G343" s="134" t="s">
        <v>3007</v>
      </c>
      <c r="H343" s="123">
        <v>10293</v>
      </c>
    </row>
    <row r="344" spans="1:8" ht="31.5" x14ac:dyDescent="0.25">
      <c r="A344" s="134" t="s">
        <v>12150</v>
      </c>
      <c r="B344" s="134" t="s">
        <v>12168</v>
      </c>
      <c r="C344" s="134" t="s">
        <v>12167</v>
      </c>
      <c r="D344" s="134" t="s">
        <v>6057</v>
      </c>
      <c r="E344" s="139">
        <v>6.77</v>
      </c>
      <c r="F344" s="134" t="s">
        <v>6056</v>
      </c>
      <c r="G344" s="134" t="s">
        <v>3007</v>
      </c>
      <c r="H344" s="123">
        <v>10294</v>
      </c>
    </row>
    <row r="345" spans="1:8" ht="31.5" x14ac:dyDescent="0.25">
      <c r="A345" s="134" t="s">
        <v>12150</v>
      </c>
      <c r="B345" s="134" t="s">
        <v>12166</v>
      </c>
      <c r="C345" s="134" t="s">
        <v>12165</v>
      </c>
      <c r="D345" s="134" t="s">
        <v>3953</v>
      </c>
      <c r="E345" s="139">
        <v>2.74</v>
      </c>
      <c r="F345" s="134" t="s">
        <v>3952</v>
      </c>
      <c r="G345" s="134" t="s">
        <v>3007</v>
      </c>
      <c r="H345" s="123">
        <v>10295</v>
      </c>
    </row>
    <row r="346" spans="1:8" ht="31.5" x14ac:dyDescent="0.25">
      <c r="A346" s="134" t="s">
        <v>12150</v>
      </c>
      <c r="B346" s="134" t="s">
        <v>12164</v>
      </c>
      <c r="C346" s="134" t="s">
        <v>12163</v>
      </c>
      <c r="D346" s="134" t="s">
        <v>3390</v>
      </c>
      <c r="E346" s="139">
        <v>8.3800000000000008</v>
      </c>
      <c r="F346" s="134" t="s">
        <v>3389</v>
      </c>
      <c r="G346" s="134" t="s">
        <v>3007</v>
      </c>
      <c r="H346" s="123">
        <v>10296</v>
      </c>
    </row>
    <row r="347" spans="1:8" ht="31.5" x14ac:dyDescent="0.25">
      <c r="A347" s="134" t="s">
        <v>12150</v>
      </c>
      <c r="B347" s="134" t="s">
        <v>12162</v>
      </c>
      <c r="C347" s="134" t="s">
        <v>12161</v>
      </c>
      <c r="D347" s="134" t="s">
        <v>6250</v>
      </c>
      <c r="E347" s="139">
        <v>10.96</v>
      </c>
      <c r="F347" s="134" t="s">
        <v>6249</v>
      </c>
      <c r="G347" s="134" t="s">
        <v>3007</v>
      </c>
      <c r="H347" s="123">
        <v>10297</v>
      </c>
    </row>
    <row r="348" spans="1:8" ht="31.5" x14ac:dyDescent="0.25">
      <c r="A348" s="134" t="s">
        <v>12150</v>
      </c>
      <c r="B348" s="134" t="s">
        <v>12160</v>
      </c>
      <c r="C348" s="134" t="s">
        <v>12159</v>
      </c>
      <c r="D348" s="134" t="s">
        <v>4461</v>
      </c>
      <c r="E348" s="139">
        <v>2.15</v>
      </c>
      <c r="F348" s="134" t="s">
        <v>4460</v>
      </c>
      <c r="G348" s="134" t="s">
        <v>3007</v>
      </c>
      <c r="H348" s="123">
        <v>10300</v>
      </c>
    </row>
    <row r="349" spans="1:8" ht="31.5" x14ac:dyDescent="0.25">
      <c r="A349" s="134" t="s">
        <v>12150</v>
      </c>
      <c r="B349" s="134" t="s">
        <v>12158</v>
      </c>
      <c r="C349" s="134" t="s">
        <v>12157</v>
      </c>
      <c r="D349" s="134" t="s">
        <v>4060</v>
      </c>
      <c r="E349" s="139">
        <v>10.87</v>
      </c>
      <c r="F349" s="134" t="s">
        <v>4059</v>
      </c>
      <c r="G349" s="134" t="s">
        <v>3007</v>
      </c>
      <c r="H349" s="123">
        <v>10301</v>
      </c>
    </row>
    <row r="350" spans="1:8" ht="31.5" x14ac:dyDescent="0.25">
      <c r="A350" s="134" t="s">
        <v>12150</v>
      </c>
      <c r="B350" s="134" t="s">
        <v>12156</v>
      </c>
      <c r="C350" s="134" t="s">
        <v>12155</v>
      </c>
      <c r="D350" s="134" t="s">
        <v>10029</v>
      </c>
      <c r="E350" s="139">
        <v>3.14</v>
      </c>
      <c r="F350" s="134" t="s">
        <v>10028</v>
      </c>
      <c r="G350" s="134" t="s">
        <v>3007</v>
      </c>
      <c r="H350" s="123">
        <v>10302</v>
      </c>
    </row>
    <row r="351" spans="1:8" ht="31.5" x14ac:dyDescent="0.25">
      <c r="A351" s="134" t="s">
        <v>12150</v>
      </c>
      <c r="B351" s="134" t="s">
        <v>12154</v>
      </c>
      <c r="C351" s="134" t="s">
        <v>12153</v>
      </c>
      <c r="D351" s="134" t="s">
        <v>4885</v>
      </c>
      <c r="E351" s="139">
        <v>15.35</v>
      </c>
      <c r="F351" s="134" t="s">
        <v>4884</v>
      </c>
      <c r="G351" s="134" t="s">
        <v>3007</v>
      </c>
      <c r="H351" s="123">
        <v>10303</v>
      </c>
    </row>
    <row r="352" spans="1:8" ht="31.5" x14ac:dyDescent="0.25">
      <c r="A352" s="134" t="s">
        <v>12150</v>
      </c>
      <c r="B352" s="134" t="s">
        <v>12152</v>
      </c>
      <c r="C352" s="134" t="s">
        <v>12151</v>
      </c>
      <c r="D352" s="134" t="s">
        <v>6416</v>
      </c>
      <c r="E352" s="139">
        <v>10.08</v>
      </c>
      <c r="F352" s="134" t="s">
        <v>6415</v>
      </c>
      <c r="G352" s="134" t="s">
        <v>3007</v>
      </c>
      <c r="H352" s="123">
        <v>10304</v>
      </c>
    </row>
    <row r="353" spans="1:8" ht="31.5" x14ac:dyDescent="0.25">
      <c r="A353" s="134" t="s">
        <v>12150</v>
      </c>
      <c r="B353" s="134" t="s">
        <v>3548</v>
      </c>
      <c r="C353" s="134" t="s">
        <v>12149</v>
      </c>
      <c r="D353" s="134" t="s">
        <v>7107</v>
      </c>
      <c r="E353" s="139">
        <v>31.9</v>
      </c>
      <c r="F353" s="134" t="s">
        <v>7106</v>
      </c>
      <c r="G353" s="134" t="s">
        <v>3007</v>
      </c>
      <c r="H353" s="123">
        <v>10305</v>
      </c>
    </row>
    <row r="354" spans="1:8" s="200" customFormat="1" x14ac:dyDescent="0.25">
      <c r="A354" s="198"/>
      <c r="B354" s="198"/>
      <c r="C354" s="198" t="s">
        <v>5691</v>
      </c>
      <c r="D354" s="198" t="s">
        <v>14414</v>
      </c>
      <c r="E354" s="199">
        <f>SUM(E299:E353)</f>
        <v>459.78999999999996</v>
      </c>
      <c r="F354" s="198"/>
      <c r="G354" s="198"/>
      <c r="H354" s="172"/>
    </row>
    <row r="355" spans="1:8" s="200" customFormat="1" x14ac:dyDescent="0.25">
      <c r="A355" s="198"/>
      <c r="B355" s="198"/>
      <c r="C355" s="198"/>
      <c r="D355" s="198"/>
      <c r="E355" s="199"/>
      <c r="F355" s="198"/>
      <c r="G355" s="198"/>
      <c r="H355" s="172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73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1C763-D0C6-4AB6-80EE-2FDF65EF2918}">
  <sheetPr>
    <pageSetUpPr fitToPage="1"/>
  </sheetPr>
  <dimension ref="A1:L106"/>
  <sheetViews>
    <sheetView topLeftCell="A85" zoomScaleNormal="100" workbookViewId="0">
      <selection activeCell="B102" sqref="B102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8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8" x14ac:dyDescent="0.2">
      <c r="A2" s="1"/>
      <c r="B2" s="2"/>
      <c r="C2" s="3"/>
      <c r="D2" s="3"/>
      <c r="E2" s="3"/>
      <c r="F2" s="4"/>
      <c r="G2" s="3"/>
      <c r="H2" s="5"/>
    </row>
    <row r="3" spans="1:8" x14ac:dyDescent="0.2">
      <c r="A3" s="1"/>
      <c r="B3" s="2"/>
      <c r="C3" s="3"/>
      <c r="D3" s="3"/>
      <c r="E3" s="3"/>
      <c r="F3" s="4"/>
      <c r="G3" s="3"/>
      <c r="H3" s="5"/>
    </row>
    <row r="4" spans="1:8" x14ac:dyDescent="0.2">
      <c r="A4" s="1" t="s">
        <v>1</v>
      </c>
      <c r="B4" s="1"/>
      <c r="D4" s="6"/>
      <c r="E4" s="6"/>
      <c r="G4" s="6"/>
    </row>
    <row r="5" spans="1:8" x14ac:dyDescent="0.2">
      <c r="A5" s="8"/>
      <c r="B5" s="2"/>
      <c r="C5" s="3"/>
      <c r="D5" s="3"/>
      <c r="E5" s="3"/>
      <c r="F5" s="4"/>
      <c r="G5" s="3"/>
      <c r="H5" s="5"/>
    </row>
    <row r="6" spans="1:8" x14ac:dyDescent="0.2">
      <c r="A6" s="8"/>
      <c r="B6" s="2"/>
      <c r="C6" s="3"/>
      <c r="D6" s="3"/>
      <c r="E6" s="3"/>
      <c r="F6" s="4"/>
      <c r="G6" s="3"/>
      <c r="H6" s="5"/>
    </row>
    <row r="7" spans="1:8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8" x14ac:dyDescent="0.2">
      <c r="A8" s="8"/>
      <c r="B8" s="2"/>
      <c r="C8" s="3"/>
      <c r="D8" s="3"/>
      <c r="E8" s="3"/>
      <c r="F8" s="4"/>
      <c r="G8" s="3"/>
      <c r="H8" s="5"/>
    </row>
    <row r="9" spans="1:8" ht="13.5" customHeight="1" x14ac:dyDescent="0.2">
      <c r="A9" s="10" t="s">
        <v>23818</v>
      </c>
      <c r="B9" s="10"/>
      <c r="C9" s="11"/>
      <c r="D9" s="3"/>
      <c r="E9" s="3"/>
      <c r="F9" s="4"/>
      <c r="G9" s="12" t="s">
        <v>4</v>
      </c>
      <c r="H9" s="13">
        <v>100978.91</v>
      </c>
    </row>
    <row r="10" spans="1:8" x14ac:dyDescent="0.2">
      <c r="A10" s="3"/>
      <c r="B10" s="9"/>
      <c r="C10" s="3"/>
      <c r="D10" s="3"/>
      <c r="E10" s="3"/>
      <c r="F10" s="4"/>
      <c r="G10" s="3"/>
      <c r="H10" s="5"/>
    </row>
    <row r="11" spans="1:8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8" ht="12.75" customHeight="1" x14ac:dyDescent="0.2">
      <c r="A12" s="14"/>
      <c r="B12" s="18" t="s">
        <v>19988</v>
      </c>
      <c r="C12" s="3"/>
      <c r="D12" s="16"/>
      <c r="E12" s="16"/>
      <c r="F12" s="17"/>
      <c r="G12" s="3"/>
      <c r="H12" s="5"/>
    </row>
    <row r="13" spans="1:8" x14ac:dyDescent="0.2">
      <c r="A13" s="14"/>
      <c r="B13" s="9"/>
      <c r="C13" s="3"/>
      <c r="D13" s="16"/>
      <c r="E13" s="16"/>
      <c r="F13" s="17"/>
      <c r="G13" s="3"/>
      <c r="H13" s="5"/>
    </row>
    <row r="14" spans="1:8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8" x14ac:dyDescent="0.2">
      <c r="A15" s="23"/>
      <c r="B15" s="24"/>
      <c r="C15" s="34"/>
      <c r="D15" s="35"/>
      <c r="E15" s="26"/>
      <c r="F15" s="36"/>
      <c r="G15" s="3"/>
      <c r="H15" s="5"/>
    </row>
    <row r="16" spans="1:8" x14ac:dyDescent="0.2">
      <c r="A16" s="37"/>
      <c r="B16" s="38"/>
      <c r="C16" s="39"/>
      <c r="D16" s="40"/>
      <c r="E16" s="22"/>
      <c r="F16" s="41"/>
      <c r="G16" s="3"/>
      <c r="H16" s="13">
        <f>SUM(F15:F15)</f>
        <v>0</v>
      </c>
    </row>
    <row r="17" spans="1:9" x14ac:dyDescent="0.2">
      <c r="A17" s="19"/>
      <c r="B17" s="42"/>
      <c r="C17" s="3"/>
      <c r="D17" s="22"/>
      <c r="E17" s="22"/>
      <c r="F17" s="43"/>
      <c r="G17" s="12"/>
      <c r="H17" s="5"/>
    </row>
    <row r="18" spans="1:9" x14ac:dyDescent="0.2">
      <c r="A18" s="3"/>
      <c r="B18" s="44" t="s">
        <v>5</v>
      </c>
      <c r="C18" s="3"/>
      <c r="D18" s="16"/>
      <c r="E18" s="16"/>
      <c r="F18" s="22" t="s">
        <v>11</v>
      </c>
      <c r="G18" s="3"/>
      <c r="H18" s="5"/>
    </row>
    <row r="19" spans="1:9" ht="13.5" customHeight="1" x14ac:dyDescent="0.2">
      <c r="A19" s="21" t="s">
        <v>7</v>
      </c>
      <c r="B19" s="18" t="s">
        <v>14</v>
      </c>
      <c r="C19" s="3"/>
      <c r="D19" s="16"/>
      <c r="E19" s="16"/>
      <c r="F19" s="43"/>
      <c r="G19" s="3"/>
      <c r="H19" s="5"/>
    </row>
    <row r="20" spans="1:9" ht="13.5" customHeight="1" x14ac:dyDescent="0.2">
      <c r="A20" s="54"/>
      <c r="B20" s="55"/>
      <c r="D20" s="51"/>
      <c r="E20" s="51"/>
      <c r="F20" s="56"/>
      <c r="H20" s="57"/>
    </row>
    <row r="21" spans="1:9" x14ac:dyDescent="0.2">
      <c r="A21" s="58"/>
      <c r="D21" s="51"/>
      <c r="E21" s="51"/>
      <c r="F21" s="57"/>
      <c r="H21" s="60">
        <f>SUM(F20:F20)</f>
        <v>0</v>
      </c>
    </row>
    <row r="22" spans="1:9" s="64" customFormat="1" x14ac:dyDescent="0.2">
      <c r="A22" s="61"/>
      <c r="B22" s="62" t="s">
        <v>29</v>
      </c>
      <c r="C22" s="63"/>
      <c r="D22" s="63"/>
      <c r="E22" s="63"/>
      <c r="G22" s="65"/>
    </row>
    <row r="23" spans="1:9" s="64" customFormat="1" x14ac:dyDescent="0.2">
      <c r="A23" s="21" t="s">
        <v>7</v>
      </c>
      <c r="B23" s="62" t="s">
        <v>30</v>
      </c>
      <c r="C23" s="63"/>
      <c r="D23" s="63"/>
      <c r="E23" s="63"/>
      <c r="F23" s="22" t="s">
        <v>11</v>
      </c>
      <c r="G23" s="65"/>
    </row>
    <row r="24" spans="1:9" x14ac:dyDescent="0.2">
      <c r="A24" s="45"/>
      <c r="B24" s="66"/>
      <c r="D24" s="51"/>
      <c r="E24" s="51"/>
      <c r="F24" s="56"/>
      <c r="G24" s="3"/>
      <c r="H24" s="5"/>
    </row>
    <row r="25" spans="1:9" x14ac:dyDescent="0.2">
      <c r="A25" s="75"/>
      <c r="B25" s="2"/>
      <c r="C25" s="3"/>
      <c r="D25" s="16"/>
      <c r="E25" s="16"/>
      <c r="F25" s="76"/>
      <c r="G25" s="3"/>
      <c r="H25" s="60">
        <f>SUM(F24:F24)</f>
        <v>0</v>
      </c>
    </row>
    <row r="26" spans="1:9" x14ac:dyDescent="0.2">
      <c r="C26" s="3"/>
      <c r="D26" s="16"/>
      <c r="E26" s="16"/>
      <c r="F26" s="76"/>
      <c r="G26" s="3"/>
      <c r="H26" s="5"/>
    </row>
    <row r="27" spans="1:9" x14ac:dyDescent="0.2">
      <c r="B27" s="62" t="s">
        <v>29</v>
      </c>
      <c r="C27" s="3"/>
      <c r="D27" s="16"/>
      <c r="E27" s="16"/>
      <c r="F27" s="22" t="s">
        <v>11</v>
      </c>
      <c r="G27" s="3"/>
      <c r="H27" s="5"/>
    </row>
    <row r="28" spans="1:9" x14ac:dyDescent="0.2">
      <c r="A28" s="21" t="s">
        <v>7</v>
      </c>
      <c r="B28" s="18" t="s">
        <v>44</v>
      </c>
      <c r="C28" s="3"/>
      <c r="D28" s="16"/>
      <c r="E28" s="16"/>
      <c r="F28" s="12"/>
      <c r="G28" s="3"/>
      <c r="H28" s="5"/>
    </row>
    <row r="29" spans="1:9" ht="15" x14ac:dyDescent="0.2">
      <c r="A29" s="150">
        <v>43902</v>
      </c>
      <c r="B29" s="113" t="s">
        <v>16923</v>
      </c>
      <c r="C29" s="148" t="s">
        <v>16924</v>
      </c>
      <c r="D29" s="68"/>
      <c r="E29" s="25"/>
      <c r="F29" s="160">
        <v>8.3800000000000008</v>
      </c>
      <c r="G29" s="3"/>
      <c r="I29" s="33"/>
    </row>
    <row r="30" spans="1:9" ht="15" x14ac:dyDescent="0.2">
      <c r="A30" s="150">
        <v>43902</v>
      </c>
      <c r="B30" s="113" t="s">
        <v>16921</v>
      </c>
      <c r="C30" s="148" t="s">
        <v>16922</v>
      </c>
      <c r="D30" s="68"/>
      <c r="E30" s="25"/>
      <c r="F30" s="160">
        <v>15.32</v>
      </c>
      <c r="G30" s="3"/>
      <c r="I30" s="33"/>
    </row>
    <row r="31" spans="1:9" ht="15" x14ac:dyDescent="0.2">
      <c r="A31" s="150">
        <v>43902</v>
      </c>
      <c r="B31" s="113" t="s">
        <v>16919</v>
      </c>
      <c r="C31" s="148" t="s">
        <v>16920</v>
      </c>
      <c r="D31" s="68"/>
      <c r="E31" s="25"/>
      <c r="F31" s="160">
        <v>15.3</v>
      </c>
      <c r="G31" s="3"/>
      <c r="I31" s="33"/>
    </row>
    <row r="32" spans="1:9" ht="15" x14ac:dyDescent="0.2">
      <c r="A32" s="150">
        <v>43902</v>
      </c>
      <c r="B32" s="113" t="s">
        <v>16917</v>
      </c>
      <c r="C32" s="148" t="s">
        <v>16918</v>
      </c>
      <c r="D32" s="68"/>
      <c r="E32" s="25"/>
      <c r="F32" s="160">
        <v>1</v>
      </c>
      <c r="G32" s="3"/>
      <c r="I32" s="33"/>
    </row>
    <row r="33" spans="1:9" ht="15" x14ac:dyDescent="0.2">
      <c r="A33" s="150">
        <v>43902</v>
      </c>
      <c r="B33" s="113" t="s">
        <v>16915</v>
      </c>
      <c r="C33" s="148" t="s">
        <v>16916</v>
      </c>
      <c r="D33" s="68"/>
      <c r="E33" s="25"/>
      <c r="F33" s="160">
        <v>30.16</v>
      </c>
      <c r="G33" s="3"/>
      <c r="I33" s="33"/>
    </row>
    <row r="34" spans="1:9" ht="19.5" x14ac:dyDescent="0.2">
      <c r="A34" s="150">
        <v>43902</v>
      </c>
      <c r="B34" s="113" t="s">
        <v>16913</v>
      </c>
      <c r="C34" s="148" t="s">
        <v>16914</v>
      </c>
      <c r="D34" s="68"/>
      <c r="E34" s="25"/>
      <c r="F34" s="160">
        <v>9.82</v>
      </c>
      <c r="G34" s="3"/>
      <c r="I34" s="33"/>
    </row>
    <row r="35" spans="1:9" ht="19.5" x14ac:dyDescent="0.2">
      <c r="A35" s="150">
        <v>43903</v>
      </c>
      <c r="B35" s="113" t="s">
        <v>16785</v>
      </c>
      <c r="C35" s="148" t="s">
        <v>16786</v>
      </c>
      <c r="D35" s="68"/>
      <c r="E35" s="25"/>
      <c r="F35" s="160">
        <v>47.67</v>
      </c>
      <c r="G35" s="3"/>
      <c r="I35" s="33"/>
    </row>
    <row r="36" spans="1:9" ht="15" x14ac:dyDescent="0.2">
      <c r="A36" s="150">
        <v>43903</v>
      </c>
      <c r="B36" s="113" t="s">
        <v>16783</v>
      </c>
      <c r="C36" s="148" t="s">
        <v>16784</v>
      </c>
      <c r="D36" s="68"/>
      <c r="E36" s="25"/>
      <c r="F36" s="160">
        <v>44.13</v>
      </c>
      <c r="G36" s="3"/>
      <c r="I36" s="33"/>
    </row>
    <row r="37" spans="1:9" ht="15" x14ac:dyDescent="0.2">
      <c r="A37" s="150">
        <v>43903</v>
      </c>
      <c r="B37" s="113" t="s">
        <v>16777</v>
      </c>
      <c r="C37" s="148" t="s">
        <v>16778</v>
      </c>
      <c r="D37" s="68"/>
      <c r="E37" s="25"/>
      <c r="F37" s="160">
        <v>15.3</v>
      </c>
      <c r="G37" s="3"/>
      <c r="I37" s="33"/>
    </row>
    <row r="38" spans="1:9" ht="15" x14ac:dyDescent="0.2">
      <c r="A38" s="150">
        <v>43903</v>
      </c>
      <c r="B38" s="113" t="s">
        <v>16775</v>
      </c>
      <c r="C38" s="148" t="s">
        <v>16776</v>
      </c>
      <c r="D38" s="68"/>
      <c r="E38" s="25"/>
      <c r="F38" s="160">
        <v>75.319999999999993</v>
      </c>
      <c r="G38" s="3"/>
      <c r="I38" s="33"/>
    </row>
    <row r="39" spans="1:9" ht="15" x14ac:dyDescent="0.2">
      <c r="A39" s="150">
        <v>44071</v>
      </c>
      <c r="B39" s="113" t="s">
        <v>22768</v>
      </c>
      <c r="C39" s="148" t="s">
        <v>22769</v>
      </c>
      <c r="D39" s="68"/>
      <c r="E39" s="25"/>
      <c r="F39" s="258">
        <v>3.07</v>
      </c>
      <c r="G39" s="3"/>
      <c r="I39" s="33"/>
    </row>
    <row r="40" spans="1:9" ht="15" x14ac:dyDescent="0.2">
      <c r="A40" s="150">
        <v>44071</v>
      </c>
      <c r="B40" s="113" t="s">
        <v>22766</v>
      </c>
      <c r="C40" s="148" t="s">
        <v>22767</v>
      </c>
      <c r="D40" s="68"/>
      <c r="E40" s="25"/>
      <c r="F40" s="258">
        <v>2.87</v>
      </c>
      <c r="G40" s="3"/>
      <c r="I40" s="33"/>
    </row>
    <row r="41" spans="1:9" ht="15" x14ac:dyDescent="0.2">
      <c r="A41" s="150">
        <v>44071</v>
      </c>
      <c r="B41" s="113" t="s">
        <v>22764</v>
      </c>
      <c r="C41" s="148" t="s">
        <v>22765</v>
      </c>
      <c r="D41" s="68"/>
      <c r="E41" s="25"/>
      <c r="F41" s="258">
        <v>2.3199999999999998</v>
      </c>
      <c r="G41" s="3"/>
      <c r="I41" s="33"/>
    </row>
    <row r="42" spans="1:9" ht="15" x14ac:dyDescent="0.2">
      <c r="A42" s="150">
        <v>44071</v>
      </c>
      <c r="B42" s="113" t="s">
        <v>22762</v>
      </c>
      <c r="C42" s="148" t="s">
        <v>22763</v>
      </c>
      <c r="D42" s="68"/>
      <c r="E42" s="25"/>
      <c r="F42" s="258">
        <v>6.65</v>
      </c>
      <c r="G42" s="3"/>
      <c r="I42" s="33"/>
    </row>
    <row r="43" spans="1:9" ht="15" x14ac:dyDescent="0.2">
      <c r="A43" s="150">
        <v>44071</v>
      </c>
      <c r="B43" s="113" t="s">
        <v>22760</v>
      </c>
      <c r="C43" s="148" t="s">
        <v>22761</v>
      </c>
      <c r="D43" s="68"/>
      <c r="E43" s="25"/>
      <c r="F43" s="258">
        <v>3.36</v>
      </c>
      <c r="G43" s="3"/>
      <c r="I43" s="33"/>
    </row>
    <row r="44" spans="1:9" ht="15" x14ac:dyDescent="0.2">
      <c r="A44" s="150">
        <v>44071</v>
      </c>
      <c r="B44" s="113" t="s">
        <v>22758</v>
      </c>
      <c r="C44" s="148" t="s">
        <v>22759</v>
      </c>
      <c r="D44" s="68"/>
      <c r="E44" s="25"/>
      <c r="F44" s="258">
        <v>2.89</v>
      </c>
      <c r="G44" s="3"/>
      <c r="I44" s="33"/>
    </row>
    <row r="45" spans="1:9" ht="15" x14ac:dyDescent="0.2">
      <c r="A45" s="150">
        <v>44071</v>
      </c>
      <c r="B45" s="113" t="s">
        <v>22756</v>
      </c>
      <c r="C45" s="148" t="s">
        <v>22757</v>
      </c>
      <c r="D45" s="68"/>
      <c r="E45" s="25"/>
      <c r="F45" s="258">
        <v>1.71</v>
      </c>
      <c r="G45" s="3"/>
      <c r="I45" s="33"/>
    </row>
    <row r="46" spans="1:9" ht="15" x14ac:dyDescent="0.2">
      <c r="A46" s="150">
        <v>44071</v>
      </c>
      <c r="B46" s="113" t="s">
        <v>22754</v>
      </c>
      <c r="C46" s="148" t="s">
        <v>22755</v>
      </c>
      <c r="D46" s="68"/>
      <c r="E46" s="25"/>
      <c r="F46" s="258">
        <v>3.62</v>
      </c>
      <c r="G46" s="3"/>
      <c r="I46" s="33"/>
    </row>
    <row r="47" spans="1:9" ht="19.5" x14ac:dyDescent="0.2">
      <c r="A47" s="150">
        <v>44071</v>
      </c>
      <c r="B47" s="113" t="s">
        <v>22752</v>
      </c>
      <c r="C47" s="148" t="s">
        <v>22753</v>
      </c>
      <c r="D47" s="68"/>
      <c r="E47" s="25"/>
      <c r="F47" s="258">
        <v>11.76</v>
      </c>
      <c r="G47" s="3"/>
      <c r="I47" s="33"/>
    </row>
    <row r="48" spans="1:9" ht="19.5" x14ac:dyDescent="0.2">
      <c r="A48" s="150">
        <v>44071</v>
      </c>
      <c r="B48" s="113" t="s">
        <v>22750</v>
      </c>
      <c r="C48" s="148" t="s">
        <v>22751</v>
      </c>
      <c r="D48" s="68"/>
      <c r="E48" s="25"/>
      <c r="F48" s="258">
        <v>13.44</v>
      </c>
      <c r="G48" s="3"/>
      <c r="I48" s="33"/>
    </row>
    <row r="49" spans="1:9" ht="19.5" x14ac:dyDescent="0.2">
      <c r="A49" s="150">
        <v>44071</v>
      </c>
      <c r="B49" s="113" t="s">
        <v>22748</v>
      </c>
      <c r="C49" s="148" t="s">
        <v>22749</v>
      </c>
      <c r="D49" s="68"/>
      <c r="E49" s="25"/>
      <c r="F49" s="258">
        <v>7.86</v>
      </c>
      <c r="G49" s="3"/>
      <c r="I49" s="33"/>
    </row>
    <row r="50" spans="1:9" ht="15" x14ac:dyDescent="0.2">
      <c r="A50" s="150">
        <v>44071</v>
      </c>
      <c r="B50" s="113" t="s">
        <v>22746</v>
      </c>
      <c r="C50" s="148" t="s">
        <v>22747</v>
      </c>
      <c r="D50" s="68"/>
      <c r="E50" s="25"/>
      <c r="F50" s="258">
        <v>5.3</v>
      </c>
      <c r="G50" s="3"/>
      <c r="I50" s="33"/>
    </row>
    <row r="51" spans="1:9" ht="15" x14ac:dyDescent="0.2">
      <c r="A51" s="150">
        <v>44071</v>
      </c>
      <c r="B51" s="113" t="s">
        <v>22744</v>
      </c>
      <c r="C51" s="148" t="s">
        <v>22745</v>
      </c>
      <c r="D51" s="68"/>
      <c r="E51" s="25"/>
      <c r="F51" s="258">
        <v>4.78</v>
      </c>
      <c r="G51" s="3"/>
      <c r="I51" s="33"/>
    </row>
    <row r="52" spans="1:9" ht="19.5" x14ac:dyDescent="0.2">
      <c r="A52" s="150">
        <v>44071</v>
      </c>
      <c r="B52" s="113" t="s">
        <v>22742</v>
      </c>
      <c r="C52" s="148" t="s">
        <v>22743</v>
      </c>
      <c r="D52" s="68"/>
      <c r="E52" s="25"/>
      <c r="F52" s="258">
        <v>29.23</v>
      </c>
      <c r="G52" s="3"/>
      <c r="I52" s="33"/>
    </row>
    <row r="53" spans="1:9" ht="19.5" x14ac:dyDescent="0.2">
      <c r="A53" s="150">
        <v>44071</v>
      </c>
      <c r="B53" s="113" t="s">
        <v>22740</v>
      </c>
      <c r="C53" s="148" t="s">
        <v>22741</v>
      </c>
      <c r="D53" s="68"/>
      <c r="E53" s="25"/>
      <c r="F53" s="258">
        <v>27.17</v>
      </c>
      <c r="G53" s="3"/>
      <c r="I53" s="33"/>
    </row>
    <row r="54" spans="1:9" ht="15" x14ac:dyDescent="0.2">
      <c r="A54" s="150">
        <v>44071</v>
      </c>
      <c r="B54" s="113" t="s">
        <v>22738</v>
      </c>
      <c r="C54" s="148" t="s">
        <v>22739</v>
      </c>
      <c r="D54" s="68"/>
      <c r="E54" s="25"/>
      <c r="F54" s="258">
        <v>4.4000000000000004</v>
      </c>
      <c r="G54" s="3"/>
      <c r="I54" s="33"/>
    </row>
    <row r="55" spans="1:9" ht="15" x14ac:dyDescent="0.2">
      <c r="A55" s="150">
        <v>44072</v>
      </c>
      <c r="B55" s="113" t="s">
        <v>22728</v>
      </c>
      <c r="C55" s="148" t="s">
        <v>22729</v>
      </c>
      <c r="D55" s="68"/>
      <c r="E55" s="25"/>
      <c r="F55" s="258">
        <v>3.73</v>
      </c>
      <c r="G55" s="3"/>
      <c r="I55" s="33"/>
    </row>
    <row r="56" spans="1:9" ht="15" x14ac:dyDescent="0.2">
      <c r="A56" s="150">
        <v>44072</v>
      </c>
      <c r="B56" s="113" t="s">
        <v>22726</v>
      </c>
      <c r="C56" s="148" t="s">
        <v>22727</v>
      </c>
      <c r="D56" s="68"/>
      <c r="E56" s="25"/>
      <c r="F56" s="258">
        <v>3.91</v>
      </c>
      <c r="G56" s="3"/>
      <c r="I56" s="33"/>
    </row>
    <row r="57" spans="1:9" ht="15" x14ac:dyDescent="0.2">
      <c r="A57" s="150">
        <v>44072</v>
      </c>
      <c r="B57" s="113" t="s">
        <v>22724</v>
      </c>
      <c r="C57" s="148" t="s">
        <v>22725</v>
      </c>
      <c r="D57" s="68"/>
      <c r="E57" s="25"/>
      <c r="F57" s="258">
        <v>2.16</v>
      </c>
      <c r="G57" s="3"/>
      <c r="I57" s="33"/>
    </row>
    <row r="58" spans="1:9" ht="15" x14ac:dyDescent="0.2">
      <c r="A58" s="150">
        <v>44072</v>
      </c>
      <c r="B58" s="113" t="s">
        <v>22722</v>
      </c>
      <c r="C58" s="148" t="s">
        <v>22723</v>
      </c>
      <c r="D58" s="68"/>
      <c r="E58" s="25"/>
      <c r="F58" s="258">
        <v>1.93</v>
      </c>
      <c r="G58" s="3"/>
      <c r="I58" s="33"/>
    </row>
    <row r="59" spans="1:9" ht="15" x14ac:dyDescent="0.2">
      <c r="A59" s="150">
        <v>44072</v>
      </c>
      <c r="B59" s="113" t="s">
        <v>22720</v>
      </c>
      <c r="C59" s="148" t="s">
        <v>22721</v>
      </c>
      <c r="D59" s="68"/>
      <c r="E59" s="25"/>
      <c r="F59" s="258">
        <v>1.68</v>
      </c>
      <c r="G59" s="3"/>
      <c r="I59" s="33"/>
    </row>
    <row r="60" spans="1:9" ht="15" x14ac:dyDescent="0.2">
      <c r="A60" s="150">
        <v>44072</v>
      </c>
      <c r="B60" s="113" t="s">
        <v>22718</v>
      </c>
      <c r="C60" s="148" t="s">
        <v>22719</v>
      </c>
      <c r="D60" s="68"/>
      <c r="E60" s="25"/>
      <c r="F60" s="258">
        <v>6.59</v>
      </c>
      <c r="G60" s="3"/>
      <c r="I60" s="33"/>
    </row>
    <row r="61" spans="1:9" ht="19.5" x14ac:dyDescent="0.2">
      <c r="A61" s="150">
        <v>44072</v>
      </c>
      <c r="B61" s="113" t="s">
        <v>22716</v>
      </c>
      <c r="C61" s="148" t="s">
        <v>22717</v>
      </c>
      <c r="D61" s="68"/>
      <c r="E61" s="25"/>
      <c r="F61" s="258">
        <v>5.17</v>
      </c>
      <c r="G61" s="3"/>
      <c r="I61" s="33"/>
    </row>
    <row r="62" spans="1:9" ht="19.5" x14ac:dyDescent="0.2">
      <c r="A62" s="150">
        <v>44072</v>
      </c>
      <c r="B62" s="113" t="s">
        <v>22714</v>
      </c>
      <c r="C62" s="148" t="s">
        <v>22715</v>
      </c>
      <c r="D62" s="68"/>
      <c r="E62" s="25"/>
      <c r="F62" s="258">
        <v>12.71</v>
      </c>
      <c r="G62" s="3"/>
      <c r="I62" s="33"/>
    </row>
    <row r="63" spans="1:9" ht="19.5" x14ac:dyDescent="0.2">
      <c r="A63" s="150">
        <v>44072</v>
      </c>
      <c r="B63" s="113" t="s">
        <v>22712</v>
      </c>
      <c r="C63" s="148" t="s">
        <v>22713</v>
      </c>
      <c r="D63" s="68"/>
      <c r="E63" s="25"/>
      <c r="F63" s="258">
        <v>13.35</v>
      </c>
      <c r="G63" s="3"/>
      <c r="I63" s="33"/>
    </row>
    <row r="64" spans="1:9" ht="19.5" x14ac:dyDescent="0.2">
      <c r="A64" s="150">
        <v>44072</v>
      </c>
      <c r="B64" s="113" t="s">
        <v>22710</v>
      </c>
      <c r="C64" s="148" t="s">
        <v>22711</v>
      </c>
      <c r="D64" s="68"/>
      <c r="E64" s="25"/>
      <c r="F64" s="258">
        <v>6.99</v>
      </c>
      <c r="G64" s="3"/>
      <c r="I64" s="33"/>
    </row>
    <row r="65" spans="1:9" ht="15" x14ac:dyDescent="0.2">
      <c r="A65" s="150">
        <v>44072</v>
      </c>
      <c r="B65" s="113" t="s">
        <v>22708</v>
      </c>
      <c r="C65" s="148" t="s">
        <v>22709</v>
      </c>
      <c r="D65" s="68"/>
      <c r="E65" s="25"/>
      <c r="F65" s="258">
        <v>3.48</v>
      </c>
      <c r="G65" s="3"/>
      <c r="I65" s="33"/>
    </row>
    <row r="66" spans="1:9" ht="19.5" x14ac:dyDescent="0.2">
      <c r="A66" s="150">
        <v>44072</v>
      </c>
      <c r="B66" s="113" t="s">
        <v>22706</v>
      </c>
      <c r="C66" s="148" t="s">
        <v>22707</v>
      </c>
      <c r="D66" s="68"/>
      <c r="E66" s="25"/>
      <c r="F66" s="258">
        <v>5.22</v>
      </c>
      <c r="G66" s="3"/>
      <c r="I66" s="33"/>
    </row>
    <row r="67" spans="1:9" ht="15" x14ac:dyDescent="0.2">
      <c r="A67" s="150">
        <v>44072</v>
      </c>
      <c r="B67" s="113" t="s">
        <v>22704</v>
      </c>
      <c r="C67" s="148" t="s">
        <v>22705</v>
      </c>
      <c r="D67" s="68"/>
      <c r="E67" s="25"/>
      <c r="F67" s="258">
        <v>3.36</v>
      </c>
      <c r="G67" s="3"/>
      <c r="I67" s="33"/>
    </row>
    <row r="68" spans="1:9" ht="19.5" x14ac:dyDescent="0.2">
      <c r="A68" s="150">
        <v>44073</v>
      </c>
      <c r="B68" s="113" t="s">
        <v>22702</v>
      </c>
      <c r="C68" s="148" t="s">
        <v>22703</v>
      </c>
      <c r="D68" s="68"/>
      <c r="E68" s="25"/>
      <c r="F68" s="258">
        <v>18.850000000000001</v>
      </c>
      <c r="G68" s="3"/>
      <c r="I68" s="33"/>
    </row>
    <row r="69" spans="1:9" ht="19.5" x14ac:dyDescent="0.2">
      <c r="A69" s="150">
        <v>44073</v>
      </c>
      <c r="B69" s="113" t="s">
        <v>22700</v>
      </c>
      <c r="C69" s="148" t="s">
        <v>22701</v>
      </c>
      <c r="D69" s="68"/>
      <c r="E69" s="25"/>
      <c r="F69" s="258">
        <v>15.55</v>
      </c>
      <c r="G69" s="3"/>
      <c r="I69" s="33"/>
    </row>
    <row r="70" spans="1:9" ht="15" x14ac:dyDescent="0.2">
      <c r="A70" s="150">
        <v>44073</v>
      </c>
      <c r="B70" s="113" t="s">
        <v>22698</v>
      </c>
      <c r="C70" s="148" t="s">
        <v>22699</v>
      </c>
      <c r="D70" s="68"/>
      <c r="E70" s="25"/>
      <c r="F70" s="258">
        <v>12.79</v>
      </c>
      <c r="G70" s="3"/>
      <c r="I70" s="33"/>
    </row>
    <row r="71" spans="1:9" ht="15" x14ac:dyDescent="0.2">
      <c r="A71" s="150">
        <v>44073</v>
      </c>
      <c r="B71" s="113" t="s">
        <v>22696</v>
      </c>
      <c r="C71" s="148" t="s">
        <v>22697</v>
      </c>
      <c r="D71" s="68"/>
      <c r="E71" s="25"/>
      <c r="F71" s="258">
        <v>2.4300000000000002</v>
      </c>
      <c r="G71" s="3"/>
      <c r="I71" s="33"/>
    </row>
    <row r="72" spans="1:9" ht="15" x14ac:dyDescent="0.2">
      <c r="A72" s="150">
        <v>44073</v>
      </c>
      <c r="B72" s="113" t="s">
        <v>22694</v>
      </c>
      <c r="C72" s="148" t="s">
        <v>22695</v>
      </c>
      <c r="D72" s="68"/>
      <c r="E72" s="25"/>
      <c r="F72" s="258">
        <v>1.78</v>
      </c>
      <c r="G72" s="3"/>
      <c r="I72" s="33"/>
    </row>
    <row r="73" spans="1:9" ht="15" x14ac:dyDescent="0.2">
      <c r="A73" s="150">
        <v>44073</v>
      </c>
      <c r="B73" s="113" t="s">
        <v>22692</v>
      </c>
      <c r="C73" s="148" t="s">
        <v>22693</v>
      </c>
      <c r="D73" s="68"/>
      <c r="E73" s="25"/>
      <c r="F73" s="258">
        <v>18.43</v>
      </c>
      <c r="G73" s="3"/>
      <c r="I73" s="33"/>
    </row>
    <row r="74" spans="1:9" ht="15" x14ac:dyDescent="0.2">
      <c r="A74" s="150">
        <v>44073</v>
      </c>
      <c r="B74" s="113" t="s">
        <v>22690</v>
      </c>
      <c r="C74" s="148" t="s">
        <v>22691</v>
      </c>
      <c r="D74" s="68"/>
      <c r="E74" s="25"/>
      <c r="F74" s="258">
        <v>9.51</v>
      </c>
      <c r="G74" s="3"/>
      <c r="I74" s="33"/>
    </row>
    <row r="75" spans="1:9" ht="15" x14ac:dyDescent="0.2">
      <c r="A75" s="150">
        <v>44074</v>
      </c>
      <c r="B75" s="113" t="s">
        <v>22682</v>
      </c>
      <c r="C75" s="148" t="s">
        <v>22683</v>
      </c>
      <c r="D75" s="68"/>
      <c r="E75" s="25"/>
      <c r="F75" s="258">
        <v>1.68</v>
      </c>
      <c r="G75" s="3"/>
      <c r="I75" s="33"/>
    </row>
    <row r="76" spans="1:9" ht="19.5" x14ac:dyDescent="0.2">
      <c r="A76" s="150">
        <v>44074</v>
      </c>
      <c r="B76" s="113" t="s">
        <v>22680</v>
      </c>
      <c r="C76" s="148" t="s">
        <v>22681</v>
      </c>
      <c r="D76" s="68"/>
      <c r="E76" s="25"/>
      <c r="F76" s="258">
        <v>42.55</v>
      </c>
      <c r="G76" s="3"/>
      <c r="I76" s="33"/>
    </row>
    <row r="77" spans="1:9" ht="15" x14ac:dyDescent="0.2">
      <c r="A77" s="150">
        <v>44074</v>
      </c>
      <c r="B77" s="113" t="s">
        <v>22678</v>
      </c>
      <c r="C77" s="148" t="s">
        <v>22679</v>
      </c>
      <c r="D77" s="68"/>
      <c r="E77" s="25"/>
      <c r="F77" s="258">
        <v>4.1100000000000003</v>
      </c>
      <c r="G77" s="3"/>
      <c r="I77" s="33"/>
    </row>
    <row r="78" spans="1:9" ht="15" x14ac:dyDescent="0.2">
      <c r="A78" s="150">
        <v>44074</v>
      </c>
      <c r="B78" s="113" t="s">
        <v>22676</v>
      </c>
      <c r="C78" s="148" t="s">
        <v>22677</v>
      </c>
      <c r="D78" s="68"/>
      <c r="E78" s="25"/>
      <c r="F78" s="258">
        <v>1.86</v>
      </c>
      <c r="G78" s="3"/>
      <c r="I78" s="33"/>
    </row>
    <row r="79" spans="1:9" ht="15" x14ac:dyDescent="0.2">
      <c r="A79" s="150">
        <v>44074</v>
      </c>
      <c r="B79" s="113" t="s">
        <v>22674</v>
      </c>
      <c r="C79" s="148" t="s">
        <v>22675</v>
      </c>
      <c r="D79" s="68"/>
      <c r="E79" s="25"/>
      <c r="F79" s="258">
        <v>7.85</v>
      </c>
      <c r="G79" s="3"/>
      <c r="I79" s="33"/>
    </row>
    <row r="80" spans="1:9" ht="15" x14ac:dyDescent="0.2">
      <c r="A80" s="150">
        <v>44074</v>
      </c>
      <c r="B80" s="113" t="s">
        <v>22672</v>
      </c>
      <c r="C80" s="148" t="s">
        <v>22673</v>
      </c>
      <c r="D80" s="68"/>
      <c r="E80" s="25"/>
      <c r="F80" s="258">
        <v>2.42</v>
      </c>
      <c r="G80" s="3"/>
      <c r="I80" s="33"/>
    </row>
    <row r="81" spans="1:10" ht="15" x14ac:dyDescent="0.2">
      <c r="A81" s="150">
        <v>44074</v>
      </c>
      <c r="B81" s="113" t="s">
        <v>22670</v>
      </c>
      <c r="C81" s="148" t="s">
        <v>22671</v>
      </c>
      <c r="D81" s="68"/>
      <c r="E81" s="25"/>
      <c r="F81" s="258">
        <v>2</v>
      </c>
      <c r="G81" s="3"/>
      <c r="I81" s="33"/>
    </row>
    <row r="82" spans="1:10" ht="19.5" x14ac:dyDescent="0.2">
      <c r="A82" s="150">
        <v>44074</v>
      </c>
      <c r="B82" s="113" t="s">
        <v>22668</v>
      </c>
      <c r="C82" s="148" t="s">
        <v>22669</v>
      </c>
      <c r="D82" s="68"/>
      <c r="E82" s="25"/>
      <c r="F82" s="258">
        <v>6.9</v>
      </c>
      <c r="G82" s="3"/>
      <c r="I82" s="33"/>
    </row>
    <row r="83" spans="1:10" ht="19.5" x14ac:dyDescent="0.2">
      <c r="A83" s="150">
        <v>44074</v>
      </c>
      <c r="B83" s="113" t="s">
        <v>22666</v>
      </c>
      <c r="C83" s="148" t="s">
        <v>22667</v>
      </c>
      <c r="D83" s="68"/>
      <c r="E83" s="25"/>
      <c r="F83" s="258">
        <v>8.0299999999999994</v>
      </c>
      <c r="G83" s="3"/>
      <c r="I83" s="33"/>
    </row>
    <row r="84" spans="1:10" ht="15" x14ac:dyDescent="0.2">
      <c r="A84" s="150">
        <v>44074</v>
      </c>
      <c r="B84" s="113" t="s">
        <v>22664</v>
      </c>
      <c r="C84" s="148" t="s">
        <v>22665</v>
      </c>
      <c r="D84" s="68"/>
      <c r="E84" s="25"/>
      <c r="F84" s="258">
        <v>6.77</v>
      </c>
      <c r="G84" s="3"/>
      <c r="I84" s="33"/>
    </row>
    <row r="85" spans="1:10" ht="15" x14ac:dyDescent="0.2">
      <c r="A85" s="150">
        <v>44074</v>
      </c>
      <c r="B85" s="113" t="s">
        <v>22662</v>
      </c>
      <c r="C85" s="148" t="s">
        <v>22663</v>
      </c>
      <c r="D85" s="68"/>
      <c r="E85" s="25"/>
      <c r="F85" s="258">
        <v>2.74</v>
      </c>
      <c r="G85" s="3"/>
      <c r="I85" s="33"/>
    </row>
    <row r="86" spans="1:10" ht="15" x14ac:dyDescent="0.2">
      <c r="A86" s="150">
        <v>44074</v>
      </c>
      <c r="B86" s="113" t="s">
        <v>22660</v>
      </c>
      <c r="C86" s="148" t="s">
        <v>22661</v>
      </c>
      <c r="D86" s="68"/>
      <c r="E86" s="25"/>
      <c r="F86" s="258">
        <v>8.3800000000000008</v>
      </c>
      <c r="G86" s="3"/>
      <c r="I86" s="33"/>
    </row>
    <row r="87" spans="1:10" ht="15" x14ac:dyDescent="0.2">
      <c r="A87" s="150">
        <v>44074</v>
      </c>
      <c r="B87" s="113" t="s">
        <v>22658</v>
      </c>
      <c r="C87" s="148" t="s">
        <v>22659</v>
      </c>
      <c r="D87" s="68"/>
      <c r="E87" s="25"/>
      <c r="F87" s="258">
        <v>10.96</v>
      </c>
      <c r="G87" s="3"/>
      <c r="I87" s="33"/>
    </row>
    <row r="88" spans="1:10" ht="15" x14ac:dyDescent="0.2">
      <c r="A88" s="150">
        <v>44074</v>
      </c>
      <c r="B88" s="113" t="s">
        <v>22656</v>
      </c>
      <c r="C88" s="148" t="s">
        <v>22657</v>
      </c>
      <c r="D88" s="68"/>
      <c r="E88" s="25"/>
      <c r="F88" s="258">
        <v>2.15</v>
      </c>
      <c r="G88" s="3"/>
      <c r="I88" s="33"/>
    </row>
    <row r="89" spans="1:10" ht="19.5" x14ac:dyDescent="0.2">
      <c r="A89" s="150">
        <v>44074</v>
      </c>
      <c r="B89" s="113" t="s">
        <v>22654</v>
      </c>
      <c r="C89" s="148" t="s">
        <v>22655</v>
      </c>
      <c r="D89" s="68"/>
      <c r="E89" s="25"/>
      <c r="F89" s="258">
        <v>10.87</v>
      </c>
      <c r="G89" s="3"/>
      <c r="I89" s="33"/>
    </row>
    <row r="90" spans="1:10" ht="15" x14ac:dyDescent="0.2">
      <c r="A90" s="150">
        <v>44074</v>
      </c>
      <c r="B90" s="113" t="s">
        <v>22652</v>
      </c>
      <c r="C90" s="148" t="s">
        <v>22653</v>
      </c>
      <c r="D90" s="68"/>
      <c r="E90" s="25"/>
      <c r="F90" s="258">
        <v>3.14</v>
      </c>
      <c r="G90" s="3"/>
      <c r="I90" s="33"/>
    </row>
    <row r="91" spans="1:10" ht="19.5" x14ac:dyDescent="0.2">
      <c r="A91" s="150">
        <v>44074</v>
      </c>
      <c r="B91" s="113" t="s">
        <v>22650</v>
      </c>
      <c r="C91" s="148" t="s">
        <v>22651</v>
      </c>
      <c r="D91" s="68"/>
      <c r="E91" s="25"/>
      <c r="F91" s="258">
        <v>15.35</v>
      </c>
      <c r="G91" s="3"/>
      <c r="I91" s="33"/>
    </row>
    <row r="92" spans="1:10" ht="19.5" x14ac:dyDescent="0.2">
      <c r="A92" s="150">
        <v>44074</v>
      </c>
      <c r="B92" s="113" t="s">
        <v>22648</v>
      </c>
      <c r="C92" s="148" t="s">
        <v>22649</v>
      </c>
      <c r="D92" s="68"/>
      <c r="E92" s="25"/>
      <c r="F92" s="258">
        <v>10.08</v>
      </c>
      <c r="G92" s="3"/>
      <c r="I92" s="33"/>
    </row>
    <row r="93" spans="1:10" ht="15" x14ac:dyDescent="0.2">
      <c r="A93" s="150">
        <v>44074</v>
      </c>
      <c r="B93" s="113" t="s">
        <v>22646</v>
      </c>
      <c r="C93" s="148" t="s">
        <v>22647</v>
      </c>
      <c r="D93" s="68"/>
      <c r="E93" s="25"/>
      <c r="F93" s="258">
        <v>31.9</v>
      </c>
      <c r="G93" s="3"/>
      <c r="I93" s="33"/>
    </row>
    <row r="94" spans="1:10" ht="12.75" x14ac:dyDescent="0.2">
      <c r="A94" s="37"/>
      <c r="B94" s="91"/>
      <c r="C94" s="39"/>
      <c r="D94" s="16"/>
      <c r="E94" s="16"/>
      <c r="F94" s="92"/>
      <c r="G94" s="3"/>
      <c r="H94" s="301">
        <f>SUM(F29:F94)</f>
        <v>722.18999999999994</v>
      </c>
    </row>
    <row r="95" spans="1:10" x14ac:dyDescent="0.2">
      <c r="A95" s="3"/>
      <c r="B95" s="2"/>
      <c r="C95" s="3"/>
      <c r="D95" s="3"/>
      <c r="E95" s="3"/>
      <c r="F95" s="5"/>
      <c r="G95" s="3"/>
      <c r="H95" s="5"/>
    </row>
    <row r="96" spans="1:10" s="99" customFormat="1" ht="20.25" customHeight="1" thickBot="1" x14ac:dyDescent="0.3">
      <c r="A96" s="93"/>
      <c r="B96" s="94" t="s">
        <v>23819</v>
      </c>
      <c r="C96" s="95"/>
      <c r="D96" s="93"/>
      <c r="E96" s="93"/>
      <c r="F96" s="96"/>
      <c r="G96" s="97" t="s">
        <v>4</v>
      </c>
      <c r="H96" s="302">
        <f>+H9-H16-H21+H25+H94</f>
        <v>101701.1</v>
      </c>
      <c r="I96" s="303"/>
      <c r="J96" s="303"/>
    </row>
    <row r="97" spans="1:12" ht="13.5" thickTop="1" x14ac:dyDescent="0.2">
      <c r="A97" s="3"/>
      <c r="B97" s="2"/>
      <c r="C97" s="3"/>
      <c r="D97" s="3"/>
      <c r="E97" s="3"/>
      <c r="F97" s="5"/>
      <c r="G97" s="3"/>
      <c r="H97" s="304"/>
      <c r="I97" s="305"/>
      <c r="J97" s="306">
        <f>+'BP AGO-20'!I637</f>
        <v>103433.10000000011</v>
      </c>
    </row>
    <row r="98" spans="1:12" ht="12.75" x14ac:dyDescent="0.2">
      <c r="A98" s="3"/>
      <c r="B98" s="2"/>
      <c r="C98" s="3"/>
      <c r="D98" s="3"/>
      <c r="E98" s="3"/>
      <c r="F98" s="5"/>
      <c r="G98" s="3"/>
      <c r="H98" s="305"/>
      <c r="I98" s="305"/>
      <c r="J98" s="304"/>
    </row>
    <row r="99" spans="1:12" ht="12.75" x14ac:dyDescent="0.2">
      <c r="A99" s="3"/>
      <c r="B99" s="2"/>
      <c r="C99" s="3"/>
      <c r="D99" s="3"/>
      <c r="E99" s="3"/>
      <c r="G99" s="3"/>
      <c r="H99" s="305"/>
      <c r="I99" s="305"/>
      <c r="J99" s="304"/>
    </row>
    <row r="100" spans="1:12" ht="23.25" customHeight="1" thickBot="1" x14ac:dyDescent="0.25">
      <c r="A100" s="3"/>
      <c r="C100" s="100"/>
      <c r="D100" s="101"/>
      <c r="E100" s="3"/>
      <c r="F100" s="102"/>
      <c r="G100" s="3"/>
      <c r="H100" s="304"/>
      <c r="I100" s="305"/>
      <c r="J100" s="302">
        <f>+H96-J97</f>
        <v>-1732.0000000001019</v>
      </c>
      <c r="L100" s="57"/>
    </row>
    <row r="101" spans="1:12" ht="26.25" customHeight="1" thickTop="1" x14ac:dyDescent="0.2">
      <c r="A101" s="3"/>
      <c r="C101" s="378" t="s">
        <v>314</v>
      </c>
      <c r="D101" s="378"/>
      <c r="E101" s="3"/>
      <c r="F101" s="378" t="s">
        <v>315</v>
      </c>
      <c r="G101" s="378"/>
      <c r="H101" s="304"/>
      <c r="I101" s="305"/>
      <c r="J101" s="305"/>
    </row>
    <row r="102" spans="1:12" ht="23.25" customHeight="1" thickBot="1" x14ac:dyDescent="0.25">
      <c r="H102" s="305"/>
      <c r="I102" s="305"/>
      <c r="J102" s="302">
        <f>+H96-J100</f>
        <v>103433.10000000011</v>
      </c>
    </row>
    <row r="103" spans="1:12" ht="13.5" thickTop="1" x14ac:dyDescent="0.2">
      <c r="H103" s="305"/>
      <c r="I103" s="305"/>
      <c r="J103" s="305"/>
      <c r="L103" s="57"/>
    </row>
    <row r="105" spans="1:12" x14ac:dyDescent="0.2">
      <c r="L105" s="57"/>
    </row>
    <row r="106" spans="1:12" x14ac:dyDescent="0.2">
      <c r="A106" s="6"/>
      <c r="B106" s="6"/>
      <c r="C106" s="6"/>
      <c r="D106" s="6"/>
      <c r="E106" s="6"/>
      <c r="G106" s="6"/>
      <c r="J106" s="57"/>
    </row>
  </sheetData>
  <mergeCells count="2">
    <mergeCell ref="C101:D101"/>
    <mergeCell ref="F101:G101"/>
  </mergeCells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6DA92-FEFC-4396-B893-4576A60538EF}">
  <sheetPr filterMode="1"/>
  <dimension ref="A2:I611"/>
  <sheetViews>
    <sheetView topLeftCell="A16" workbookViewId="0">
      <pane xSplit="5" ySplit="2" topLeftCell="F385" activePane="bottomRight" state="frozen"/>
      <selection activeCell="A16" sqref="A16"/>
      <selection pane="topRight" activeCell="F16" sqref="F16"/>
      <selection pane="bottomLeft" activeCell="A18" sqref="A18"/>
      <selection pane="bottomRight" activeCell="I17" sqref="I17"/>
    </sheetView>
  </sheetViews>
  <sheetFormatPr baseColWidth="10" defaultColWidth="11.5703125" defaultRowHeight="15.75" x14ac:dyDescent="0.2"/>
  <cols>
    <col min="1" max="1" width="11.5703125" style="103"/>
    <col min="2" max="4" width="11.5703125" style="145"/>
    <col min="5" max="5" width="57.7109375" style="339" customWidth="1"/>
    <col min="6" max="6" width="8.5703125" style="257" customWidth="1"/>
    <col min="7" max="8" width="12.42578125" style="103" bestFit="1" customWidth="1"/>
    <col min="9" max="9" width="15.28515625" style="103" bestFit="1" customWidth="1"/>
    <col min="10" max="16384" width="11.5703125" style="103"/>
  </cols>
  <sheetData>
    <row r="2" spans="1:9" ht="19.5" x14ac:dyDescent="0.2">
      <c r="E2" s="110" t="s">
        <v>2771</v>
      </c>
      <c r="H2" s="104" t="s">
        <v>2770</v>
      </c>
      <c r="I2" s="312">
        <v>1</v>
      </c>
    </row>
    <row r="3" spans="1:9" x14ac:dyDescent="0.2">
      <c r="H3" s="104" t="s">
        <v>2769</v>
      </c>
      <c r="I3" s="311">
        <v>44171</v>
      </c>
    </row>
    <row r="5" spans="1:9" x14ac:dyDescent="0.2">
      <c r="A5" s="340" t="s">
        <v>2768</v>
      </c>
      <c r="B5" s="146" t="s">
        <v>24972</v>
      </c>
      <c r="C5" s="146" t="s">
        <v>2767</v>
      </c>
      <c r="D5" s="146" t="s">
        <v>24972</v>
      </c>
      <c r="E5" s="103"/>
      <c r="H5" s="309">
        <v>0.61439814814814819</v>
      </c>
    </row>
    <row r="7" spans="1:9" x14ac:dyDescent="0.2">
      <c r="H7" s="104" t="s">
        <v>2765</v>
      </c>
      <c r="I7" s="106" t="s">
        <v>2764</v>
      </c>
    </row>
    <row r="8" spans="1:9" x14ac:dyDescent="0.2">
      <c r="B8" s="147"/>
      <c r="C8" s="147" t="s">
        <v>2763</v>
      </c>
      <c r="D8" s="322" t="s">
        <v>2762</v>
      </c>
      <c r="G8" s="308" t="s">
        <v>2760</v>
      </c>
      <c r="H8" s="307" t="s">
        <v>2759</v>
      </c>
    </row>
    <row r="9" spans="1:9" x14ac:dyDescent="0.2">
      <c r="G9" s="308" t="s">
        <v>2761</v>
      </c>
      <c r="H9" s="307" t="s">
        <v>2759</v>
      </c>
    </row>
    <row r="11" spans="1:9" x14ac:dyDescent="0.2">
      <c r="A11" s="108" t="s">
        <v>2758</v>
      </c>
      <c r="B11" s="109"/>
      <c r="C11" s="109" t="s">
        <v>2757</v>
      </c>
      <c r="D11" s="109" t="s">
        <v>2756</v>
      </c>
      <c r="E11" s="109" t="s">
        <v>2755</v>
      </c>
      <c r="G11" s="104" t="s">
        <v>322</v>
      </c>
      <c r="H11" s="104" t="s">
        <v>321</v>
      </c>
      <c r="I11" s="104" t="s">
        <v>2754</v>
      </c>
    </row>
    <row r="14" spans="1:9" x14ac:dyDescent="0.2">
      <c r="A14" s="108" t="s">
        <v>2753</v>
      </c>
      <c r="B14" s="108" t="s">
        <v>2752</v>
      </c>
    </row>
    <row r="15" spans="1:9" x14ac:dyDescent="0.2">
      <c r="B15" s="108"/>
    </row>
    <row r="16" spans="1:9" x14ac:dyDescent="0.25">
      <c r="A16" s="107" t="s">
        <v>2751</v>
      </c>
      <c r="B16" s="108" t="s">
        <v>2750</v>
      </c>
      <c r="G16" s="152"/>
      <c r="H16" s="153" t="s">
        <v>323</v>
      </c>
      <c r="I16" s="160">
        <v>103433.1</v>
      </c>
    </row>
    <row r="17" spans="2:9" x14ac:dyDescent="0.25">
      <c r="G17" s="152"/>
      <c r="H17" s="152"/>
      <c r="I17" s="152"/>
    </row>
    <row r="18" spans="2:9" hidden="1" x14ac:dyDescent="0.25">
      <c r="B18" s="148"/>
      <c r="C18" s="148" t="s">
        <v>24971</v>
      </c>
      <c r="D18" s="150">
        <v>44075</v>
      </c>
      <c r="E18" s="341" t="s">
        <v>24970</v>
      </c>
      <c r="F18" s="257" t="s">
        <v>14408</v>
      </c>
      <c r="G18" s="258">
        <v>4.08</v>
      </c>
      <c r="H18" s="152"/>
      <c r="I18" s="160">
        <f>+I16+G18-H18</f>
        <v>103437.18000000001</v>
      </c>
    </row>
    <row r="19" spans="2:9" hidden="1" x14ac:dyDescent="0.25">
      <c r="B19" s="148"/>
      <c r="C19" s="148" t="s">
        <v>24969</v>
      </c>
      <c r="D19" s="150">
        <v>44075</v>
      </c>
      <c r="E19" s="341" t="s">
        <v>24968</v>
      </c>
      <c r="F19" s="257" t="s">
        <v>14408</v>
      </c>
      <c r="G19" s="258">
        <v>25.14</v>
      </c>
      <c r="H19" s="152"/>
      <c r="I19" s="160">
        <f>+I18+G19-H19</f>
        <v>103462.32</v>
      </c>
    </row>
    <row r="20" spans="2:9" hidden="1" x14ac:dyDescent="0.25">
      <c r="B20" s="148"/>
      <c r="C20" s="148" t="s">
        <v>24967</v>
      </c>
      <c r="D20" s="150">
        <v>44075</v>
      </c>
      <c r="E20" s="341" t="s">
        <v>24966</v>
      </c>
      <c r="F20" s="257" t="s">
        <v>14408</v>
      </c>
      <c r="G20" s="258">
        <v>14.14</v>
      </c>
      <c r="H20" s="152"/>
      <c r="I20" s="160">
        <f t="shared" ref="I20:I83" si="0">+I19+G20-H20</f>
        <v>103476.46</v>
      </c>
    </row>
    <row r="21" spans="2:9" ht="19.5" hidden="1" x14ac:dyDescent="0.25">
      <c r="B21" s="148"/>
      <c r="C21" s="148" t="s">
        <v>24965</v>
      </c>
      <c r="D21" s="150">
        <v>44075</v>
      </c>
      <c r="E21" s="341" t="s">
        <v>24964</v>
      </c>
      <c r="F21" s="257" t="s">
        <v>14408</v>
      </c>
      <c r="G21" s="258">
        <v>6.72</v>
      </c>
      <c r="H21" s="152"/>
      <c r="I21" s="160">
        <f t="shared" si="0"/>
        <v>103483.18000000001</v>
      </c>
    </row>
    <row r="22" spans="2:9" hidden="1" x14ac:dyDescent="0.25">
      <c r="B22" s="148"/>
      <c r="C22" s="148" t="s">
        <v>24963</v>
      </c>
      <c r="D22" s="150">
        <v>44075</v>
      </c>
      <c r="E22" s="341" t="s">
        <v>24962</v>
      </c>
      <c r="F22" s="257" t="s">
        <v>14408</v>
      </c>
      <c r="G22" s="258">
        <v>6.7</v>
      </c>
      <c r="H22" s="152"/>
      <c r="I22" s="160">
        <f t="shared" si="0"/>
        <v>103489.88</v>
      </c>
    </row>
    <row r="23" spans="2:9" hidden="1" x14ac:dyDescent="0.25">
      <c r="B23" s="148"/>
      <c r="C23" s="148" t="s">
        <v>24961</v>
      </c>
      <c r="D23" s="150">
        <v>44075</v>
      </c>
      <c r="E23" s="341" t="s">
        <v>24960</v>
      </c>
      <c r="F23" s="257" t="s">
        <v>14408</v>
      </c>
      <c r="G23" s="258">
        <v>3</v>
      </c>
      <c r="H23" s="152"/>
      <c r="I23" s="160">
        <f t="shared" si="0"/>
        <v>103492.88</v>
      </c>
    </row>
    <row r="24" spans="2:9" hidden="1" x14ac:dyDescent="0.25">
      <c r="B24" s="148"/>
      <c r="C24" s="148" t="s">
        <v>24959</v>
      </c>
      <c r="D24" s="150">
        <v>44075</v>
      </c>
      <c r="E24" s="341" t="s">
        <v>24958</v>
      </c>
      <c r="F24" s="257" t="s">
        <v>14408</v>
      </c>
      <c r="G24" s="258">
        <v>10.28</v>
      </c>
      <c r="H24" s="152"/>
      <c r="I24" s="160">
        <f t="shared" si="0"/>
        <v>103503.16</v>
      </c>
    </row>
    <row r="25" spans="2:9" hidden="1" x14ac:dyDescent="0.25">
      <c r="B25" s="148"/>
      <c r="C25" s="148" t="s">
        <v>24957</v>
      </c>
      <c r="D25" s="150">
        <v>44075</v>
      </c>
      <c r="E25" s="341" t="s">
        <v>24956</v>
      </c>
      <c r="F25" s="257" t="s">
        <v>14408</v>
      </c>
      <c r="G25" s="258">
        <v>8.18</v>
      </c>
      <c r="H25" s="152"/>
      <c r="I25" s="160">
        <f t="shared" si="0"/>
        <v>103511.34</v>
      </c>
    </row>
    <row r="26" spans="2:9" hidden="1" x14ac:dyDescent="0.25">
      <c r="B26" s="148"/>
      <c r="C26" s="148" t="s">
        <v>24955</v>
      </c>
      <c r="D26" s="150">
        <v>44075</v>
      </c>
      <c r="E26" s="341" t="s">
        <v>24954</v>
      </c>
      <c r="F26" s="257" t="s">
        <v>14408</v>
      </c>
      <c r="G26" s="258">
        <v>1.71</v>
      </c>
      <c r="H26" s="152"/>
      <c r="I26" s="160">
        <f t="shared" si="0"/>
        <v>103513.05</v>
      </c>
    </row>
    <row r="27" spans="2:9" hidden="1" x14ac:dyDescent="0.25">
      <c r="B27" s="148"/>
      <c r="C27" s="148" t="s">
        <v>24953</v>
      </c>
      <c r="D27" s="150">
        <v>44075</v>
      </c>
      <c r="E27" s="341" t="s">
        <v>24952</v>
      </c>
      <c r="F27" s="257" t="s">
        <v>14408</v>
      </c>
      <c r="G27" s="258">
        <v>1.68</v>
      </c>
      <c r="H27" s="152"/>
      <c r="I27" s="160">
        <f t="shared" si="0"/>
        <v>103514.73</v>
      </c>
    </row>
    <row r="28" spans="2:9" hidden="1" x14ac:dyDescent="0.25">
      <c r="B28" s="148"/>
      <c r="C28" s="148" t="s">
        <v>24951</v>
      </c>
      <c r="D28" s="150">
        <v>44075</v>
      </c>
      <c r="E28" s="341" t="s">
        <v>24950</v>
      </c>
      <c r="F28" s="257" t="s">
        <v>14408</v>
      </c>
      <c r="G28" s="258">
        <v>5.44</v>
      </c>
      <c r="H28" s="152"/>
      <c r="I28" s="160">
        <f t="shared" si="0"/>
        <v>103520.17</v>
      </c>
    </row>
    <row r="29" spans="2:9" hidden="1" x14ac:dyDescent="0.25">
      <c r="B29" s="148"/>
      <c r="C29" s="148" t="s">
        <v>24949</v>
      </c>
      <c r="D29" s="150">
        <v>44075</v>
      </c>
      <c r="E29" s="341" t="s">
        <v>24948</v>
      </c>
      <c r="F29" s="257" t="s">
        <v>14408</v>
      </c>
      <c r="G29" s="258">
        <v>9.33</v>
      </c>
      <c r="H29" s="152"/>
      <c r="I29" s="160">
        <f t="shared" si="0"/>
        <v>103529.5</v>
      </c>
    </row>
    <row r="30" spans="2:9" hidden="1" x14ac:dyDescent="0.25">
      <c r="B30" s="148"/>
      <c r="C30" s="148" t="s">
        <v>24947</v>
      </c>
      <c r="D30" s="150">
        <v>44075</v>
      </c>
      <c r="E30" s="341" t="s">
        <v>24946</v>
      </c>
      <c r="F30" s="257" t="s">
        <v>14408</v>
      </c>
      <c r="G30" s="258">
        <v>8.3800000000000008</v>
      </c>
      <c r="H30" s="152"/>
      <c r="I30" s="160">
        <f t="shared" si="0"/>
        <v>103537.88</v>
      </c>
    </row>
    <row r="31" spans="2:9" hidden="1" x14ac:dyDescent="0.25">
      <c r="B31" s="148"/>
      <c r="C31" s="148" t="s">
        <v>24945</v>
      </c>
      <c r="D31" s="150">
        <v>44075</v>
      </c>
      <c r="E31" s="341" t="s">
        <v>24944</v>
      </c>
      <c r="F31" s="257" t="s">
        <v>14408</v>
      </c>
      <c r="G31" s="258">
        <v>19.48</v>
      </c>
      <c r="H31" s="152"/>
      <c r="I31" s="160">
        <f t="shared" si="0"/>
        <v>103557.36</v>
      </c>
    </row>
    <row r="32" spans="2:9" hidden="1" x14ac:dyDescent="0.25">
      <c r="B32" s="148"/>
      <c r="C32" s="148" t="s">
        <v>24943</v>
      </c>
      <c r="D32" s="150">
        <v>44075</v>
      </c>
      <c r="E32" s="341" t="s">
        <v>24942</v>
      </c>
      <c r="F32" s="257" t="s">
        <v>14408</v>
      </c>
      <c r="G32" s="258">
        <v>3.94</v>
      </c>
      <c r="H32" s="152"/>
      <c r="I32" s="160">
        <f t="shared" si="0"/>
        <v>103561.3</v>
      </c>
    </row>
    <row r="33" spans="2:9" hidden="1" x14ac:dyDescent="0.25">
      <c r="B33" s="148"/>
      <c r="C33" s="148" t="s">
        <v>24941</v>
      </c>
      <c r="D33" s="150">
        <v>44075</v>
      </c>
      <c r="E33" s="341" t="s">
        <v>24940</v>
      </c>
      <c r="F33" s="257" t="s">
        <v>14408</v>
      </c>
      <c r="G33" s="258">
        <v>1.68</v>
      </c>
      <c r="H33" s="152"/>
      <c r="I33" s="160">
        <f t="shared" si="0"/>
        <v>103562.98</v>
      </c>
    </row>
    <row r="34" spans="2:9" ht="19.5" hidden="1" x14ac:dyDescent="0.25">
      <c r="B34" s="148"/>
      <c r="C34" s="148" t="s">
        <v>24939</v>
      </c>
      <c r="D34" s="150">
        <v>44075</v>
      </c>
      <c r="E34" s="341" t="s">
        <v>24938</v>
      </c>
      <c r="F34" s="257" t="s">
        <v>14408</v>
      </c>
      <c r="G34" s="258">
        <v>5.55</v>
      </c>
      <c r="H34" s="152"/>
      <c r="I34" s="160">
        <f t="shared" si="0"/>
        <v>103568.53</v>
      </c>
    </row>
    <row r="35" spans="2:9" hidden="1" x14ac:dyDescent="0.25">
      <c r="B35" s="148"/>
      <c r="C35" s="148" t="s">
        <v>24937</v>
      </c>
      <c r="D35" s="150">
        <v>44075</v>
      </c>
      <c r="E35" s="341" t="s">
        <v>24936</v>
      </c>
      <c r="F35" s="257" t="s">
        <v>14408</v>
      </c>
      <c r="G35" s="258">
        <v>4.5999999999999996</v>
      </c>
      <c r="H35" s="152"/>
      <c r="I35" s="160">
        <f t="shared" si="0"/>
        <v>103573.13</v>
      </c>
    </row>
    <row r="36" spans="2:9" ht="19.5" hidden="1" x14ac:dyDescent="0.25">
      <c r="B36" s="148"/>
      <c r="C36" s="148" t="s">
        <v>24935</v>
      </c>
      <c r="D36" s="150">
        <v>44075</v>
      </c>
      <c r="E36" s="341" t="s">
        <v>24934</v>
      </c>
      <c r="F36" s="257" t="s">
        <v>14408</v>
      </c>
      <c r="G36" s="258">
        <v>2.44</v>
      </c>
      <c r="H36" s="152"/>
      <c r="I36" s="160">
        <f t="shared" si="0"/>
        <v>103575.57</v>
      </c>
    </row>
    <row r="37" spans="2:9" hidden="1" x14ac:dyDescent="0.25">
      <c r="B37" s="148"/>
      <c r="C37" s="148" t="s">
        <v>24933</v>
      </c>
      <c r="D37" s="150">
        <v>44075</v>
      </c>
      <c r="E37" s="341" t="s">
        <v>24932</v>
      </c>
      <c r="F37" s="257" t="s">
        <v>14408</v>
      </c>
      <c r="G37" s="258">
        <v>8.3800000000000008</v>
      </c>
      <c r="H37" s="152"/>
      <c r="I37" s="160">
        <f t="shared" si="0"/>
        <v>103583.95000000001</v>
      </c>
    </row>
    <row r="38" spans="2:9" hidden="1" x14ac:dyDescent="0.25">
      <c r="B38" s="148"/>
      <c r="C38" s="148" t="s">
        <v>24931</v>
      </c>
      <c r="D38" s="150">
        <v>44075</v>
      </c>
      <c r="E38" s="341" t="s">
        <v>24930</v>
      </c>
      <c r="F38" s="257">
        <v>1</v>
      </c>
      <c r="G38" s="255">
        <v>3.38</v>
      </c>
      <c r="H38" s="152"/>
      <c r="I38" s="160">
        <f t="shared" si="0"/>
        <v>103587.33000000002</v>
      </c>
    </row>
    <row r="39" spans="2:9" hidden="1" x14ac:dyDescent="0.25">
      <c r="B39" s="148"/>
      <c r="C39" s="148" t="s">
        <v>24929</v>
      </c>
      <c r="D39" s="150">
        <v>44075</v>
      </c>
      <c r="E39" s="341" t="s">
        <v>24928</v>
      </c>
      <c r="F39" s="257">
        <v>1</v>
      </c>
      <c r="G39" s="255">
        <v>2.56</v>
      </c>
      <c r="H39" s="152"/>
      <c r="I39" s="160">
        <f t="shared" si="0"/>
        <v>103589.89000000001</v>
      </c>
    </row>
    <row r="40" spans="2:9" hidden="1" x14ac:dyDescent="0.25">
      <c r="B40" s="148"/>
      <c r="C40" s="148" t="s">
        <v>24927</v>
      </c>
      <c r="D40" s="150">
        <v>44075</v>
      </c>
      <c r="E40" s="341" t="s">
        <v>24926</v>
      </c>
      <c r="F40" s="257">
        <v>1</v>
      </c>
      <c r="G40" s="255">
        <v>6.94</v>
      </c>
      <c r="H40" s="152"/>
      <c r="I40" s="160">
        <f t="shared" si="0"/>
        <v>103596.83000000002</v>
      </c>
    </row>
    <row r="41" spans="2:9" hidden="1" x14ac:dyDescent="0.25">
      <c r="B41" s="148"/>
      <c r="C41" s="148" t="s">
        <v>24925</v>
      </c>
      <c r="D41" s="150">
        <v>44075</v>
      </c>
      <c r="E41" s="341" t="s">
        <v>24924</v>
      </c>
      <c r="F41" s="257">
        <v>1</v>
      </c>
      <c r="G41" s="255">
        <v>2.1800000000000002</v>
      </c>
      <c r="H41" s="152"/>
      <c r="I41" s="160">
        <f t="shared" si="0"/>
        <v>103599.01000000001</v>
      </c>
    </row>
    <row r="42" spans="2:9" hidden="1" x14ac:dyDescent="0.25">
      <c r="B42" s="148"/>
      <c r="C42" s="148" t="s">
        <v>24923</v>
      </c>
      <c r="D42" s="150">
        <v>44075</v>
      </c>
      <c r="E42" s="341" t="s">
        <v>24922</v>
      </c>
      <c r="F42" s="257">
        <v>1</v>
      </c>
      <c r="G42" s="255">
        <v>1.94</v>
      </c>
      <c r="H42" s="152"/>
      <c r="I42" s="160">
        <f t="shared" si="0"/>
        <v>103600.95000000001</v>
      </c>
    </row>
    <row r="43" spans="2:9" hidden="1" x14ac:dyDescent="0.25">
      <c r="B43" s="148"/>
      <c r="C43" s="148" t="s">
        <v>24921</v>
      </c>
      <c r="D43" s="150">
        <v>44075</v>
      </c>
      <c r="E43" s="341" t="s">
        <v>24920</v>
      </c>
      <c r="F43" s="257">
        <v>1</v>
      </c>
      <c r="G43" s="255">
        <v>2.17</v>
      </c>
      <c r="H43" s="152"/>
      <c r="I43" s="160">
        <f t="shared" si="0"/>
        <v>103603.12000000001</v>
      </c>
    </row>
    <row r="44" spans="2:9" ht="19.5" hidden="1" x14ac:dyDescent="0.25">
      <c r="B44" s="148"/>
      <c r="C44" s="148" t="s">
        <v>24919</v>
      </c>
      <c r="D44" s="150">
        <v>44075</v>
      </c>
      <c r="E44" s="341" t="s">
        <v>24918</v>
      </c>
      <c r="F44" s="257">
        <v>1</v>
      </c>
      <c r="G44" s="255">
        <v>2.0699999999999998</v>
      </c>
      <c r="H44" s="152"/>
      <c r="I44" s="160">
        <f t="shared" si="0"/>
        <v>103605.19000000002</v>
      </c>
    </row>
    <row r="45" spans="2:9" ht="19.5" hidden="1" x14ac:dyDescent="0.25">
      <c r="B45" s="148"/>
      <c r="C45" s="148" t="s">
        <v>24917</v>
      </c>
      <c r="D45" s="150">
        <v>44075</v>
      </c>
      <c r="E45" s="341" t="s">
        <v>24916</v>
      </c>
      <c r="F45" s="257" t="s">
        <v>14436</v>
      </c>
      <c r="G45" s="160">
        <v>12.14</v>
      </c>
      <c r="H45" s="152"/>
      <c r="I45" s="160">
        <f t="shared" si="0"/>
        <v>103617.33000000002</v>
      </c>
    </row>
    <row r="46" spans="2:9" hidden="1" x14ac:dyDescent="0.25">
      <c r="B46" s="148"/>
      <c r="C46" s="148" t="s">
        <v>24915</v>
      </c>
      <c r="D46" s="150">
        <v>44075</v>
      </c>
      <c r="E46" s="341" t="s">
        <v>24914</v>
      </c>
      <c r="F46" s="257" t="s">
        <v>14408</v>
      </c>
      <c r="G46" s="258">
        <v>8.3800000000000008</v>
      </c>
      <c r="H46" s="152"/>
      <c r="I46" s="160">
        <f t="shared" si="0"/>
        <v>103625.71000000002</v>
      </c>
    </row>
    <row r="47" spans="2:9" hidden="1" x14ac:dyDescent="0.25">
      <c r="B47" s="148"/>
      <c r="C47" s="148" t="s">
        <v>24913</v>
      </c>
      <c r="D47" s="150">
        <v>44076</v>
      </c>
      <c r="E47" s="341" t="s">
        <v>24912</v>
      </c>
      <c r="F47" s="257" t="s">
        <v>14408</v>
      </c>
      <c r="G47" s="258">
        <v>2.35</v>
      </c>
      <c r="H47" s="152"/>
      <c r="I47" s="160">
        <f t="shared" si="0"/>
        <v>103628.06000000003</v>
      </c>
    </row>
    <row r="48" spans="2:9" hidden="1" x14ac:dyDescent="0.25">
      <c r="B48" s="148"/>
      <c r="C48" s="148" t="s">
        <v>24911</v>
      </c>
      <c r="D48" s="150">
        <v>44076</v>
      </c>
      <c r="E48" s="341" t="s">
        <v>24910</v>
      </c>
      <c r="F48" s="257" t="s">
        <v>14408</v>
      </c>
      <c r="G48" s="258">
        <v>4.83</v>
      </c>
      <c r="H48" s="152"/>
      <c r="I48" s="160">
        <f t="shared" si="0"/>
        <v>103632.89000000003</v>
      </c>
    </row>
    <row r="49" spans="2:9" hidden="1" x14ac:dyDescent="0.25">
      <c r="B49" s="148"/>
      <c r="C49" s="148" t="s">
        <v>24909</v>
      </c>
      <c r="D49" s="150">
        <v>44076</v>
      </c>
      <c r="E49" s="341" t="s">
        <v>24908</v>
      </c>
      <c r="F49" s="257" t="s">
        <v>14408</v>
      </c>
      <c r="G49" s="258">
        <v>8.0399999999999991</v>
      </c>
      <c r="H49" s="152"/>
      <c r="I49" s="160">
        <f t="shared" si="0"/>
        <v>103640.93000000002</v>
      </c>
    </row>
    <row r="50" spans="2:9" hidden="1" x14ac:dyDescent="0.25">
      <c r="B50" s="148"/>
      <c r="C50" s="148" t="s">
        <v>24907</v>
      </c>
      <c r="D50" s="150">
        <v>44076</v>
      </c>
      <c r="E50" s="341" t="s">
        <v>24906</v>
      </c>
      <c r="F50" s="257" t="s">
        <v>14408</v>
      </c>
      <c r="G50" s="258">
        <v>5.04</v>
      </c>
      <c r="H50" s="152"/>
      <c r="I50" s="160">
        <f t="shared" si="0"/>
        <v>103645.97000000002</v>
      </c>
    </row>
    <row r="51" spans="2:9" hidden="1" x14ac:dyDescent="0.25">
      <c r="B51" s="148"/>
      <c r="C51" s="148" t="s">
        <v>24905</v>
      </c>
      <c r="D51" s="150">
        <v>44076</v>
      </c>
      <c r="E51" s="341" t="s">
        <v>24904</v>
      </c>
      <c r="F51" s="257" t="s">
        <v>14408</v>
      </c>
      <c r="G51" s="258">
        <v>1.68</v>
      </c>
      <c r="H51" s="152"/>
      <c r="I51" s="160">
        <f t="shared" si="0"/>
        <v>103647.65000000001</v>
      </c>
    </row>
    <row r="52" spans="2:9" hidden="1" x14ac:dyDescent="0.25">
      <c r="B52" s="148"/>
      <c r="C52" s="148" t="s">
        <v>24903</v>
      </c>
      <c r="D52" s="150">
        <v>44076</v>
      </c>
      <c r="E52" s="341" t="s">
        <v>24902</v>
      </c>
      <c r="F52" s="257" t="s">
        <v>14408</v>
      </c>
      <c r="G52" s="258">
        <v>2.95</v>
      </c>
      <c r="H52" s="152"/>
      <c r="I52" s="160">
        <f t="shared" si="0"/>
        <v>103650.6</v>
      </c>
    </row>
    <row r="53" spans="2:9" hidden="1" x14ac:dyDescent="0.25">
      <c r="B53" s="148"/>
      <c r="C53" s="148" t="s">
        <v>24901</v>
      </c>
      <c r="D53" s="150">
        <v>44076</v>
      </c>
      <c r="E53" s="341" t="s">
        <v>24900</v>
      </c>
      <c r="F53" s="257" t="s">
        <v>14408</v>
      </c>
      <c r="G53" s="258">
        <v>8.09</v>
      </c>
      <c r="H53" s="152"/>
      <c r="I53" s="160">
        <f t="shared" si="0"/>
        <v>103658.69</v>
      </c>
    </row>
    <row r="54" spans="2:9" hidden="1" x14ac:dyDescent="0.25">
      <c r="B54" s="148"/>
      <c r="C54" s="148" t="s">
        <v>24899</v>
      </c>
      <c r="D54" s="150">
        <v>44076</v>
      </c>
      <c r="E54" s="341" t="s">
        <v>24898</v>
      </c>
      <c r="F54" s="257" t="s">
        <v>14408</v>
      </c>
      <c r="G54" s="258">
        <v>1.87</v>
      </c>
      <c r="H54" s="152"/>
      <c r="I54" s="160">
        <f t="shared" si="0"/>
        <v>103660.56</v>
      </c>
    </row>
    <row r="55" spans="2:9" hidden="1" x14ac:dyDescent="0.25">
      <c r="B55" s="148"/>
      <c r="C55" s="148" t="s">
        <v>24897</v>
      </c>
      <c r="D55" s="150">
        <v>44076</v>
      </c>
      <c r="E55" s="341" t="s">
        <v>24896</v>
      </c>
      <c r="F55" s="257" t="s">
        <v>14408</v>
      </c>
      <c r="G55" s="258">
        <v>2.92</v>
      </c>
      <c r="H55" s="152"/>
      <c r="I55" s="160">
        <f t="shared" si="0"/>
        <v>103663.48</v>
      </c>
    </row>
    <row r="56" spans="2:9" hidden="1" x14ac:dyDescent="0.25">
      <c r="B56" s="148"/>
      <c r="C56" s="148" t="s">
        <v>24895</v>
      </c>
      <c r="D56" s="150">
        <v>44076</v>
      </c>
      <c r="E56" s="341" t="s">
        <v>24894</v>
      </c>
      <c r="F56" s="257" t="s">
        <v>14408</v>
      </c>
      <c r="G56" s="258">
        <v>2.67</v>
      </c>
      <c r="H56" s="152"/>
      <c r="I56" s="160">
        <f t="shared" si="0"/>
        <v>103666.15</v>
      </c>
    </row>
    <row r="57" spans="2:9" hidden="1" x14ac:dyDescent="0.25">
      <c r="B57" s="148"/>
      <c r="C57" s="148" t="s">
        <v>24893</v>
      </c>
      <c r="D57" s="150">
        <v>44076</v>
      </c>
      <c r="E57" s="341" t="s">
        <v>24892</v>
      </c>
      <c r="F57" s="257" t="s">
        <v>14408</v>
      </c>
      <c r="G57" s="258">
        <v>2.69</v>
      </c>
      <c r="H57" s="152"/>
      <c r="I57" s="160">
        <f t="shared" si="0"/>
        <v>103668.84</v>
      </c>
    </row>
    <row r="58" spans="2:9" hidden="1" x14ac:dyDescent="0.25">
      <c r="B58" s="148"/>
      <c r="C58" s="148" t="s">
        <v>24891</v>
      </c>
      <c r="D58" s="150">
        <v>44076</v>
      </c>
      <c r="E58" s="341" t="s">
        <v>24890</v>
      </c>
      <c r="F58" s="257" t="s">
        <v>14408</v>
      </c>
      <c r="G58" s="258">
        <v>7.24</v>
      </c>
      <c r="H58" s="152"/>
      <c r="I58" s="160">
        <f t="shared" si="0"/>
        <v>103676.08</v>
      </c>
    </row>
    <row r="59" spans="2:9" ht="19.5" hidden="1" x14ac:dyDescent="0.25">
      <c r="B59" s="148"/>
      <c r="C59" s="148" t="s">
        <v>24889</v>
      </c>
      <c r="D59" s="150">
        <v>44076</v>
      </c>
      <c r="E59" s="341" t="s">
        <v>24888</v>
      </c>
      <c r="F59" s="257" t="s">
        <v>14408</v>
      </c>
      <c r="G59" s="258">
        <v>9.35</v>
      </c>
      <c r="H59" s="152"/>
      <c r="I59" s="160">
        <f t="shared" si="0"/>
        <v>103685.43000000001</v>
      </c>
    </row>
    <row r="60" spans="2:9" hidden="1" x14ac:dyDescent="0.25">
      <c r="B60" s="148"/>
      <c r="C60" s="148" t="s">
        <v>24887</v>
      </c>
      <c r="D60" s="150">
        <v>44076</v>
      </c>
      <c r="E60" s="341" t="s">
        <v>24886</v>
      </c>
      <c r="F60" s="257" t="s">
        <v>14408</v>
      </c>
      <c r="G60" s="258">
        <v>6.94</v>
      </c>
      <c r="H60" s="152"/>
      <c r="I60" s="160">
        <f t="shared" si="0"/>
        <v>103692.37000000001</v>
      </c>
    </row>
    <row r="61" spans="2:9" hidden="1" x14ac:dyDescent="0.25">
      <c r="B61" s="148"/>
      <c r="C61" s="148" t="s">
        <v>24885</v>
      </c>
      <c r="D61" s="150">
        <v>44076</v>
      </c>
      <c r="E61" s="341" t="s">
        <v>24884</v>
      </c>
      <c r="F61" s="257" t="s">
        <v>14408</v>
      </c>
      <c r="G61" s="258">
        <v>6.21</v>
      </c>
      <c r="H61" s="152"/>
      <c r="I61" s="160">
        <f t="shared" si="0"/>
        <v>103698.58000000002</v>
      </c>
    </row>
    <row r="62" spans="2:9" hidden="1" x14ac:dyDescent="0.25">
      <c r="B62" s="148"/>
      <c r="C62" s="148" t="s">
        <v>24883</v>
      </c>
      <c r="D62" s="150">
        <v>44076</v>
      </c>
      <c r="E62" s="341" t="s">
        <v>24882</v>
      </c>
      <c r="F62" s="257" t="s">
        <v>14408</v>
      </c>
      <c r="G62" s="258">
        <v>2.35</v>
      </c>
      <c r="H62" s="152"/>
      <c r="I62" s="160">
        <f t="shared" si="0"/>
        <v>103700.93000000002</v>
      </c>
    </row>
    <row r="63" spans="2:9" hidden="1" x14ac:dyDescent="0.25">
      <c r="B63" s="148"/>
      <c r="C63" s="148" t="s">
        <v>24881</v>
      </c>
      <c r="D63" s="150">
        <v>44076</v>
      </c>
      <c r="E63" s="341" t="s">
        <v>24880</v>
      </c>
      <c r="F63" s="257" t="s">
        <v>14408</v>
      </c>
      <c r="G63" s="258">
        <v>9.0299999999999994</v>
      </c>
      <c r="H63" s="152"/>
      <c r="I63" s="160">
        <f t="shared" si="0"/>
        <v>103709.96000000002</v>
      </c>
    </row>
    <row r="64" spans="2:9" hidden="1" x14ac:dyDescent="0.25">
      <c r="B64" s="148"/>
      <c r="C64" s="148" t="s">
        <v>24879</v>
      </c>
      <c r="D64" s="150">
        <v>44076</v>
      </c>
      <c r="E64" s="341" t="s">
        <v>24878</v>
      </c>
      <c r="F64" s="257" t="s">
        <v>14408</v>
      </c>
      <c r="G64" s="258">
        <v>2.09</v>
      </c>
      <c r="H64" s="152"/>
      <c r="I64" s="160">
        <f t="shared" si="0"/>
        <v>103712.05000000002</v>
      </c>
    </row>
    <row r="65" spans="2:9" hidden="1" x14ac:dyDescent="0.25">
      <c r="B65" s="148"/>
      <c r="C65" s="148" t="s">
        <v>24877</v>
      </c>
      <c r="D65" s="150">
        <v>44076</v>
      </c>
      <c r="E65" s="341" t="s">
        <v>24876</v>
      </c>
      <c r="F65" s="257" t="s">
        <v>14408</v>
      </c>
      <c r="G65" s="258">
        <v>2.0499999999999998</v>
      </c>
      <c r="H65" s="152"/>
      <c r="I65" s="160">
        <f t="shared" si="0"/>
        <v>103714.10000000002</v>
      </c>
    </row>
    <row r="66" spans="2:9" hidden="1" x14ac:dyDescent="0.25">
      <c r="B66" s="148"/>
      <c r="C66" s="148" t="s">
        <v>24875</v>
      </c>
      <c r="D66" s="150">
        <v>44076</v>
      </c>
      <c r="E66" s="341" t="s">
        <v>24874</v>
      </c>
      <c r="F66" s="257" t="s">
        <v>14408</v>
      </c>
      <c r="G66" s="258">
        <v>7.08</v>
      </c>
      <c r="H66" s="152"/>
      <c r="I66" s="160">
        <f t="shared" si="0"/>
        <v>103721.18000000002</v>
      </c>
    </row>
    <row r="67" spans="2:9" hidden="1" x14ac:dyDescent="0.25">
      <c r="B67" s="148"/>
      <c r="C67" s="148" t="s">
        <v>24873</v>
      </c>
      <c r="D67" s="150">
        <v>44076</v>
      </c>
      <c r="E67" s="341" t="s">
        <v>24872</v>
      </c>
      <c r="F67" s="257" t="s">
        <v>14408</v>
      </c>
      <c r="G67" s="258">
        <v>7.12</v>
      </c>
      <c r="H67" s="152"/>
      <c r="I67" s="160">
        <f t="shared" si="0"/>
        <v>103728.30000000002</v>
      </c>
    </row>
    <row r="68" spans="2:9" hidden="1" x14ac:dyDescent="0.25">
      <c r="B68" s="148"/>
      <c r="C68" s="148" t="s">
        <v>24871</v>
      </c>
      <c r="D68" s="150">
        <v>44076</v>
      </c>
      <c r="E68" s="341" t="s">
        <v>24870</v>
      </c>
      <c r="F68" s="257" t="s">
        <v>14408</v>
      </c>
      <c r="G68" s="258">
        <v>2.3199999999999998</v>
      </c>
      <c r="H68" s="152"/>
      <c r="I68" s="160">
        <f t="shared" si="0"/>
        <v>103730.62000000002</v>
      </c>
    </row>
    <row r="69" spans="2:9" hidden="1" x14ac:dyDescent="0.25">
      <c r="B69" s="148"/>
      <c r="C69" s="148" t="s">
        <v>24869</v>
      </c>
      <c r="D69" s="150">
        <v>44076</v>
      </c>
      <c r="E69" s="341" t="s">
        <v>24868</v>
      </c>
      <c r="F69" s="257" t="s">
        <v>14408</v>
      </c>
      <c r="G69" s="258">
        <v>4.5999999999999996</v>
      </c>
      <c r="H69" s="152"/>
      <c r="I69" s="160">
        <f t="shared" si="0"/>
        <v>103735.22000000003</v>
      </c>
    </row>
    <row r="70" spans="2:9" hidden="1" x14ac:dyDescent="0.25">
      <c r="B70" s="148"/>
      <c r="C70" s="148" t="s">
        <v>24867</v>
      </c>
      <c r="D70" s="150">
        <v>44076</v>
      </c>
      <c r="E70" s="341" t="s">
        <v>24866</v>
      </c>
      <c r="F70" s="257" t="s">
        <v>14408</v>
      </c>
      <c r="G70" s="258">
        <v>4.84</v>
      </c>
      <c r="H70" s="152"/>
      <c r="I70" s="160">
        <f t="shared" si="0"/>
        <v>103740.06000000003</v>
      </c>
    </row>
    <row r="71" spans="2:9" hidden="1" x14ac:dyDescent="0.25">
      <c r="B71" s="148"/>
      <c r="C71" s="148" t="s">
        <v>24865</v>
      </c>
      <c r="D71" s="150">
        <v>44076</v>
      </c>
      <c r="E71" s="341" t="s">
        <v>24864</v>
      </c>
      <c r="F71" s="257" t="s">
        <v>14408</v>
      </c>
      <c r="G71" s="258">
        <v>7.21</v>
      </c>
      <c r="H71" s="152"/>
      <c r="I71" s="160">
        <f t="shared" si="0"/>
        <v>103747.27000000003</v>
      </c>
    </row>
    <row r="72" spans="2:9" hidden="1" x14ac:dyDescent="0.25">
      <c r="B72" s="148"/>
      <c r="C72" s="148" t="s">
        <v>24863</v>
      </c>
      <c r="D72" s="150">
        <v>44076</v>
      </c>
      <c r="E72" s="341" t="s">
        <v>24862</v>
      </c>
      <c r="F72" s="257">
        <v>2</v>
      </c>
      <c r="G72" s="255">
        <v>1.68</v>
      </c>
      <c r="H72" s="152"/>
      <c r="I72" s="160">
        <f t="shared" si="0"/>
        <v>103748.95000000003</v>
      </c>
    </row>
    <row r="73" spans="2:9" hidden="1" x14ac:dyDescent="0.25">
      <c r="B73" s="148"/>
      <c r="C73" s="148" t="s">
        <v>24861</v>
      </c>
      <c r="D73" s="150">
        <v>44076</v>
      </c>
      <c r="E73" s="341" t="s">
        <v>24860</v>
      </c>
      <c r="F73" s="257">
        <v>2</v>
      </c>
      <c r="G73" s="255">
        <v>2.79</v>
      </c>
      <c r="H73" s="152"/>
      <c r="I73" s="160">
        <f t="shared" si="0"/>
        <v>103751.74000000002</v>
      </c>
    </row>
    <row r="74" spans="2:9" hidden="1" x14ac:dyDescent="0.25">
      <c r="B74" s="148"/>
      <c r="C74" s="148" t="s">
        <v>24859</v>
      </c>
      <c r="D74" s="150">
        <v>44076</v>
      </c>
      <c r="E74" s="341" t="s">
        <v>24858</v>
      </c>
      <c r="F74" s="257">
        <v>2</v>
      </c>
      <c r="G74" s="255">
        <v>1.68</v>
      </c>
      <c r="H74" s="152"/>
      <c r="I74" s="160">
        <f t="shared" si="0"/>
        <v>103753.42000000001</v>
      </c>
    </row>
    <row r="75" spans="2:9" hidden="1" x14ac:dyDescent="0.25">
      <c r="B75" s="148"/>
      <c r="C75" s="148" t="s">
        <v>24857</v>
      </c>
      <c r="D75" s="150">
        <v>44076</v>
      </c>
      <c r="E75" s="341" t="s">
        <v>24856</v>
      </c>
      <c r="F75" s="257" t="s">
        <v>18712</v>
      </c>
      <c r="G75" s="160">
        <v>2.17</v>
      </c>
      <c r="H75" s="152"/>
      <c r="I75" s="160">
        <f t="shared" si="0"/>
        <v>103755.59000000001</v>
      </c>
    </row>
    <row r="76" spans="2:9" hidden="1" x14ac:dyDescent="0.25">
      <c r="B76" s="148"/>
      <c r="C76" s="148" t="s">
        <v>24855</v>
      </c>
      <c r="D76" s="150">
        <v>44076</v>
      </c>
      <c r="E76" s="341" t="s">
        <v>24854</v>
      </c>
      <c r="F76" s="257">
        <v>2</v>
      </c>
      <c r="G76" s="255">
        <v>8.3800000000000008</v>
      </c>
      <c r="H76" s="152"/>
      <c r="I76" s="160">
        <f t="shared" si="0"/>
        <v>103763.97000000002</v>
      </c>
    </row>
    <row r="77" spans="2:9" hidden="1" x14ac:dyDescent="0.25">
      <c r="B77" s="148"/>
      <c r="C77" s="148" t="s">
        <v>24853</v>
      </c>
      <c r="D77" s="150">
        <v>44076</v>
      </c>
      <c r="E77" s="341" t="s">
        <v>24852</v>
      </c>
      <c r="F77" s="257">
        <v>2</v>
      </c>
      <c r="G77" s="255">
        <v>8.3800000000000008</v>
      </c>
      <c r="H77" s="152"/>
      <c r="I77" s="160">
        <f t="shared" si="0"/>
        <v>103772.35000000002</v>
      </c>
    </row>
    <row r="78" spans="2:9" hidden="1" x14ac:dyDescent="0.25">
      <c r="B78" s="148"/>
      <c r="C78" s="148" t="s">
        <v>24851</v>
      </c>
      <c r="D78" s="150">
        <v>44076</v>
      </c>
      <c r="E78" s="341" t="s">
        <v>24850</v>
      </c>
      <c r="F78" s="257">
        <v>2</v>
      </c>
      <c r="G78" s="255">
        <v>6.93</v>
      </c>
      <c r="H78" s="152"/>
      <c r="I78" s="160">
        <f t="shared" si="0"/>
        <v>103779.28000000001</v>
      </c>
    </row>
    <row r="79" spans="2:9" hidden="1" x14ac:dyDescent="0.25">
      <c r="B79" s="148"/>
      <c r="C79" s="148" t="s">
        <v>24849</v>
      </c>
      <c r="D79" s="150">
        <v>44076</v>
      </c>
      <c r="E79" s="341" t="s">
        <v>24848</v>
      </c>
      <c r="F79" s="257">
        <v>2</v>
      </c>
      <c r="G79" s="255">
        <v>7.82</v>
      </c>
      <c r="H79" s="152"/>
      <c r="I79" s="160">
        <f t="shared" si="0"/>
        <v>103787.10000000002</v>
      </c>
    </row>
    <row r="80" spans="2:9" hidden="1" x14ac:dyDescent="0.25">
      <c r="B80" s="148"/>
      <c r="C80" s="148" t="s">
        <v>24847</v>
      </c>
      <c r="D80" s="150">
        <v>44076</v>
      </c>
      <c r="E80" s="341" t="s">
        <v>24846</v>
      </c>
      <c r="F80" s="257">
        <v>2</v>
      </c>
      <c r="G80" s="255">
        <v>1.68</v>
      </c>
      <c r="H80" s="152"/>
      <c r="I80" s="160">
        <f t="shared" si="0"/>
        <v>103788.78000000001</v>
      </c>
    </row>
    <row r="81" spans="2:9" hidden="1" x14ac:dyDescent="0.25">
      <c r="B81" s="148"/>
      <c r="C81" s="148" t="s">
        <v>24845</v>
      </c>
      <c r="D81" s="150">
        <v>44076</v>
      </c>
      <c r="E81" s="341" t="s">
        <v>24844</v>
      </c>
      <c r="F81" s="257">
        <v>2</v>
      </c>
      <c r="G81" s="255">
        <v>4.1900000000000004</v>
      </c>
      <c r="H81" s="152"/>
      <c r="I81" s="160">
        <f t="shared" si="0"/>
        <v>103792.97000000002</v>
      </c>
    </row>
    <row r="82" spans="2:9" hidden="1" x14ac:dyDescent="0.25">
      <c r="B82" s="148"/>
      <c r="C82" s="148" t="s">
        <v>24843</v>
      </c>
      <c r="D82" s="150">
        <v>44076</v>
      </c>
      <c r="E82" s="341" t="s">
        <v>24842</v>
      </c>
      <c r="F82" s="257">
        <v>2</v>
      </c>
      <c r="G82" s="255">
        <v>3.36</v>
      </c>
      <c r="H82" s="152"/>
      <c r="I82" s="160">
        <f t="shared" si="0"/>
        <v>103796.33000000002</v>
      </c>
    </row>
    <row r="83" spans="2:9" hidden="1" x14ac:dyDescent="0.25">
      <c r="B83" s="148"/>
      <c r="C83" s="148" t="s">
        <v>24841</v>
      </c>
      <c r="D83" s="150">
        <v>44076</v>
      </c>
      <c r="E83" s="341" t="s">
        <v>24840</v>
      </c>
      <c r="F83" s="257">
        <v>2</v>
      </c>
      <c r="G83" s="255">
        <v>3.47</v>
      </c>
      <c r="H83" s="152"/>
      <c r="I83" s="160">
        <f t="shared" si="0"/>
        <v>103799.80000000002</v>
      </c>
    </row>
    <row r="84" spans="2:9" hidden="1" x14ac:dyDescent="0.25">
      <c r="B84" s="148"/>
      <c r="C84" s="148" t="s">
        <v>24839</v>
      </c>
      <c r="D84" s="150">
        <v>44076</v>
      </c>
      <c r="E84" s="341" t="s">
        <v>24838</v>
      </c>
      <c r="F84" s="257" t="s">
        <v>14436</v>
      </c>
      <c r="G84" s="160">
        <v>6984.33</v>
      </c>
      <c r="H84" s="152"/>
      <c r="I84" s="160">
        <f t="shared" ref="I84:I147" si="1">+I83+G84-H84</f>
        <v>110784.13000000002</v>
      </c>
    </row>
    <row r="85" spans="2:9" hidden="1" x14ac:dyDescent="0.25">
      <c r="B85" s="148"/>
      <c r="C85" s="148" t="s">
        <v>24837</v>
      </c>
      <c r="D85" s="150">
        <v>44076</v>
      </c>
      <c r="E85" s="341" t="s">
        <v>24836</v>
      </c>
      <c r="F85" s="257" t="s">
        <v>14436</v>
      </c>
      <c r="G85" s="160">
        <v>1061.0899999999999</v>
      </c>
      <c r="H85" s="152"/>
      <c r="I85" s="160">
        <f t="shared" si="1"/>
        <v>111845.22000000002</v>
      </c>
    </row>
    <row r="86" spans="2:9" hidden="1" x14ac:dyDescent="0.25">
      <c r="B86" s="148"/>
      <c r="C86" s="148" t="s">
        <v>24835</v>
      </c>
      <c r="D86" s="150">
        <v>44076</v>
      </c>
      <c r="E86" s="341" t="s">
        <v>24834</v>
      </c>
      <c r="F86" s="257">
        <v>2</v>
      </c>
      <c r="G86" s="255">
        <v>4.1900000000000004</v>
      </c>
      <c r="H86" s="152"/>
      <c r="I86" s="160">
        <f t="shared" si="1"/>
        <v>111849.41000000002</v>
      </c>
    </row>
    <row r="87" spans="2:9" hidden="1" x14ac:dyDescent="0.25">
      <c r="B87" s="148"/>
      <c r="C87" s="148" t="s">
        <v>24833</v>
      </c>
      <c r="D87" s="150">
        <v>44076</v>
      </c>
      <c r="E87" s="341" t="s">
        <v>24832</v>
      </c>
      <c r="F87" s="257">
        <v>2</v>
      </c>
      <c r="G87" s="255">
        <v>17.899999999999999</v>
      </c>
      <c r="H87" s="152"/>
      <c r="I87" s="160">
        <f t="shared" si="1"/>
        <v>111867.31000000001</v>
      </c>
    </row>
    <row r="88" spans="2:9" hidden="1" x14ac:dyDescent="0.25">
      <c r="B88" s="148"/>
      <c r="C88" s="148" t="s">
        <v>24831</v>
      </c>
      <c r="D88" s="150">
        <v>44076</v>
      </c>
      <c r="E88" s="341" t="s">
        <v>24830</v>
      </c>
      <c r="F88" s="257">
        <v>2</v>
      </c>
      <c r="G88" s="255">
        <v>7.82</v>
      </c>
      <c r="H88" s="152"/>
      <c r="I88" s="160">
        <f t="shared" si="1"/>
        <v>111875.13000000002</v>
      </c>
    </row>
    <row r="89" spans="2:9" hidden="1" x14ac:dyDescent="0.25">
      <c r="B89" s="148"/>
      <c r="C89" s="148" t="s">
        <v>24829</v>
      </c>
      <c r="D89" s="150">
        <v>44076</v>
      </c>
      <c r="E89" s="341" t="s">
        <v>24828</v>
      </c>
      <c r="F89" s="257">
        <v>2</v>
      </c>
      <c r="G89" s="255">
        <v>12.3</v>
      </c>
      <c r="H89" s="152"/>
      <c r="I89" s="160">
        <f t="shared" si="1"/>
        <v>111887.43000000002</v>
      </c>
    </row>
    <row r="90" spans="2:9" hidden="1" x14ac:dyDescent="0.25">
      <c r="B90" s="148"/>
      <c r="C90" s="148" t="s">
        <v>24827</v>
      </c>
      <c r="D90" s="150">
        <v>44076</v>
      </c>
      <c r="E90" s="341" t="s">
        <v>24826</v>
      </c>
      <c r="F90" s="257">
        <v>2</v>
      </c>
      <c r="G90" s="255">
        <v>1.85</v>
      </c>
      <c r="H90" s="152"/>
      <c r="I90" s="160">
        <f t="shared" si="1"/>
        <v>111889.28000000003</v>
      </c>
    </row>
    <row r="91" spans="2:9" hidden="1" x14ac:dyDescent="0.25">
      <c r="B91" s="148"/>
      <c r="C91" s="148" t="s">
        <v>24825</v>
      </c>
      <c r="D91" s="150">
        <v>44076</v>
      </c>
      <c r="E91" s="341" t="s">
        <v>24824</v>
      </c>
      <c r="F91" s="257">
        <v>2</v>
      </c>
      <c r="G91" s="255">
        <v>1.75</v>
      </c>
      <c r="H91" s="152"/>
      <c r="I91" s="160">
        <f t="shared" si="1"/>
        <v>111891.03000000003</v>
      </c>
    </row>
    <row r="92" spans="2:9" hidden="1" x14ac:dyDescent="0.25">
      <c r="B92" s="148"/>
      <c r="C92" s="148" t="s">
        <v>24823</v>
      </c>
      <c r="D92" s="150">
        <v>44076</v>
      </c>
      <c r="E92" s="341" t="s">
        <v>24822</v>
      </c>
      <c r="F92" s="257">
        <v>2</v>
      </c>
      <c r="G92" s="255">
        <v>1.68</v>
      </c>
      <c r="H92" s="152"/>
      <c r="I92" s="160">
        <f t="shared" si="1"/>
        <v>111892.71000000002</v>
      </c>
    </row>
    <row r="93" spans="2:9" hidden="1" x14ac:dyDescent="0.25">
      <c r="B93" s="148"/>
      <c r="C93" s="148" t="s">
        <v>24821</v>
      </c>
      <c r="D93" s="150">
        <v>44076</v>
      </c>
      <c r="E93" s="341" t="s">
        <v>24820</v>
      </c>
      <c r="F93" s="257">
        <v>2</v>
      </c>
      <c r="G93" s="255">
        <v>8.3800000000000008</v>
      </c>
      <c r="H93" s="152"/>
      <c r="I93" s="160">
        <f t="shared" si="1"/>
        <v>111901.09000000003</v>
      </c>
    </row>
    <row r="94" spans="2:9" hidden="1" x14ac:dyDescent="0.25">
      <c r="B94" s="148"/>
      <c r="C94" s="148" t="s">
        <v>24819</v>
      </c>
      <c r="D94" s="150">
        <v>44076</v>
      </c>
      <c r="E94" s="341" t="s">
        <v>24818</v>
      </c>
      <c r="F94" s="257">
        <v>2</v>
      </c>
      <c r="G94" s="255">
        <v>2.13</v>
      </c>
      <c r="H94" s="152"/>
      <c r="I94" s="160">
        <f t="shared" si="1"/>
        <v>111903.22000000003</v>
      </c>
    </row>
    <row r="95" spans="2:9" hidden="1" x14ac:dyDescent="0.25">
      <c r="B95" s="148"/>
      <c r="C95" s="148" t="s">
        <v>24817</v>
      </c>
      <c r="D95" s="150">
        <v>44076</v>
      </c>
      <c r="E95" s="341" t="s">
        <v>24816</v>
      </c>
      <c r="F95" s="257">
        <v>2</v>
      </c>
      <c r="G95" s="255">
        <v>9.7899999999999991</v>
      </c>
      <c r="H95" s="152"/>
      <c r="I95" s="160">
        <f t="shared" si="1"/>
        <v>111913.01000000002</v>
      </c>
    </row>
    <row r="96" spans="2:9" hidden="1" x14ac:dyDescent="0.25">
      <c r="B96" s="148"/>
      <c r="C96" s="148" t="s">
        <v>24815</v>
      </c>
      <c r="D96" s="150">
        <v>44076</v>
      </c>
      <c r="E96" s="341" t="s">
        <v>24814</v>
      </c>
      <c r="F96" s="257">
        <v>2</v>
      </c>
      <c r="G96" s="255">
        <v>7.82</v>
      </c>
      <c r="H96" s="152"/>
      <c r="I96" s="160">
        <f t="shared" si="1"/>
        <v>111920.83000000003</v>
      </c>
    </row>
    <row r="97" spans="2:9" hidden="1" x14ac:dyDescent="0.25">
      <c r="B97" s="148"/>
      <c r="C97" s="148" t="s">
        <v>24813</v>
      </c>
      <c r="D97" s="150">
        <v>44076</v>
      </c>
      <c r="E97" s="341" t="s">
        <v>24812</v>
      </c>
      <c r="F97" s="257">
        <v>2</v>
      </c>
      <c r="G97" s="255">
        <v>6.94</v>
      </c>
      <c r="H97" s="152"/>
      <c r="I97" s="160">
        <f t="shared" si="1"/>
        <v>111927.77000000003</v>
      </c>
    </row>
    <row r="98" spans="2:9" hidden="1" x14ac:dyDescent="0.25">
      <c r="B98" s="148"/>
      <c r="C98" s="148" t="s">
        <v>24811</v>
      </c>
      <c r="D98" s="150">
        <v>44076</v>
      </c>
      <c r="E98" s="341" t="s">
        <v>24810</v>
      </c>
      <c r="F98" s="257">
        <v>2</v>
      </c>
      <c r="G98" s="255">
        <v>6.45</v>
      </c>
      <c r="H98" s="152"/>
      <c r="I98" s="160">
        <f t="shared" si="1"/>
        <v>111934.22000000003</v>
      </c>
    </row>
    <row r="99" spans="2:9" hidden="1" x14ac:dyDescent="0.25">
      <c r="B99" s="148"/>
      <c r="C99" s="148" t="s">
        <v>24809</v>
      </c>
      <c r="D99" s="150">
        <v>44076</v>
      </c>
      <c r="E99" s="341" t="s">
        <v>24808</v>
      </c>
      <c r="F99" s="257">
        <v>2</v>
      </c>
      <c r="G99" s="255">
        <v>1.72</v>
      </c>
      <c r="H99" s="152"/>
      <c r="I99" s="160">
        <f t="shared" si="1"/>
        <v>111935.94000000003</v>
      </c>
    </row>
    <row r="100" spans="2:9" hidden="1" x14ac:dyDescent="0.25">
      <c r="B100" s="148"/>
      <c r="C100" s="148" t="s">
        <v>24807</v>
      </c>
      <c r="D100" s="150">
        <v>44076</v>
      </c>
      <c r="E100" s="341" t="s">
        <v>24806</v>
      </c>
      <c r="F100" s="257">
        <v>2</v>
      </c>
      <c r="G100" s="255">
        <v>4.08</v>
      </c>
      <c r="H100" s="152"/>
      <c r="I100" s="160">
        <f t="shared" si="1"/>
        <v>111940.02000000003</v>
      </c>
    </row>
    <row r="101" spans="2:9" hidden="1" x14ac:dyDescent="0.25">
      <c r="B101" s="148"/>
      <c r="C101" s="148" t="s">
        <v>24805</v>
      </c>
      <c r="D101" s="150">
        <v>44076</v>
      </c>
      <c r="E101" s="341" t="s">
        <v>24804</v>
      </c>
      <c r="F101" s="257">
        <v>2</v>
      </c>
      <c r="G101" s="255">
        <v>7.82</v>
      </c>
      <c r="H101" s="152"/>
      <c r="I101" s="160">
        <f t="shared" si="1"/>
        <v>111947.84000000004</v>
      </c>
    </row>
    <row r="102" spans="2:9" hidden="1" x14ac:dyDescent="0.25">
      <c r="B102" s="148"/>
      <c r="C102" s="148" t="s">
        <v>24803</v>
      </c>
      <c r="D102" s="150">
        <v>44076</v>
      </c>
      <c r="E102" s="341" t="s">
        <v>24802</v>
      </c>
      <c r="F102" s="257">
        <v>2</v>
      </c>
      <c r="G102" s="255">
        <v>4.51</v>
      </c>
      <c r="H102" s="152"/>
      <c r="I102" s="160">
        <f t="shared" si="1"/>
        <v>111952.35000000003</v>
      </c>
    </row>
    <row r="103" spans="2:9" hidden="1" x14ac:dyDescent="0.25">
      <c r="B103" s="148"/>
      <c r="C103" s="148" t="s">
        <v>24801</v>
      </c>
      <c r="D103" s="150">
        <v>44076</v>
      </c>
      <c r="E103" s="341" t="s">
        <v>24800</v>
      </c>
      <c r="F103" s="257">
        <v>2</v>
      </c>
      <c r="G103" s="255">
        <v>2.84</v>
      </c>
      <c r="H103" s="152"/>
      <c r="I103" s="160">
        <f t="shared" si="1"/>
        <v>111955.19000000003</v>
      </c>
    </row>
    <row r="104" spans="2:9" hidden="1" x14ac:dyDescent="0.25">
      <c r="B104" s="148"/>
      <c r="C104" s="148" t="s">
        <v>24799</v>
      </c>
      <c r="D104" s="150">
        <v>44076</v>
      </c>
      <c r="E104" s="341" t="s">
        <v>24798</v>
      </c>
      <c r="F104" s="257">
        <v>2</v>
      </c>
      <c r="G104" s="255">
        <v>8.3800000000000008</v>
      </c>
      <c r="H104" s="152"/>
      <c r="I104" s="160">
        <f t="shared" si="1"/>
        <v>111963.57000000004</v>
      </c>
    </row>
    <row r="105" spans="2:9" hidden="1" x14ac:dyDescent="0.25">
      <c r="B105" s="148"/>
      <c r="C105" s="148" t="s">
        <v>24797</v>
      </c>
      <c r="D105" s="150">
        <v>44076</v>
      </c>
      <c r="E105" s="341" t="s">
        <v>24796</v>
      </c>
      <c r="F105" s="257">
        <v>2</v>
      </c>
      <c r="G105" s="255">
        <v>6.94</v>
      </c>
      <c r="H105" s="152"/>
      <c r="I105" s="160">
        <f t="shared" si="1"/>
        <v>111970.51000000004</v>
      </c>
    </row>
    <row r="106" spans="2:9" hidden="1" x14ac:dyDescent="0.25">
      <c r="B106" s="148"/>
      <c r="C106" s="148" t="s">
        <v>24795</v>
      </c>
      <c r="D106" s="150">
        <v>44076</v>
      </c>
      <c r="E106" s="341" t="s">
        <v>24794</v>
      </c>
      <c r="F106" s="257">
        <v>2</v>
      </c>
      <c r="G106" s="255">
        <v>2.2599999999999998</v>
      </c>
      <c r="H106" s="152"/>
      <c r="I106" s="160">
        <f t="shared" si="1"/>
        <v>111972.77000000003</v>
      </c>
    </row>
    <row r="107" spans="2:9" hidden="1" x14ac:dyDescent="0.25">
      <c r="B107" s="148"/>
      <c r="C107" s="148" t="s">
        <v>24793</v>
      </c>
      <c r="D107" s="150">
        <v>44076</v>
      </c>
      <c r="E107" s="341" t="s">
        <v>24792</v>
      </c>
      <c r="F107" s="257">
        <v>2</v>
      </c>
      <c r="G107" s="255">
        <v>2.41</v>
      </c>
      <c r="H107" s="152"/>
      <c r="I107" s="160">
        <f t="shared" si="1"/>
        <v>111975.18000000004</v>
      </c>
    </row>
    <row r="108" spans="2:9" hidden="1" x14ac:dyDescent="0.25">
      <c r="B108" s="148"/>
      <c r="C108" s="148" t="s">
        <v>24791</v>
      </c>
      <c r="D108" s="150">
        <v>44076</v>
      </c>
      <c r="E108" s="341" t="s">
        <v>24790</v>
      </c>
      <c r="F108" s="257">
        <v>2</v>
      </c>
      <c r="G108" s="255">
        <v>1.68</v>
      </c>
      <c r="H108" s="152"/>
      <c r="I108" s="160">
        <f t="shared" si="1"/>
        <v>111976.86000000003</v>
      </c>
    </row>
    <row r="109" spans="2:9" hidden="1" x14ac:dyDescent="0.25">
      <c r="B109" s="148"/>
      <c r="C109" s="148" t="s">
        <v>24789</v>
      </c>
      <c r="D109" s="150">
        <v>44076</v>
      </c>
      <c r="E109" s="341" t="s">
        <v>24788</v>
      </c>
      <c r="F109" s="257">
        <v>2</v>
      </c>
      <c r="G109" s="255">
        <v>1.71</v>
      </c>
      <c r="H109" s="152"/>
      <c r="I109" s="160">
        <f t="shared" si="1"/>
        <v>111978.57000000004</v>
      </c>
    </row>
    <row r="110" spans="2:9" hidden="1" x14ac:dyDescent="0.25">
      <c r="B110" s="148"/>
      <c r="C110" s="148" t="s">
        <v>24787</v>
      </c>
      <c r="D110" s="150">
        <v>44076</v>
      </c>
      <c r="E110" s="341" t="s">
        <v>24786</v>
      </c>
      <c r="F110" s="257">
        <v>2</v>
      </c>
      <c r="G110" s="255">
        <v>8.3800000000000008</v>
      </c>
      <c r="H110" s="152"/>
      <c r="I110" s="160">
        <f t="shared" si="1"/>
        <v>111986.95000000004</v>
      </c>
    </row>
    <row r="111" spans="2:9" hidden="1" x14ac:dyDescent="0.25">
      <c r="B111" s="148"/>
      <c r="C111" s="148" t="s">
        <v>24785</v>
      </c>
      <c r="D111" s="150">
        <v>44076</v>
      </c>
      <c r="E111" s="341" t="s">
        <v>24784</v>
      </c>
      <c r="F111" s="257">
        <v>2</v>
      </c>
      <c r="G111" s="255">
        <v>14.69</v>
      </c>
      <c r="H111" s="152"/>
      <c r="I111" s="160">
        <f t="shared" si="1"/>
        <v>112001.64000000004</v>
      </c>
    </row>
    <row r="112" spans="2:9" hidden="1" x14ac:dyDescent="0.25">
      <c r="B112" s="148"/>
      <c r="C112" s="148" t="s">
        <v>24783</v>
      </c>
      <c r="D112" s="150">
        <v>44076</v>
      </c>
      <c r="E112" s="341" t="s">
        <v>24782</v>
      </c>
      <c r="F112" s="257">
        <v>2</v>
      </c>
      <c r="G112" s="255">
        <v>1.81</v>
      </c>
      <c r="H112" s="152"/>
      <c r="I112" s="160">
        <f t="shared" si="1"/>
        <v>112003.45000000004</v>
      </c>
    </row>
    <row r="113" spans="2:9" hidden="1" x14ac:dyDescent="0.25">
      <c r="B113" s="148"/>
      <c r="C113" s="148" t="s">
        <v>24781</v>
      </c>
      <c r="D113" s="150">
        <v>44076</v>
      </c>
      <c r="E113" s="341" t="s">
        <v>24780</v>
      </c>
      <c r="F113" s="257">
        <v>2</v>
      </c>
      <c r="G113" s="255">
        <v>75.11</v>
      </c>
      <c r="H113" s="152"/>
      <c r="I113" s="160">
        <f t="shared" si="1"/>
        <v>112078.56000000004</v>
      </c>
    </row>
    <row r="114" spans="2:9" hidden="1" x14ac:dyDescent="0.25">
      <c r="B114" s="148"/>
      <c r="C114" s="148" t="s">
        <v>24779</v>
      </c>
      <c r="D114" s="150">
        <v>44076</v>
      </c>
      <c r="E114" s="341" t="s">
        <v>24778</v>
      </c>
      <c r="F114" s="257">
        <v>2</v>
      </c>
      <c r="G114" s="255">
        <v>8.3800000000000008</v>
      </c>
      <c r="H114" s="152"/>
      <c r="I114" s="160">
        <f t="shared" si="1"/>
        <v>112086.94000000005</v>
      </c>
    </row>
    <row r="115" spans="2:9" hidden="1" x14ac:dyDescent="0.25">
      <c r="B115" s="148"/>
      <c r="C115" s="148" t="s">
        <v>24777</v>
      </c>
      <c r="D115" s="150">
        <v>44076</v>
      </c>
      <c r="E115" s="341" t="s">
        <v>24776</v>
      </c>
      <c r="F115" s="257">
        <v>2</v>
      </c>
      <c r="G115" s="255">
        <v>3.36</v>
      </c>
      <c r="H115" s="152"/>
      <c r="I115" s="160">
        <f t="shared" si="1"/>
        <v>112090.30000000005</v>
      </c>
    </row>
    <row r="116" spans="2:9" hidden="1" x14ac:dyDescent="0.25">
      <c r="B116" s="148"/>
      <c r="C116" s="148" t="s">
        <v>24775</v>
      </c>
      <c r="D116" s="150">
        <v>44076</v>
      </c>
      <c r="E116" s="341" t="s">
        <v>24774</v>
      </c>
      <c r="F116" s="257">
        <v>2</v>
      </c>
      <c r="G116" s="255">
        <v>15.3</v>
      </c>
      <c r="H116" s="152"/>
      <c r="I116" s="160">
        <f t="shared" si="1"/>
        <v>112105.60000000005</v>
      </c>
    </row>
    <row r="117" spans="2:9" hidden="1" x14ac:dyDescent="0.25">
      <c r="B117" s="148"/>
      <c r="C117" s="148" t="s">
        <v>24773</v>
      </c>
      <c r="D117" s="150">
        <v>44076</v>
      </c>
      <c r="E117" s="341" t="s">
        <v>24772</v>
      </c>
      <c r="F117" s="257">
        <v>2</v>
      </c>
      <c r="G117" s="255">
        <v>15.3</v>
      </c>
      <c r="H117" s="152"/>
      <c r="I117" s="160">
        <f t="shared" si="1"/>
        <v>112120.90000000005</v>
      </c>
    </row>
    <row r="118" spans="2:9" hidden="1" x14ac:dyDescent="0.25">
      <c r="B118" s="148"/>
      <c r="C118" s="148" t="s">
        <v>24771</v>
      </c>
      <c r="D118" s="150">
        <v>44076</v>
      </c>
      <c r="E118" s="341" t="s">
        <v>24770</v>
      </c>
      <c r="F118" s="257">
        <v>2</v>
      </c>
      <c r="G118" s="255">
        <v>15.3</v>
      </c>
      <c r="H118" s="152"/>
      <c r="I118" s="160">
        <f t="shared" si="1"/>
        <v>112136.20000000006</v>
      </c>
    </row>
    <row r="119" spans="2:9" hidden="1" x14ac:dyDescent="0.25">
      <c r="B119" s="148"/>
      <c r="C119" s="148" t="s">
        <v>24769</v>
      </c>
      <c r="D119" s="150">
        <v>44076</v>
      </c>
      <c r="E119" s="341" t="s">
        <v>24768</v>
      </c>
      <c r="F119" s="257">
        <v>2</v>
      </c>
      <c r="G119" s="255">
        <v>21.17</v>
      </c>
      <c r="H119" s="152"/>
      <c r="I119" s="160">
        <f t="shared" si="1"/>
        <v>112157.37000000005</v>
      </c>
    </row>
    <row r="120" spans="2:9" hidden="1" x14ac:dyDescent="0.25">
      <c r="B120" s="148"/>
      <c r="C120" s="148" t="s">
        <v>24767</v>
      </c>
      <c r="D120" s="150">
        <v>44076</v>
      </c>
      <c r="E120" s="341" t="s">
        <v>24766</v>
      </c>
      <c r="F120" s="257">
        <v>2</v>
      </c>
      <c r="G120" s="255">
        <v>30.6</v>
      </c>
      <c r="H120" s="152"/>
      <c r="I120" s="160">
        <f t="shared" si="1"/>
        <v>112187.97000000006</v>
      </c>
    </row>
    <row r="121" spans="2:9" hidden="1" x14ac:dyDescent="0.25">
      <c r="B121" s="148"/>
      <c r="C121" s="148" t="s">
        <v>24765</v>
      </c>
      <c r="D121" s="150">
        <v>44076</v>
      </c>
      <c r="E121" s="341" t="s">
        <v>24764</v>
      </c>
      <c r="F121" s="257">
        <v>2</v>
      </c>
      <c r="G121" s="255">
        <v>15.3</v>
      </c>
      <c r="H121" s="152"/>
      <c r="I121" s="160">
        <f t="shared" si="1"/>
        <v>112203.27000000006</v>
      </c>
    </row>
    <row r="122" spans="2:9" hidden="1" x14ac:dyDescent="0.25">
      <c r="B122" s="148"/>
      <c r="C122" s="148" t="s">
        <v>24763</v>
      </c>
      <c r="D122" s="150">
        <v>44076</v>
      </c>
      <c r="E122" s="341" t="s">
        <v>24762</v>
      </c>
      <c r="F122" s="257">
        <v>2</v>
      </c>
      <c r="G122" s="255">
        <v>1.68</v>
      </c>
      <c r="H122" s="152"/>
      <c r="I122" s="160">
        <f t="shared" si="1"/>
        <v>112204.95000000006</v>
      </c>
    </row>
    <row r="123" spans="2:9" hidden="1" x14ac:dyDescent="0.25">
      <c r="B123" s="148"/>
      <c r="C123" s="148" t="s">
        <v>24761</v>
      </c>
      <c r="D123" s="150">
        <v>44076</v>
      </c>
      <c r="E123" s="341" t="s">
        <v>24760</v>
      </c>
      <c r="F123" s="257">
        <v>2</v>
      </c>
      <c r="G123" s="255">
        <v>4.6500000000000004</v>
      </c>
      <c r="H123" s="152"/>
      <c r="I123" s="160">
        <f t="shared" si="1"/>
        <v>112209.60000000005</v>
      </c>
    </row>
    <row r="124" spans="2:9" hidden="1" x14ac:dyDescent="0.25">
      <c r="B124" s="148"/>
      <c r="C124" s="148" t="s">
        <v>24759</v>
      </c>
      <c r="D124" s="150">
        <v>44076</v>
      </c>
      <c r="E124" s="341" t="s">
        <v>24758</v>
      </c>
      <c r="F124" s="257">
        <v>2</v>
      </c>
      <c r="G124" s="255">
        <v>16.73</v>
      </c>
      <c r="H124" s="152"/>
      <c r="I124" s="160">
        <f t="shared" si="1"/>
        <v>112226.33000000005</v>
      </c>
    </row>
    <row r="125" spans="2:9" hidden="1" x14ac:dyDescent="0.25">
      <c r="B125" s="148"/>
      <c r="C125" s="148" t="s">
        <v>24757</v>
      </c>
      <c r="D125" s="150">
        <v>44076</v>
      </c>
      <c r="E125" s="341" t="s">
        <v>24756</v>
      </c>
      <c r="F125" s="257">
        <v>2</v>
      </c>
      <c r="G125" s="255">
        <v>2.4900000000000002</v>
      </c>
      <c r="H125" s="152"/>
      <c r="I125" s="160">
        <f t="shared" si="1"/>
        <v>112228.82000000005</v>
      </c>
    </row>
    <row r="126" spans="2:9" hidden="1" x14ac:dyDescent="0.25">
      <c r="B126" s="148"/>
      <c r="C126" s="148" t="s">
        <v>24755</v>
      </c>
      <c r="D126" s="150">
        <v>44077</v>
      </c>
      <c r="E126" s="341" t="s">
        <v>24754</v>
      </c>
      <c r="F126" s="257" t="s">
        <v>14408</v>
      </c>
      <c r="G126" s="258">
        <v>22.04</v>
      </c>
      <c r="H126" s="152"/>
      <c r="I126" s="160">
        <f t="shared" si="1"/>
        <v>112250.86000000004</v>
      </c>
    </row>
    <row r="127" spans="2:9" hidden="1" x14ac:dyDescent="0.25">
      <c r="B127" s="148"/>
      <c r="C127" s="148" t="s">
        <v>24753</v>
      </c>
      <c r="D127" s="150">
        <v>44077</v>
      </c>
      <c r="E127" s="341" t="s">
        <v>24752</v>
      </c>
      <c r="F127" s="257" t="s">
        <v>14408</v>
      </c>
      <c r="G127" s="258">
        <v>1.72</v>
      </c>
      <c r="H127" s="152"/>
      <c r="I127" s="160">
        <f t="shared" si="1"/>
        <v>112252.58000000005</v>
      </c>
    </row>
    <row r="128" spans="2:9" hidden="1" x14ac:dyDescent="0.25">
      <c r="B128" s="148"/>
      <c r="C128" s="148" t="s">
        <v>24751</v>
      </c>
      <c r="D128" s="150">
        <v>44077</v>
      </c>
      <c r="E128" s="341" t="s">
        <v>24750</v>
      </c>
      <c r="F128" s="257" t="s">
        <v>14408</v>
      </c>
      <c r="G128" s="258">
        <v>3.03</v>
      </c>
      <c r="H128" s="152"/>
      <c r="I128" s="160">
        <f t="shared" si="1"/>
        <v>112255.61000000004</v>
      </c>
    </row>
    <row r="129" spans="2:9" hidden="1" x14ac:dyDescent="0.25">
      <c r="B129" s="148"/>
      <c r="C129" s="148" t="s">
        <v>24749</v>
      </c>
      <c r="D129" s="150">
        <v>44077</v>
      </c>
      <c r="E129" s="341" t="s">
        <v>24748</v>
      </c>
      <c r="F129" s="257" t="s">
        <v>14408</v>
      </c>
      <c r="G129" s="258">
        <v>4.12</v>
      </c>
      <c r="H129" s="152"/>
      <c r="I129" s="160">
        <f t="shared" si="1"/>
        <v>112259.73000000004</v>
      </c>
    </row>
    <row r="130" spans="2:9" hidden="1" x14ac:dyDescent="0.25">
      <c r="B130" s="148"/>
      <c r="C130" s="148" t="s">
        <v>24747</v>
      </c>
      <c r="D130" s="150">
        <v>44077</v>
      </c>
      <c r="E130" s="341" t="s">
        <v>24746</v>
      </c>
      <c r="F130" s="257" t="s">
        <v>14408</v>
      </c>
      <c r="G130" s="258">
        <v>7.12</v>
      </c>
      <c r="H130" s="152"/>
      <c r="I130" s="160">
        <f t="shared" si="1"/>
        <v>112266.85000000003</v>
      </c>
    </row>
    <row r="131" spans="2:9" hidden="1" x14ac:dyDescent="0.25">
      <c r="B131" s="148"/>
      <c r="C131" s="148" t="s">
        <v>24745</v>
      </c>
      <c r="D131" s="150">
        <v>44077</v>
      </c>
      <c r="E131" s="341" t="s">
        <v>24744</v>
      </c>
      <c r="F131" s="257" t="s">
        <v>14408</v>
      </c>
      <c r="G131" s="258">
        <v>62.98</v>
      </c>
      <c r="H131" s="152"/>
      <c r="I131" s="160">
        <f t="shared" si="1"/>
        <v>112329.83000000003</v>
      </c>
    </row>
    <row r="132" spans="2:9" hidden="1" x14ac:dyDescent="0.25">
      <c r="B132" s="148"/>
      <c r="C132" s="148" t="s">
        <v>24743</v>
      </c>
      <c r="D132" s="150">
        <v>44077</v>
      </c>
      <c r="E132" s="341" t="s">
        <v>24742</v>
      </c>
      <c r="F132" s="257" t="s">
        <v>14408</v>
      </c>
      <c r="G132" s="258">
        <v>15.93</v>
      </c>
      <c r="H132" s="152"/>
      <c r="I132" s="160">
        <f t="shared" si="1"/>
        <v>112345.76000000002</v>
      </c>
    </row>
    <row r="133" spans="2:9" hidden="1" x14ac:dyDescent="0.25">
      <c r="B133" s="148"/>
      <c r="C133" s="148" t="s">
        <v>24741</v>
      </c>
      <c r="D133" s="150">
        <v>44077</v>
      </c>
      <c r="E133" s="341" t="s">
        <v>24740</v>
      </c>
      <c r="F133" s="257" t="s">
        <v>14408</v>
      </c>
      <c r="G133" s="258">
        <v>6.94</v>
      </c>
      <c r="H133" s="152"/>
      <c r="I133" s="160">
        <f t="shared" si="1"/>
        <v>112352.70000000003</v>
      </c>
    </row>
    <row r="134" spans="2:9" hidden="1" x14ac:dyDescent="0.25">
      <c r="B134" s="148"/>
      <c r="C134" s="148" t="s">
        <v>24739</v>
      </c>
      <c r="D134" s="150">
        <v>44077</v>
      </c>
      <c r="E134" s="341" t="s">
        <v>24738</v>
      </c>
      <c r="F134" s="257" t="s">
        <v>14408</v>
      </c>
      <c r="G134" s="258">
        <v>4.51</v>
      </c>
      <c r="H134" s="152"/>
      <c r="I134" s="160">
        <f t="shared" si="1"/>
        <v>112357.21000000002</v>
      </c>
    </row>
    <row r="135" spans="2:9" hidden="1" x14ac:dyDescent="0.25">
      <c r="B135" s="148"/>
      <c r="C135" s="148" t="s">
        <v>24737</v>
      </c>
      <c r="D135" s="150">
        <v>44077</v>
      </c>
      <c r="E135" s="341" t="s">
        <v>24736</v>
      </c>
      <c r="F135" s="257" t="s">
        <v>14408</v>
      </c>
      <c r="G135" s="258">
        <v>2.56</v>
      </c>
      <c r="H135" s="152"/>
      <c r="I135" s="160">
        <f t="shared" si="1"/>
        <v>112359.77000000002</v>
      </c>
    </row>
    <row r="136" spans="2:9" hidden="1" x14ac:dyDescent="0.25">
      <c r="B136" s="148"/>
      <c r="C136" s="148" t="s">
        <v>24735</v>
      </c>
      <c r="D136" s="150">
        <v>44077</v>
      </c>
      <c r="E136" s="341" t="s">
        <v>24734</v>
      </c>
      <c r="F136" s="257" t="s">
        <v>14408</v>
      </c>
      <c r="G136" s="258">
        <v>2.5299999999999998</v>
      </c>
      <c r="H136" s="152"/>
      <c r="I136" s="160">
        <f t="shared" si="1"/>
        <v>112362.30000000002</v>
      </c>
    </row>
    <row r="137" spans="2:9" hidden="1" x14ac:dyDescent="0.25">
      <c r="B137" s="148"/>
      <c r="C137" s="148" t="s">
        <v>24733</v>
      </c>
      <c r="D137" s="150">
        <v>44077</v>
      </c>
      <c r="E137" s="341" t="s">
        <v>24732</v>
      </c>
      <c r="F137" s="257" t="s">
        <v>14408</v>
      </c>
      <c r="G137" s="258">
        <v>11.05</v>
      </c>
      <c r="H137" s="152"/>
      <c r="I137" s="160">
        <f t="shared" si="1"/>
        <v>112373.35000000002</v>
      </c>
    </row>
    <row r="138" spans="2:9" hidden="1" x14ac:dyDescent="0.25">
      <c r="B138" s="148"/>
      <c r="C138" s="148" t="s">
        <v>24731</v>
      </c>
      <c r="D138" s="150">
        <v>44077</v>
      </c>
      <c r="E138" s="341" t="s">
        <v>24730</v>
      </c>
      <c r="F138" s="257" t="s">
        <v>14408</v>
      </c>
      <c r="G138" s="258">
        <v>1.68</v>
      </c>
      <c r="H138" s="152"/>
      <c r="I138" s="160">
        <f t="shared" si="1"/>
        <v>112375.03000000001</v>
      </c>
    </row>
    <row r="139" spans="2:9" ht="19.5" hidden="1" x14ac:dyDescent="0.25">
      <c r="B139" s="148"/>
      <c r="C139" s="148" t="s">
        <v>24729</v>
      </c>
      <c r="D139" s="150">
        <v>44077</v>
      </c>
      <c r="E139" s="341" t="s">
        <v>24728</v>
      </c>
      <c r="F139" s="257" t="s">
        <v>14408</v>
      </c>
      <c r="G139" s="258">
        <v>27.75</v>
      </c>
      <c r="H139" s="152"/>
      <c r="I139" s="160">
        <f t="shared" si="1"/>
        <v>112402.78000000001</v>
      </c>
    </row>
    <row r="140" spans="2:9" hidden="1" x14ac:dyDescent="0.25">
      <c r="B140" s="148"/>
      <c r="C140" s="148" t="s">
        <v>24727</v>
      </c>
      <c r="D140" s="150">
        <v>44077</v>
      </c>
      <c r="E140" s="341" t="s">
        <v>24726</v>
      </c>
      <c r="F140" s="257" t="s">
        <v>14408</v>
      </c>
      <c r="G140" s="258">
        <v>5.19</v>
      </c>
      <c r="H140" s="152"/>
      <c r="I140" s="160">
        <f t="shared" si="1"/>
        <v>112407.97000000002</v>
      </c>
    </row>
    <row r="141" spans="2:9" hidden="1" x14ac:dyDescent="0.25">
      <c r="B141" s="148"/>
      <c r="C141" s="148" t="s">
        <v>24725</v>
      </c>
      <c r="D141" s="150">
        <v>44077</v>
      </c>
      <c r="E141" s="341" t="s">
        <v>24724</v>
      </c>
      <c r="F141" s="257" t="s">
        <v>14408</v>
      </c>
      <c r="G141" s="258">
        <v>17.73</v>
      </c>
      <c r="H141" s="152"/>
      <c r="I141" s="160">
        <f t="shared" si="1"/>
        <v>112425.70000000001</v>
      </c>
    </row>
    <row r="142" spans="2:9" hidden="1" x14ac:dyDescent="0.25">
      <c r="B142" s="148"/>
      <c r="C142" s="148" t="s">
        <v>24723</v>
      </c>
      <c r="D142" s="150">
        <v>44077</v>
      </c>
      <c r="E142" s="341" t="s">
        <v>24722</v>
      </c>
      <c r="F142" s="257" t="s">
        <v>14408</v>
      </c>
      <c r="G142" s="258">
        <v>2.7</v>
      </c>
      <c r="H142" s="152"/>
      <c r="I142" s="160">
        <f t="shared" si="1"/>
        <v>112428.40000000001</v>
      </c>
    </row>
    <row r="143" spans="2:9" hidden="1" x14ac:dyDescent="0.25">
      <c r="B143" s="148"/>
      <c r="C143" s="148" t="s">
        <v>24721</v>
      </c>
      <c r="D143" s="150">
        <v>44077</v>
      </c>
      <c r="E143" s="341" t="s">
        <v>24720</v>
      </c>
      <c r="F143" s="257" t="s">
        <v>14408</v>
      </c>
      <c r="G143" s="258">
        <v>3.6</v>
      </c>
      <c r="H143" s="152"/>
      <c r="I143" s="160">
        <f t="shared" si="1"/>
        <v>112432.00000000001</v>
      </c>
    </row>
    <row r="144" spans="2:9" hidden="1" x14ac:dyDescent="0.25">
      <c r="B144" s="148"/>
      <c r="C144" s="148" t="s">
        <v>24719</v>
      </c>
      <c r="D144" s="150">
        <v>44077</v>
      </c>
      <c r="E144" s="341" t="s">
        <v>24718</v>
      </c>
      <c r="F144" s="257" t="s">
        <v>14408</v>
      </c>
      <c r="G144" s="258">
        <v>0.13</v>
      </c>
      <c r="H144" s="152"/>
      <c r="I144" s="160">
        <f t="shared" si="1"/>
        <v>112432.13000000002</v>
      </c>
    </row>
    <row r="145" spans="2:9" hidden="1" x14ac:dyDescent="0.25">
      <c r="B145" s="148"/>
      <c r="C145" s="148" t="s">
        <v>24717</v>
      </c>
      <c r="D145" s="150">
        <v>44077</v>
      </c>
      <c r="E145" s="341" t="s">
        <v>24716</v>
      </c>
      <c r="F145" s="257" t="s">
        <v>14408</v>
      </c>
      <c r="G145" s="258">
        <v>9.35</v>
      </c>
      <c r="H145" s="152"/>
      <c r="I145" s="160">
        <f t="shared" si="1"/>
        <v>112441.48000000003</v>
      </c>
    </row>
    <row r="146" spans="2:9" hidden="1" x14ac:dyDescent="0.25">
      <c r="B146" s="148"/>
      <c r="C146" s="148" t="s">
        <v>24715</v>
      </c>
      <c r="D146" s="150">
        <v>44077</v>
      </c>
      <c r="E146" s="341" t="s">
        <v>24714</v>
      </c>
      <c r="F146" s="257" t="s">
        <v>14408</v>
      </c>
      <c r="G146" s="258">
        <v>3.7</v>
      </c>
      <c r="H146" s="152"/>
      <c r="I146" s="160">
        <f t="shared" si="1"/>
        <v>112445.18000000002</v>
      </c>
    </row>
    <row r="147" spans="2:9" hidden="1" x14ac:dyDescent="0.25">
      <c r="B147" s="148"/>
      <c r="C147" s="148" t="s">
        <v>24713</v>
      </c>
      <c r="D147" s="150">
        <v>44077</v>
      </c>
      <c r="E147" s="341" t="s">
        <v>24712</v>
      </c>
      <c r="F147" s="257" t="s">
        <v>14408</v>
      </c>
      <c r="G147" s="258">
        <v>5.38</v>
      </c>
      <c r="H147" s="152"/>
      <c r="I147" s="160">
        <f t="shared" si="1"/>
        <v>112450.56000000003</v>
      </c>
    </row>
    <row r="148" spans="2:9" hidden="1" x14ac:dyDescent="0.25">
      <c r="B148" s="148"/>
      <c r="C148" s="148" t="s">
        <v>24711</v>
      </c>
      <c r="D148" s="150">
        <v>44077</v>
      </c>
      <c r="E148" s="341" t="s">
        <v>24710</v>
      </c>
      <c r="F148" s="257" t="s">
        <v>14408</v>
      </c>
      <c r="G148" s="258">
        <v>9</v>
      </c>
      <c r="H148" s="152"/>
      <c r="I148" s="160">
        <f t="shared" ref="I148:I211" si="2">+I147+G148-H148</f>
        <v>112459.56000000003</v>
      </c>
    </row>
    <row r="149" spans="2:9" hidden="1" x14ac:dyDescent="0.25">
      <c r="B149" s="148"/>
      <c r="C149" s="148" t="s">
        <v>24709</v>
      </c>
      <c r="D149" s="150">
        <v>44077</v>
      </c>
      <c r="E149" s="341" t="s">
        <v>24708</v>
      </c>
      <c r="F149" s="257" t="s">
        <v>14408</v>
      </c>
      <c r="G149" s="258">
        <v>11.79</v>
      </c>
      <c r="H149" s="152"/>
      <c r="I149" s="160">
        <f t="shared" si="2"/>
        <v>112471.35000000002</v>
      </c>
    </row>
    <row r="150" spans="2:9" hidden="1" x14ac:dyDescent="0.25">
      <c r="B150" s="148"/>
      <c r="C150" s="148" t="s">
        <v>24707</v>
      </c>
      <c r="D150" s="150">
        <v>44077</v>
      </c>
      <c r="E150" s="341" t="s">
        <v>24706</v>
      </c>
      <c r="F150" s="257" t="s">
        <v>14408</v>
      </c>
      <c r="G150" s="258">
        <v>2.13</v>
      </c>
      <c r="H150" s="152"/>
      <c r="I150" s="160">
        <f t="shared" si="2"/>
        <v>112473.48000000003</v>
      </c>
    </row>
    <row r="151" spans="2:9" hidden="1" x14ac:dyDescent="0.25">
      <c r="B151" s="148"/>
      <c r="C151" s="148" t="s">
        <v>24705</v>
      </c>
      <c r="D151" s="150">
        <v>44077</v>
      </c>
      <c r="E151" s="341" t="s">
        <v>24704</v>
      </c>
      <c r="F151" s="257" t="s">
        <v>14408</v>
      </c>
      <c r="G151" s="258">
        <v>3.52</v>
      </c>
      <c r="H151" s="152"/>
      <c r="I151" s="160">
        <f t="shared" si="2"/>
        <v>112477.00000000003</v>
      </c>
    </row>
    <row r="152" spans="2:9" hidden="1" x14ac:dyDescent="0.25">
      <c r="B152" s="148"/>
      <c r="C152" s="148" t="s">
        <v>24703</v>
      </c>
      <c r="D152" s="150">
        <v>44077</v>
      </c>
      <c r="E152" s="341" t="s">
        <v>24702</v>
      </c>
      <c r="F152" s="257" t="s">
        <v>14408</v>
      </c>
      <c r="G152" s="258">
        <v>4.25</v>
      </c>
      <c r="H152" s="152"/>
      <c r="I152" s="160">
        <f t="shared" si="2"/>
        <v>112481.25000000003</v>
      </c>
    </row>
    <row r="153" spans="2:9" hidden="1" x14ac:dyDescent="0.25">
      <c r="B153" s="148"/>
      <c r="C153" s="148" t="s">
        <v>24701</v>
      </c>
      <c r="D153" s="150">
        <v>44077</v>
      </c>
      <c r="E153" s="341" t="s">
        <v>24700</v>
      </c>
      <c r="F153" s="257" t="s">
        <v>14408</v>
      </c>
      <c r="G153" s="258">
        <v>3.96</v>
      </c>
      <c r="H153" s="152"/>
      <c r="I153" s="160">
        <f t="shared" si="2"/>
        <v>112485.21000000004</v>
      </c>
    </row>
    <row r="154" spans="2:9" hidden="1" x14ac:dyDescent="0.25">
      <c r="B154" s="148"/>
      <c r="C154" s="148" t="s">
        <v>24699</v>
      </c>
      <c r="D154" s="150">
        <v>44077</v>
      </c>
      <c r="E154" s="341" t="s">
        <v>24698</v>
      </c>
      <c r="F154" s="257" t="s">
        <v>14408</v>
      </c>
      <c r="G154" s="258">
        <v>3.26</v>
      </c>
      <c r="H154" s="152"/>
      <c r="I154" s="160">
        <f t="shared" si="2"/>
        <v>112488.47000000003</v>
      </c>
    </row>
    <row r="155" spans="2:9" ht="19.5" hidden="1" x14ac:dyDescent="0.25">
      <c r="B155" s="148"/>
      <c r="C155" s="148" t="s">
        <v>24697</v>
      </c>
      <c r="D155" s="150">
        <v>44077</v>
      </c>
      <c r="E155" s="341" t="s">
        <v>24696</v>
      </c>
      <c r="F155" s="257" t="s">
        <v>14436</v>
      </c>
      <c r="G155" s="160">
        <v>37.799999999999997</v>
      </c>
      <c r="H155" s="152"/>
      <c r="I155" s="160">
        <f t="shared" si="2"/>
        <v>112526.27000000003</v>
      </c>
    </row>
    <row r="156" spans="2:9" hidden="1" x14ac:dyDescent="0.25">
      <c r="B156" s="148"/>
      <c r="C156" s="148" t="s">
        <v>24695</v>
      </c>
      <c r="D156" s="150">
        <v>44077</v>
      </c>
      <c r="E156" s="341" t="s">
        <v>24694</v>
      </c>
      <c r="F156" s="257">
        <v>3</v>
      </c>
      <c r="G156" s="255">
        <v>4.5999999999999996</v>
      </c>
      <c r="H156" s="152"/>
      <c r="I156" s="160">
        <f t="shared" si="2"/>
        <v>112530.87000000004</v>
      </c>
    </row>
    <row r="157" spans="2:9" hidden="1" x14ac:dyDescent="0.25">
      <c r="B157" s="148"/>
      <c r="C157" s="148" t="s">
        <v>24693</v>
      </c>
      <c r="D157" s="150">
        <v>44077</v>
      </c>
      <c r="E157" s="341" t="s">
        <v>24692</v>
      </c>
      <c r="F157" s="257">
        <v>3</v>
      </c>
      <c r="G157" s="255">
        <v>6.94</v>
      </c>
      <c r="H157" s="152"/>
      <c r="I157" s="160">
        <f t="shared" si="2"/>
        <v>112537.81000000004</v>
      </c>
    </row>
    <row r="158" spans="2:9" ht="19.5" hidden="1" x14ac:dyDescent="0.25">
      <c r="B158" s="148"/>
      <c r="C158" s="148" t="s">
        <v>24691</v>
      </c>
      <c r="D158" s="150">
        <v>44077</v>
      </c>
      <c r="E158" s="341" t="s">
        <v>24690</v>
      </c>
      <c r="F158" s="257">
        <v>3</v>
      </c>
      <c r="G158" s="255">
        <v>7.82</v>
      </c>
      <c r="H158" s="152"/>
      <c r="I158" s="160">
        <f t="shared" si="2"/>
        <v>112545.63000000005</v>
      </c>
    </row>
    <row r="159" spans="2:9" hidden="1" x14ac:dyDescent="0.25">
      <c r="B159" s="148"/>
      <c r="C159" s="148" t="s">
        <v>24689</v>
      </c>
      <c r="D159" s="150">
        <v>44077</v>
      </c>
      <c r="E159" s="341" t="s">
        <v>24688</v>
      </c>
      <c r="F159" s="257">
        <v>3</v>
      </c>
      <c r="G159" s="255">
        <v>5.27</v>
      </c>
      <c r="H159" s="152"/>
      <c r="I159" s="160">
        <f t="shared" si="2"/>
        <v>112550.90000000005</v>
      </c>
    </row>
    <row r="160" spans="2:9" hidden="1" x14ac:dyDescent="0.25">
      <c r="B160" s="148"/>
      <c r="C160" s="148" t="s">
        <v>24687</v>
      </c>
      <c r="D160" s="150">
        <v>44077</v>
      </c>
      <c r="E160" s="341" t="s">
        <v>24686</v>
      </c>
      <c r="F160" s="257">
        <v>3</v>
      </c>
      <c r="G160" s="255">
        <v>5.36</v>
      </c>
      <c r="H160" s="152"/>
      <c r="I160" s="160">
        <f t="shared" si="2"/>
        <v>112556.26000000005</v>
      </c>
    </row>
    <row r="161" spans="2:9" hidden="1" x14ac:dyDescent="0.25">
      <c r="B161" s="148"/>
      <c r="C161" s="148" t="s">
        <v>24685</v>
      </c>
      <c r="D161" s="150">
        <v>44077</v>
      </c>
      <c r="E161" s="341" t="s">
        <v>24684</v>
      </c>
      <c r="F161" s="257">
        <v>3</v>
      </c>
      <c r="G161" s="255">
        <v>15.3</v>
      </c>
      <c r="H161" s="152"/>
      <c r="I161" s="160">
        <f t="shared" si="2"/>
        <v>112571.56000000006</v>
      </c>
    </row>
    <row r="162" spans="2:9" hidden="1" x14ac:dyDescent="0.25">
      <c r="B162" s="148"/>
      <c r="C162" s="148" t="s">
        <v>24683</v>
      </c>
      <c r="D162" s="150">
        <v>44077</v>
      </c>
      <c r="E162" s="341" t="s">
        <v>24682</v>
      </c>
      <c r="F162" s="257">
        <v>3</v>
      </c>
      <c r="G162" s="255">
        <v>6.5</v>
      </c>
      <c r="H162" s="152"/>
      <c r="I162" s="160">
        <f t="shared" si="2"/>
        <v>112578.06000000006</v>
      </c>
    </row>
    <row r="163" spans="2:9" hidden="1" x14ac:dyDescent="0.25">
      <c r="B163" s="148"/>
      <c r="C163" s="148" t="s">
        <v>24681</v>
      </c>
      <c r="D163" s="150">
        <v>44077</v>
      </c>
      <c r="E163" s="341" t="s">
        <v>24680</v>
      </c>
      <c r="F163" s="257">
        <v>3</v>
      </c>
      <c r="G163" s="255">
        <v>4.7</v>
      </c>
      <c r="H163" s="152"/>
      <c r="I163" s="160">
        <f t="shared" si="2"/>
        <v>112582.76000000005</v>
      </c>
    </row>
    <row r="164" spans="2:9" hidden="1" x14ac:dyDescent="0.25">
      <c r="B164" s="148"/>
      <c r="C164" s="148" t="s">
        <v>24679</v>
      </c>
      <c r="D164" s="150">
        <v>44077</v>
      </c>
      <c r="E164" s="341" t="s">
        <v>24678</v>
      </c>
      <c r="F164" s="257">
        <v>3</v>
      </c>
      <c r="G164" s="255">
        <v>10.199999999999999</v>
      </c>
      <c r="H164" s="152"/>
      <c r="I164" s="160">
        <f t="shared" si="2"/>
        <v>112592.96000000005</v>
      </c>
    </row>
    <row r="165" spans="2:9" hidden="1" x14ac:dyDescent="0.25">
      <c r="B165" s="148"/>
      <c r="C165" s="148" t="s">
        <v>24677</v>
      </c>
      <c r="D165" s="150">
        <v>44077</v>
      </c>
      <c r="E165" s="341" t="s">
        <v>24676</v>
      </c>
      <c r="F165" s="257" t="s">
        <v>14436</v>
      </c>
      <c r="G165" s="160">
        <v>30</v>
      </c>
      <c r="H165" s="152"/>
      <c r="I165" s="160">
        <f t="shared" si="2"/>
        <v>112622.96000000005</v>
      </c>
    </row>
    <row r="166" spans="2:9" hidden="1" x14ac:dyDescent="0.25">
      <c r="B166" s="148"/>
      <c r="C166" s="148" t="s">
        <v>24675</v>
      </c>
      <c r="D166" s="150">
        <v>44077</v>
      </c>
      <c r="E166" s="341" t="s">
        <v>24674</v>
      </c>
      <c r="F166" s="257" t="s">
        <v>14408</v>
      </c>
      <c r="G166" s="258">
        <v>6.3</v>
      </c>
      <c r="H166" s="152"/>
      <c r="I166" s="160">
        <f t="shared" si="2"/>
        <v>112629.26000000005</v>
      </c>
    </row>
    <row r="167" spans="2:9" ht="19.5" hidden="1" x14ac:dyDescent="0.25">
      <c r="B167" s="148"/>
      <c r="C167" s="148" t="s">
        <v>24673</v>
      </c>
      <c r="D167" s="150">
        <v>44077</v>
      </c>
      <c r="E167" s="341" t="s">
        <v>24672</v>
      </c>
      <c r="F167" s="257" t="s">
        <v>14408</v>
      </c>
      <c r="G167" s="258">
        <v>11.76</v>
      </c>
      <c r="H167" s="152"/>
      <c r="I167" s="160">
        <f t="shared" si="2"/>
        <v>112641.02000000005</v>
      </c>
    </row>
    <row r="168" spans="2:9" hidden="1" x14ac:dyDescent="0.25">
      <c r="B168" s="148"/>
      <c r="C168" s="148" t="s">
        <v>24671</v>
      </c>
      <c r="D168" s="150">
        <v>44077</v>
      </c>
      <c r="E168" s="341" t="s">
        <v>24670</v>
      </c>
      <c r="F168" s="257" t="s">
        <v>18712</v>
      </c>
      <c r="G168" s="160">
        <v>2.9</v>
      </c>
      <c r="H168" s="152"/>
      <c r="I168" s="160">
        <f t="shared" si="2"/>
        <v>112643.92000000004</v>
      </c>
    </row>
    <row r="169" spans="2:9" hidden="1" x14ac:dyDescent="0.25">
      <c r="B169" s="148"/>
      <c r="C169" s="148" t="s">
        <v>24669</v>
      </c>
      <c r="D169" s="150">
        <v>44078</v>
      </c>
      <c r="E169" s="341" t="s">
        <v>24668</v>
      </c>
      <c r="F169" s="257" t="s">
        <v>14408</v>
      </c>
      <c r="G169" s="258">
        <v>1.35</v>
      </c>
      <c r="H169" s="152"/>
      <c r="I169" s="160">
        <f t="shared" si="2"/>
        <v>112645.27000000005</v>
      </c>
    </row>
    <row r="170" spans="2:9" hidden="1" x14ac:dyDescent="0.25">
      <c r="B170" s="148"/>
      <c r="C170" s="148" t="s">
        <v>24667</v>
      </c>
      <c r="D170" s="150">
        <v>44078</v>
      </c>
      <c r="E170" s="341" t="s">
        <v>24666</v>
      </c>
      <c r="F170" s="257" t="s">
        <v>14408</v>
      </c>
      <c r="G170" s="258">
        <v>10.25</v>
      </c>
      <c r="H170" s="152"/>
      <c r="I170" s="160">
        <f t="shared" si="2"/>
        <v>112655.52000000005</v>
      </c>
    </row>
    <row r="171" spans="2:9" hidden="1" x14ac:dyDescent="0.25">
      <c r="B171" s="148"/>
      <c r="C171" s="148" t="s">
        <v>24665</v>
      </c>
      <c r="D171" s="150">
        <v>44078</v>
      </c>
      <c r="E171" s="341" t="s">
        <v>24664</v>
      </c>
      <c r="F171" s="257" t="s">
        <v>14408</v>
      </c>
      <c r="G171" s="258">
        <v>1.68</v>
      </c>
      <c r="H171" s="152"/>
      <c r="I171" s="160">
        <f t="shared" si="2"/>
        <v>112657.20000000004</v>
      </c>
    </row>
    <row r="172" spans="2:9" hidden="1" x14ac:dyDescent="0.25">
      <c r="B172" s="148"/>
      <c r="C172" s="148" t="s">
        <v>24663</v>
      </c>
      <c r="D172" s="150">
        <v>44078</v>
      </c>
      <c r="E172" s="341" t="s">
        <v>24662</v>
      </c>
      <c r="F172" s="257" t="s">
        <v>14408</v>
      </c>
      <c r="G172" s="258">
        <v>8.3800000000000008</v>
      </c>
      <c r="H172" s="152"/>
      <c r="I172" s="160">
        <f t="shared" si="2"/>
        <v>112665.58000000005</v>
      </c>
    </row>
    <row r="173" spans="2:9" ht="19.5" hidden="1" x14ac:dyDescent="0.25">
      <c r="B173" s="148"/>
      <c r="C173" s="148" t="s">
        <v>24661</v>
      </c>
      <c r="D173" s="150">
        <v>44078</v>
      </c>
      <c r="E173" s="341" t="s">
        <v>24660</v>
      </c>
      <c r="F173" s="257" t="s">
        <v>14408</v>
      </c>
      <c r="G173" s="258">
        <v>38.479999999999997</v>
      </c>
      <c r="H173" s="152"/>
      <c r="I173" s="160">
        <f t="shared" si="2"/>
        <v>112704.06000000004</v>
      </c>
    </row>
    <row r="174" spans="2:9" hidden="1" x14ac:dyDescent="0.25">
      <c r="B174" s="148"/>
      <c r="C174" s="148" t="s">
        <v>24659</v>
      </c>
      <c r="D174" s="150">
        <v>44078</v>
      </c>
      <c r="E174" s="341" t="s">
        <v>24658</v>
      </c>
      <c r="F174" s="257" t="s">
        <v>14408</v>
      </c>
      <c r="G174" s="258">
        <v>14.37</v>
      </c>
      <c r="H174" s="152"/>
      <c r="I174" s="160">
        <f t="shared" si="2"/>
        <v>112718.43000000004</v>
      </c>
    </row>
    <row r="175" spans="2:9" hidden="1" x14ac:dyDescent="0.25">
      <c r="B175" s="148"/>
      <c r="C175" s="148" t="s">
        <v>24657</v>
      </c>
      <c r="D175" s="150">
        <v>44078</v>
      </c>
      <c r="E175" s="341" t="s">
        <v>24656</v>
      </c>
      <c r="F175" s="257" t="s">
        <v>14408</v>
      </c>
      <c r="G175" s="258">
        <v>3.88</v>
      </c>
      <c r="H175" s="152"/>
      <c r="I175" s="160">
        <f t="shared" si="2"/>
        <v>112722.31000000004</v>
      </c>
    </row>
    <row r="176" spans="2:9" hidden="1" x14ac:dyDescent="0.25">
      <c r="B176" s="148"/>
      <c r="C176" s="148" t="s">
        <v>24655</v>
      </c>
      <c r="D176" s="150">
        <v>44078</v>
      </c>
      <c r="E176" s="341" t="s">
        <v>24654</v>
      </c>
      <c r="F176" s="257" t="s">
        <v>14408</v>
      </c>
      <c r="G176" s="258">
        <v>8.5500000000000007</v>
      </c>
      <c r="H176" s="152"/>
      <c r="I176" s="160">
        <f t="shared" si="2"/>
        <v>112730.86000000004</v>
      </c>
    </row>
    <row r="177" spans="2:9" hidden="1" x14ac:dyDescent="0.25">
      <c r="B177" s="148"/>
      <c r="C177" s="148" t="s">
        <v>24653</v>
      </c>
      <c r="D177" s="150">
        <v>44078</v>
      </c>
      <c r="E177" s="341" t="s">
        <v>24652</v>
      </c>
      <c r="F177" s="257" t="s">
        <v>14408</v>
      </c>
      <c r="G177" s="258">
        <v>8.3800000000000008</v>
      </c>
      <c r="H177" s="152"/>
      <c r="I177" s="160">
        <f t="shared" si="2"/>
        <v>112739.24000000005</v>
      </c>
    </row>
    <row r="178" spans="2:9" hidden="1" x14ac:dyDescent="0.25">
      <c r="B178" s="148"/>
      <c r="C178" s="148" t="s">
        <v>24651</v>
      </c>
      <c r="D178" s="150">
        <v>44078</v>
      </c>
      <c r="E178" s="341" t="s">
        <v>24650</v>
      </c>
      <c r="F178" s="257" t="s">
        <v>14408</v>
      </c>
      <c r="G178" s="258">
        <v>2.87</v>
      </c>
      <c r="H178" s="152"/>
      <c r="I178" s="160">
        <f t="shared" si="2"/>
        <v>112742.11000000004</v>
      </c>
    </row>
    <row r="179" spans="2:9" hidden="1" x14ac:dyDescent="0.25">
      <c r="B179" s="148"/>
      <c r="C179" s="148" t="s">
        <v>24649</v>
      </c>
      <c r="D179" s="150">
        <v>44078</v>
      </c>
      <c r="E179" s="341" t="s">
        <v>24648</v>
      </c>
      <c r="F179" s="257" t="s">
        <v>14408</v>
      </c>
      <c r="G179" s="258">
        <v>10.11</v>
      </c>
      <c r="H179" s="152"/>
      <c r="I179" s="160">
        <f t="shared" si="2"/>
        <v>112752.22000000004</v>
      </c>
    </row>
    <row r="180" spans="2:9" hidden="1" x14ac:dyDescent="0.25">
      <c r="B180" s="148"/>
      <c r="C180" s="148" t="s">
        <v>24647</v>
      </c>
      <c r="D180" s="150">
        <v>44078</v>
      </c>
      <c r="E180" s="341" t="s">
        <v>24646</v>
      </c>
      <c r="F180" s="257" t="s">
        <v>14408</v>
      </c>
      <c r="G180" s="258">
        <v>6.62</v>
      </c>
      <c r="H180" s="152"/>
      <c r="I180" s="160">
        <f t="shared" si="2"/>
        <v>112758.84000000004</v>
      </c>
    </row>
    <row r="181" spans="2:9" hidden="1" x14ac:dyDescent="0.25">
      <c r="B181" s="148"/>
      <c r="C181" s="148" t="s">
        <v>24645</v>
      </c>
      <c r="D181" s="150">
        <v>44078</v>
      </c>
      <c r="E181" s="341" t="s">
        <v>24644</v>
      </c>
      <c r="F181" s="257" t="s">
        <v>14408</v>
      </c>
      <c r="G181" s="258">
        <v>2.14</v>
      </c>
      <c r="H181" s="152"/>
      <c r="I181" s="160">
        <f t="shared" si="2"/>
        <v>112760.98000000004</v>
      </c>
    </row>
    <row r="182" spans="2:9" hidden="1" x14ac:dyDescent="0.25">
      <c r="B182" s="148"/>
      <c r="C182" s="148" t="s">
        <v>24643</v>
      </c>
      <c r="D182" s="150">
        <v>44078</v>
      </c>
      <c r="E182" s="341" t="s">
        <v>24642</v>
      </c>
      <c r="F182" s="257" t="s">
        <v>14408</v>
      </c>
      <c r="G182" s="258">
        <v>3.91</v>
      </c>
      <c r="H182" s="152"/>
      <c r="I182" s="160">
        <f t="shared" si="2"/>
        <v>112764.89000000004</v>
      </c>
    </row>
    <row r="183" spans="2:9" hidden="1" x14ac:dyDescent="0.25">
      <c r="B183" s="148"/>
      <c r="C183" s="148" t="s">
        <v>24641</v>
      </c>
      <c r="D183" s="150">
        <v>44078</v>
      </c>
      <c r="E183" s="341" t="s">
        <v>24640</v>
      </c>
      <c r="F183" s="257" t="s">
        <v>14408</v>
      </c>
      <c r="G183" s="258">
        <v>0.43</v>
      </c>
      <c r="H183" s="152"/>
      <c r="I183" s="160">
        <f t="shared" si="2"/>
        <v>112765.32000000004</v>
      </c>
    </row>
    <row r="184" spans="2:9" hidden="1" x14ac:dyDescent="0.25">
      <c r="B184" s="148"/>
      <c r="C184" s="148" t="s">
        <v>24639</v>
      </c>
      <c r="D184" s="150">
        <v>44078</v>
      </c>
      <c r="E184" s="341" t="s">
        <v>24638</v>
      </c>
      <c r="F184" s="257">
        <v>4</v>
      </c>
      <c r="G184" s="255">
        <v>2.16</v>
      </c>
      <c r="H184" s="152"/>
      <c r="I184" s="160">
        <f t="shared" si="2"/>
        <v>112767.48000000004</v>
      </c>
    </row>
    <row r="185" spans="2:9" hidden="1" x14ac:dyDescent="0.25">
      <c r="B185" s="148"/>
      <c r="C185" s="148" t="s">
        <v>24637</v>
      </c>
      <c r="D185" s="150">
        <v>44078</v>
      </c>
      <c r="E185" s="341" t="s">
        <v>24636</v>
      </c>
      <c r="F185" s="257">
        <v>4</v>
      </c>
      <c r="G185" s="255">
        <v>8.3800000000000008</v>
      </c>
      <c r="H185" s="152"/>
      <c r="I185" s="160">
        <f t="shared" si="2"/>
        <v>112775.86000000004</v>
      </c>
    </row>
    <row r="186" spans="2:9" ht="19.5" hidden="1" x14ac:dyDescent="0.25">
      <c r="B186" s="148"/>
      <c r="C186" s="148" t="s">
        <v>24635</v>
      </c>
      <c r="D186" s="150">
        <v>44078</v>
      </c>
      <c r="E186" s="341" t="s">
        <v>24634</v>
      </c>
      <c r="F186" s="257">
        <v>4</v>
      </c>
      <c r="G186" s="255">
        <v>9.7100000000000009</v>
      </c>
      <c r="H186" s="152"/>
      <c r="I186" s="160">
        <f t="shared" si="2"/>
        <v>112785.57000000005</v>
      </c>
    </row>
    <row r="187" spans="2:9" hidden="1" x14ac:dyDescent="0.25">
      <c r="B187" s="148"/>
      <c r="C187" s="148" t="s">
        <v>24633</v>
      </c>
      <c r="D187" s="150">
        <v>44078</v>
      </c>
      <c r="E187" s="341" t="s">
        <v>24632</v>
      </c>
      <c r="F187" s="257">
        <v>4</v>
      </c>
      <c r="G187" s="255">
        <v>15.3</v>
      </c>
      <c r="H187" s="152"/>
      <c r="I187" s="160">
        <f t="shared" si="2"/>
        <v>112800.87000000005</v>
      </c>
    </row>
    <row r="188" spans="2:9" ht="19.5" hidden="1" x14ac:dyDescent="0.25">
      <c r="B188" s="148"/>
      <c r="C188" s="148" t="s">
        <v>24631</v>
      </c>
      <c r="D188" s="150">
        <v>44078</v>
      </c>
      <c r="E188" s="341" t="s">
        <v>24630</v>
      </c>
      <c r="F188" s="257">
        <v>4</v>
      </c>
      <c r="G188" s="255">
        <v>25.14</v>
      </c>
      <c r="H188" s="152"/>
      <c r="I188" s="160">
        <f t="shared" si="2"/>
        <v>112826.01000000005</v>
      </c>
    </row>
    <row r="189" spans="2:9" hidden="1" x14ac:dyDescent="0.25">
      <c r="B189" s="148"/>
      <c r="C189" s="148" t="s">
        <v>24629</v>
      </c>
      <c r="D189" s="150">
        <v>44078</v>
      </c>
      <c r="E189" s="341" t="s">
        <v>24628</v>
      </c>
      <c r="F189" s="257">
        <v>4</v>
      </c>
      <c r="G189" s="255">
        <v>14.53</v>
      </c>
      <c r="H189" s="152"/>
      <c r="I189" s="160">
        <f t="shared" si="2"/>
        <v>112840.54000000005</v>
      </c>
    </row>
    <row r="190" spans="2:9" hidden="1" x14ac:dyDescent="0.25">
      <c r="B190" s="148"/>
      <c r="C190" s="148" t="s">
        <v>24627</v>
      </c>
      <c r="D190" s="150">
        <v>44078</v>
      </c>
      <c r="E190" s="341" t="s">
        <v>24626</v>
      </c>
      <c r="F190" s="257">
        <v>4</v>
      </c>
      <c r="G190" s="255">
        <v>8.3800000000000008</v>
      </c>
      <c r="H190" s="152"/>
      <c r="I190" s="160">
        <f t="shared" si="2"/>
        <v>112848.92000000006</v>
      </c>
    </row>
    <row r="191" spans="2:9" hidden="1" x14ac:dyDescent="0.25">
      <c r="B191" s="148"/>
      <c r="C191" s="148" t="s">
        <v>24625</v>
      </c>
      <c r="D191" s="150">
        <v>44078</v>
      </c>
      <c r="E191" s="341" t="s">
        <v>24624</v>
      </c>
      <c r="F191" s="257">
        <v>4</v>
      </c>
      <c r="G191" s="255">
        <v>12.42</v>
      </c>
      <c r="H191" s="152"/>
      <c r="I191" s="160">
        <f t="shared" si="2"/>
        <v>112861.34000000005</v>
      </c>
    </row>
    <row r="192" spans="2:9" hidden="1" x14ac:dyDescent="0.25">
      <c r="B192" s="148"/>
      <c r="C192" s="148" t="s">
        <v>24623</v>
      </c>
      <c r="D192" s="150">
        <v>44078</v>
      </c>
      <c r="E192" s="341" t="s">
        <v>24622</v>
      </c>
      <c r="F192" s="257" t="s">
        <v>14436</v>
      </c>
      <c r="G192" s="160">
        <v>12.48</v>
      </c>
      <c r="H192" s="152"/>
      <c r="I192" s="160">
        <f t="shared" si="2"/>
        <v>112873.82000000005</v>
      </c>
    </row>
    <row r="193" spans="2:9" ht="19.5" hidden="1" x14ac:dyDescent="0.25">
      <c r="B193" s="148"/>
      <c r="C193" s="148" t="s">
        <v>24621</v>
      </c>
      <c r="D193" s="150">
        <v>44078</v>
      </c>
      <c r="E193" s="341" t="s">
        <v>24620</v>
      </c>
      <c r="F193" s="257" t="s">
        <v>18712</v>
      </c>
      <c r="G193" s="160">
        <v>5.5</v>
      </c>
      <c r="H193" s="152"/>
      <c r="I193" s="160">
        <f t="shared" si="2"/>
        <v>112879.32000000005</v>
      </c>
    </row>
    <row r="194" spans="2:9" hidden="1" x14ac:dyDescent="0.25">
      <c r="B194" s="148"/>
      <c r="C194" s="148" t="s">
        <v>24619</v>
      </c>
      <c r="D194" s="150">
        <v>44079</v>
      </c>
      <c r="E194" s="341" t="s">
        <v>24618</v>
      </c>
      <c r="F194" s="257" t="s">
        <v>14436</v>
      </c>
      <c r="G194" s="160">
        <v>1.68</v>
      </c>
      <c r="H194" s="152"/>
      <c r="I194" s="160">
        <f t="shared" si="2"/>
        <v>112881.00000000004</v>
      </c>
    </row>
    <row r="195" spans="2:9" hidden="1" x14ac:dyDescent="0.25">
      <c r="B195" s="148"/>
      <c r="C195" s="148" t="s">
        <v>24617</v>
      </c>
      <c r="D195" s="150">
        <v>44079</v>
      </c>
      <c r="E195" s="341" t="s">
        <v>24616</v>
      </c>
      <c r="F195" s="257" t="s">
        <v>14408</v>
      </c>
      <c r="G195" s="258">
        <v>2.59</v>
      </c>
      <c r="H195" s="152"/>
      <c r="I195" s="160">
        <f t="shared" si="2"/>
        <v>112883.59000000004</v>
      </c>
    </row>
    <row r="196" spans="2:9" hidden="1" x14ac:dyDescent="0.25">
      <c r="B196" s="148"/>
      <c r="C196" s="148" t="s">
        <v>24615</v>
      </c>
      <c r="D196" s="150">
        <v>44079</v>
      </c>
      <c r="E196" s="341" t="s">
        <v>24614</v>
      </c>
      <c r="F196" s="257" t="s">
        <v>14408</v>
      </c>
      <c r="G196" s="258">
        <v>3.49</v>
      </c>
      <c r="H196" s="152"/>
      <c r="I196" s="160">
        <f t="shared" si="2"/>
        <v>112887.08000000005</v>
      </c>
    </row>
    <row r="197" spans="2:9" ht="19.5" hidden="1" x14ac:dyDescent="0.25">
      <c r="B197" s="148"/>
      <c r="C197" s="148" t="s">
        <v>24613</v>
      </c>
      <c r="D197" s="150">
        <v>44079</v>
      </c>
      <c r="E197" s="341" t="s">
        <v>24612</v>
      </c>
      <c r="F197" s="257" t="s">
        <v>14408</v>
      </c>
      <c r="G197" s="258">
        <v>8.64</v>
      </c>
      <c r="H197" s="152"/>
      <c r="I197" s="160">
        <f t="shared" si="2"/>
        <v>112895.72000000004</v>
      </c>
    </row>
    <row r="198" spans="2:9" hidden="1" x14ac:dyDescent="0.25">
      <c r="B198" s="148"/>
      <c r="C198" s="148" t="s">
        <v>24611</v>
      </c>
      <c r="D198" s="150">
        <v>44079</v>
      </c>
      <c r="E198" s="341" t="s">
        <v>24610</v>
      </c>
      <c r="F198" s="257" t="s">
        <v>14408</v>
      </c>
      <c r="G198" s="258">
        <v>4.0599999999999996</v>
      </c>
      <c r="H198" s="152"/>
      <c r="I198" s="160">
        <f t="shared" si="2"/>
        <v>112899.78000000004</v>
      </c>
    </row>
    <row r="199" spans="2:9" ht="19.5" hidden="1" x14ac:dyDescent="0.25">
      <c r="B199" s="148"/>
      <c r="C199" s="148" t="s">
        <v>24609</v>
      </c>
      <c r="D199" s="150">
        <v>44079</v>
      </c>
      <c r="E199" s="341" t="s">
        <v>24608</v>
      </c>
      <c r="F199" s="257" t="s">
        <v>14408</v>
      </c>
      <c r="G199" s="258">
        <v>8.14</v>
      </c>
      <c r="H199" s="152"/>
      <c r="I199" s="160">
        <f t="shared" si="2"/>
        <v>112907.92000000004</v>
      </c>
    </row>
    <row r="200" spans="2:9" hidden="1" x14ac:dyDescent="0.25">
      <c r="B200" s="148"/>
      <c r="C200" s="148" t="s">
        <v>24607</v>
      </c>
      <c r="D200" s="150">
        <v>44079</v>
      </c>
      <c r="E200" s="341" t="s">
        <v>24606</v>
      </c>
      <c r="F200" s="257" t="s">
        <v>14408</v>
      </c>
      <c r="G200" s="258">
        <v>11.58</v>
      </c>
      <c r="H200" s="152"/>
      <c r="I200" s="160">
        <f t="shared" si="2"/>
        <v>112919.50000000004</v>
      </c>
    </row>
    <row r="201" spans="2:9" hidden="1" x14ac:dyDescent="0.25">
      <c r="B201" s="148"/>
      <c r="C201" s="148" t="s">
        <v>24605</v>
      </c>
      <c r="D201" s="150">
        <v>44079</v>
      </c>
      <c r="E201" s="341" t="s">
        <v>24604</v>
      </c>
      <c r="F201" s="257" t="s">
        <v>14408</v>
      </c>
      <c r="G201" s="258">
        <v>5.32</v>
      </c>
      <c r="H201" s="152"/>
      <c r="I201" s="160">
        <f t="shared" si="2"/>
        <v>112924.82000000005</v>
      </c>
    </row>
    <row r="202" spans="2:9" ht="19.5" hidden="1" x14ac:dyDescent="0.25">
      <c r="B202" s="148"/>
      <c r="C202" s="148" t="s">
        <v>24603</v>
      </c>
      <c r="D202" s="150">
        <v>44079</v>
      </c>
      <c r="E202" s="341" t="s">
        <v>24602</v>
      </c>
      <c r="F202" s="257" t="s">
        <v>14408</v>
      </c>
      <c r="G202" s="258">
        <v>20.59</v>
      </c>
      <c r="H202" s="152"/>
      <c r="I202" s="160">
        <f t="shared" si="2"/>
        <v>112945.41000000005</v>
      </c>
    </row>
    <row r="203" spans="2:9" hidden="1" x14ac:dyDescent="0.25">
      <c r="B203" s="148"/>
      <c r="C203" s="148" t="s">
        <v>24601</v>
      </c>
      <c r="D203" s="150">
        <v>44079</v>
      </c>
      <c r="E203" s="341" t="s">
        <v>24600</v>
      </c>
      <c r="F203" s="257" t="s">
        <v>14408</v>
      </c>
      <c r="G203" s="258">
        <v>2.1800000000000002</v>
      </c>
      <c r="H203" s="152"/>
      <c r="I203" s="160">
        <f t="shared" si="2"/>
        <v>112947.59000000004</v>
      </c>
    </row>
    <row r="204" spans="2:9" hidden="1" x14ac:dyDescent="0.25">
      <c r="B204" s="148"/>
      <c r="C204" s="148" t="s">
        <v>24599</v>
      </c>
      <c r="D204" s="150">
        <v>44079</v>
      </c>
      <c r="E204" s="341" t="s">
        <v>24598</v>
      </c>
      <c r="F204" s="257" t="s">
        <v>14408</v>
      </c>
      <c r="G204" s="258">
        <v>4.41</v>
      </c>
      <c r="H204" s="152"/>
      <c r="I204" s="160">
        <f t="shared" si="2"/>
        <v>112952.00000000004</v>
      </c>
    </row>
    <row r="205" spans="2:9" hidden="1" x14ac:dyDescent="0.25">
      <c r="B205" s="148"/>
      <c r="C205" s="148" t="s">
        <v>24597</v>
      </c>
      <c r="D205" s="150">
        <v>44079</v>
      </c>
      <c r="E205" s="341" t="s">
        <v>24596</v>
      </c>
      <c r="F205" s="257" t="s">
        <v>14436</v>
      </c>
      <c r="G205" s="160">
        <v>5.64</v>
      </c>
      <c r="H205" s="152"/>
      <c r="I205" s="160">
        <f t="shared" si="2"/>
        <v>112957.64000000004</v>
      </c>
    </row>
    <row r="206" spans="2:9" hidden="1" x14ac:dyDescent="0.25">
      <c r="B206" s="148"/>
      <c r="C206" s="148" t="s">
        <v>24595</v>
      </c>
      <c r="D206" s="150">
        <v>44080</v>
      </c>
      <c r="E206" s="341" t="s">
        <v>24594</v>
      </c>
      <c r="F206" s="257" t="s">
        <v>14408</v>
      </c>
      <c r="G206" s="258">
        <v>2.73</v>
      </c>
      <c r="H206" s="152"/>
      <c r="I206" s="160">
        <f t="shared" si="2"/>
        <v>112960.37000000004</v>
      </c>
    </row>
    <row r="207" spans="2:9" hidden="1" x14ac:dyDescent="0.25">
      <c r="B207" s="148"/>
      <c r="C207" s="148" t="s">
        <v>24593</v>
      </c>
      <c r="D207" s="150">
        <v>44080</v>
      </c>
      <c r="E207" s="341" t="s">
        <v>24592</v>
      </c>
      <c r="F207" s="257" t="s">
        <v>14408</v>
      </c>
      <c r="G207" s="258">
        <v>2.0699999999999998</v>
      </c>
      <c r="H207" s="152"/>
      <c r="I207" s="160">
        <f t="shared" si="2"/>
        <v>112962.44000000005</v>
      </c>
    </row>
    <row r="208" spans="2:9" hidden="1" x14ac:dyDescent="0.25">
      <c r="B208" s="148"/>
      <c r="C208" s="148" t="s">
        <v>24591</v>
      </c>
      <c r="D208" s="150">
        <v>44080</v>
      </c>
      <c r="E208" s="341" t="s">
        <v>24590</v>
      </c>
      <c r="F208" s="257" t="s">
        <v>14408</v>
      </c>
      <c r="G208" s="258">
        <v>24.09</v>
      </c>
      <c r="H208" s="152"/>
      <c r="I208" s="160">
        <f t="shared" si="2"/>
        <v>112986.53000000004</v>
      </c>
    </row>
    <row r="209" spans="2:9" hidden="1" x14ac:dyDescent="0.25">
      <c r="B209" s="148"/>
      <c r="C209" s="148" t="s">
        <v>24589</v>
      </c>
      <c r="D209" s="150">
        <v>44080</v>
      </c>
      <c r="E209" s="341" t="s">
        <v>24588</v>
      </c>
      <c r="F209" s="257" t="s">
        <v>14408</v>
      </c>
      <c r="G209" s="258">
        <v>6.33</v>
      </c>
      <c r="H209" s="152"/>
      <c r="I209" s="160">
        <f t="shared" si="2"/>
        <v>112992.86000000004</v>
      </c>
    </row>
    <row r="210" spans="2:9" hidden="1" x14ac:dyDescent="0.25">
      <c r="B210" s="148"/>
      <c r="C210" s="148" t="s">
        <v>24587</v>
      </c>
      <c r="D210" s="150">
        <v>44080</v>
      </c>
      <c r="E210" s="341" t="s">
        <v>24586</v>
      </c>
      <c r="F210" s="257" t="s">
        <v>14408</v>
      </c>
      <c r="G210" s="258">
        <v>5.53</v>
      </c>
      <c r="H210" s="152"/>
      <c r="I210" s="160">
        <f t="shared" si="2"/>
        <v>112998.39000000004</v>
      </c>
    </row>
    <row r="211" spans="2:9" hidden="1" x14ac:dyDescent="0.25">
      <c r="B211" s="148"/>
      <c r="C211" s="148" t="s">
        <v>24585</v>
      </c>
      <c r="D211" s="150">
        <v>44080</v>
      </c>
      <c r="E211" s="341" t="s">
        <v>24584</v>
      </c>
      <c r="F211" s="257" t="s">
        <v>14408</v>
      </c>
      <c r="G211" s="258">
        <v>13.86</v>
      </c>
      <c r="H211" s="152"/>
      <c r="I211" s="160">
        <f t="shared" si="2"/>
        <v>113012.25000000004</v>
      </c>
    </row>
    <row r="212" spans="2:9" hidden="1" x14ac:dyDescent="0.25">
      <c r="B212" s="148"/>
      <c r="C212" s="148" t="s">
        <v>24583</v>
      </c>
      <c r="D212" s="150">
        <v>44081</v>
      </c>
      <c r="E212" s="341" t="s">
        <v>24582</v>
      </c>
      <c r="F212" s="257" t="s">
        <v>14436</v>
      </c>
      <c r="G212" s="160">
        <v>16</v>
      </c>
      <c r="H212" s="152"/>
      <c r="I212" s="160">
        <f t="shared" ref="I212:I275" si="3">+I211+G212-H212</f>
        <v>113028.25000000004</v>
      </c>
    </row>
    <row r="213" spans="2:9" hidden="1" x14ac:dyDescent="0.25">
      <c r="B213" s="148"/>
      <c r="C213" s="148" t="s">
        <v>24581</v>
      </c>
      <c r="D213" s="150">
        <v>44081</v>
      </c>
      <c r="E213" s="341" t="s">
        <v>24580</v>
      </c>
      <c r="F213" s="257" t="s">
        <v>14436</v>
      </c>
      <c r="G213" s="160">
        <v>3.5</v>
      </c>
      <c r="H213" s="152"/>
      <c r="I213" s="160">
        <f t="shared" si="3"/>
        <v>113031.75000000004</v>
      </c>
    </row>
    <row r="214" spans="2:9" hidden="1" x14ac:dyDescent="0.25">
      <c r="B214" s="148"/>
      <c r="C214" s="148" t="s">
        <v>24579</v>
      </c>
      <c r="D214" s="150">
        <v>44081</v>
      </c>
      <c r="E214" s="341" t="s">
        <v>24578</v>
      </c>
      <c r="F214" s="257" t="s">
        <v>14436</v>
      </c>
      <c r="G214" s="160">
        <v>7.96</v>
      </c>
      <c r="H214" s="152"/>
      <c r="I214" s="160">
        <f t="shared" si="3"/>
        <v>113039.71000000005</v>
      </c>
    </row>
    <row r="215" spans="2:9" hidden="1" x14ac:dyDescent="0.25">
      <c r="B215" s="148"/>
      <c r="C215" s="148" t="s">
        <v>24577</v>
      </c>
      <c r="D215" s="150">
        <v>44081</v>
      </c>
      <c r="E215" s="341" t="s">
        <v>24576</v>
      </c>
      <c r="F215" s="257" t="s">
        <v>14436</v>
      </c>
      <c r="G215" s="160">
        <v>10.9</v>
      </c>
      <c r="H215" s="152"/>
      <c r="I215" s="160">
        <f t="shared" si="3"/>
        <v>113050.61000000004</v>
      </c>
    </row>
    <row r="216" spans="2:9" hidden="1" x14ac:dyDescent="0.25">
      <c r="B216" s="148"/>
      <c r="C216" s="148" t="s">
        <v>24575</v>
      </c>
      <c r="D216" s="150">
        <v>44081</v>
      </c>
      <c r="E216" s="341" t="s">
        <v>24574</v>
      </c>
      <c r="F216" s="257" t="s">
        <v>14436</v>
      </c>
      <c r="G216" s="160">
        <v>71.53</v>
      </c>
      <c r="H216" s="152"/>
      <c r="I216" s="160">
        <f t="shared" si="3"/>
        <v>113122.14000000004</v>
      </c>
    </row>
    <row r="217" spans="2:9" hidden="1" x14ac:dyDescent="0.25">
      <c r="B217" s="148"/>
      <c r="C217" s="148" t="s">
        <v>24573</v>
      </c>
      <c r="D217" s="150">
        <v>44081</v>
      </c>
      <c r="E217" s="341" t="s">
        <v>24572</v>
      </c>
      <c r="F217" s="257" t="s">
        <v>14408</v>
      </c>
      <c r="G217" s="258">
        <v>1.68</v>
      </c>
      <c r="H217" s="152"/>
      <c r="I217" s="160">
        <f t="shared" si="3"/>
        <v>113123.82000000004</v>
      </c>
    </row>
    <row r="218" spans="2:9" hidden="1" x14ac:dyDescent="0.25">
      <c r="B218" s="148"/>
      <c r="C218" s="148" t="s">
        <v>24571</v>
      </c>
      <c r="D218" s="150">
        <v>44081</v>
      </c>
      <c r="E218" s="341" t="s">
        <v>24570</v>
      </c>
      <c r="F218" s="257" t="s">
        <v>14408</v>
      </c>
      <c r="G218" s="258">
        <v>1.88</v>
      </c>
      <c r="H218" s="152"/>
      <c r="I218" s="160">
        <f t="shared" si="3"/>
        <v>113125.70000000004</v>
      </c>
    </row>
    <row r="219" spans="2:9" hidden="1" x14ac:dyDescent="0.25">
      <c r="B219" s="148"/>
      <c r="C219" s="148" t="s">
        <v>24569</v>
      </c>
      <c r="D219" s="150">
        <v>44081</v>
      </c>
      <c r="E219" s="341" t="s">
        <v>24568</v>
      </c>
      <c r="F219" s="257" t="s">
        <v>14408</v>
      </c>
      <c r="G219" s="258">
        <v>1.81</v>
      </c>
      <c r="H219" s="152"/>
      <c r="I219" s="160">
        <f t="shared" si="3"/>
        <v>113127.51000000004</v>
      </c>
    </row>
    <row r="220" spans="2:9" ht="19.5" hidden="1" x14ac:dyDescent="0.25">
      <c r="B220" s="148"/>
      <c r="C220" s="148" t="s">
        <v>24567</v>
      </c>
      <c r="D220" s="150">
        <v>44081</v>
      </c>
      <c r="E220" s="341" t="s">
        <v>24566</v>
      </c>
      <c r="F220" s="257" t="s">
        <v>14408</v>
      </c>
      <c r="G220" s="258">
        <v>52.13</v>
      </c>
      <c r="H220" s="152"/>
      <c r="I220" s="160">
        <f t="shared" si="3"/>
        <v>113179.64000000004</v>
      </c>
    </row>
    <row r="221" spans="2:9" hidden="1" x14ac:dyDescent="0.25">
      <c r="B221" s="148"/>
      <c r="C221" s="148" t="s">
        <v>24565</v>
      </c>
      <c r="D221" s="150">
        <v>44081</v>
      </c>
      <c r="E221" s="341" t="s">
        <v>24564</v>
      </c>
      <c r="F221" s="257" t="s">
        <v>14408</v>
      </c>
      <c r="G221" s="258">
        <v>6.51</v>
      </c>
      <c r="H221" s="152"/>
      <c r="I221" s="160">
        <f t="shared" si="3"/>
        <v>113186.15000000004</v>
      </c>
    </row>
    <row r="222" spans="2:9" hidden="1" x14ac:dyDescent="0.25">
      <c r="B222" s="148"/>
      <c r="C222" s="148" t="s">
        <v>24563</v>
      </c>
      <c r="D222" s="150">
        <v>44081</v>
      </c>
      <c r="E222" s="341" t="s">
        <v>24562</v>
      </c>
      <c r="F222" s="257" t="s">
        <v>14408</v>
      </c>
      <c r="G222" s="258">
        <v>13.34</v>
      </c>
      <c r="H222" s="152"/>
      <c r="I222" s="160">
        <f t="shared" si="3"/>
        <v>113199.49000000003</v>
      </c>
    </row>
    <row r="223" spans="2:9" hidden="1" x14ac:dyDescent="0.25">
      <c r="B223" s="148"/>
      <c r="C223" s="148" t="s">
        <v>24561</v>
      </c>
      <c r="D223" s="150">
        <v>44081</v>
      </c>
      <c r="E223" s="341" t="s">
        <v>24560</v>
      </c>
      <c r="F223" s="257" t="s">
        <v>14408</v>
      </c>
      <c r="G223" s="258">
        <v>17.32</v>
      </c>
      <c r="H223" s="152"/>
      <c r="I223" s="160">
        <f t="shared" si="3"/>
        <v>113216.81000000004</v>
      </c>
    </row>
    <row r="224" spans="2:9" ht="19.5" hidden="1" x14ac:dyDescent="0.25">
      <c r="B224" s="148"/>
      <c r="C224" s="148" t="s">
        <v>24559</v>
      </c>
      <c r="D224" s="150">
        <v>44081</v>
      </c>
      <c r="E224" s="341" t="s">
        <v>24558</v>
      </c>
      <c r="F224" s="257" t="s">
        <v>14408</v>
      </c>
      <c r="G224" s="258">
        <v>3.92</v>
      </c>
      <c r="H224" s="152"/>
      <c r="I224" s="160">
        <f t="shared" si="3"/>
        <v>113220.73000000004</v>
      </c>
    </row>
    <row r="225" spans="2:9" hidden="1" x14ac:dyDescent="0.25">
      <c r="B225" s="148"/>
      <c r="C225" s="148" t="s">
        <v>24557</v>
      </c>
      <c r="D225" s="150">
        <v>44081</v>
      </c>
      <c r="E225" s="341" t="s">
        <v>24556</v>
      </c>
      <c r="F225" s="257" t="s">
        <v>14408</v>
      </c>
      <c r="G225" s="258">
        <v>3.57</v>
      </c>
      <c r="H225" s="152"/>
      <c r="I225" s="160">
        <f t="shared" si="3"/>
        <v>113224.30000000005</v>
      </c>
    </row>
    <row r="226" spans="2:9" hidden="1" x14ac:dyDescent="0.25">
      <c r="B226" s="148"/>
      <c r="C226" s="148" t="s">
        <v>24555</v>
      </c>
      <c r="D226" s="150">
        <v>44081</v>
      </c>
      <c r="E226" s="341" t="s">
        <v>24554</v>
      </c>
      <c r="F226" s="257" t="s">
        <v>14408</v>
      </c>
      <c r="G226" s="258">
        <v>7.39</v>
      </c>
      <c r="H226" s="152"/>
      <c r="I226" s="160">
        <f t="shared" si="3"/>
        <v>113231.69000000005</v>
      </c>
    </row>
    <row r="227" spans="2:9" hidden="1" x14ac:dyDescent="0.25">
      <c r="B227" s="148"/>
      <c r="C227" s="148" t="s">
        <v>24553</v>
      </c>
      <c r="D227" s="150">
        <v>44081</v>
      </c>
      <c r="E227" s="341" t="s">
        <v>24552</v>
      </c>
      <c r="F227" s="257" t="s">
        <v>14408</v>
      </c>
      <c r="G227" s="258">
        <v>9.2200000000000006</v>
      </c>
      <c r="H227" s="152"/>
      <c r="I227" s="160">
        <f t="shared" si="3"/>
        <v>113240.91000000005</v>
      </c>
    </row>
    <row r="228" spans="2:9" hidden="1" x14ac:dyDescent="0.25">
      <c r="B228" s="148"/>
      <c r="C228" s="148" t="s">
        <v>24551</v>
      </c>
      <c r="D228" s="150">
        <v>44081</v>
      </c>
      <c r="E228" s="341" t="s">
        <v>24550</v>
      </c>
      <c r="F228" s="257" t="s">
        <v>14408</v>
      </c>
      <c r="G228" s="258">
        <v>0.24</v>
      </c>
      <c r="H228" s="152"/>
      <c r="I228" s="160">
        <f t="shared" si="3"/>
        <v>113241.15000000005</v>
      </c>
    </row>
    <row r="229" spans="2:9" hidden="1" x14ac:dyDescent="0.25">
      <c r="B229" s="148"/>
      <c r="C229" s="148" t="s">
        <v>24549</v>
      </c>
      <c r="D229" s="150">
        <v>44081</v>
      </c>
      <c r="E229" s="341" t="s">
        <v>24548</v>
      </c>
      <c r="F229" s="257" t="s">
        <v>14408</v>
      </c>
      <c r="G229" s="258">
        <v>6.62</v>
      </c>
      <c r="H229" s="152"/>
      <c r="I229" s="160">
        <f t="shared" si="3"/>
        <v>113247.77000000005</v>
      </c>
    </row>
    <row r="230" spans="2:9" hidden="1" x14ac:dyDescent="0.25">
      <c r="B230" s="148"/>
      <c r="C230" s="148" t="s">
        <v>24547</v>
      </c>
      <c r="D230" s="150">
        <v>44081</v>
      </c>
      <c r="E230" s="341" t="s">
        <v>24546</v>
      </c>
      <c r="F230" s="257" t="s">
        <v>14408</v>
      </c>
      <c r="G230" s="258">
        <v>4.2699999999999996</v>
      </c>
      <c r="H230" s="152"/>
      <c r="I230" s="160">
        <f t="shared" si="3"/>
        <v>113252.04000000005</v>
      </c>
    </row>
    <row r="231" spans="2:9" hidden="1" x14ac:dyDescent="0.25">
      <c r="B231" s="148"/>
      <c r="C231" s="148" t="s">
        <v>24545</v>
      </c>
      <c r="D231" s="150">
        <v>44081</v>
      </c>
      <c r="E231" s="341" t="s">
        <v>24544</v>
      </c>
      <c r="F231" s="257" t="s">
        <v>14408</v>
      </c>
      <c r="G231" s="258">
        <v>14.27</v>
      </c>
      <c r="H231" s="152"/>
      <c r="I231" s="160">
        <f t="shared" si="3"/>
        <v>113266.31000000006</v>
      </c>
    </row>
    <row r="232" spans="2:9" hidden="1" x14ac:dyDescent="0.25">
      <c r="B232" s="148"/>
      <c r="C232" s="148" t="s">
        <v>24543</v>
      </c>
      <c r="D232" s="150">
        <v>44081</v>
      </c>
      <c r="E232" s="341" t="s">
        <v>24542</v>
      </c>
      <c r="F232" s="257" t="s">
        <v>14408</v>
      </c>
      <c r="G232" s="258">
        <v>9.5</v>
      </c>
      <c r="H232" s="152"/>
      <c r="I232" s="160">
        <f t="shared" si="3"/>
        <v>113275.81000000006</v>
      </c>
    </row>
    <row r="233" spans="2:9" hidden="1" x14ac:dyDescent="0.25">
      <c r="B233" s="148"/>
      <c r="C233" s="148" t="s">
        <v>24541</v>
      </c>
      <c r="D233" s="150">
        <v>44081</v>
      </c>
      <c r="E233" s="341" t="s">
        <v>24540</v>
      </c>
      <c r="F233" s="257" t="s">
        <v>14408</v>
      </c>
      <c r="G233" s="258">
        <v>3.36</v>
      </c>
      <c r="H233" s="152"/>
      <c r="I233" s="160">
        <f t="shared" si="3"/>
        <v>113279.17000000006</v>
      </c>
    </row>
    <row r="234" spans="2:9" hidden="1" x14ac:dyDescent="0.25">
      <c r="B234" s="148"/>
      <c r="C234" s="148" t="s">
        <v>24539</v>
      </c>
      <c r="D234" s="150">
        <v>44081</v>
      </c>
      <c r="E234" s="341" t="s">
        <v>24538</v>
      </c>
      <c r="F234" s="257" t="s">
        <v>14408</v>
      </c>
      <c r="G234" s="258">
        <v>57.31</v>
      </c>
      <c r="H234" s="152"/>
      <c r="I234" s="160">
        <f t="shared" si="3"/>
        <v>113336.48000000005</v>
      </c>
    </row>
    <row r="235" spans="2:9" hidden="1" x14ac:dyDescent="0.25">
      <c r="B235" s="148"/>
      <c r="C235" s="148" t="s">
        <v>24537</v>
      </c>
      <c r="D235" s="150">
        <v>44081</v>
      </c>
      <c r="E235" s="341" t="s">
        <v>24536</v>
      </c>
      <c r="F235" s="257" t="s">
        <v>14408</v>
      </c>
      <c r="G235" s="258">
        <v>7.9</v>
      </c>
      <c r="H235" s="152"/>
      <c r="I235" s="160">
        <f t="shared" si="3"/>
        <v>113344.38000000005</v>
      </c>
    </row>
    <row r="236" spans="2:9" hidden="1" x14ac:dyDescent="0.25">
      <c r="B236" s="148"/>
      <c r="C236" s="148" t="s">
        <v>24535</v>
      </c>
      <c r="D236" s="150">
        <v>44081</v>
      </c>
      <c r="E236" s="341" t="s">
        <v>24534</v>
      </c>
      <c r="F236" s="257" t="s">
        <v>14408</v>
      </c>
      <c r="G236" s="258">
        <v>6.41</v>
      </c>
      <c r="H236" s="152"/>
      <c r="I236" s="160">
        <f t="shared" si="3"/>
        <v>113350.79000000005</v>
      </c>
    </row>
    <row r="237" spans="2:9" hidden="1" x14ac:dyDescent="0.25">
      <c r="B237" s="148"/>
      <c r="C237" s="148" t="s">
        <v>24533</v>
      </c>
      <c r="D237" s="150">
        <v>44081</v>
      </c>
      <c r="E237" s="341" t="s">
        <v>24532</v>
      </c>
      <c r="F237" s="257" t="s">
        <v>14408</v>
      </c>
      <c r="G237" s="258">
        <v>3.91</v>
      </c>
      <c r="H237" s="152"/>
      <c r="I237" s="160">
        <f t="shared" si="3"/>
        <v>113354.70000000006</v>
      </c>
    </row>
    <row r="238" spans="2:9" hidden="1" x14ac:dyDescent="0.25">
      <c r="B238" s="148"/>
      <c r="C238" s="148" t="s">
        <v>24531</v>
      </c>
      <c r="D238" s="150">
        <v>44081</v>
      </c>
      <c r="E238" s="341" t="s">
        <v>24530</v>
      </c>
      <c r="F238" s="257" t="s">
        <v>14408</v>
      </c>
      <c r="G238" s="258">
        <v>2.92</v>
      </c>
      <c r="H238" s="152"/>
      <c r="I238" s="160">
        <f t="shared" si="3"/>
        <v>113357.62000000005</v>
      </c>
    </row>
    <row r="239" spans="2:9" hidden="1" x14ac:dyDescent="0.25">
      <c r="B239" s="148"/>
      <c r="C239" s="148" t="s">
        <v>24529</v>
      </c>
      <c r="D239" s="150">
        <v>44081</v>
      </c>
      <c r="E239" s="341" t="s">
        <v>24528</v>
      </c>
      <c r="F239" s="257" t="s">
        <v>14408</v>
      </c>
      <c r="G239" s="258">
        <v>5.61</v>
      </c>
      <c r="H239" s="152"/>
      <c r="I239" s="160">
        <f t="shared" si="3"/>
        <v>113363.23000000005</v>
      </c>
    </row>
    <row r="240" spans="2:9" hidden="1" x14ac:dyDescent="0.25">
      <c r="B240" s="148"/>
      <c r="C240" s="148" t="s">
        <v>24527</v>
      </c>
      <c r="D240" s="150">
        <v>44081</v>
      </c>
      <c r="E240" s="341" t="s">
        <v>24526</v>
      </c>
      <c r="F240" s="257">
        <v>5</v>
      </c>
      <c r="G240" s="255">
        <v>7.82</v>
      </c>
      <c r="H240" s="152"/>
      <c r="I240" s="160">
        <f t="shared" si="3"/>
        <v>113371.05000000006</v>
      </c>
    </row>
    <row r="241" spans="2:9" hidden="1" x14ac:dyDescent="0.25">
      <c r="B241" s="148"/>
      <c r="C241" s="148" t="s">
        <v>24525</v>
      </c>
      <c r="D241" s="150">
        <v>44081</v>
      </c>
      <c r="E241" s="341" t="s">
        <v>24524</v>
      </c>
      <c r="F241" s="257">
        <v>5</v>
      </c>
      <c r="G241" s="255">
        <v>16.05</v>
      </c>
      <c r="H241" s="152"/>
      <c r="I241" s="160">
        <f t="shared" si="3"/>
        <v>113387.10000000006</v>
      </c>
    </row>
    <row r="242" spans="2:9" hidden="1" x14ac:dyDescent="0.25">
      <c r="B242" s="148"/>
      <c r="C242" s="148" t="s">
        <v>24523</v>
      </c>
      <c r="D242" s="150">
        <v>44081</v>
      </c>
      <c r="E242" s="341" t="s">
        <v>24522</v>
      </c>
      <c r="F242" s="257">
        <v>5</v>
      </c>
      <c r="G242" s="255">
        <v>16.86</v>
      </c>
      <c r="H242" s="152"/>
      <c r="I242" s="160">
        <f t="shared" si="3"/>
        <v>113403.96000000006</v>
      </c>
    </row>
    <row r="243" spans="2:9" hidden="1" x14ac:dyDescent="0.25">
      <c r="B243" s="148"/>
      <c r="C243" s="148" t="s">
        <v>24521</v>
      </c>
      <c r="D243" s="150">
        <v>44081</v>
      </c>
      <c r="E243" s="341" t="s">
        <v>24520</v>
      </c>
      <c r="F243" s="257">
        <v>5</v>
      </c>
      <c r="G243" s="255">
        <v>1.77</v>
      </c>
      <c r="H243" s="152"/>
      <c r="I243" s="160">
        <f t="shared" si="3"/>
        <v>113405.73000000007</v>
      </c>
    </row>
    <row r="244" spans="2:9" hidden="1" x14ac:dyDescent="0.25">
      <c r="B244" s="148"/>
      <c r="C244" s="148" t="s">
        <v>24519</v>
      </c>
      <c r="D244" s="150">
        <v>44081</v>
      </c>
      <c r="E244" s="341" t="s">
        <v>24518</v>
      </c>
      <c r="F244" s="257">
        <v>5</v>
      </c>
      <c r="G244" s="255">
        <v>4.37</v>
      </c>
      <c r="H244" s="152"/>
      <c r="I244" s="160">
        <f t="shared" si="3"/>
        <v>113410.10000000006</v>
      </c>
    </row>
    <row r="245" spans="2:9" ht="19.5" hidden="1" x14ac:dyDescent="0.25">
      <c r="B245" s="148"/>
      <c r="C245" s="148" t="s">
        <v>24517</v>
      </c>
      <c r="D245" s="150">
        <v>44081</v>
      </c>
      <c r="E245" s="341" t="s">
        <v>24516</v>
      </c>
      <c r="F245" s="257">
        <v>5</v>
      </c>
      <c r="G245" s="255">
        <v>7.68</v>
      </c>
      <c r="H245" s="152"/>
      <c r="I245" s="160">
        <f t="shared" si="3"/>
        <v>113417.78000000006</v>
      </c>
    </row>
    <row r="246" spans="2:9" hidden="1" x14ac:dyDescent="0.25">
      <c r="B246" s="148"/>
      <c r="C246" s="148" t="s">
        <v>24515</v>
      </c>
      <c r="D246" s="150">
        <v>44081</v>
      </c>
      <c r="E246" s="341" t="s">
        <v>24514</v>
      </c>
      <c r="F246" s="257">
        <v>5</v>
      </c>
      <c r="G246" s="255">
        <v>1.85</v>
      </c>
      <c r="H246" s="152"/>
      <c r="I246" s="160">
        <f t="shared" si="3"/>
        <v>113419.63000000006</v>
      </c>
    </row>
    <row r="247" spans="2:9" hidden="1" x14ac:dyDescent="0.25">
      <c r="B247" s="148"/>
      <c r="C247" s="148" t="s">
        <v>24513</v>
      </c>
      <c r="D247" s="150">
        <v>44081</v>
      </c>
      <c r="E247" s="341" t="s">
        <v>24512</v>
      </c>
      <c r="F247" s="257">
        <v>5</v>
      </c>
      <c r="G247" s="255">
        <v>15.3</v>
      </c>
      <c r="H247" s="152"/>
      <c r="I247" s="160">
        <f t="shared" si="3"/>
        <v>113434.93000000007</v>
      </c>
    </row>
    <row r="248" spans="2:9" hidden="1" x14ac:dyDescent="0.25">
      <c r="B248" s="148"/>
      <c r="C248" s="148" t="s">
        <v>24511</v>
      </c>
      <c r="D248" s="150">
        <v>44081</v>
      </c>
      <c r="E248" s="341" t="s">
        <v>24510</v>
      </c>
      <c r="F248" s="257">
        <v>5</v>
      </c>
      <c r="G248" s="255">
        <v>6.94</v>
      </c>
      <c r="H248" s="152"/>
      <c r="I248" s="160">
        <f t="shared" si="3"/>
        <v>113441.87000000007</v>
      </c>
    </row>
    <row r="249" spans="2:9" hidden="1" x14ac:dyDescent="0.25">
      <c r="B249" s="148"/>
      <c r="C249" s="148" t="s">
        <v>24509</v>
      </c>
      <c r="D249" s="150">
        <v>44081</v>
      </c>
      <c r="E249" s="341" t="s">
        <v>24508</v>
      </c>
      <c r="F249" s="257">
        <v>5</v>
      </c>
      <c r="G249" s="255">
        <v>8.3800000000000008</v>
      </c>
      <c r="H249" s="152"/>
      <c r="I249" s="160">
        <f t="shared" si="3"/>
        <v>113450.25000000007</v>
      </c>
    </row>
    <row r="250" spans="2:9" hidden="1" x14ac:dyDescent="0.25">
      <c r="B250" s="148"/>
      <c r="C250" s="148" t="s">
        <v>24507</v>
      </c>
      <c r="D250" s="150">
        <v>44081</v>
      </c>
      <c r="E250" s="341" t="s">
        <v>24506</v>
      </c>
      <c r="F250" s="257" t="s">
        <v>14436</v>
      </c>
      <c r="G250" s="160">
        <v>2.6</v>
      </c>
      <c r="H250" s="152"/>
      <c r="I250" s="160">
        <f t="shared" si="3"/>
        <v>113452.85000000008</v>
      </c>
    </row>
    <row r="251" spans="2:9" hidden="1" x14ac:dyDescent="0.25">
      <c r="B251" s="148"/>
      <c r="C251" s="148" t="s">
        <v>24505</v>
      </c>
      <c r="D251" s="150">
        <v>44081</v>
      </c>
      <c r="E251" s="341" t="s">
        <v>24504</v>
      </c>
      <c r="F251" s="257" t="s">
        <v>18712</v>
      </c>
      <c r="G251" s="160">
        <v>7.29</v>
      </c>
      <c r="H251" s="152"/>
      <c r="I251" s="160">
        <f t="shared" si="3"/>
        <v>113460.14000000007</v>
      </c>
    </row>
    <row r="252" spans="2:9" hidden="1" x14ac:dyDescent="0.25">
      <c r="B252" s="148"/>
      <c r="C252" s="148" t="s">
        <v>24503</v>
      </c>
      <c r="D252" s="150">
        <v>44082</v>
      </c>
      <c r="E252" s="341" t="s">
        <v>24502</v>
      </c>
      <c r="F252" s="257" t="s">
        <v>14436</v>
      </c>
      <c r="G252" s="160">
        <v>5.71</v>
      </c>
      <c r="H252" s="152"/>
      <c r="I252" s="160">
        <f t="shared" si="3"/>
        <v>113465.85000000008</v>
      </c>
    </row>
    <row r="253" spans="2:9" ht="19.5" hidden="1" x14ac:dyDescent="0.25">
      <c r="B253" s="148"/>
      <c r="C253" s="148" t="s">
        <v>24501</v>
      </c>
      <c r="D253" s="150">
        <v>44082</v>
      </c>
      <c r="E253" s="341" t="s">
        <v>24500</v>
      </c>
      <c r="F253" s="257" t="s">
        <v>14408</v>
      </c>
      <c r="G253" s="258">
        <v>7.87</v>
      </c>
      <c r="H253" s="152"/>
      <c r="I253" s="160">
        <f t="shared" si="3"/>
        <v>113473.72000000007</v>
      </c>
    </row>
    <row r="254" spans="2:9" hidden="1" x14ac:dyDescent="0.25">
      <c r="B254" s="148"/>
      <c r="C254" s="148" t="s">
        <v>24499</v>
      </c>
      <c r="D254" s="150">
        <v>44082</v>
      </c>
      <c r="E254" s="341" t="s">
        <v>24498</v>
      </c>
      <c r="F254" s="257" t="s">
        <v>14408</v>
      </c>
      <c r="G254" s="258">
        <v>4.9800000000000004</v>
      </c>
      <c r="H254" s="152"/>
      <c r="I254" s="160">
        <f t="shared" si="3"/>
        <v>113478.70000000007</v>
      </c>
    </row>
    <row r="255" spans="2:9" hidden="1" x14ac:dyDescent="0.25">
      <c r="B255" s="148"/>
      <c r="C255" s="148" t="s">
        <v>24497</v>
      </c>
      <c r="D255" s="150">
        <v>44082</v>
      </c>
      <c r="E255" s="341" t="s">
        <v>24496</v>
      </c>
      <c r="F255" s="257" t="s">
        <v>14408</v>
      </c>
      <c r="G255" s="258">
        <v>7.84</v>
      </c>
      <c r="H255" s="152"/>
      <c r="I255" s="160">
        <f t="shared" si="3"/>
        <v>113486.54000000007</v>
      </c>
    </row>
    <row r="256" spans="2:9" hidden="1" x14ac:dyDescent="0.25">
      <c r="B256" s="148"/>
      <c r="C256" s="148" t="s">
        <v>24495</v>
      </c>
      <c r="D256" s="150">
        <v>44082</v>
      </c>
      <c r="E256" s="341" t="s">
        <v>24494</v>
      </c>
      <c r="F256" s="257" t="s">
        <v>14408</v>
      </c>
      <c r="G256" s="258">
        <v>2.4</v>
      </c>
      <c r="H256" s="152"/>
      <c r="I256" s="160">
        <f t="shared" si="3"/>
        <v>113488.94000000006</v>
      </c>
    </row>
    <row r="257" spans="2:9" ht="19.5" hidden="1" x14ac:dyDescent="0.25">
      <c r="B257" s="148"/>
      <c r="C257" s="148" t="s">
        <v>24493</v>
      </c>
      <c r="D257" s="150">
        <v>44082</v>
      </c>
      <c r="E257" s="341" t="s">
        <v>24492</v>
      </c>
      <c r="F257" s="257" t="s">
        <v>14408</v>
      </c>
      <c r="G257" s="258">
        <v>20.059999999999999</v>
      </c>
      <c r="H257" s="152"/>
      <c r="I257" s="160">
        <f t="shared" si="3"/>
        <v>113509.00000000006</v>
      </c>
    </row>
    <row r="258" spans="2:9" hidden="1" x14ac:dyDescent="0.25">
      <c r="B258" s="148"/>
      <c r="C258" s="148" t="s">
        <v>24491</v>
      </c>
      <c r="D258" s="150">
        <v>44082</v>
      </c>
      <c r="E258" s="341" t="s">
        <v>24490</v>
      </c>
      <c r="F258" s="257" t="s">
        <v>14408</v>
      </c>
      <c r="G258" s="258">
        <v>13.26</v>
      </c>
      <c r="H258" s="152"/>
      <c r="I258" s="160">
        <f t="shared" si="3"/>
        <v>113522.26000000005</v>
      </c>
    </row>
    <row r="259" spans="2:9" hidden="1" x14ac:dyDescent="0.25">
      <c r="B259" s="148"/>
      <c r="C259" s="148" t="s">
        <v>24489</v>
      </c>
      <c r="D259" s="150">
        <v>44082</v>
      </c>
      <c r="E259" s="341" t="s">
        <v>24488</v>
      </c>
      <c r="F259" s="257" t="s">
        <v>14408</v>
      </c>
      <c r="G259" s="258">
        <v>2.23</v>
      </c>
      <c r="H259" s="152"/>
      <c r="I259" s="160">
        <f t="shared" si="3"/>
        <v>113524.49000000005</v>
      </c>
    </row>
    <row r="260" spans="2:9" hidden="1" x14ac:dyDescent="0.25">
      <c r="B260" s="148"/>
      <c r="C260" s="148" t="s">
        <v>24487</v>
      </c>
      <c r="D260" s="150">
        <v>44082</v>
      </c>
      <c r="E260" s="341" t="s">
        <v>24486</v>
      </c>
      <c r="F260" s="257" t="s">
        <v>14408</v>
      </c>
      <c r="G260" s="258">
        <v>2.37</v>
      </c>
      <c r="H260" s="152"/>
      <c r="I260" s="160">
        <f t="shared" si="3"/>
        <v>113526.86000000004</v>
      </c>
    </row>
    <row r="261" spans="2:9" hidden="1" x14ac:dyDescent="0.25">
      <c r="B261" s="148"/>
      <c r="C261" s="148" t="s">
        <v>24485</v>
      </c>
      <c r="D261" s="150">
        <v>44082</v>
      </c>
      <c r="E261" s="341" t="s">
        <v>24484</v>
      </c>
      <c r="F261" s="257" t="s">
        <v>14408</v>
      </c>
      <c r="G261" s="258">
        <v>1.21</v>
      </c>
      <c r="H261" s="152"/>
      <c r="I261" s="160">
        <f t="shared" si="3"/>
        <v>113528.07000000005</v>
      </c>
    </row>
    <row r="262" spans="2:9" hidden="1" x14ac:dyDescent="0.25">
      <c r="B262" s="148"/>
      <c r="C262" s="148" t="s">
        <v>24483</v>
      </c>
      <c r="D262" s="150">
        <v>44082</v>
      </c>
      <c r="E262" s="341" t="s">
        <v>24482</v>
      </c>
      <c r="F262" s="257" t="s">
        <v>14408</v>
      </c>
      <c r="G262" s="258">
        <v>1.69</v>
      </c>
      <c r="H262" s="152"/>
      <c r="I262" s="160">
        <f t="shared" si="3"/>
        <v>113529.76000000005</v>
      </c>
    </row>
    <row r="263" spans="2:9" hidden="1" x14ac:dyDescent="0.25">
      <c r="B263" s="148"/>
      <c r="C263" s="148" t="s">
        <v>24481</v>
      </c>
      <c r="D263" s="150">
        <v>44082</v>
      </c>
      <c r="E263" s="341" t="s">
        <v>24480</v>
      </c>
      <c r="F263" s="257" t="s">
        <v>14408</v>
      </c>
      <c r="G263" s="258">
        <v>7.45</v>
      </c>
      <c r="H263" s="152"/>
      <c r="I263" s="160">
        <f t="shared" si="3"/>
        <v>113537.21000000005</v>
      </c>
    </row>
    <row r="264" spans="2:9" hidden="1" x14ac:dyDescent="0.25">
      <c r="B264" s="148"/>
      <c r="C264" s="148" t="s">
        <v>24479</v>
      </c>
      <c r="D264" s="150">
        <v>44082</v>
      </c>
      <c r="E264" s="341" t="s">
        <v>24478</v>
      </c>
      <c r="F264" s="257" t="s">
        <v>14408</v>
      </c>
      <c r="G264" s="258">
        <v>4.16</v>
      </c>
      <c r="H264" s="152"/>
      <c r="I264" s="160">
        <f t="shared" si="3"/>
        <v>113541.37000000005</v>
      </c>
    </row>
    <row r="265" spans="2:9" hidden="1" x14ac:dyDescent="0.25">
      <c r="B265" s="148"/>
      <c r="C265" s="148" t="s">
        <v>24477</v>
      </c>
      <c r="D265" s="150">
        <v>44082</v>
      </c>
      <c r="E265" s="341" t="s">
        <v>24476</v>
      </c>
      <c r="F265" s="257" t="s">
        <v>14408</v>
      </c>
      <c r="G265" s="258">
        <v>25.14</v>
      </c>
      <c r="H265" s="152"/>
      <c r="I265" s="160">
        <f t="shared" si="3"/>
        <v>113566.51000000005</v>
      </c>
    </row>
    <row r="266" spans="2:9" hidden="1" x14ac:dyDescent="0.25">
      <c r="B266" s="148"/>
      <c r="C266" s="148" t="s">
        <v>24475</v>
      </c>
      <c r="D266" s="150">
        <v>44082</v>
      </c>
      <c r="E266" s="341" t="s">
        <v>24474</v>
      </c>
      <c r="F266" s="257" t="s">
        <v>14408</v>
      </c>
      <c r="G266" s="258">
        <v>22.37</v>
      </c>
      <c r="H266" s="152"/>
      <c r="I266" s="160">
        <f t="shared" si="3"/>
        <v>113588.88000000005</v>
      </c>
    </row>
    <row r="267" spans="2:9" hidden="1" x14ac:dyDescent="0.25">
      <c r="B267" s="148"/>
      <c r="C267" s="148" t="s">
        <v>24473</v>
      </c>
      <c r="D267" s="150">
        <v>44082</v>
      </c>
      <c r="E267" s="341" t="s">
        <v>24472</v>
      </c>
      <c r="F267" s="257" t="s">
        <v>14408</v>
      </c>
      <c r="G267" s="258">
        <v>12.21</v>
      </c>
      <c r="H267" s="152"/>
      <c r="I267" s="160">
        <f t="shared" si="3"/>
        <v>113601.09000000005</v>
      </c>
    </row>
    <row r="268" spans="2:9" ht="19.5" hidden="1" x14ac:dyDescent="0.25">
      <c r="B268" s="148"/>
      <c r="C268" s="148" t="s">
        <v>24471</v>
      </c>
      <c r="D268" s="150">
        <v>44082</v>
      </c>
      <c r="E268" s="341" t="s">
        <v>24470</v>
      </c>
      <c r="F268" s="257" t="s">
        <v>14408</v>
      </c>
      <c r="G268" s="258">
        <v>5.04</v>
      </c>
      <c r="H268" s="152"/>
      <c r="I268" s="160">
        <f t="shared" si="3"/>
        <v>113606.13000000005</v>
      </c>
    </row>
    <row r="269" spans="2:9" hidden="1" x14ac:dyDescent="0.25">
      <c r="B269" s="148"/>
      <c r="C269" s="148" t="s">
        <v>24469</v>
      </c>
      <c r="D269" s="150">
        <v>44082</v>
      </c>
      <c r="E269" s="341" t="s">
        <v>24468</v>
      </c>
      <c r="F269" s="257" t="s">
        <v>14408</v>
      </c>
      <c r="G269" s="258">
        <v>7.13</v>
      </c>
      <c r="H269" s="152"/>
      <c r="I269" s="160">
        <f t="shared" si="3"/>
        <v>113613.26000000005</v>
      </c>
    </row>
    <row r="270" spans="2:9" ht="19.5" hidden="1" x14ac:dyDescent="0.25">
      <c r="B270" s="148"/>
      <c r="C270" s="148" t="s">
        <v>24467</v>
      </c>
      <c r="D270" s="150">
        <v>44082</v>
      </c>
      <c r="E270" s="341" t="s">
        <v>24466</v>
      </c>
      <c r="F270" s="257" t="s">
        <v>14408</v>
      </c>
      <c r="G270" s="258">
        <v>12.07</v>
      </c>
      <c r="H270" s="152"/>
      <c r="I270" s="160">
        <f t="shared" si="3"/>
        <v>113625.33000000006</v>
      </c>
    </row>
    <row r="271" spans="2:9" hidden="1" x14ac:dyDescent="0.25">
      <c r="B271" s="148"/>
      <c r="C271" s="148" t="s">
        <v>24465</v>
      </c>
      <c r="D271" s="150">
        <v>44082</v>
      </c>
      <c r="E271" s="341" t="s">
        <v>24464</v>
      </c>
      <c r="F271" s="257">
        <v>6</v>
      </c>
      <c r="G271" s="255">
        <v>4.8600000000000003</v>
      </c>
      <c r="H271" s="152"/>
      <c r="I271" s="160">
        <f t="shared" si="3"/>
        <v>113630.19000000006</v>
      </c>
    </row>
    <row r="272" spans="2:9" hidden="1" x14ac:dyDescent="0.25">
      <c r="B272" s="148"/>
      <c r="C272" s="148" t="s">
        <v>24463</v>
      </c>
      <c r="D272" s="150">
        <v>44082</v>
      </c>
      <c r="E272" s="341" t="s">
        <v>24462</v>
      </c>
      <c r="F272" s="257">
        <v>6</v>
      </c>
      <c r="G272" s="255">
        <v>4.0599999999999996</v>
      </c>
      <c r="H272" s="152"/>
      <c r="I272" s="160">
        <f t="shared" si="3"/>
        <v>113634.25000000006</v>
      </c>
    </row>
    <row r="273" spans="2:9" hidden="1" x14ac:dyDescent="0.25">
      <c r="B273" s="148"/>
      <c r="C273" s="148" t="s">
        <v>24461</v>
      </c>
      <c r="D273" s="150">
        <v>44082</v>
      </c>
      <c r="E273" s="341" t="s">
        <v>24460</v>
      </c>
      <c r="F273" s="257">
        <v>6</v>
      </c>
      <c r="G273" s="255">
        <v>14.21</v>
      </c>
      <c r="H273" s="152"/>
      <c r="I273" s="160">
        <f t="shared" si="3"/>
        <v>113648.46000000006</v>
      </c>
    </row>
    <row r="274" spans="2:9" hidden="1" x14ac:dyDescent="0.25">
      <c r="B274" s="148"/>
      <c r="C274" s="148" t="s">
        <v>24459</v>
      </c>
      <c r="D274" s="150">
        <v>44082</v>
      </c>
      <c r="E274" s="341" t="s">
        <v>24458</v>
      </c>
      <c r="F274" s="257">
        <v>6</v>
      </c>
      <c r="G274" s="255">
        <v>2.88</v>
      </c>
      <c r="H274" s="152"/>
      <c r="I274" s="160">
        <f t="shared" si="3"/>
        <v>113651.34000000007</v>
      </c>
    </row>
    <row r="275" spans="2:9" hidden="1" x14ac:dyDescent="0.25">
      <c r="B275" s="148"/>
      <c r="C275" s="148" t="s">
        <v>24457</v>
      </c>
      <c r="D275" s="150">
        <v>44082</v>
      </c>
      <c r="E275" s="341" t="s">
        <v>24456</v>
      </c>
      <c r="F275" s="257">
        <v>6</v>
      </c>
      <c r="G275" s="255">
        <v>7.54</v>
      </c>
      <c r="H275" s="152"/>
      <c r="I275" s="160">
        <f t="shared" si="3"/>
        <v>113658.88000000006</v>
      </c>
    </row>
    <row r="276" spans="2:9" ht="29.25" hidden="1" x14ac:dyDescent="0.25">
      <c r="B276" s="148"/>
      <c r="C276" s="148" t="s">
        <v>24455</v>
      </c>
      <c r="D276" s="150">
        <v>44082</v>
      </c>
      <c r="E276" s="341" t="s">
        <v>24454</v>
      </c>
      <c r="F276" s="257" t="s">
        <v>14436</v>
      </c>
      <c r="G276" s="160">
        <v>335.68</v>
      </c>
      <c r="H276" s="152"/>
      <c r="I276" s="160">
        <f t="shared" ref="I276:I339" si="4">+I275+G276-H276</f>
        <v>113994.56000000006</v>
      </c>
    </row>
    <row r="277" spans="2:9" x14ac:dyDescent="0.25">
      <c r="B277" s="148"/>
      <c r="C277" s="148" t="s">
        <v>18386</v>
      </c>
      <c r="D277" s="150">
        <v>44082</v>
      </c>
      <c r="E277" s="341" t="s">
        <v>24453</v>
      </c>
      <c r="F277" s="257" t="s">
        <v>14433</v>
      </c>
      <c r="G277" s="152"/>
      <c r="H277" s="161">
        <v>187.19</v>
      </c>
      <c r="I277" s="160">
        <f t="shared" si="4"/>
        <v>113807.37000000005</v>
      </c>
    </row>
    <row r="278" spans="2:9" ht="19.5" x14ac:dyDescent="0.25">
      <c r="B278" s="148"/>
      <c r="C278" s="148" t="s">
        <v>16370</v>
      </c>
      <c r="D278" s="150">
        <v>44082</v>
      </c>
      <c r="E278" s="341" t="s">
        <v>24452</v>
      </c>
      <c r="F278" s="257" t="s">
        <v>14433</v>
      </c>
      <c r="G278" s="152"/>
      <c r="H278" s="161">
        <v>13.02</v>
      </c>
      <c r="I278" s="160">
        <f t="shared" si="4"/>
        <v>113794.35000000005</v>
      </c>
    </row>
    <row r="279" spans="2:9" ht="19.5" x14ac:dyDescent="0.25">
      <c r="B279" s="148"/>
      <c r="C279" s="148" t="s">
        <v>16368</v>
      </c>
      <c r="D279" s="150">
        <v>44082</v>
      </c>
      <c r="E279" s="341" t="s">
        <v>24451</v>
      </c>
      <c r="F279" s="257" t="s">
        <v>14433</v>
      </c>
      <c r="G279" s="152"/>
      <c r="H279" s="161">
        <v>1174.8800000000001</v>
      </c>
      <c r="I279" s="160">
        <f t="shared" si="4"/>
        <v>112619.47000000004</v>
      </c>
    </row>
    <row r="280" spans="2:9" hidden="1" x14ac:dyDescent="0.25">
      <c r="B280" s="148"/>
      <c r="C280" s="148" t="s">
        <v>24450</v>
      </c>
      <c r="D280" s="150">
        <v>44083</v>
      </c>
      <c r="E280" s="341" t="s">
        <v>24449</v>
      </c>
      <c r="G280" s="160">
        <v>94.72</v>
      </c>
      <c r="H280" s="152"/>
      <c r="I280" s="160">
        <f t="shared" si="4"/>
        <v>112714.19000000005</v>
      </c>
    </row>
    <row r="281" spans="2:9" hidden="1" x14ac:dyDescent="0.25">
      <c r="B281" s="148"/>
      <c r="C281" s="148" t="s">
        <v>24448</v>
      </c>
      <c r="D281" s="150">
        <v>44083</v>
      </c>
      <c r="E281" s="341" t="s">
        <v>24447</v>
      </c>
      <c r="F281" s="257" t="s">
        <v>14408</v>
      </c>
      <c r="G281" s="258">
        <v>4.38</v>
      </c>
      <c r="H281" s="152"/>
      <c r="I281" s="160">
        <f t="shared" si="4"/>
        <v>112718.57000000005</v>
      </c>
    </row>
    <row r="282" spans="2:9" hidden="1" x14ac:dyDescent="0.25">
      <c r="B282" s="148"/>
      <c r="C282" s="148" t="s">
        <v>24446</v>
      </c>
      <c r="D282" s="150">
        <v>44083</v>
      </c>
      <c r="E282" s="341" t="s">
        <v>24445</v>
      </c>
      <c r="F282" s="257" t="s">
        <v>14408</v>
      </c>
      <c r="G282" s="258">
        <v>2.02</v>
      </c>
      <c r="H282" s="152"/>
      <c r="I282" s="160">
        <f t="shared" si="4"/>
        <v>112720.59000000005</v>
      </c>
    </row>
    <row r="283" spans="2:9" hidden="1" x14ac:dyDescent="0.25">
      <c r="B283" s="148"/>
      <c r="C283" s="148" t="s">
        <v>24444</v>
      </c>
      <c r="D283" s="150">
        <v>44083</v>
      </c>
      <c r="E283" s="341" t="s">
        <v>24443</v>
      </c>
      <c r="F283" s="257" t="s">
        <v>14408</v>
      </c>
      <c r="G283" s="258">
        <v>3.81</v>
      </c>
      <c r="H283" s="152"/>
      <c r="I283" s="160">
        <f t="shared" si="4"/>
        <v>112724.40000000005</v>
      </c>
    </row>
    <row r="284" spans="2:9" hidden="1" x14ac:dyDescent="0.25">
      <c r="B284" s="148"/>
      <c r="C284" s="148" t="s">
        <v>24442</v>
      </c>
      <c r="D284" s="150">
        <v>44083</v>
      </c>
      <c r="E284" s="341" t="s">
        <v>24441</v>
      </c>
      <c r="F284" s="257" t="s">
        <v>14408</v>
      </c>
      <c r="G284" s="258">
        <v>3.83</v>
      </c>
      <c r="H284" s="152"/>
      <c r="I284" s="160">
        <f t="shared" si="4"/>
        <v>112728.23000000005</v>
      </c>
    </row>
    <row r="285" spans="2:9" hidden="1" x14ac:dyDescent="0.25">
      <c r="B285" s="148"/>
      <c r="C285" s="148" t="s">
        <v>24440</v>
      </c>
      <c r="D285" s="150">
        <v>44083</v>
      </c>
      <c r="E285" s="341" t="s">
        <v>24439</v>
      </c>
      <c r="F285" s="257" t="s">
        <v>14408</v>
      </c>
      <c r="G285" s="258">
        <v>1.68</v>
      </c>
      <c r="H285" s="152"/>
      <c r="I285" s="160">
        <f t="shared" si="4"/>
        <v>112729.91000000005</v>
      </c>
    </row>
    <row r="286" spans="2:9" hidden="1" x14ac:dyDescent="0.25">
      <c r="B286" s="148"/>
      <c r="C286" s="148" t="s">
        <v>24438</v>
      </c>
      <c r="D286" s="150">
        <v>44083</v>
      </c>
      <c r="E286" s="341" t="s">
        <v>24437</v>
      </c>
      <c r="F286" s="257" t="s">
        <v>14408</v>
      </c>
      <c r="G286" s="258">
        <v>5.69</v>
      </c>
      <c r="H286" s="152"/>
      <c r="I286" s="160">
        <f t="shared" si="4"/>
        <v>112735.60000000005</v>
      </c>
    </row>
    <row r="287" spans="2:9" hidden="1" x14ac:dyDescent="0.25">
      <c r="B287" s="148"/>
      <c r="C287" s="148" t="s">
        <v>24436</v>
      </c>
      <c r="D287" s="150">
        <v>44083</v>
      </c>
      <c r="E287" s="341" t="s">
        <v>24435</v>
      </c>
      <c r="F287" s="257" t="s">
        <v>14408</v>
      </c>
      <c r="G287" s="258">
        <v>15.07</v>
      </c>
      <c r="H287" s="152"/>
      <c r="I287" s="160">
        <f t="shared" si="4"/>
        <v>112750.67000000006</v>
      </c>
    </row>
    <row r="288" spans="2:9" hidden="1" x14ac:dyDescent="0.25">
      <c r="B288" s="148"/>
      <c r="C288" s="148" t="s">
        <v>24434</v>
      </c>
      <c r="D288" s="150">
        <v>44083</v>
      </c>
      <c r="E288" s="341" t="s">
        <v>24433</v>
      </c>
      <c r="F288" s="257">
        <v>7</v>
      </c>
      <c r="G288" s="255">
        <v>11.01</v>
      </c>
      <c r="H288" s="152"/>
      <c r="I288" s="160">
        <f t="shared" si="4"/>
        <v>112761.68000000005</v>
      </c>
    </row>
    <row r="289" spans="2:9" hidden="1" x14ac:dyDescent="0.25">
      <c r="B289" s="148"/>
      <c r="C289" s="148" t="s">
        <v>24432</v>
      </c>
      <c r="D289" s="150">
        <v>44083</v>
      </c>
      <c r="E289" s="341" t="s">
        <v>24431</v>
      </c>
      <c r="F289" s="257">
        <v>7</v>
      </c>
      <c r="G289" s="255">
        <v>4.38</v>
      </c>
      <c r="H289" s="152"/>
      <c r="I289" s="160">
        <f t="shared" si="4"/>
        <v>112766.06000000006</v>
      </c>
    </row>
    <row r="290" spans="2:9" hidden="1" x14ac:dyDescent="0.25">
      <c r="B290" s="148"/>
      <c r="C290" s="148" t="s">
        <v>24430</v>
      </c>
      <c r="D290" s="150">
        <v>44083</v>
      </c>
      <c r="E290" s="341" t="s">
        <v>24429</v>
      </c>
      <c r="F290" s="257">
        <v>7</v>
      </c>
      <c r="G290" s="255">
        <v>2.79</v>
      </c>
      <c r="H290" s="152"/>
      <c r="I290" s="160">
        <f t="shared" si="4"/>
        <v>112768.85000000005</v>
      </c>
    </row>
    <row r="291" spans="2:9" hidden="1" x14ac:dyDescent="0.25">
      <c r="B291" s="148"/>
      <c r="C291" s="148" t="s">
        <v>24428</v>
      </c>
      <c r="D291" s="150">
        <v>44083</v>
      </c>
      <c r="E291" s="341" t="s">
        <v>24427</v>
      </c>
      <c r="F291" s="257">
        <v>7</v>
      </c>
      <c r="G291" s="255">
        <v>23.79</v>
      </c>
      <c r="H291" s="152"/>
      <c r="I291" s="160">
        <f t="shared" si="4"/>
        <v>112792.64000000004</v>
      </c>
    </row>
    <row r="292" spans="2:9" hidden="1" x14ac:dyDescent="0.25">
      <c r="B292" s="148"/>
      <c r="C292" s="148" t="s">
        <v>24426</v>
      </c>
      <c r="D292" s="150">
        <v>44083</v>
      </c>
      <c r="E292" s="341" t="s">
        <v>24425</v>
      </c>
      <c r="F292" s="257">
        <v>7</v>
      </c>
      <c r="G292" s="255">
        <v>9.23</v>
      </c>
      <c r="H292" s="152"/>
      <c r="I292" s="160">
        <f t="shared" si="4"/>
        <v>112801.87000000004</v>
      </c>
    </row>
    <row r="293" spans="2:9" hidden="1" x14ac:dyDescent="0.25">
      <c r="B293" s="148"/>
      <c r="C293" s="148" t="s">
        <v>24424</v>
      </c>
      <c r="D293" s="150">
        <v>44083</v>
      </c>
      <c r="E293" s="341" t="s">
        <v>24423</v>
      </c>
      <c r="F293" s="257">
        <v>7</v>
      </c>
      <c r="G293" s="255">
        <v>13.88</v>
      </c>
      <c r="H293" s="152"/>
      <c r="I293" s="160">
        <f t="shared" si="4"/>
        <v>112815.75000000004</v>
      </c>
    </row>
    <row r="294" spans="2:9" ht="39" hidden="1" x14ac:dyDescent="0.25">
      <c r="B294" s="148"/>
      <c r="C294" s="148" t="s">
        <v>1926</v>
      </c>
      <c r="D294" s="150">
        <v>44083</v>
      </c>
      <c r="E294" s="341" t="s">
        <v>24422</v>
      </c>
      <c r="F294" s="257" t="s">
        <v>14439</v>
      </c>
      <c r="G294" s="255">
        <v>432.79</v>
      </c>
      <c r="H294" s="152"/>
      <c r="I294" s="160">
        <f t="shared" si="4"/>
        <v>113248.54000000004</v>
      </c>
    </row>
    <row r="295" spans="2:9" ht="39" hidden="1" x14ac:dyDescent="0.25">
      <c r="B295" s="148"/>
      <c r="C295" s="148" t="s">
        <v>1924</v>
      </c>
      <c r="D295" s="150">
        <v>44083</v>
      </c>
      <c r="E295" s="341" t="s">
        <v>24421</v>
      </c>
      <c r="F295" s="257" t="s">
        <v>14439</v>
      </c>
      <c r="G295" s="255">
        <v>52.88</v>
      </c>
      <c r="H295" s="152"/>
      <c r="I295" s="160">
        <f t="shared" si="4"/>
        <v>113301.42000000004</v>
      </c>
    </row>
    <row r="296" spans="2:9" x14ac:dyDescent="0.25">
      <c r="B296" s="148"/>
      <c r="C296" s="148" t="s">
        <v>19346</v>
      </c>
      <c r="D296" s="150">
        <v>44083</v>
      </c>
      <c r="E296" s="341" t="s">
        <v>24420</v>
      </c>
      <c r="F296" s="257" t="s">
        <v>14433</v>
      </c>
      <c r="G296" s="152"/>
      <c r="H296" s="161">
        <v>1714.95</v>
      </c>
      <c r="I296" s="160">
        <f t="shared" si="4"/>
        <v>111586.47000000004</v>
      </c>
    </row>
    <row r="297" spans="2:9" ht="19.5" x14ac:dyDescent="0.25">
      <c r="B297" s="148"/>
      <c r="C297" s="148" t="s">
        <v>16372</v>
      </c>
      <c r="D297" s="150">
        <v>44083</v>
      </c>
      <c r="E297" s="341" t="s">
        <v>24419</v>
      </c>
      <c r="F297" s="257" t="s">
        <v>14433</v>
      </c>
      <c r="G297" s="152"/>
      <c r="H297" s="161">
        <v>116.99</v>
      </c>
      <c r="I297" s="160">
        <f t="shared" si="4"/>
        <v>111469.48000000004</v>
      </c>
    </row>
    <row r="298" spans="2:9" ht="19.5" x14ac:dyDescent="0.25">
      <c r="B298" s="148"/>
      <c r="C298" s="148" t="s">
        <v>16657</v>
      </c>
      <c r="D298" s="150">
        <v>44083</v>
      </c>
      <c r="E298" s="341" t="s">
        <v>24418</v>
      </c>
      <c r="F298" s="257" t="s">
        <v>14433</v>
      </c>
      <c r="G298" s="152"/>
      <c r="H298" s="161">
        <v>21.9</v>
      </c>
      <c r="I298" s="160">
        <f t="shared" si="4"/>
        <v>111447.58000000005</v>
      </c>
    </row>
    <row r="299" spans="2:9" ht="19.5" x14ac:dyDescent="0.25">
      <c r="B299" s="148"/>
      <c r="C299" s="148" t="s">
        <v>14434</v>
      </c>
      <c r="D299" s="150">
        <v>44083</v>
      </c>
      <c r="E299" s="341" t="s">
        <v>24417</v>
      </c>
      <c r="F299" s="257" t="s">
        <v>14433</v>
      </c>
      <c r="G299" s="152"/>
      <c r="H299" s="161">
        <v>88</v>
      </c>
      <c r="I299" s="160">
        <f t="shared" si="4"/>
        <v>111359.58000000005</v>
      </c>
    </row>
    <row r="300" spans="2:9" hidden="1" x14ac:dyDescent="0.25">
      <c r="B300" s="148"/>
      <c r="C300" s="148" t="s">
        <v>24416</v>
      </c>
      <c r="D300" s="150">
        <v>44084</v>
      </c>
      <c r="E300" s="341" t="s">
        <v>24415</v>
      </c>
      <c r="F300" s="257" t="s">
        <v>14408</v>
      </c>
      <c r="G300" s="258">
        <v>11.4</v>
      </c>
      <c r="H300" s="152"/>
      <c r="I300" s="160">
        <f t="shared" si="4"/>
        <v>111370.98000000004</v>
      </c>
    </row>
    <row r="301" spans="2:9" hidden="1" x14ac:dyDescent="0.25">
      <c r="B301" s="148"/>
      <c r="C301" s="148" t="s">
        <v>24414</v>
      </c>
      <c r="D301" s="150">
        <v>44084</v>
      </c>
      <c r="E301" s="341" t="s">
        <v>24413</v>
      </c>
      <c r="F301" s="257" t="s">
        <v>14408</v>
      </c>
      <c r="G301" s="258">
        <v>3.68</v>
      </c>
      <c r="H301" s="152"/>
      <c r="I301" s="160">
        <f t="shared" si="4"/>
        <v>111374.66000000003</v>
      </c>
    </row>
    <row r="302" spans="2:9" hidden="1" x14ac:dyDescent="0.25">
      <c r="B302" s="148"/>
      <c r="C302" s="148" t="s">
        <v>24412</v>
      </c>
      <c r="D302" s="150">
        <v>44084</v>
      </c>
      <c r="E302" s="341" t="s">
        <v>24411</v>
      </c>
      <c r="F302" s="257" t="s">
        <v>14408</v>
      </c>
      <c r="G302" s="258">
        <v>7.1</v>
      </c>
      <c r="H302" s="152"/>
      <c r="I302" s="160">
        <f t="shared" si="4"/>
        <v>111381.76000000004</v>
      </c>
    </row>
    <row r="303" spans="2:9" hidden="1" x14ac:dyDescent="0.25">
      <c r="B303" s="148"/>
      <c r="C303" s="148" t="s">
        <v>24410</v>
      </c>
      <c r="D303" s="150">
        <v>44084</v>
      </c>
      <c r="E303" s="341" t="s">
        <v>24409</v>
      </c>
      <c r="F303" s="257" t="s">
        <v>14408</v>
      </c>
      <c r="G303" s="258">
        <v>8.3800000000000008</v>
      </c>
      <c r="H303" s="152"/>
      <c r="I303" s="160">
        <f t="shared" si="4"/>
        <v>111390.14000000004</v>
      </c>
    </row>
    <row r="304" spans="2:9" hidden="1" x14ac:dyDescent="0.25">
      <c r="B304" s="148"/>
      <c r="C304" s="148" t="s">
        <v>24408</v>
      </c>
      <c r="D304" s="150">
        <v>44084</v>
      </c>
      <c r="E304" s="341" t="s">
        <v>24407</v>
      </c>
      <c r="F304" s="257" t="s">
        <v>14408</v>
      </c>
      <c r="G304" s="258">
        <v>6.63</v>
      </c>
      <c r="H304" s="152"/>
      <c r="I304" s="160">
        <f t="shared" si="4"/>
        <v>111396.77000000005</v>
      </c>
    </row>
    <row r="305" spans="2:9" ht="19.5" hidden="1" x14ac:dyDescent="0.25">
      <c r="B305" s="148"/>
      <c r="C305" s="148" t="s">
        <v>24406</v>
      </c>
      <c r="D305" s="150">
        <v>44084</v>
      </c>
      <c r="E305" s="341" t="s">
        <v>24405</v>
      </c>
      <c r="F305" s="257" t="s">
        <v>14408</v>
      </c>
      <c r="G305" s="258">
        <v>17.16</v>
      </c>
      <c r="H305" s="152"/>
      <c r="I305" s="160">
        <f t="shared" si="4"/>
        <v>111413.93000000005</v>
      </c>
    </row>
    <row r="306" spans="2:9" hidden="1" x14ac:dyDescent="0.25">
      <c r="B306" s="148"/>
      <c r="C306" s="148" t="s">
        <v>24404</v>
      </c>
      <c r="D306" s="150">
        <v>44084</v>
      </c>
      <c r="E306" s="341" t="s">
        <v>24403</v>
      </c>
      <c r="F306" s="257" t="s">
        <v>14408</v>
      </c>
      <c r="G306" s="258">
        <v>2.92</v>
      </c>
      <c r="H306" s="152"/>
      <c r="I306" s="160">
        <f t="shared" si="4"/>
        <v>111416.85000000005</v>
      </c>
    </row>
    <row r="307" spans="2:9" ht="19.5" hidden="1" x14ac:dyDescent="0.25">
      <c r="B307" s="148"/>
      <c r="C307" s="148" t="s">
        <v>24402</v>
      </c>
      <c r="D307" s="150">
        <v>44084</v>
      </c>
      <c r="E307" s="341" t="s">
        <v>24401</v>
      </c>
      <c r="F307" s="257" t="s">
        <v>14408</v>
      </c>
      <c r="G307" s="258">
        <v>76.28</v>
      </c>
      <c r="H307" s="152"/>
      <c r="I307" s="160">
        <f t="shared" si="4"/>
        <v>111493.13000000005</v>
      </c>
    </row>
    <row r="308" spans="2:9" hidden="1" x14ac:dyDescent="0.25">
      <c r="B308" s="148"/>
      <c r="C308" s="148" t="s">
        <v>24400</v>
      </c>
      <c r="D308" s="150">
        <v>44084</v>
      </c>
      <c r="E308" s="341" t="s">
        <v>24399</v>
      </c>
      <c r="F308" s="257" t="s">
        <v>14408</v>
      </c>
      <c r="G308" s="258">
        <v>3.15</v>
      </c>
      <c r="H308" s="152"/>
      <c r="I308" s="160">
        <f t="shared" si="4"/>
        <v>111496.28000000004</v>
      </c>
    </row>
    <row r="309" spans="2:9" hidden="1" x14ac:dyDescent="0.25">
      <c r="B309" s="148"/>
      <c r="C309" s="148" t="s">
        <v>24398</v>
      </c>
      <c r="D309" s="150">
        <v>44084</v>
      </c>
      <c r="E309" s="341" t="s">
        <v>24397</v>
      </c>
      <c r="F309" s="257" t="s">
        <v>14408</v>
      </c>
      <c r="G309" s="258">
        <v>11.02</v>
      </c>
      <c r="H309" s="152"/>
      <c r="I309" s="160">
        <f t="shared" si="4"/>
        <v>111507.30000000005</v>
      </c>
    </row>
    <row r="310" spans="2:9" hidden="1" x14ac:dyDescent="0.25">
      <c r="B310" s="148"/>
      <c r="C310" s="148" t="s">
        <v>24396</v>
      </c>
      <c r="D310" s="150">
        <v>44084</v>
      </c>
      <c r="E310" s="341" t="s">
        <v>24395</v>
      </c>
      <c r="F310" s="257" t="s">
        <v>14408</v>
      </c>
      <c r="G310" s="258">
        <v>27.01</v>
      </c>
      <c r="H310" s="152"/>
      <c r="I310" s="160">
        <f t="shared" si="4"/>
        <v>111534.31000000004</v>
      </c>
    </row>
    <row r="311" spans="2:9" ht="19.5" hidden="1" x14ac:dyDescent="0.25">
      <c r="B311" s="148"/>
      <c r="C311" s="148" t="s">
        <v>24394</v>
      </c>
      <c r="D311" s="150">
        <v>44084</v>
      </c>
      <c r="E311" s="341" t="s">
        <v>24393</v>
      </c>
      <c r="F311" s="257" t="s">
        <v>14408</v>
      </c>
      <c r="G311" s="258">
        <v>5.04</v>
      </c>
      <c r="H311" s="152"/>
      <c r="I311" s="160">
        <f t="shared" si="4"/>
        <v>111539.35000000003</v>
      </c>
    </row>
    <row r="312" spans="2:9" hidden="1" x14ac:dyDescent="0.25">
      <c r="B312" s="148"/>
      <c r="C312" s="148" t="s">
        <v>24392</v>
      </c>
      <c r="D312" s="150">
        <v>44084</v>
      </c>
      <c r="E312" s="341" t="s">
        <v>24391</v>
      </c>
      <c r="F312" s="257">
        <v>8</v>
      </c>
      <c r="G312" s="160">
        <v>8.3800000000000008</v>
      </c>
      <c r="H312" s="152"/>
      <c r="I312" s="160">
        <f t="shared" si="4"/>
        <v>111547.73000000004</v>
      </c>
    </row>
    <row r="313" spans="2:9" ht="19.5" x14ac:dyDescent="0.25">
      <c r="B313" s="148"/>
      <c r="C313" s="148" t="s">
        <v>20572</v>
      </c>
      <c r="D313" s="150">
        <v>44084</v>
      </c>
      <c r="E313" s="341" t="s">
        <v>24390</v>
      </c>
      <c r="F313" s="257" t="s">
        <v>14433</v>
      </c>
      <c r="G313" s="152"/>
      <c r="H313" s="161">
        <v>1634.38</v>
      </c>
      <c r="I313" s="160">
        <f t="shared" si="4"/>
        <v>109913.35000000003</v>
      </c>
    </row>
    <row r="314" spans="2:9" ht="19.5" x14ac:dyDescent="0.25">
      <c r="B314" s="148"/>
      <c r="C314" s="148" t="s">
        <v>18039</v>
      </c>
      <c r="D314" s="150">
        <v>44084</v>
      </c>
      <c r="E314" s="341" t="s">
        <v>24389</v>
      </c>
      <c r="F314" s="257" t="s">
        <v>14433</v>
      </c>
      <c r="G314" s="152"/>
      <c r="H314" s="161">
        <v>2731.25</v>
      </c>
      <c r="I314" s="160">
        <f t="shared" si="4"/>
        <v>107182.10000000003</v>
      </c>
    </row>
    <row r="315" spans="2:9" hidden="1" x14ac:dyDescent="0.25">
      <c r="B315" s="148"/>
      <c r="C315" s="148" t="s">
        <v>24388</v>
      </c>
      <c r="D315" s="150">
        <v>44085</v>
      </c>
      <c r="E315" s="341" t="s">
        <v>24387</v>
      </c>
      <c r="F315" s="257" t="s">
        <v>14436</v>
      </c>
      <c r="G315" s="160">
        <v>4.71</v>
      </c>
      <c r="H315" s="152"/>
      <c r="I315" s="160">
        <f t="shared" si="4"/>
        <v>107186.81000000004</v>
      </c>
    </row>
    <row r="316" spans="2:9" hidden="1" x14ac:dyDescent="0.25">
      <c r="B316" s="148"/>
      <c r="C316" s="148" t="s">
        <v>24386</v>
      </c>
      <c r="D316" s="150">
        <v>44085</v>
      </c>
      <c r="E316" s="341" t="s">
        <v>24385</v>
      </c>
      <c r="F316" s="257" t="s">
        <v>14436</v>
      </c>
      <c r="G316" s="160">
        <v>138.05000000000001</v>
      </c>
      <c r="H316" s="152"/>
      <c r="I316" s="160">
        <f t="shared" si="4"/>
        <v>107324.86000000004</v>
      </c>
    </row>
    <row r="317" spans="2:9" ht="19.5" hidden="1" x14ac:dyDescent="0.25">
      <c r="B317" s="148"/>
      <c r="C317" s="148" t="s">
        <v>24384</v>
      </c>
      <c r="D317" s="150">
        <v>44085</v>
      </c>
      <c r="E317" s="341" t="s">
        <v>24383</v>
      </c>
      <c r="F317" s="257" t="s">
        <v>14436</v>
      </c>
      <c r="G317" s="160">
        <v>6817.43</v>
      </c>
      <c r="H317" s="152"/>
      <c r="I317" s="160">
        <f t="shared" si="4"/>
        <v>114142.29000000004</v>
      </c>
    </row>
    <row r="318" spans="2:9" hidden="1" x14ac:dyDescent="0.25">
      <c r="B318" s="148"/>
      <c r="C318" s="148" t="s">
        <v>24382</v>
      </c>
      <c r="D318" s="150">
        <v>44085</v>
      </c>
      <c r="E318" s="341" t="s">
        <v>24381</v>
      </c>
      <c r="F318" s="257">
        <v>9</v>
      </c>
      <c r="G318" s="160">
        <v>7.17</v>
      </c>
      <c r="H318" s="152"/>
      <c r="I318" s="160">
        <f t="shared" si="4"/>
        <v>114149.46000000004</v>
      </c>
    </row>
    <row r="319" spans="2:9" hidden="1" x14ac:dyDescent="0.25">
      <c r="B319" s="148"/>
      <c r="C319" s="148" t="s">
        <v>24380</v>
      </c>
      <c r="D319" s="150">
        <v>44085</v>
      </c>
      <c r="E319" s="341" t="s">
        <v>24379</v>
      </c>
      <c r="F319" s="257" t="s">
        <v>14409</v>
      </c>
      <c r="G319" s="258">
        <v>8.31</v>
      </c>
      <c r="H319" s="152"/>
      <c r="I319" s="160">
        <f t="shared" si="4"/>
        <v>114157.77000000003</v>
      </c>
    </row>
    <row r="320" spans="2:9" ht="19.5" hidden="1" x14ac:dyDescent="0.25">
      <c r="B320" s="148"/>
      <c r="C320" s="148" t="s">
        <v>24378</v>
      </c>
      <c r="D320" s="150">
        <v>44085</v>
      </c>
      <c r="E320" s="341" t="s">
        <v>24377</v>
      </c>
      <c r="F320" s="257" t="s">
        <v>14409</v>
      </c>
      <c r="G320" s="258">
        <v>3.27</v>
      </c>
      <c r="H320" s="152"/>
      <c r="I320" s="160">
        <f t="shared" si="4"/>
        <v>114161.04000000004</v>
      </c>
    </row>
    <row r="321" spans="2:9" hidden="1" x14ac:dyDescent="0.25">
      <c r="B321" s="148"/>
      <c r="C321" s="148" t="s">
        <v>24376</v>
      </c>
      <c r="D321" s="150">
        <v>44085</v>
      </c>
      <c r="E321" s="341" t="s">
        <v>24375</v>
      </c>
      <c r="F321" s="257" t="s">
        <v>14409</v>
      </c>
      <c r="G321" s="258">
        <v>47.23</v>
      </c>
      <c r="H321" s="152"/>
      <c r="I321" s="160">
        <f t="shared" si="4"/>
        <v>114208.27000000003</v>
      </c>
    </row>
    <row r="322" spans="2:9" ht="19.5" hidden="1" x14ac:dyDescent="0.25">
      <c r="B322" s="148"/>
      <c r="C322" s="148" t="s">
        <v>24374</v>
      </c>
      <c r="D322" s="150">
        <v>44085</v>
      </c>
      <c r="E322" s="341" t="s">
        <v>24373</v>
      </c>
      <c r="F322" s="257" t="s">
        <v>14409</v>
      </c>
      <c r="G322" s="258">
        <v>19.25</v>
      </c>
      <c r="H322" s="152"/>
      <c r="I322" s="160">
        <f t="shared" si="4"/>
        <v>114227.52000000003</v>
      </c>
    </row>
    <row r="323" spans="2:9" ht="19.5" hidden="1" x14ac:dyDescent="0.25">
      <c r="B323" s="148"/>
      <c r="C323" s="148" t="s">
        <v>24372</v>
      </c>
      <c r="D323" s="150">
        <v>44085</v>
      </c>
      <c r="E323" s="341" t="s">
        <v>24371</v>
      </c>
      <c r="F323" s="257" t="s">
        <v>14409</v>
      </c>
      <c r="G323" s="258">
        <v>8.0500000000000007</v>
      </c>
      <c r="H323" s="152"/>
      <c r="I323" s="160">
        <f t="shared" si="4"/>
        <v>114235.57000000004</v>
      </c>
    </row>
    <row r="324" spans="2:9" ht="19.5" hidden="1" x14ac:dyDescent="0.25">
      <c r="B324" s="148"/>
      <c r="C324" s="148" t="s">
        <v>24370</v>
      </c>
      <c r="D324" s="150">
        <v>44085</v>
      </c>
      <c r="E324" s="341" t="s">
        <v>24369</v>
      </c>
      <c r="F324" s="257" t="s">
        <v>14409</v>
      </c>
      <c r="G324" s="258">
        <v>14.92</v>
      </c>
      <c r="H324" s="152"/>
      <c r="I324" s="160">
        <f t="shared" si="4"/>
        <v>114250.49000000003</v>
      </c>
    </row>
    <row r="325" spans="2:9" hidden="1" x14ac:dyDescent="0.25">
      <c r="B325" s="148"/>
      <c r="C325" s="148" t="s">
        <v>24368</v>
      </c>
      <c r="D325" s="150">
        <v>44085</v>
      </c>
      <c r="E325" s="341" t="s">
        <v>24367</v>
      </c>
      <c r="F325" s="257" t="s">
        <v>14409</v>
      </c>
      <c r="G325" s="258">
        <v>3.17</v>
      </c>
      <c r="H325" s="152"/>
      <c r="I325" s="160">
        <f t="shared" si="4"/>
        <v>114253.66000000003</v>
      </c>
    </row>
    <row r="326" spans="2:9" hidden="1" x14ac:dyDescent="0.25">
      <c r="B326" s="148"/>
      <c r="C326" s="148" t="s">
        <v>24366</v>
      </c>
      <c r="D326" s="150">
        <v>44085</v>
      </c>
      <c r="E326" s="341" t="s">
        <v>24365</v>
      </c>
      <c r="F326" s="257" t="s">
        <v>14409</v>
      </c>
      <c r="G326" s="258">
        <v>4.07</v>
      </c>
      <c r="H326" s="152"/>
      <c r="I326" s="160">
        <f t="shared" si="4"/>
        <v>114257.73000000004</v>
      </c>
    </row>
    <row r="327" spans="2:9" ht="19.5" hidden="1" x14ac:dyDescent="0.25">
      <c r="B327" s="148"/>
      <c r="C327" s="148" t="s">
        <v>24364</v>
      </c>
      <c r="D327" s="150">
        <v>44085</v>
      </c>
      <c r="E327" s="341" t="s">
        <v>24363</v>
      </c>
      <c r="F327" s="257" t="s">
        <v>14409</v>
      </c>
      <c r="G327" s="258">
        <v>15.38</v>
      </c>
      <c r="H327" s="152"/>
      <c r="I327" s="160">
        <f t="shared" si="4"/>
        <v>114273.11000000004</v>
      </c>
    </row>
    <row r="328" spans="2:9" hidden="1" x14ac:dyDescent="0.25">
      <c r="B328" s="148"/>
      <c r="C328" s="148" t="s">
        <v>24362</v>
      </c>
      <c r="D328" s="150">
        <v>44085</v>
      </c>
      <c r="E328" s="341" t="s">
        <v>24361</v>
      </c>
      <c r="F328" s="257" t="s">
        <v>14436</v>
      </c>
      <c r="G328" s="160">
        <v>13.96</v>
      </c>
      <c r="H328" s="152"/>
      <c r="I328" s="160">
        <f t="shared" si="4"/>
        <v>114287.07000000005</v>
      </c>
    </row>
    <row r="329" spans="2:9" hidden="1" x14ac:dyDescent="0.25">
      <c r="B329" s="148"/>
      <c r="C329" s="148" t="s">
        <v>24360</v>
      </c>
      <c r="D329" s="150">
        <v>44085</v>
      </c>
      <c r="E329" s="341" t="s">
        <v>24359</v>
      </c>
      <c r="F329" s="257" t="s">
        <v>18712</v>
      </c>
      <c r="G329" s="160">
        <v>11</v>
      </c>
      <c r="H329" s="152"/>
      <c r="I329" s="160">
        <f t="shared" si="4"/>
        <v>114298.07000000005</v>
      </c>
    </row>
    <row r="330" spans="2:9" hidden="1" x14ac:dyDescent="0.25">
      <c r="B330" s="148"/>
      <c r="C330" s="148" t="s">
        <v>24358</v>
      </c>
      <c r="D330" s="150">
        <v>44085</v>
      </c>
      <c r="E330" s="341" t="s">
        <v>24357</v>
      </c>
      <c r="F330" s="257" t="s">
        <v>18712</v>
      </c>
      <c r="G330" s="160">
        <v>27.96</v>
      </c>
      <c r="H330" s="152"/>
      <c r="I330" s="160">
        <f t="shared" si="4"/>
        <v>114326.03000000006</v>
      </c>
    </row>
    <row r="331" spans="2:9" ht="19.5" hidden="1" x14ac:dyDescent="0.25">
      <c r="B331" s="148"/>
      <c r="C331" s="148" t="s">
        <v>24356</v>
      </c>
      <c r="D331" s="150">
        <v>44086</v>
      </c>
      <c r="E331" s="341" t="s">
        <v>24355</v>
      </c>
      <c r="F331" s="257" t="s">
        <v>14409</v>
      </c>
      <c r="G331" s="258">
        <v>12.88</v>
      </c>
      <c r="H331" s="152"/>
      <c r="I331" s="160">
        <f t="shared" si="4"/>
        <v>114338.91000000006</v>
      </c>
    </row>
    <row r="332" spans="2:9" hidden="1" x14ac:dyDescent="0.25">
      <c r="B332" s="148"/>
      <c r="C332" s="148" t="s">
        <v>24354</v>
      </c>
      <c r="D332" s="150">
        <v>44086</v>
      </c>
      <c r="E332" s="341" t="s">
        <v>24353</v>
      </c>
      <c r="F332" s="257" t="s">
        <v>14409</v>
      </c>
      <c r="G332" s="258">
        <v>7.32</v>
      </c>
      <c r="H332" s="152"/>
      <c r="I332" s="160">
        <f t="shared" si="4"/>
        <v>114346.23000000007</v>
      </c>
    </row>
    <row r="333" spans="2:9" hidden="1" x14ac:dyDescent="0.25">
      <c r="B333" s="148"/>
      <c r="C333" s="148" t="s">
        <v>24352</v>
      </c>
      <c r="D333" s="150">
        <v>44086</v>
      </c>
      <c r="E333" s="341" t="s">
        <v>24351</v>
      </c>
      <c r="F333" s="257" t="s">
        <v>14409</v>
      </c>
      <c r="G333" s="258">
        <v>6.37</v>
      </c>
      <c r="H333" s="152"/>
      <c r="I333" s="160">
        <f t="shared" si="4"/>
        <v>114352.60000000006</v>
      </c>
    </row>
    <row r="334" spans="2:9" hidden="1" x14ac:dyDescent="0.25">
      <c r="B334" s="148"/>
      <c r="C334" s="148" t="s">
        <v>24350</v>
      </c>
      <c r="D334" s="150">
        <v>44086</v>
      </c>
      <c r="E334" s="341" t="s">
        <v>24349</v>
      </c>
      <c r="F334" s="257" t="s">
        <v>14409</v>
      </c>
      <c r="G334" s="258">
        <v>0.84</v>
      </c>
      <c r="H334" s="152"/>
      <c r="I334" s="160">
        <f t="shared" si="4"/>
        <v>114353.44000000006</v>
      </c>
    </row>
    <row r="335" spans="2:9" hidden="1" x14ac:dyDescent="0.25">
      <c r="B335" s="148"/>
      <c r="C335" s="148" t="s">
        <v>24348</v>
      </c>
      <c r="D335" s="150">
        <v>44086</v>
      </c>
      <c r="E335" s="341" t="s">
        <v>24347</v>
      </c>
      <c r="F335" s="257" t="s">
        <v>14409</v>
      </c>
      <c r="G335" s="258">
        <v>8.3800000000000008</v>
      </c>
      <c r="H335" s="152"/>
      <c r="I335" s="160">
        <f t="shared" si="4"/>
        <v>114361.82000000007</v>
      </c>
    </row>
    <row r="336" spans="2:9" hidden="1" x14ac:dyDescent="0.25">
      <c r="B336" s="148"/>
      <c r="C336" s="148" t="s">
        <v>24346</v>
      </c>
      <c r="D336" s="150">
        <v>44086</v>
      </c>
      <c r="E336" s="341" t="s">
        <v>24345</v>
      </c>
      <c r="F336" s="257" t="s">
        <v>14409</v>
      </c>
      <c r="G336" s="258">
        <v>4.88</v>
      </c>
      <c r="H336" s="152"/>
      <c r="I336" s="160">
        <f t="shared" si="4"/>
        <v>114366.70000000007</v>
      </c>
    </row>
    <row r="337" spans="2:9" ht="19.5" hidden="1" x14ac:dyDescent="0.25">
      <c r="B337" s="148"/>
      <c r="C337" s="148" t="s">
        <v>24344</v>
      </c>
      <c r="D337" s="150">
        <v>44086</v>
      </c>
      <c r="E337" s="341" t="s">
        <v>24343</v>
      </c>
      <c r="F337" s="257" t="s">
        <v>14409</v>
      </c>
      <c r="G337" s="258">
        <v>37.04</v>
      </c>
      <c r="H337" s="152"/>
      <c r="I337" s="160">
        <f t="shared" si="4"/>
        <v>114403.74000000006</v>
      </c>
    </row>
    <row r="338" spans="2:9" ht="19.5" hidden="1" x14ac:dyDescent="0.25">
      <c r="B338" s="148"/>
      <c r="C338" s="148" t="s">
        <v>24342</v>
      </c>
      <c r="D338" s="150">
        <v>44086</v>
      </c>
      <c r="E338" s="341" t="s">
        <v>24341</v>
      </c>
      <c r="F338" s="257" t="s">
        <v>14409</v>
      </c>
      <c r="G338" s="258">
        <v>20.2</v>
      </c>
      <c r="H338" s="152"/>
      <c r="I338" s="160">
        <f t="shared" si="4"/>
        <v>114423.94000000006</v>
      </c>
    </row>
    <row r="339" spans="2:9" hidden="1" x14ac:dyDescent="0.25">
      <c r="B339" s="148"/>
      <c r="C339" s="148" t="s">
        <v>24340</v>
      </c>
      <c r="D339" s="150">
        <v>44086</v>
      </c>
      <c r="E339" s="341" t="s">
        <v>24339</v>
      </c>
      <c r="F339" s="257" t="s">
        <v>14409</v>
      </c>
      <c r="G339" s="258">
        <v>4.0199999999999996</v>
      </c>
      <c r="H339" s="152"/>
      <c r="I339" s="160">
        <f t="shared" si="4"/>
        <v>114427.96000000006</v>
      </c>
    </row>
    <row r="340" spans="2:9" ht="19.5" hidden="1" x14ac:dyDescent="0.25">
      <c r="B340" s="148"/>
      <c r="C340" s="148" t="s">
        <v>24338</v>
      </c>
      <c r="D340" s="150">
        <v>44087</v>
      </c>
      <c r="E340" s="341" t="s">
        <v>24337</v>
      </c>
      <c r="F340" s="257" t="s">
        <v>14409</v>
      </c>
      <c r="G340" s="258">
        <v>31.89</v>
      </c>
      <c r="H340" s="152"/>
      <c r="I340" s="160">
        <f t="shared" ref="I340:I403" si="5">+I339+G340-H340</f>
        <v>114459.85000000006</v>
      </c>
    </row>
    <row r="341" spans="2:9" hidden="1" x14ac:dyDescent="0.25">
      <c r="B341" s="148"/>
      <c r="C341" s="148" t="s">
        <v>24336</v>
      </c>
      <c r="D341" s="150">
        <v>44087</v>
      </c>
      <c r="E341" s="341" t="s">
        <v>24335</v>
      </c>
      <c r="F341" s="257" t="s">
        <v>14409</v>
      </c>
      <c r="G341" s="258">
        <v>20.260000000000002</v>
      </c>
      <c r="H341" s="152"/>
      <c r="I341" s="160">
        <f t="shared" si="5"/>
        <v>114480.11000000006</v>
      </c>
    </row>
    <row r="342" spans="2:9" ht="19.5" x14ac:dyDescent="0.25">
      <c r="B342" s="148"/>
      <c r="C342" s="148" t="s">
        <v>16699</v>
      </c>
      <c r="D342" s="150">
        <v>44087</v>
      </c>
      <c r="E342" s="341" t="s">
        <v>24334</v>
      </c>
      <c r="F342" s="257" t="s">
        <v>14433</v>
      </c>
      <c r="G342" s="152"/>
      <c r="H342" s="161">
        <v>976</v>
      </c>
      <c r="I342" s="160">
        <f t="shared" si="5"/>
        <v>113504.11000000006</v>
      </c>
    </row>
    <row r="343" spans="2:9" hidden="1" x14ac:dyDescent="0.25">
      <c r="B343" s="148"/>
      <c r="C343" s="148" t="s">
        <v>24333</v>
      </c>
      <c r="D343" s="150">
        <v>44088</v>
      </c>
      <c r="E343" s="341" t="s">
        <v>24332</v>
      </c>
      <c r="F343" s="257" t="s">
        <v>14436</v>
      </c>
      <c r="G343" s="160">
        <v>75.53</v>
      </c>
      <c r="H343" s="152"/>
      <c r="I343" s="160">
        <f t="shared" si="5"/>
        <v>113579.64000000006</v>
      </c>
    </row>
    <row r="344" spans="2:9" hidden="1" x14ac:dyDescent="0.25">
      <c r="B344" s="148"/>
      <c r="C344" s="148" t="s">
        <v>24331</v>
      </c>
      <c r="D344" s="150">
        <v>44088</v>
      </c>
      <c r="E344" s="341" t="s">
        <v>24330</v>
      </c>
      <c r="F344" s="257" t="s">
        <v>14436</v>
      </c>
      <c r="G344" s="160">
        <v>1.94</v>
      </c>
      <c r="H344" s="152"/>
      <c r="I344" s="160">
        <f t="shared" si="5"/>
        <v>113581.58000000006</v>
      </c>
    </row>
    <row r="345" spans="2:9" hidden="1" x14ac:dyDescent="0.25">
      <c r="B345" s="148"/>
      <c r="C345" s="148" t="s">
        <v>24329</v>
      </c>
      <c r="D345" s="150">
        <v>44088</v>
      </c>
      <c r="E345" s="341" t="s">
        <v>24328</v>
      </c>
      <c r="F345" s="257" t="s">
        <v>14436</v>
      </c>
      <c r="G345" s="160">
        <v>49.26</v>
      </c>
      <c r="H345" s="152"/>
      <c r="I345" s="160">
        <f t="shared" si="5"/>
        <v>113630.84000000005</v>
      </c>
    </row>
    <row r="346" spans="2:9" hidden="1" x14ac:dyDescent="0.25">
      <c r="B346" s="148"/>
      <c r="C346" s="148" t="s">
        <v>24327</v>
      </c>
      <c r="D346" s="150">
        <v>44088</v>
      </c>
      <c r="E346" s="341" t="s">
        <v>24326</v>
      </c>
      <c r="F346" s="257">
        <v>10</v>
      </c>
      <c r="G346" s="255">
        <v>4.1900000000000004</v>
      </c>
      <c r="H346" s="152"/>
      <c r="I346" s="160">
        <f t="shared" si="5"/>
        <v>113635.03000000006</v>
      </c>
    </row>
    <row r="347" spans="2:9" ht="19.5" hidden="1" x14ac:dyDescent="0.25">
      <c r="B347" s="148"/>
      <c r="C347" s="148" t="s">
        <v>24325</v>
      </c>
      <c r="D347" s="150">
        <v>44088</v>
      </c>
      <c r="E347" s="341" t="s">
        <v>24324</v>
      </c>
      <c r="F347" s="257">
        <v>10</v>
      </c>
      <c r="G347" s="255">
        <v>35.9</v>
      </c>
      <c r="H347" s="152"/>
      <c r="I347" s="160">
        <f t="shared" si="5"/>
        <v>113670.93000000005</v>
      </c>
    </row>
    <row r="348" spans="2:9" ht="19.5" hidden="1" x14ac:dyDescent="0.25">
      <c r="B348" s="148"/>
      <c r="C348" s="148" t="s">
        <v>24323</v>
      </c>
      <c r="D348" s="150">
        <v>44088</v>
      </c>
      <c r="E348" s="341" t="s">
        <v>24322</v>
      </c>
      <c r="F348" s="257">
        <v>10</v>
      </c>
      <c r="G348" s="255">
        <v>2.3199999999999998</v>
      </c>
      <c r="H348" s="152"/>
      <c r="I348" s="160">
        <f t="shared" si="5"/>
        <v>113673.25000000006</v>
      </c>
    </row>
    <row r="349" spans="2:9" ht="19.5" hidden="1" x14ac:dyDescent="0.25">
      <c r="B349" s="148"/>
      <c r="C349" s="148" t="s">
        <v>24321</v>
      </c>
      <c r="D349" s="150">
        <v>44088</v>
      </c>
      <c r="E349" s="341" t="s">
        <v>24320</v>
      </c>
      <c r="F349" s="257">
        <v>10</v>
      </c>
      <c r="G349" s="255">
        <v>9.6999999999999993</v>
      </c>
      <c r="H349" s="152"/>
      <c r="I349" s="160">
        <f t="shared" si="5"/>
        <v>113682.95000000006</v>
      </c>
    </row>
    <row r="350" spans="2:9" hidden="1" x14ac:dyDescent="0.25">
      <c r="B350" s="148"/>
      <c r="C350" s="148" t="s">
        <v>24319</v>
      </c>
      <c r="D350" s="150">
        <v>44088</v>
      </c>
      <c r="E350" s="341" t="s">
        <v>24318</v>
      </c>
      <c r="F350" s="257">
        <v>10</v>
      </c>
      <c r="G350" s="255">
        <v>3.36</v>
      </c>
      <c r="H350" s="152"/>
      <c r="I350" s="160">
        <f t="shared" si="5"/>
        <v>113686.31000000006</v>
      </c>
    </row>
    <row r="351" spans="2:9" hidden="1" x14ac:dyDescent="0.25">
      <c r="B351" s="148"/>
      <c r="C351" s="148" t="s">
        <v>24317</v>
      </c>
      <c r="D351" s="150">
        <v>44088</v>
      </c>
      <c r="E351" s="341" t="s">
        <v>24316</v>
      </c>
      <c r="F351" s="257">
        <v>10</v>
      </c>
      <c r="G351" s="255">
        <v>6.1</v>
      </c>
      <c r="H351" s="152"/>
      <c r="I351" s="160">
        <f t="shared" si="5"/>
        <v>113692.41000000006</v>
      </c>
    </row>
    <row r="352" spans="2:9" hidden="1" x14ac:dyDescent="0.25">
      <c r="B352" s="148"/>
      <c r="C352" s="148" t="s">
        <v>24315</v>
      </c>
      <c r="D352" s="150">
        <v>44088</v>
      </c>
      <c r="E352" s="341" t="s">
        <v>24314</v>
      </c>
      <c r="F352" s="257" t="s">
        <v>14409</v>
      </c>
      <c r="G352" s="258">
        <v>4.1100000000000003</v>
      </c>
      <c r="H352" s="152"/>
      <c r="I352" s="160">
        <f t="shared" si="5"/>
        <v>113696.52000000006</v>
      </c>
    </row>
    <row r="353" spans="2:9" hidden="1" x14ac:dyDescent="0.25">
      <c r="B353" s="148"/>
      <c r="C353" s="148" t="s">
        <v>24313</v>
      </c>
      <c r="D353" s="150">
        <v>44088</v>
      </c>
      <c r="E353" s="341" t="s">
        <v>24312</v>
      </c>
      <c r="F353" s="257" t="s">
        <v>14409</v>
      </c>
      <c r="G353" s="258">
        <v>23.49</v>
      </c>
      <c r="H353" s="152"/>
      <c r="I353" s="160">
        <f t="shared" si="5"/>
        <v>113720.01000000007</v>
      </c>
    </row>
    <row r="354" spans="2:9" hidden="1" x14ac:dyDescent="0.25">
      <c r="B354" s="148"/>
      <c r="C354" s="148" t="s">
        <v>24311</v>
      </c>
      <c r="D354" s="150">
        <v>44088</v>
      </c>
      <c r="E354" s="341" t="s">
        <v>24310</v>
      </c>
      <c r="F354" s="257" t="s">
        <v>14409</v>
      </c>
      <c r="G354" s="258">
        <v>1.68</v>
      </c>
      <c r="H354" s="152"/>
      <c r="I354" s="160">
        <f t="shared" si="5"/>
        <v>113721.69000000006</v>
      </c>
    </row>
    <row r="355" spans="2:9" hidden="1" x14ac:dyDescent="0.25">
      <c r="B355" s="148"/>
      <c r="C355" s="148" t="s">
        <v>24309</v>
      </c>
      <c r="D355" s="150">
        <v>44088</v>
      </c>
      <c r="E355" s="341" t="s">
        <v>24308</v>
      </c>
      <c r="F355" s="257" t="s">
        <v>14409</v>
      </c>
      <c r="G355" s="258">
        <v>57.04</v>
      </c>
      <c r="H355" s="152"/>
      <c r="I355" s="160">
        <f t="shared" si="5"/>
        <v>113778.73000000005</v>
      </c>
    </row>
    <row r="356" spans="2:9" hidden="1" x14ac:dyDescent="0.25">
      <c r="B356" s="148"/>
      <c r="C356" s="148" t="s">
        <v>24307</v>
      </c>
      <c r="D356" s="150">
        <v>44088</v>
      </c>
      <c r="E356" s="341" t="s">
        <v>24306</v>
      </c>
      <c r="F356" s="257" t="s">
        <v>14409</v>
      </c>
      <c r="G356" s="258">
        <v>1.92</v>
      </c>
      <c r="H356" s="152"/>
      <c r="I356" s="160">
        <f t="shared" si="5"/>
        <v>113780.65000000005</v>
      </c>
    </row>
    <row r="357" spans="2:9" hidden="1" x14ac:dyDescent="0.25">
      <c r="B357" s="148"/>
      <c r="C357" s="148" t="s">
        <v>24305</v>
      </c>
      <c r="D357" s="150">
        <v>44088</v>
      </c>
      <c r="E357" s="341" t="s">
        <v>24304</v>
      </c>
      <c r="F357" s="257" t="s">
        <v>14409</v>
      </c>
      <c r="G357" s="258">
        <v>2.4300000000000002</v>
      </c>
      <c r="H357" s="152"/>
      <c r="I357" s="160">
        <f t="shared" si="5"/>
        <v>113783.08000000005</v>
      </c>
    </row>
    <row r="358" spans="2:9" hidden="1" x14ac:dyDescent="0.25">
      <c r="B358" s="148"/>
      <c r="C358" s="148" t="s">
        <v>24303</v>
      </c>
      <c r="D358" s="150">
        <v>44088</v>
      </c>
      <c r="E358" s="341" t="s">
        <v>24302</v>
      </c>
      <c r="F358" s="257" t="s">
        <v>14409</v>
      </c>
      <c r="G358" s="258">
        <v>6.94</v>
      </c>
      <c r="H358" s="152"/>
      <c r="I358" s="160">
        <f t="shared" si="5"/>
        <v>113790.02000000005</v>
      </c>
    </row>
    <row r="359" spans="2:9" hidden="1" x14ac:dyDescent="0.25">
      <c r="B359" s="148"/>
      <c r="C359" s="148" t="s">
        <v>24301</v>
      </c>
      <c r="D359" s="150">
        <v>44088</v>
      </c>
      <c r="E359" s="341" t="s">
        <v>24300</v>
      </c>
      <c r="F359" s="257" t="s">
        <v>14409</v>
      </c>
      <c r="G359" s="258">
        <v>12.3</v>
      </c>
      <c r="H359" s="152"/>
      <c r="I359" s="160">
        <f t="shared" si="5"/>
        <v>113802.32000000005</v>
      </c>
    </row>
    <row r="360" spans="2:9" hidden="1" x14ac:dyDescent="0.25">
      <c r="B360" s="148"/>
      <c r="C360" s="148" t="s">
        <v>24299</v>
      </c>
      <c r="D360" s="150">
        <v>44088</v>
      </c>
      <c r="E360" s="341" t="s">
        <v>24298</v>
      </c>
      <c r="F360" s="257" t="s">
        <v>14409</v>
      </c>
      <c r="G360" s="258">
        <v>2.72</v>
      </c>
      <c r="H360" s="152"/>
      <c r="I360" s="160">
        <f t="shared" si="5"/>
        <v>113805.04000000005</v>
      </c>
    </row>
    <row r="361" spans="2:9" hidden="1" x14ac:dyDescent="0.25">
      <c r="B361" s="148"/>
      <c r="C361" s="148" t="s">
        <v>24297</v>
      </c>
      <c r="D361" s="150">
        <v>44088</v>
      </c>
      <c r="E361" s="341" t="s">
        <v>24296</v>
      </c>
      <c r="F361" s="257" t="s">
        <v>14409</v>
      </c>
      <c r="G361" s="258">
        <v>15.53</v>
      </c>
      <c r="H361" s="152"/>
      <c r="I361" s="160">
        <f t="shared" si="5"/>
        <v>113820.57000000005</v>
      </c>
    </row>
    <row r="362" spans="2:9" ht="19.5" hidden="1" x14ac:dyDescent="0.25">
      <c r="B362" s="148"/>
      <c r="C362" s="148" t="s">
        <v>24295</v>
      </c>
      <c r="D362" s="150">
        <v>44089</v>
      </c>
      <c r="E362" s="341" t="s">
        <v>24294</v>
      </c>
      <c r="F362" s="257" t="s">
        <v>14409</v>
      </c>
      <c r="G362" s="258">
        <v>13.58</v>
      </c>
      <c r="H362" s="152"/>
      <c r="I362" s="160">
        <f t="shared" si="5"/>
        <v>113834.15000000005</v>
      </c>
    </row>
    <row r="363" spans="2:9" ht="19.5" hidden="1" x14ac:dyDescent="0.25">
      <c r="B363" s="148"/>
      <c r="C363" s="148" t="s">
        <v>24293</v>
      </c>
      <c r="D363" s="150">
        <v>44089</v>
      </c>
      <c r="E363" s="341" t="s">
        <v>24292</v>
      </c>
      <c r="F363" s="257" t="s">
        <v>14409</v>
      </c>
      <c r="G363" s="258">
        <v>13.58</v>
      </c>
      <c r="H363" s="152"/>
      <c r="I363" s="160">
        <f t="shared" si="5"/>
        <v>113847.73000000005</v>
      </c>
    </row>
    <row r="364" spans="2:9" ht="19.5" hidden="1" x14ac:dyDescent="0.25">
      <c r="B364" s="148"/>
      <c r="C364" s="148" t="s">
        <v>24291</v>
      </c>
      <c r="D364" s="150">
        <v>44089</v>
      </c>
      <c r="E364" s="341" t="s">
        <v>24290</v>
      </c>
      <c r="F364" s="257" t="s">
        <v>14409</v>
      </c>
      <c r="G364" s="258">
        <v>13.58</v>
      </c>
      <c r="H364" s="152"/>
      <c r="I364" s="160">
        <f t="shared" si="5"/>
        <v>113861.31000000006</v>
      </c>
    </row>
    <row r="365" spans="2:9" ht="19.5" hidden="1" x14ac:dyDescent="0.25">
      <c r="B365" s="148"/>
      <c r="C365" s="148" t="s">
        <v>24289</v>
      </c>
      <c r="D365" s="150">
        <v>44089</v>
      </c>
      <c r="E365" s="341" t="s">
        <v>24288</v>
      </c>
      <c r="F365" s="257" t="s">
        <v>14409</v>
      </c>
      <c r="G365" s="258">
        <v>14.5</v>
      </c>
      <c r="H365" s="152"/>
      <c r="I365" s="160">
        <f t="shared" si="5"/>
        <v>113875.81000000006</v>
      </c>
    </row>
    <row r="366" spans="2:9" hidden="1" x14ac:dyDescent="0.25">
      <c r="B366" s="148"/>
      <c r="C366" s="148" t="s">
        <v>24287</v>
      </c>
      <c r="D366" s="150">
        <v>44089</v>
      </c>
      <c r="E366" s="341" t="s">
        <v>24286</v>
      </c>
      <c r="F366" s="257" t="s">
        <v>14409</v>
      </c>
      <c r="G366" s="258">
        <v>26.78</v>
      </c>
      <c r="H366" s="152"/>
      <c r="I366" s="160">
        <f t="shared" si="5"/>
        <v>113902.59000000005</v>
      </c>
    </row>
    <row r="367" spans="2:9" ht="19.5" hidden="1" x14ac:dyDescent="0.25">
      <c r="B367" s="148"/>
      <c r="C367" s="148" t="s">
        <v>24285</v>
      </c>
      <c r="D367" s="150">
        <v>44089</v>
      </c>
      <c r="E367" s="341" t="s">
        <v>24284</v>
      </c>
      <c r="F367" s="257" t="s">
        <v>14409</v>
      </c>
      <c r="G367" s="258">
        <v>32.4</v>
      </c>
      <c r="H367" s="152"/>
      <c r="I367" s="160">
        <f t="shared" si="5"/>
        <v>113934.99000000005</v>
      </c>
    </row>
    <row r="368" spans="2:9" ht="19.5" hidden="1" x14ac:dyDescent="0.25">
      <c r="B368" s="148"/>
      <c r="C368" s="148" t="s">
        <v>24283</v>
      </c>
      <c r="D368" s="150">
        <v>44089</v>
      </c>
      <c r="E368" s="341" t="s">
        <v>24282</v>
      </c>
      <c r="F368" s="257" t="s">
        <v>14409</v>
      </c>
      <c r="G368" s="258">
        <v>47.9</v>
      </c>
      <c r="H368" s="152"/>
      <c r="I368" s="160">
        <f t="shared" si="5"/>
        <v>113982.89000000004</v>
      </c>
    </row>
    <row r="369" spans="2:9" hidden="1" x14ac:dyDescent="0.25">
      <c r="B369" s="148"/>
      <c r="C369" s="148" t="s">
        <v>24281</v>
      </c>
      <c r="D369" s="150">
        <v>44089</v>
      </c>
      <c r="E369" s="341" t="s">
        <v>24280</v>
      </c>
      <c r="F369" s="257" t="s">
        <v>14409</v>
      </c>
      <c r="G369" s="258">
        <v>4.0999999999999996</v>
      </c>
      <c r="H369" s="152"/>
      <c r="I369" s="160">
        <f t="shared" si="5"/>
        <v>113986.99000000005</v>
      </c>
    </row>
    <row r="370" spans="2:9" ht="19.5" hidden="1" x14ac:dyDescent="0.25">
      <c r="B370" s="148"/>
      <c r="C370" s="148" t="s">
        <v>24279</v>
      </c>
      <c r="D370" s="150">
        <v>44089</v>
      </c>
      <c r="E370" s="341" t="s">
        <v>24278</v>
      </c>
      <c r="F370" s="257" t="s">
        <v>14409</v>
      </c>
      <c r="G370" s="258">
        <v>14.65</v>
      </c>
      <c r="H370" s="152"/>
      <c r="I370" s="160">
        <f t="shared" si="5"/>
        <v>114001.64000000004</v>
      </c>
    </row>
    <row r="371" spans="2:9" ht="19.5" hidden="1" x14ac:dyDescent="0.25">
      <c r="B371" s="148"/>
      <c r="C371" s="148" t="s">
        <v>24277</v>
      </c>
      <c r="D371" s="150">
        <v>44089</v>
      </c>
      <c r="E371" s="341" t="s">
        <v>24276</v>
      </c>
      <c r="F371" s="257" t="s">
        <v>14409</v>
      </c>
      <c r="G371" s="258">
        <v>5.04</v>
      </c>
      <c r="H371" s="152"/>
      <c r="I371" s="160">
        <f t="shared" si="5"/>
        <v>114006.68000000004</v>
      </c>
    </row>
    <row r="372" spans="2:9" ht="19.5" hidden="1" x14ac:dyDescent="0.25">
      <c r="B372" s="148"/>
      <c r="C372" s="148" t="s">
        <v>24275</v>
      </c>
      <c r="D372" s="150">
        <v>44089</v>
      </c>
      <c r="E372" s="341" t="s">
        <v>24274</v>
      </c>
      <c r="F372" s="257" t="s">
        <v>14409</v>
      </c>
      <c r="G372" s="258">
        <v>6.82</v>
      </c>
      <c r="H372" s="152"/>
      <c r="I372" s="160">
        <f t="shared" si="5"/>
        <v>114013.50000000004</v>
      </c>
    </row>
    <row r="373" spans="2:9" ht="19.5" hidden="1" x14ac:dyDescent="0.25">
      <c r="B373" s="148"/>
      <c r="C373" s="148" t="s">
        <v>24273</v>
      </c>
      <c r="D373" s="150">
        <v>44089</v>
      </c>
      <c r="E373" s="341" t="s">
        <v>24272</v>
      </c>
      <c r="F373" s="257" t="s">
        <v>14409</v>
      </c>
      <c r="G373" s="258">
        <v>5.04</v>
      </c>
      <c r="H373" s="152"/>
      <c r="I373" s="160">
        <f t="shared" si="5"/>
        <v>114018.54000000004</v>
      </c>
    </row>
    <row r="374" spans="2:9" hidden="1" x14ac:dyDescent="0.25">
      <c r="B374" s="148"/>
      <c r="C374" s="148" t="s">
        <v>24271</v>
      </c>
      <c r="D374" s="150">
        <v>44089</v>
      </c>
      <c r="E374" s="341" t="s">
        <v>24270</v>
      </c>
      <c r="F374" s="257" t="s">
        <v>14409</v>
      </c>
      <c r="G374" s="258">
        <v>6.06</v>
      </c>
      <c r="H374" s="152"/>
      <c r="I374" s="160">
        <f t="shared" si="5"/>
        <v>114024.60000000003</v>
      </c>
    </row>
    <row r="375" spans="2:9" ht="19.5" hidden="1" x14ac:dyDescent="0.25">
      <c r="B375" s="148"/>
      <c r="C375" s="148" t="s">
        <v>24269</v>
      </c>
      <c r="D375" s="150">
        <v>44089</v>
      </c>
      <c r="E375" s="341" t="s">
        <v>24268</v>
      </c>
      <c r="F375" s="257" t="s">
        <v>14409</v>
      </c>
      <c r="G375" s="258">
        <v>9.8000000000000007</v>
      </c>
      <c r="H375" s="152"/>
      <c r="I375" s="160">
        <f t="shared" si="5"/>
        <v>114034.40000000004</v>
      </c>
    </row>
    <row r="376" spans="2:9" hidden="1" x14ac:dyDescent="0.25">
      <c r="B376" s="148"/>
      <c r="C376" s="148" t="s">
        <v>24267</v>
      </c>
      <c r="D376" s="150">
        <v>44089</v>
      </c>
      <c r="E376" s="341" t="s">
        <v>24266</v>
      </c>
      <c r="F376" s="257" t="s">
        <v>14409</v>
      </c>
      <c r="G376" s="258">
        <v>6.75</v>
      </c>
      <c r="H376" s="152"/>
      <c r="I376" s="160">
        <f t="shared" si="5"/>
        <v>114041.15000000004</v>
      </c>
    </row>
    <row r="377" spans="2:9" hidden="1" x14ac:dyDescent="0.25">
      <c r="B377" s="148"/>
      <c r="C377" s="148" t="s">
        <v>24265</v>
      </c>
      <c r="D377" s="150">
        <v>44089</v>
      </c>
      <c r="E377" s="341" t="s">
        <v>24264</v>
      </c>
      <c r="F377" s="257" t="s">
        <v>14409</v>
      </c>
      <c r="G377" s="258">
        <v>19.48</v>
      </c>
      <c r="H377" s="152"/>
      <c r="I377" s="160">
        <f t="shared" si="5"/>
        <v>114060.63000000003</v>
      </c>
    </row>
    <row r="378" spans="2:9" hidden="1" x14ac:dyDescent="0.25">
      <c r="B378" s="148"/>
      <c r="C378" s="148" t="s">
        <v>24263</v>
      </c>
      <c r="D378" s="150">
        <v>44089</v>
      </c>
      <c r="E378" s="341" t="s">
        <v>24262</v>
      </c>
      <c r="F378" s="257" t="s">
        <v>14409</v>
      </c>
      <c r="G378" s="258">
        <v>2.83</v>
      </c>
      <c r="H378" s="152"/>
      <c r="I378" s="160">
        <f t="shared" si="5"/>
        <v>114063.46000000004</v>
      </c>
    </row>
    <row r="379" spans="2:9" hidden="1" x14ac:dyDescent="0.25">
      <c r="B379" s="148"/>
      <c r="C379" s="148" t="s">
        <v>24261</v>
      </c>
      <c r="D379" s="150">
        <v>44089</v>
      </c>
      <c r="E379" s="341" t="s">
        <v>24260</v>
      </c>
      <c r="F379" s="257" t="s">
        <v>14409</v>
      </c>
      <c r="G379" s="258">
        <v>3.45</v>
      </c>
      <c r="H379" s="152"/>
      <c r="I379" s="160">
        <f t="shared" si="5"/>
        <v>114066.91000000003</v>
      </c>
    </row>
    <row r="380" spans="2:9" hidden="1" x14ac:dyDescent="0.25">
      <c r="B380" s="148"/>
      <c r="C380" s="148" t="s">
        <v>24259</v>
      </c>
      <c r="D380" s="150">
        <v>44089</v>
      </c>
      <c r="E380" s="341" t="s">
        <v>24258</v>
      </c>
      <c r="F380" s="257">
        <v>11</v>
      </c>
      <c r="G380" s="255">
        <v>3.19</v>
      </c>
      <c r="H380" s="152"/>
      <c r="I380" s="160">
        <f t="shared" si="5"/>
        <v>114070.10000000003</v>
      </c>
    </row>
    <row r="381" spans="2:9" hidden="1" x14ac:dyDescent="0.25">
      <c r="B381" s="148"/>
      <c r="C381" s="148" t="s">
        <v>24257</v>
      </c>
      <c r="D381" s="150">
        <v>44089</v>
      </c>
      <c r="E381" s="341" t="s">
        <v>24256</v>
      </c>
      <c r="F381" s="257">
        <v>11</v>
      </c>
      <c r="G381" s="255">
        <v>16.05</v>
      </c>
      <c r="H381" s="152"/>
      <c r="I381" s="160">
        <f t="shared" si="5"/>
        <v>114086.15000000004</v>
      </c>
    </row>
    <row r="382" spans="2:9" hidden="1" x14ac:dyDescent="0.25">
      <c r="B382" s="148"/>
      <c r="C382" s="148" t="s">
        <v>24255</v>
      </c>
      <c r="D382" s="150">
        <v>44089</v>
      </c>
      <c r="E382" s="341" t="s">
        <v>24254</v>
      </c>
      <c r="F382" s="257">
        <v>11</v>
      </c>
      <c r="G382" s="255">
        <v>12.3</v>
      </c>
      <c r="H382" s="152"/>
      <c r="I382" s="160">
        <f t="shared" si="5"/>
        <v>114098.45000000004</v>
      </c>
    </row>
    <row r="383" spans="2:9" hidden="1" x14ac:dyDescent="0.25">
      <c r="B383" s="148"/>
      <c r="C383" s="148" t="s">
        <v>24253</v>
      </c>
      <c r="D383" s="150">
        <v>44089</v>
      </c>
      <c r="E383" s="341" t="s">
        <v>24252</v>
      </c>
      <c r="F383" s="257" t="s">
        <v>18712</v>
      </c>
      <c r="G383" s="160">
        <v>29.95</v>
      </c>
      <c r="H383" s="152"/>
      <c r="I383" s="160">
        <f t="shared" si="5"/>
        <v>114128.40000000004</v>
      </c>
    </row>
    <row r="384" spans="2:9" ht="19.5" x14ac:dyDescent="0.25">
      <c r="B384" s="148"/>
      <c r="C384" s="148" t="s">
        <v>16362</v>
      </c>
      <c r="D384" s="150">
        <v>44089</v>
      </c>
      <c r="E384" s="341" t="s">
        <v>24251</v>
      </c>
      <c r="F384" s="257" t="s">
        <v>14433</v>
      </c>
      <c r="G384" s="152"/>
      <c r="H384" s="161">
        <v>521.77</v>
      </c>
      <c r="I384" s="160">
        <f t="shared" si="5"/>
        <v>113606.63000000003</v>
      </c>
    </row>
    <row r="385" spans="2:9" ht="19.5" x14ac:dyDescent="0.25">
      <c r="B385" s="148"/>
      <c r="C385" s="148" t="s">
        <v>16358</v>
      </c>
      <c r="D385" s="150">
        <v>44089</v>
      </c>
      <c r="E385" s="341" t="s">
        <v>24250</v>
      </c>
      <c r="F385" s="257" t="s">
        <v>14433</v>
      </c>
      <c r="G385" s="152"/>
      <c r="H385" s="161">
        <v>2800</v>
      </c>
      <c r="I385" s="160">
        <f t="shared" si="5"/>
        <v>110806.63000000003</v>
      </c>
    </row>
    <row r="386" spans="2:9" ht="19.5" x14ac:dyDescent="0.25">
      <c r="B386" s="148"/>
      <c r="C386" s="148" t="s">
        <v>16356</v>
      </c>
      <c r="D386" s="150">
        <v>44089</v>
      </c>
      <c r="E386" s="341" t="s">
        <v>24249</v>
      </c>
      <c r="F386" s="257" t="s">
        <v>14433</v>
      </c>
      <c r="G386" s="152"/>
      <c r="H386" s="161">
        <v>1800</v>
      </c>
      <c r="I386" s="160">
        <f t="shared" si="5"/>
        <v>109006.63000000003</v>
      </c>
    </row>
    <row r="387" spans="2:9" hidden="1" x14ac:dyDescent="0.25">
      <c r="B387" s="148"/>
      <c r="C387" s="148" t="s">
        <v>24248</v>
      </c>
      <c r="D387" s="150">
        <v>44090</v>
      </c>
      <c r="E387" s="341" t="s">
        <v>24247</v>
      </c>
      <c r="F387" s="257" t="s">
        <v>14409</v>
      </c>
      <c r="G387" s="258">
        <v>10.14</v>
      </c>
      <c r="H387" s="152"/>
      <c r="I387" s="160">
        <f t="shared" si="5"/>
        <v>109016.77000000003</v>
      </c>
    </row>
    <row r="388" spans="2:9" hidden="1" x14ac:dyDescent="0.25">
      <c r="B388" s="148"/>
      <c r="C388" s="148" t="s">
        <v>24246</v>
      </c>
      <c r="D388" s="150">
        <v>44090</v>
      </c>
      <c r="E388" s="341" t="s">
        <v>24245</v>
      </c>
      <c r="F388" s="257" t="s">
        <v>14409</v>
      </c>
      <c r="G388" s="258">
        <v>4.45</v>
      </c>
      <c r="H388" s="152"/>
      <c r="I388" s="160">
        <f t="shared" si="5"/>
        <v>109021.22000000003</v>
      </c>
    </row>
    <row r="389" spans="2:9" hidden="1" x14ac:dyDescent="0.25">
      <c r="B389" s="148"/>
      <c r="C389" s="148" t="s">
        <v>24244</v>
      </c>
      <c r="D389" s="150">
        <v>44090</v>
      </c>
      <c r="E389" s="341" t="s">
        <v>24243</v>
      </c>
      <c r="F389" s="257" t="s">
        <v>14409</v>
      </c>
      <c r="G389" s="258">
        <v>4.7</v>
      </c>
      <c r="H389" s="152"/>
      <c r="I389" s="160">
        <f t="shared" si="5"/>
        <v>109025.92000000003</v>
      </c>
    </row>
    <row r="390" spans="2:9" hidden="1" x14ac:dyDescent="0.25">
      <c r="B390" s="148"/>
      <c r="C390" s="148" t="s">
        <v>24242</v>
      </c>
      <c r="D390" s="150">
        <v>44090</v>
      </c>
      <c r="E390" s="341" t="s">
        <v>24241</v>
      </c>
      <c r="F390" s="257" t="s">
        <v>14409</v>
      </c>
      <c r="G390" s="258">
        <v>8.1999999999999993</v>
      </c>
      <c r="H390" s="152"/>
      <c r="I390" s="160">
        <f t="shared" si="5"/>
        <v>109034.12000000002</v>
      </c>
    </row>
    <row r="391" spans="2:9" hidden="1" x14ac:dyDescent="0.25">
      <c r="B391" s="148"/>
      <c r="C391" s="148" t="s">
        <v>24240</v>
      </c>
      <c r="D391" s="150">
        <v>44090</v>
      </c>
      <c r="E391" s="341" t="s">
        <v>24239</v>
      </c>
      <c r="F391" s="257" t="s">
        <v>14409</v>
      </c>
      <c r="G391" s="258">
        <v>3.39</v>
      </c>
      <c r="H391" s="152"/>
      <c r="I391" s="160">
        <f t="shared" si="5"/>
        <v>109037.51000000002</v>
      </c>
    </row>
    <row r="392" spans="2:9" hidden="1" x14ac:dyDescent="0.25">
      <c r="B392" s="148"/>
      <c r="C392" s="148" t="s">
        <v>24238</v>
      </c>
      <c r="D392" s="150">
        <v>44090</v>
      </c>
      <c r="E392" s="341" t="s">
        <v>24237</v>
      </c>
      <c r="F392" s="257" t="s">
        <v>14409</v>
      </c>
      <c r="G392" s="258">
        <v>21.95</v>
      </c>
      <c r="H392" s="152"/>
      <c r="I392" s="160">
        <f t="shared" si="5"/>
        <v>109059.46000000002</v>
      </c>
    </row>
    <row r="393" spans="2:9" hidden="1" x14ac:dyDescent="0.25">
      <c r="B393" s="148"/>
      <c r="C393" s="148" t="s">
        <v>24236</v>
      </c>
      <c r="D393" s="150">
        <v>44090</v>
      </c>
      <c r="E393" s="341" t="s">
        <v>24235</v>
      </c>
      <c r="F393" s="257" t="s">
        <v>14409</v>
      </c>
      <c r="G393" s="258">
        <v>5.17</v>
      </c>
      <c r="H393" s="152"/>
      <c r="I393" s="160">
        <f t="shared" si="5"/>
        <v>109064.63000000002</v>
      </c>
    </row>
    <row r="394" spans="2:9" hidden="1" x14ac:dyDescent="0.25">
      <c r="B394" s="148"/>
      <c r="C394" s="148" t="s">
        <v>24234</v>
      </c>
      <c r="D394" s="150">
        <v>44090</v>
      </c>
      <c r="E394" s="341" t="s">
        <v>24233</v>
      </c>
      <c r="F394" s="257" t="s">
        <v>14409</v>
      </c>
      <c r="G394" s="258">
        <v>2.2200000000000002</v>
      </c>
      <c r="H394" s="152"/>
      <c r="I394" s="160">
        <f t="shared" si="5"/>
        <v>109066.85000000002</v>
      </c>
    </row>
    <row r="395" spans="2:9" hidden="1" x14ac:dyDescent="0.25">
      <c r="B395" s="148"/>
      <c r="C395" s="148" t="s">
        <v>24232</v>
      </c>
      <c r="D395" s="150">
        <v>44090</v>
      </c>
      <c r="E395" s="341" t="s">
        <v>24231</v>
      </c>
      <c r="F395" s="257" t="s">
        <v>14409</v>
      </c>
      <c r="G395" s="258">
        <v>3.46</v>
      </c>
      <c r="H395" s="152"/>
      <c r="I395" s="160">
        <f t="shared" si="5"/>
        <v>109070.31000000003</v>
      </c>
    </row>
    <row r="396" spans="2:9" hidden="1" x14ac:dyDescent="0.25">
      <c r="B396" s="148"/>
      <c r="C396" s="148" t="s">
        <v>24230</v>
      </c>
      <c r="D396" s="150">
        <v>44090</v>
      </c>
      <c r="E396" s="341" t="s">
        <v>24229</v>
      </c>
      <c r="F396" s="257" t="s">
        <v>14409</v>
      </c>
      <c r="G396" s="258">
        <v>2.02</v>
      </c>
      <c r="H396" s="152"/>
      <c r="I396" s="160">
        <f t="shared" si="5"/>
        <v>109072.33000000003</v>
      </c>
    </row>
    <row r="397" spans="2:9" hidden="1" x14ac:dyDescent="0.25">
      <c r="B397" s="148"/>
      <c r="C397" s="148" t="s">
        <v>24228</v>
      </c>
      <c r="D397" s="150">
        <v>44090</v>
      </c>
      <c r="E397" s="341" t="s">
        <v>24227</v>
      </c>
      <c r="F397" s="257" t="s">
        <v>14409</v>
      </c>
      <c r="G397" s="258">
        <v>14.24</v>
      </c>
      <c r="H397" s="152"/>
      <c r="I397" s="160">
        <f t="shared" si="5"/>
        <v>109086.57000000004</v>
      </c>
    </row>
    <row r="398" spans="2:9" hidden="1" x14ac:dyDescent="0.25">
      <c r="B398" s="148"/>
      <c r="C398" s="148" t="s">
        <v>24226</v>
      </c>
      <c r="D398" s="150">
        <v>44090</v>
      </c>
      <c r="E398" s="341" t="s">
        <v>24225</v>
      </c>
      <c r="F398" s="257" t="s">
        <v>14409</v>
      </c>
      <c r="G398" s="258">
        <v>20.94</v>
      </c>
      <c r="H398" s="152"/>
      <c r="I398" s="160">
        <f t="shared" si="5"/>
        <v>109107.51000000004</v>
      </c>
    </row>
    <row r="399" spans="2:9" hidden="1" x14ac:dyDescent="0.25">
      <c r="B399" s="148"/>
      <c r="C399" s="148" t="s">
        <v>24224</v>
      </c>
      <c r="D399" s="150">
        <v>44090</v>
      </c>
      <c r="E399" s="341" t="s">
        <v>24223</v>
      </c>
      <c r="F399" s="257">
        <v>12</v>
      </c>
      <c r="G399" s="255">
        <v>8.3800000000000008</v>
      </c>
      <c r="H399" s="152"/>
      <c r="I399" s="160">
        <f t="shared" si="5"/>
        <v>109115.89000000004</v>
      </c>
    </row>
    <row r="400" spans="2:9" hidden="1" x14ac:dyDescent="0.25">
      <c r="B400" s="148"/>
      <c r="C400" s="148" t="s">
        <v>24222</v>
      </c>
      <c r="D400" s="150">
        <v>44090</v>
      </c>
      <c r="E400" s="341" t="s">
        <v>24221</v>
      </c>
      <c r="F400" s="257">
        <v>12</v>
      </c>
      <c r="G400" s="255">
        <v>14.59</v>
      </c>
      <c r="H400" s="152"/>
      <c r="I400" s="160">
        <f t="shared" si="5"/>
        <v>109130.48000000004</v>
      </c>
    </row>
    <row r="401" spans="2:9" hidden="1" x14ac:dyDescent="0.25">
      <c r="B401" s="148"/>
      <c r="C401" s="148" t="s">
        <v>24220</v>
      </c>
      <c r="D401" s="150">
        <v>44090</v>
      </c>
      <c r="E401" s="341" t="s">
        <v>24219</v>
      </c>
      <c r="F401" s="257">
        <v>12</v>
      </c>
      <c r="G401" s="255">
        <v>3.53</v>
      </c>
      <c r="H401" s="152"/>
      <c r="I401" s="160">
        <f t="shared" si="5"/>
        <v>109134.01000000004</v>
      </c>
    </row>
    <row r="402" spans="2:9" hidden="1" x14ac:dyDescent="0.25">
      <c r="B402" s="148"/>
      <c r="C402" s="148" t="s">
        <v>24218</v>
      </c>
      <c r="D402" s="150">
        <v>44090</v>
      </c>
      <c r="E402" s="341" t="s">
        <v>24217</v>
      </c>
      <c r="F402" s="257">
        <v>12</v>
      </c>
      <c r="G402" s="255">
        <v>17.899999999999999</v>
      </c>
      <c r="H402" s="152"/>
      <c r="I402" s="160">
        <f t="shared" si="5"/>
        <v>109151.91000000003</v>
      </c>
    </row>
    <row r="403" spans="2:9" hidden="1" x14ac:dyDescent="0.25">
      <c r="B403" s="148"/>
      <c r="C403" s="148" t="s">
        <v>24216</v>
      </c>
      <c r="D403" s="150">
        <v>44091</v>
      </c>
      <c r="E403" s="341" t="s">
        <v>24215</v>
      </c>
      <c r="F403" s="257" t="s">
        <v>14409</v>
      </c>
      <c r="G403" s="258">
        <v>8.06</v>
      </c>
      <c r="H403" s="152"/>
      <c r="I403" s="160">
        <f t="shared" si="5"/>
        <v>109159.97000000003</v>
      </c>
    </row>
    <row r="404" spans="2:9" ht="19.5" hidden="1" x14ac:dyDescent="0.25">
      <c r="B404" s="148"/>
      <c r="C404" s="148" t="s">
        <v>24214</v>
      </c>
      <c r="D404" s="150">
        <v>44091</v>
      </c>
      <c r="E404" s="341" t="s">
        <v>24213</v>
      </c>
      <c r="F404" s="257" t="s">
        <v>14409</v>
      </c>
      <c r="G404" s="258">
        <v>5.9</v>
      </c>
      <c r="H404" s="152"/>
      <c r="I404" s="160">
        <f t="shared" ref="I404:I467" si="6">+I403+G404-H404</f>
        <v>109165.87000000002</v>
      </c>
    </row>
    <row r="405" spans="2:9" hidden="1" x14ac:dyDescent="0.25">
      <c r="B405" s="148"/>
      <c r="C405" s="148" t="s">
        <v>24212</v>
      </c>
      <c r="D405" s="150">
        <v>44091</v>
      </c>
      <c r="E405" s="341" t="s">
        <v>24211</v>
      </c>
      <c r="F405" s="257" t="s">
        <v>14409</v>
      </c>
      <c r="G405" s="258">
        <v>1.84</v>
      </c>
      <c r="H405" s="152"/>
      <c r="I405" s="160">
        <f t="shared" si="6"/>
        <v>109167.71000000002</v>
      </c>
    </row>
    <row r="406" spans="2:9" hidden="1" x14ac:dyDescent="0.25">
      <c r="B406" s="148"/>
      <c r="C406" s="148" t="s">
        <v>24210</v>
      </c>
      <c r="D406" s="150">
        <v>44091</v>
      </c>
      <c r="E406" s="341" t="s">
        <v>24209</v>
      </c>
      <c r="F406" s="257" t="s">
        <v>14409</v>
      </c>
      <c r="G406" s="258">
        <v>4.5599999999999996</v>
      </c>
      <c r="H406" s="152"/>
      <c r="I406" s="160">
        <f t="shared" si="6"/>
        <v>109172.27000000002</v>
      </c>
    </row>
    <row r="407" spans="2:9" hidden="1" x14ac:dyDescent="0.25">
      <c r="B407" s="148"/>
      <c r="C407" s="148" t="s">
        <v>24208</v>
      </c>
      <c r="D407" s="150">
        <v>44091</v>
      </c>
      <c r="E407" s="341" t="s">
        <v>24207</v>
      </c>
      <c r="F407" s="257" t="s">
        <v>14409</v>
      </c>
      <c r="G407" s="258">
        <v>3.38</v>
      </c>
      <c r="H407" s="152"/>
      <c r="I407" s="160">
        <f t="shared" si="6"/>
        <v>109175.65000000002</v>
      </c>
    </row>
    <row r="408" spans="2:9" hidden="1" x14ac:dyDescent="0.25">
      <c r="B408" s="148"/>
      <c r="C408" s="148" t="s">
        <v>24206</v>
      </c>
      <c r="D408" s="150">
        <v>44091</v>
      </c>
      <c r="E408" s="341" t="s">
        <v>24205</v>
      </c>
      <c r="F408" s="257" t="s">
        <v>14409</v>
      </c>
      <c r="G408" s="258">
        <v>7.77</v>
      </c>
      <c r="H408" s="152"/>
      <c r="I408" s="160">
        <f t="shared" si="6"/>
        <v>109183.42000000003</v>
      </c>
    </row>
    <row r="409" spans="2:9" hidden="1" x14ac:dyDescent="0.25">
      <c r="B409" s="148"/>
      <c r="C409" s="148" t="s">
        <v>24204</v>
      </c>
      <c r="D409" s="150">
        <v>44091</v>
      </c>
      <c r="E409" s="341" t="s">
        <v>24203</v>
      </c>
      <c r="F409" s="257" t="s">
        <v>14409</v>
      </c>
      <c r="G409" s="258">
        <v>2.89</v>
      </c>
      <c r="H409" s="152"/>
      <c r="I409" s="160">
        <f t="shared" si="6"/>
        <v>109186.31000000003</v>
      </c>
    </row>
    <row r="410" spans="2:9" hidden="1" x14ac:dyDescent="0.25">
      <c r="B410" s="148"/>
      <c r="C410" s="148" t="s">
        <v>24202</v>
      </c>
      <c r="D410" s="150">
        <v>44091</v>
      </c>
      <c r="E410" s="341" t="s">
        <v>24201</v>
      </c>
      <c r="F410" s="257" t="s">
        <v>14409</v>
      </c>
      <c r="G410" s="258">
        <v>3.52</v>
      </c>
      <c r="H410" s="152"/>
      <c r="I410" s="160">
        <f t="shared" si="6"/>
        <v>109189.83000000003</v>
      </c>
    </row>
    <row r="411" spans="2:9" hidden="1" x14ac:dyDescent="0.25">
      <c r="B411" s="148"/>
      <c r="C411" s="148" t="s">
        <v>24200</v>
      </c>
      <c r="D411" s="150">
        <v>44091</v>
      </c>
      <c r="E411" s="341" t="s">
        <v>24199</v>
      </c>
      <c r="F411" s="257">
        <v>13</v>
      </c>
      <c r="G411" s="255">
        <v>0.45</v>
      </c>
      <c r="H411" s="152"/>
      <c r="I411" s="160">
        <f t="shared" si="6"/>
        <v>109190.28000000003</v>
      </c>
    </row>
    <row r="412" spans="2:9" hidden="1" x14ac:dyDescent="0.25">
      <c r="B412" s="148"/>
      <c r="C412" s="148" t="s">
        <v>24198</v>
      </c>
      <c r="D412" s="150">
        <v>44091</v>
      </c>
      <c r="E412" s="341" t="s">
        <v>24197</v>
      </c>
      <c r="F412" s="257">
        <v>13</v>
      </c>
      <c r="G412" s="255">
        <v>8.3800000000000008</v>
      </c>
      <c r="H412" s="152"/>
      <c r="I412" s="160">
        <f t="shared" si="6"/>
        <v>109198.66000000003</v>
      </c>
    </row>
    <row r="413" spans="2:9" hidden="1" x14ac:dyDescent="0.25">
      <c r="B413" s="148"/>
      <c r="C413" s="148" t="s">
        <v>24196</v>
      </c>
      <c r="D413" s="150">
        <v>44091</v>
      </c>
      <c r="E413" s="341" t="s">
        <v>24195</v>
      </c>
      <c r="F413" s="257">
        <v>13</v>
      </c>
      <c r="G413" s="255">
        <v>2.0499999999999998</v>
      </c>
      <c r="H413" s="152"/>
      <c r="I413" s="160">
        <f t="shared" si="6"/>
        <v>109200.71000000004</v>
      </c>
    </row>
    <row r="414" spans="2:9" ht="19.5" hidden="1" x14ac:dyDescent="0.25">
      <c r="B414" s="148"/>
      <c r="C414" s="148" t="s">
        <v>24194</v>
      </c>
      <c r="D414" s="150">
        <v>44091</v>
      </c>
      <c r="E414" s="341" t="s">
        <v>24193</v>
      </c>
      <c r="F414" s="257">
        <v>13</v>
      </c>
      <c r="G414" s="255">
        <v>5.82</v>
      </c>
      <c r="H414" s="152"/>
      <c r="I414" s="160">
        <f t="shared" si="6"/>
        <v>109206.53000000004</v>
      </c>
    </row>
    <row r="415" spans="2:9" hidden="1" x14ac:dyDescent="0.25">
      <c r="B415" s="148"/>
      <c r="C415" s="148" t="s">
        <v>24192</v>
      </c>
      <c r="D415" s="150">
        <v>44091</v>
      </c>
      <c r="E415" s="341" t="s">
        <v>24191</v>
      </c>
      <c r="F415" s="257" t="s">
        <v>14436</v>
      </c>
      <c r="G415" s="160">
        <v>20.82</v>
      </c>
      <c r="H415" s="152"/>
      <c r="I415" s="160">
        <f t="shared" si="6"/>
        <v>109227.35000000005</v>
      </c>
    </row>
    <row r="416" spans="2:9" ht="19.5" hidden="1" x14ac:dyDescent="0.25">
      <c r="B416" s="148"/>
      <c r="C416" s="148" t="s">
        <v>24190</v>
      </c>
      <c r="D416" s="150">
        <v>44092</v>
      </c>
      <c r="E416" s="341" t="s">
        <v>24189</v>
      </c>
      <c r="F416" s="257" t="s">
        <v>14412</v>
      </c>
      <c r="G416" s="258">
        <v>8.3800000000000008</v>
      </c>
      <c r="H416" s="152"/>
      <c r="I416" s="160">
        <f t="shared" si="6"/>
        <v>109235.73000000005</v>
      </c>
    </row>
    <row r="417" spans="2:9" hidden="1" x14ac:dyDescent="0.25">
      <c r="B417" s="148"/>
      <c r="C417" s="148" t="s">
        <v>24188</v>
      </c>
      <c r="D417" s="150">
        <v>44092</v>
      </c>
      <c r="E417" s="341" t="s">
        <v>24187</v>
      </c>
      <c r="F417" s="257" t="s">
        <v>14412</v>
      </c>
      <c r="G417" s="258">
        <v>0.36</v>
      </c>
      <c r="H417" s="152"/>
      <c r="I417" s="160">
        <f t="shared" si="6"/>
        <v>109236.09000000005</v>
      </c>
    </row>
    <row r="418" spans="2:9" hidden="1" x14ac:dyDescent="0.25">
      <c r="B418" s="148"/>
      <c r="C418" s="148" t="s">
        <v>24186</v>
      </c>
      <c r="D418" s="150">
        <v>44092</v>
      </c>
      <c r="E418" s="341" t="s">
        <v>24185</v>
      </c>
      <c r="F418" s="257" t="s">
        <v>14412</v>
      </c>
      <c r="G418" s="258">
        <v>1.77</v>
      </c>
      <c r="H418" s="152"/>
      <c r="I418" s="160">
        <f t="shared" si="6"/>
        <v>109237.86000000006</v>
      </c>
    </row>
    <row r="419" spans="2:9" hidden="1" x14ac:dyDescent="0.25">
      <c r="B419" s="148"/>
      <c r="C419" s="148" t="s">
        <v>24184</v>
      </c>
      <c r="D419" s="150">
        <v>44092</v>
      </c>
      <c r="E419" s="341" t="s">
        <v>24183</v>
      </c>
      <c r="F419" s="257" t="s">
        <v>14412</v>
      </c>
      <c r="G419" s="258">
        <v>2.2000000000000002</v>
      </c>
      <c r="H419" s="152"/>
      <c r="I419" s="160">
        <f t="shared" si="6"/>
        <v>109240.06000000006</v>
      </c>
    </row>
    <row r="420" spans="2:9" hidden="1" x14ac:dyDescent="0.25">
      <c r="B420" s="148"/>
      <c r="C420" s="148" t="s">
        <v>24182</v>
      </c>
      <c r="D420" s="150">
        <v>44092</v>
      </c>
      <c r="E420" s="341" t="s">
        <v>24181</v>
      </c>
      <c r="F420" s="257" t="s">
        <v>14412</v>
      </c>
      <c r="G420" s="258">
        <v>7.4</v>
      </c>
      <c r="H420" s="152"/>
      <c r="I420" s="160">
        <f t="shared" si="6"/>
        <v>109247.46000000005</v>
      </c>
    </row>
    <row r="421" spans="2:9" hidden="1" x14ac:dyDescent="0.25">
      <c r="B421" s="148"/>
      <c r="C421" s="148" t="s">
        <v>24180</v>
      </c>
      <c r="D421" s="150">
        <v>44092</v>
      </c>
      <c r="E421" s="341" t="s">
        <v>24179</v>
      </c>
      <c r="F421" s="257" t="s">
        <v>14412</v>
      </c>
      <c r="G421" s="258">
        <v>15.68</v>
      </c>
      <c r="H421" s="152"/>
      <c r="I421" s="160">
        <f t="shared" si="6"/>
        <v>109263.14000000004</v>
      </c>
    </row>
    <row r="422" spans="2:9" hidden="1" x14ac:dyDescent="0.25">
      <c r="B422" s="148"/>
      <c r="C422" s="148" t="s">
        <v>24178</v>
      </c>
      <c r="D422" s="150">
        <v>44092</v>
      </c>
      <c r="E422" s="341" t="s">
        <v>24177</v>
      </c>
      <c r="F422" s="257" t="s">
        <v>14412</v>
      </c>
      <c r="G422" s="258">
        <v>17.2</v>
      </c>
      <c r="H422" s="152"/>
      <c r="I422" s="160">
        <f t="shared" si="6"/>
        <v>109280.34000000004</v>
      </c>
    </row>
    <row r="423" spans="2:9" ht="19.5" hidden="1" x14ac:dyDescent="0.25">
      <c r="B423" s="148"/>
      <c r="C423" s="148" t="s">
        <v>24176</v>
      </c>
      <c r="D423" s="150">
        <v>44092</v>
      </c>
      <c r="E423" s="341" t="s">
        <v>24175</v>
      </c>
      <c r="F423" s="257" t="s">
        <v>14412</v>
      </c>
      <c r="G423" s="258">
        <v>3.43</v>
      </c>
      <c r="H423" s="152"/>
      <c r="I423" s="160">
        <f t="shared" si="6"/>
        <v>109283.77000000003</v>
      </c>
    </row>
    <row r="424" spans="2:9" hidden="1" x14ac:dyDescent="0.25">
      <c r="B424" s="148"/>
      <c r="C424" s="148" t="s">
        <v>24174</v>
      </c>
      <c r="D424" s="150">
        <v>44092</v>
      </c>
      <c r="E424" s="341" t="s">
        <v>24173</v>
      </c>
      <c r="F424" s="257" t="s">
        <v>14412</v>
      </c>
      <c r="G424" s="258">
        <v>3.77</v>
      </c>
      <c r="H424" s="152"/>
      <c r="I424" s="160">
        <f t="shared" si="6"/>
        <v>109287.54000000004</v>
      </c>
    </row>
    <row r="425" spans="2:9" hidden="1" x14ac:dyDescent="0.25">
      <c r="B425" s="148"/>
      <c r="C425" s="148" t="s">
        <v>24172</v>
      </c>
      <c r="D425" s="150">
        <v>44092</v>
      </c>
      <c r="E425" s="341" t="s">
        <v>24171</v>
      </c>
      <c r="F425" s="257" t="s">
        <v>14412</v>
      </c>
      <c r="G425" s="258">
        <v>11.05</v>
      </c>
      <c r="H425" s="152"/>
      <c r="I425" s="160">
        <f t="shared" si="6"/>
        <v>109298.59000000004</v>
      </c>
    </row>
    <row r="426" spans="2:9" hidden="1" x14ac:dyDescent="0.25">
      <c r="B426" s="148"/>
      <c r="C426" s="148" t="s">
        <v>24170</v>
      </c>
      <c r="D426" s="150">
        <v>44092</v>
      </c>
      <c r="E426" s="341" t="s">
        <v>24169</v>
      </c>
      <c r="F426" s="257" t="s">
        <v>14412</v>
      </c>
      <c r="G426" s="258">
        <v>8.3800000000000008</v>
      </c>
      <c r="H426" s="152"/>
      <c r="I426" s="160">
        <f t="shared" si="6"/>
        <v>109306.97000000004</v>
      </c>
    </row>
    <row r="427" spans="2:9" hidden="1" x14ac:dyDescent="0.25">
      <c r="B427" s="148"/>
      <c r="C427" s="148" t="s">
        <v>24168</v>
      </c>
      <c r="D427" s="150">
        <v>44092</v>
      </c>
      <c r="E427" s="341" t="s">
        <v>24167</v>
      </c>
      <c r="F427" s="257" t="s">
        <v>14412</v>
      </c>
      <c r="G427" s="258">
        <v>3.48</v>
      </c>
      <c r="H427" s="152"/>
      <c r="I427" s="160">
        <f t="shared" si="6"/>
        <v>109310.45000000004</v>
      </c>
    </row>
    <row r="428" spans="2:9" ht="19.5" hidden="1" x14ac:dyDescent="0.25">
      <c r="B428" s="148"/>
      <c r="C428" s="148" t="s">
        <v>24166</v>
      </c>
      <c r="D428" s="150">
        <v>44092</v>
      </c>
      <c r="E428" s="341" t="s">
        <v>24165</v>
      </c>
      <c r="F428" s="257" t="s">
        <v>14412</v>
      </c>
      <c r="G428" s="258">
        <v>25.14</v>
      </c>
      <c r="H428" s="152"/>
      <c r="I428" s="160">
        <f t="shared" si="6"/>
        <v>109335.59000000004</v>
      </c>
    </row>
    <row r="429" spans="2:9" ht="19.5" hidden="1" x14ac:dyDescent="0.25">
      <c r="B429" s="148"/>
      <c r="C429" s="148" t="s">
        <v>24164</v>
      </c>
      <c r="D429" s="150">
        <v>44092</v>
      </c>
      <c r="E429" s="341" t="s">
        <v>24163</v>
      </c>
      <c r="F429" s="257">
        <v>14</v>
      </c>
      <c r="G429" s="160">
        <v>21.02</v>
      </c>
      <c r="H429" s="152"/>
      <c r="I429" s="160">
        <f t="shared" si="6"/>
        <v>109356.61000000004</v>
      </c>
    </row>
    <row r="430" spans="2:9" ht="19.5" hidden="1" x14ac:dyDescent="0.25">
      <c r="B430" s="148"/>
      <c r="C430" s="148" t="s">
        <v>24162</v>
      </c>
      <c r="D430" s="150">
        <v>44092</v>
      </c>
      <c r="E430" s="341" t="s">
        <v>24161</v>
      </c>
      <c r="F430" s="257" t="s">
        <v>18712</v>
      </c>
      <c r="G430" s="160">
        <v>19.63</v>
      </c>
      <c r="H430" s="152"/>
      <c r="I430" s="160">
        <f t="shared" si="6"/>
        <v>109376.24000000005</v>
      </c>
    </row>
    <row r="431" spans="2:9" ht="19.5" hidden="1" x14ac:dyDescent="0.25">
      <c r="B431" s="148"/>
      <c r="C431" s="148" t="s">
        <v>17562</v>
      </c>
      <c r="D431" s="150">
        <v>44092</v>
      </c>
      <c r="E431" s="341" t="s">
        <v>24160</v>
      </c>
      <c r="F431" s="257" t="s">
        <v>14436</v>
      </c>
      <c r="G431" s="160">
        <v>2.71</v>
      </c>
      <c r="H431" s="152"/>
      <c r="I431" s="160">
        <f t="shared" si="6"/>
        <v>109378.95000000006</v>
      </c>
    </row>
    <row r="432" spans="2:9" ht="19.5" hidden="1" x14ac:dyDescent="0.25">
      <c r="B432" s="148"/>
      <c r="C432" s="148" t="s">
        <v>1744</v>
      </c>
      <c r="D432" s="150">
        <v>44092</v>
      </c>
      <c r="E432" s="341" t="s">
        <v>24159</v>
      </c>
      <c r="F432" s="257" t="s">
        <v>14409</v>
      </c>
      <c r="G432" s="152"/>
      <c r="H432" s="319">
        <v>59.61</v>
      </c>
      <c r="I432" s="160">
        <f t="shared" si="6"/>
        <v>109319.34000000005</v>
      </c>
    </row>
    <row r="433" spans="2:9" hidden="1" x14ac:dyDescent="0.25">
      <c r="B433" s="148"/>
      <c r="C433" s="148" t="s">
        <v>24158</v>
      </c>
      <c r="D433" s="150">
        <v>44093</v>
      </c>
      <c r="E433" s="341" t="s">
        <v>24157</v>
      </c>
      <c r="F433" s="257" t="s">
        <v>14412</v>
      </c>
      <c r="G433" s="258">
        <v>1.83</v>
      </c>
      <c r="H433" s="152"/>
      <c r="I433" s="160">
        <f t="shared" si="6"/>
        <v>109321.17000000006</v>
      </c>
    </row>
    <row r="434" spans="2:9" hidden="1" x14ac:dyDescent="0.25">
      <c r="B434" s="148"/>
      <c r="C434" s="148" t="s">
        <v>24156</v>
      </c>
      <c r="D434" s="150">
        <v>44093</v>
      </c>
      <c r="E434" s="341" t="s">
        <v>24155</v>
      </c>
      <c r="F434" s="257" t="s">
        <v>14412</v>
      </c>
      <c r="G434" s="258">
        <v>14.41</v>
      </c>
      <c r="H434" s="152"/>
      <c r="I434" s="160">
        <f t="shared" si="6"/>
        <v>109335.58000000006</v>
      </c>
    </row>
    <row r="435" spans="2:9" hidden="1" x14ac:dyDescent="0.25">
      <c r="B435" s="148"/>
      <c r="C435" s="148" t="s">
        <v>24154</v>
      </c>
      <c r="D435" s="150">
        <v>44093</v>
      </c>
      <c r="E435" s="341" t="s">
        <v>24153</v>
      </c>
      <c r="F435" s="257" t="s">
        <v>14412</v>
      </c>
      <c r="G435" s="258">
        <v>10.07</v>
      </c>
      <c r="H435" s="152"/>
      <c r="I435" s="160">
        <f t="shared" si="6"/>
        <v>109345.65000000007</v>
      </c>
    </row>
    <row r="436" spans="2:9" hidden="1" x14ac:dyDescent="0.25">
      <c r="B436" s="148"/>
      <c r="C436" s="148" t="s">
        <v>24152</v>
      </c>
      <c r="D436" s="150">
        <v>44093</v>
      </c>
      <c r="E436" s="341" t="s">
        <v>24151</v>
      </c>
      <c r="F436" s="257" t="s">
        <v>14412</v>
      </c>
      <c r="G436" s="258">
        <v>16.420000000000002</v>
      </c>
      <c r="H436" s="152"/>
      <c r="I436" s="160">
        <f t="shared" si="6"/>
        <v>109362.07000000007</v>
      </c>
    </row>
    <row r="437" spans="2:9" ht="19.5" hidden="1" x14ac:dyDescent="0.25">
      <c r="B437" s="148"/>
      <c r="C437" s="148" t="s">
        <v>24150</v>
      </c>
      <c r="D437" s="150">
        <v>44093</v>
      </c>
      <c r="E437" s="341" t="s">
        <v>24149</v>
      </c>
      <c r="F437" s="257" t="s">
        <v>14412</v>
      </c>
      <c r="G437" s="258">
        <v>12.41</v>
      </c>
      <c r="H437" s="152"/>
      <c r="I437" s="160">
        <f t="shared" si="6"/>
        <v>109374.48000000007</v>
      </c>
    </row>
    <row r="438" spans="2:9" hidden="1" x14ac:dyDescent="0.25">
      <c r="B438" s="148"/>
      <c r="C438" s="148" t="s">
        <v>24148</v>
      </c>
      <c r="D438" s="150">
        <v>44093</v>
      </c>
      <c r="E438" s="341" t="s">
        <v>24147</v>
      </c>
      <c r="F438" s="257" t="s">
        <v>14412</v>
      </c>
      <c r="G438" s="258">
        <v>6.23</v>
      </c>
      <c r="H438" s="152"/>
      <c r="I438" s="160">
        <f t="shared" si="6"/>
        <v>109380.71000000006</v>
      </c>
    </row>
    <row r="439" spans="2:9" hidden="1" x14ac:dyDescent="0.25">
      <c r="B439" s="148"/>
      <c r="C439" s="148" t="s">
        <v>24146</v>
      </c>
      <c r="D439" s="150">
        <v>44093</v>
      </c>
      <c r="E439" s="341" t="s">
        <v>24145</v>
      </c>
      <c r="F439" s="257" t="s">
        <v>14412</v>
      </c>
      <c r="G439" s="258">
        <v>13.57</v>
      </c>
      <c r="H439" s="152"/>
      <c r="I439" s="160">
        <f t="shared" si="6"/>
        <v>109394.28000000007</v>
      </c>
    </row>
    <row r="440" spans="2:9" hidden="1" x14ac:dyDescent="0.25">
      <c r="B440" s="148"/>
      <c r="C440" s="148" t="s">
        <v>24144</v>
      </c>
      <c r="D440" s="150">
        <v>44093</v>
      </c>
      <c r="E440" s="341" t="s">
        <v>24143</v>
      </c>
      <c r="F440" s="257" t="s">
        <v>14412</v>
      </c>
      <c r="G440" s="258">
        <v>5.34</v>
      </c>
      <c r="H440" s="152"/>
      <c r="I440" s="160">
        <f t="shared" si="6"/>
        <v>109399.62000000007</v>
      </c>
    </row>
    <row r="441" spans="2:9" hidden="1" x14ac:dyDescent="0.25">
      <c r="B441" s="148"/>
      <c r="C441" s="148" t="s">
        <v>24142</v>
      </c>
      <c r="D441" s="150">
        <v>44094</v>
      </c>
      <c r="E441" s="341" t="s">
        <v>24141</v>
      </c>
      <c r="F441" s="257" t="s">
        <v>14412</v>
      </c>
      <c r="G441" s="258">
        <v>5.04</v>
      </c>
      <c r="H441" s="152"/>
      <c r="I441" s="160">
        <f t="shared" si="6"/>
        <v>109404.66000000006</v>
      </c>
    </row>
    <row r="442" spans="2:9" hidden="1" x14ac:dyDescent="0.25">
      <c r="B442" s="148"/>
      <c r="C442" s="148" t="s">
        <v>24140</v>
      </c>
      <c r="D442" s="150">
        <v>44094</v>
      </c>
      <c r="E442" s="341" t="s">
        <v>24139</v>
      </c>
      <c r="F442" s="257" t="s">
        <v>14412</v>
      </c>
      <c r="G442" s="258">
        <v>6.92</v>
      </c>
      <c r="H442" s="152"/>
      <c r="I442" s="160">
        <f t="shared" si="6"/>
        <v>109411.58000000006</v>
      </c>
    </row>
    <row r="443" spans="2:9" hidden="1" x14ac:dyDescent="0.25">
      <c r="B443" s="148"/>
      <c r="C443" s="148" t="s">
        <v>24138</v>
      </c>
      <c r="D443" s="150">
        <v>44095</v>
      </c>
      <c r="E443" s="341" t="s">
        <v>24137</v>
      </c>
      <c r="F443" s="257">
        <v>15</v>
      </c>
      <c r="G443" s="255">
        <v>4.1900000000000004</v>
      </c>
      <c r="H443" s="152"/>
      <c r="I443" s="160">
        <f t="shared" si="6"/>
        <v>109415.77000000006</v>
      </c>
    </row>
    <row r="444" spans="2:9" hidden="1" x14ac:dyDescent="0.25">
      <c r="B444" s="148"/>
      <c r="C444" s="148" t="s">
        <v>24136</v>
      </c>
      <c r="D444" s="150">
        <v>44095</v>
      </c>
      <c r="E444" s="341" t="s">
        <v>24135</v>
      </c>
      <c r="F444" s="257">
        <v>15</v>
      </c>
      <c r="G444" s="255">
        <v>10.7</v>
      </c>
      <c r="H444" s="152"/>
      <c r="I444" s="160">
        <f t="shared" si="6"/>
        <v>109426.47000000006</v>
      </c>
    </row>
    <row r="445" spans="2:9" hidden="1" x14ac:dyDescent="0.25">
      <c r="B445" s="148"/>
      <c r="C445" s="148" t="s">
        <v>24134</v>
      </c>
      <c r="D445" s="150">
        <v>44095</v>
      </c>
      <c r="E445" s="341" t="s">
        <v>24133</v>
      </c>
      <c r="F445" s="257">
        <v>15</v>
      </c>
      <c r="G445" s="255">
        <v>15.96</v>
      </c>
      <c r="H445" s="152"/>
      <c r="I445" s="160">
        <f t="shared" si="6"/>
        <v>109442.43000000007</v>
      </c>
    </row>
    <row r="446" spans="2:9" ht="19.5" x14ac:dyDescent="0.25">
      <c r="B446" s="148"/>
      <c r="C446" s="148" t="s">
        <v>19213</v>
      </c>
      <c r="D446" s="150">
        <v>44096</v>
      </c>
      <c r="E446" s="341" t="s">
        <v>24132</v>
      </c>
      <c r="F446" s="257" t="s">
        <v>14433</v>
      </c>
      <c r="G446" s="152"/>
      <c r="H446" s="161">
        <v>3558.61</v>
      </c>
      <c r="I446" s="160">
        <f t="shared" si="6"/>
        <v>105883.82000000007</v>
      </c>
    </row>
    <row r="447" spans="2:9" ht="19.5" x14ac:dyDescent="0.25">
      <c r="B447" s="148"/>
      <c r="C447" s="148" t="s">
        <v>20356</v>
      </c>
      <c r="D447" s="150">
        <v>44096</v>
      </c>
      <c r="E447" s="341" t="s">
        <v>24131</v>
      </c>
      <c r="F447" s="257" t="s">
        <v>14433</v>
      </c>
      <c r="G447" s="152"/>
      <c r="H447" s="161">
        <v>1116.6199999999999</v>
      </c>
      <c r="I447" s="160">
        <f t="shared" si="6"/>
        <v>104767.20000000007</v>
      </c>
    </row>
    <row r="448" spans="2:9" x14ac:dyDescent="0.25">
      <c r="B448" s="148"/>
      <c r="C448" s="148" t="s">
        <v>24130</v>
      </c>
      <c r="D448" s="150">
        <v>44096</v>
      </c>
      <c r="E448" s="341" t="s">
        <v>24129</v>
      </c>
      <c r="F448" s="257" t="s">
        <v>14433</v>
      </c>
      <c r="G448" s="152"/>
      <c r="H448" s="161">
        <v>1234.48</v>
      </c>
      <c r="I448" s="160">
        <f t="shared" si="6"/>
        <v>103532.72000000007</v>
      </c>
    </row>
    <row r="449" spans="2:9" hidden="1" x14ac:dyDescent="0.25">
      <c r="B449" s="148"/>
      <c r="C449" s="148" t="s">
        <v>24128</v>
      </c>
      <c r="D449" s="150">
        <v>44097</v>
      </c>
      <c r="E449" s="341" t="s">
        <v>24127</v>
      </c>
      <c r="F449" s="257" t="s">
        <v>14436</v>
      </c>
      <c r="G449" s="160">
        <v>16.7</v>
      </c>
      <c r="H449" s="152"/>
      <c r="I449" s="160">
        <f t="shared" si="6"/>
        <v>103549.42000000007</v>
      </c>
    </row>
    <row r="450" spans="2:9" hidden="1" x14ac:dyDescent="0.25">
      <c r="B450" s="148"/>
      <c r="C450" s="148" t="s">
        <v>24126</v>
      </c>
      <c r="D450" s="150">
        <v>44097</v>
      </c>
      <c r="E450" s="341" t="s">
        <v>24125</v>
      </c>
      <c r="F450" s="257">
        <v>16</v>
      </c>
      <c r="G450" s="255">
        <v>2.54</v>
      </c>
      <c r="H450" s="152"/>
      <c r="I450" s="160">
        <f t="shared" si="6"/>
        <v>103551.96000000006</v>
      </c>
    </row>
    <row r="451" spans="2:9" hidden="1" x14ac:dyDescent="0.25">
      <c r="B451" s="148"/>
      <c r="C451" s="148" t="s">
        <v>24124</v>
      </c>
      <c r="D451" s="150">
        <v>44097</v>
      </c>
      <c r="E451" s="341" t="s">
        <v>24123</v>
      </c>
      <c r="F451" s="257">
        <v>16</v>
      </c>
      <c r="G451" s="255">
        <v>34.520000000000003</v>
      </c>
      <c r="H451" s="152"/>
      <c r="I451" s="160">
        <f t="shared" si="6"/>
        <v>103586.48000000007</v>
      </c>
    </row>
    <row r="452" spans="2:9" hidden="1" x14ac:dyDescent="0.25">
      <c r="B452" s="148"/>
      <c r="C452" s="148" t="s">
        <v>24122</v>
      </c>
      <c r="D452" s="150">
        <v>44097</v>
      </c>
      <c r="E452" s="341" t="s">
        <v>24121</v>
      </c>
      <c r="F452" s="257">
        <v>16</v>
      </c>
      <c r="G452" s="255">
        <v>5.33</v>
      </c>
      <c r="H452" s="152"/>
      <c r="I452" s="160">
        <f t="shared" si="6"/>
        <v>103591.81000000007</v>
      </c>
    </row>
    <row r="453" spans="2:9" hidden="1" x14ac:dyDescent="0.25">
      <c r="B453" s="148"/>
      <c r="C453" s="148" t="s">
        <v>24120</v>
      </c>
      <c r="D453" s="150">
        <v>44097</v>
      </c>
      <c r="E453" s="341" t="s">
        <v>24119</v>
      </c>
      <c r="F453" s="257">
        <v>16</v>
      </c>
      <c r="G453" s="255">
        <v>7.51</v>
      </c>
      <c r="H453" s="152"/>
      <c r="I453" s="160">
        <f t="shared" si="6"/>
        <v>103599.32000000007</v>
      </c>
    </row>
    <row r="454" spans="2:9" hidden="1" x14ac:dyDescent="0.25">
      <c r="B454" s="148"/>
      <c r="C454" s="148" t="s">
        <v>24118</v>
      </c>
      <c r="D454" s="150">
        <v>44097</v>
      </c>
      <c r="E454" s="341" t="s">
        <v>24117</v>
      </c>
      <c r="F454" s="257">
        <v>16</v>
      </c>
      <c r="G454" s="255">
        <v>9.11</v>
      </c>
      <c r="H454" s="152"/>
      <c r="I454" s="160">
        <f t="shared" si="6"/>
        <v>103608.43000000007</v>
      </c>
    </row>
    <row r="455" spans="2:9" hidden="1" x14ac:dyDescent="0.25">
      <c r="B455" s="148"/>
      <c r="C455" s="148" t="s">
        <v>24116</v>
      </c>
      <c r="D455" s="150">
        <v>44097</v>
      </c>
      <c r="E455" s="341" t="s">
        <v>24115</v>
      </c>
      <c r="F455" s="257" t="s">
        <v>14436</v>
      </c>
      <c r="G455" s="160">
        <v>5.67</v>
      </c>
      <c r="H455" s="152"/>
      <c r="I455" s="160">
        <f t="shared" si="6"/>
        <v>103614.10000000006</v>
      </c>
    </row>
    <row r="456" spans="2:9" hidden="1" x14ac:dyDescent="0.25">
      <c r="B456" s="148"/>
      <c r="C456" s="148" t="s">
        <v>24114</v>
      </c>
      <c r="D456" s="150">
        <v>44097</v>
      </c>
      <c r="E456" s="341" t="s">
        <v>24113</v>
      </c>
      <c r="F456" s="257" t="s">
        <v>14436</v>
      </c>
      <c r="G456" s="160">
        <v>4.6100000000000003</v>
      </c>
      <c r="H456" s="152"/>
      <c r="I456" s="160">
        <f t="shared" si="6"/>
        <v>103618.71000000006</v>
      </c>
    </row>
    <row r="457" spans="2:9" x14ac:dyDescent="0.25">
      <c r="B457" s="148"/>
      <c r="C457" s="148" t="s">
        <v>16351</v>
      </c>
      <c r="D457" s="150">
        <v>44097</v>
      </c>
      <c r="E457" s="341" t="s">
        <v>24112</v>
      </c>
      <c r="F457" s="257" t="s">
        <v>14433</v>
      </c>
      <c r="G457" s="152"/>
      <c r="H457" s="161">
        <v>56.6</v>
      </c>
      <c r="I457" s="160">
        <f t="shared" si="6"/>
        <v>103562.11000000006</v>
      </c>
    </row>
    <row r="458" spans="2:9" hidden="1" x14ac:dyDescent="0.25">
      <c r="B458" s="148"/>
      <c r="C458" s="148" t="s">
        <v>24111</v>
      </c>
      <c r="D458" s="150">
        <v>44098</v>
      </c>
      <c r="E458" s="341" t="s">
        <v>24110</v>
      </c>
      <c r="F458" s="257" t="s">
        <v>14436</v>
      </c>
      <c r="G458" s="160">
        <v>9.74</v>
      </c>
      <c r="H458" s="152"/>
      <c r="I458" s="160">
        <f t="shared" si="6"/>
        <v>103571.85000000006</v>
      </c>
    </row>
    <row r="459" spans="2:9" ht="19.5" hidden="1" x14ac:dyDescent="0.25">
      <c r="B459" s="148"/>
      <c r="C459" s="148" t="s">
        <v>24109</v>
      </c>
      <c r="D459" s="150">
        <v>44098</v>
      </c>
      <c r="E459" s="341" t="s">
        <v>24108</v>
      </c>
      <c r="F459" s="257" t="s">
        <v>14436</v>
      </c>
      <c r="G459" s="160">
        <v>8.4</v>
      </c>
      <c r="H459" s="152"/>
      <c r="I459" s="160">
        <f t="shared" si="6"/>
        <v>103580.25000000006</v>
      </c>
    </row>
    <row r="460" spans="2:9" hidden="1" x14ac:dyDescent="0.25">
      <c r="B460" s="148"/>
      <c r="C460" s="148" t="s">
        <v>24107</v>
      </c>
      <c r="D460" s="150">
        <v>44098</v>
      </c>
      <c r="E460" s="341" t="s">
        <v>24106</v>
      </c>
      <c r="F460" s="257">
        <v>17</v>
      </c>
      <c r="G460" s="255">
        <v>2.12</v>
      </c>
      <c r="H460" s="152"/>
      <c r="I460" s="160">
        <f t="shared" si="6"/>
        <v>103582.37000000005</v>
      </c>
    </row>
    <row r="461" spans="2:9" hidden="1" x14ac:dyDescent="0.25">
      <c r="B461" s="148"/>
      <c r="C461" s="148" t="s">
        <v>24105</v>
      </c>
      <c r="D461" s="150">
        <v>44098</v>
      </c>
      <c r="E461" s="341" t="s">
        <v>24104</v>
      </c>
      <c r="F461" s="257">
        <v>17</v>
      </c>
      <c r="G461" s="255">
        <v>11.5</v>
      </c>
      <c r="H461" s="152"/>
      <c r="I461" s="160">
        <f t="shared" si="6"/>
        <v>103593.87000000005</v>
      </c>
    </row>
    <row r="462" spans="2:9" ht="19.5" hidden="1" x14ac:dyDescent="0.25">
      <c r="B462" s="148"/>
      <c r="C462" s="148" t="s">
        <v>24103</v>
      </c>
      <c r="D462" s="150">
        <v>44098</v>
      </c>
      <c r="E462" s="341" t="s">
        <v>24102</v>
      </c>
      <c r="F462" s="257">
        <v>17</v>
      </c>
      <c r="G462" s="255">
        <v>3.92</v>
      </c>
      <c r="H462" s="152"/>
      <c r="I462" s="160">
        <f t="shared" si="6"/>
        <v>103597.79000000005</v>
      </c>
    </row>
    <row r="463" spans="2:9" hidden="1" x14ac:dyDescent="0.25">
      <c r="B463" s="148"/>
      <c r="C463" s="148" t="s">
        <v>24101</v>
      </c>
      <c r="D463" s="150">
        <v>44098</v>
      </c>
      <c r="E463" s="341" t="s">
        <v>24100</v>
      </c>
      <c r="F463" s="257">
        <v>17</v>
      </c>
      <c r="G463" s="255">
        <v>1.68</v>
      </c>
      <c r="H463" s="152"/>
      <c r="I463" s="160">
        <f t="shared" si="6"/>
        <v>103599.47000000004</v>
      </c>
    </row>
    <row r="464" spans="2:9" hidden="1" x14ac:dyDescent="0.25">
      <c r="B464" s="148"/>
      <c r="C464" s="148" t="s">
        <v>24099</v>
      </c>
      <c r="D464" s="150">
        <v>44098</v>
      </c>
      <c r="E464" s="341" t="s">
        <v>24098</v>
      </c>
      <c r="F464" s="257">
        <v>17</v>
      </c>
      <c r="G464" s="255">
        <v>1.94</v>
      </c>
      <c r="H464" s="152"/>
      <c r="I464" s="160">
        <f t="shared" si="6"/>
        <v>103601.41000000005</v>
      </c>
    </row>
    <row r="465" spans="2:9" hidden="1" x14ac:dyDescent="0.25">
      <c r="B465" s="148"/>
      <c r="C465" s="148" t="s">
        <v>24097</v>
      </c>
      <c r="D465" s="150">
        <v>44098</v>
      </c>
      <c r="E465" s="341" t="s">
        <v>24096</v>
      </c>
      <c r="F465" s="257">
        <v>17</v>
      </c>
      <c r="G465" s="255">
        <v>6.32</v>
      </c>
      <c r="H465" s="152"/>
      <c r="I465" s="160">
        <f t="shared" si="6"/>
        <v>103607.73000000005</v>
      </c>
    </row>
    <row r="466" spans="2:9" hidden="1" x14ac:dyDescent="0.25">
      <c r="B466" s="148"/>
      <c r="C466" s="148" t="s">
        <v>24095</v>
      </c>
      <c r="D466" s="150">
        <v>44098</v>
      </c>
      <c r="E466" s="341" t="s">
        <v>24094</v>
      </c>
      <c r="F466" s="257">
        <v>17</v>
      </c>
      <c r="G466" s="255">
        <v>1.94</v>
      </c>
      <c r="H466" s="152"/>
      <c r="I466" s="160">
        <f t="shared" si="6"/>
        <v>103609.67000000006</v>
      </c>
    </row>
    <row r="467" spans="2:9" hidden="1" x14ac:dyDescent="0.25">
      <c r="B467" s="148"/>
      <c r="C467" s="148" t="s">
        <v>24093</v>
      </c>
      <c r="D467" s="150">
        <v>44098</v>
      </c>
      <c r="E467" s="341" t="s">
        <v>24092</v>
      </c>
      <c r="F467" s="257" t="s">
        <v>18712</v>
      </c>
      <c r="G467" s="160">
        <v>3.36</v>
      </c>
      <c r="H467" s="152"/>
      <c r="I467" s="160">
        <f t="shared" si="6"/>
        <v>103613.03000000006</v>
      </c>
    </row>
    <row r="468" spans="2:9" ht="19.5" hidden="1" x14ac:dyDescent="0.25">
      <c r="B468" s="148"/>
      <c r="C468" s="148" t="s">
        <v>24091</v>
      </c>
      <c r="D468" s="150">
        <v>44098</v>
      </c>
      <c r="E468" s="341" t="s">
        <v>24090</v>
      </c>
      <c r="F468" s="257" t="s">
        <v>14436</v>
      </c>
      <c r="G468" s="160">
        <v>62.33</v>
      </c>
      <c r="H468" s="152"/>
      <c r="I468" s="160">
        <f t="shared" ref="I468:I531" si="7">+I467+G468-H468</f>
        <v>103675.36000000006</v>
      </c>
    </row>
    <row r="469" spans="2:9" x14ac:dyDescent="0.25">
      <c r="B469" s="148"/>
      <c r="C469" s="148" t="s">
        <v>16349</v>
      </c>
      <c r="D469" s="150">
        <v>44098</v>
      </c>
      <c r="E469" s="341" t="s">
        <v>24089</v>
      </c>
      <c r="F469" s="257" t="s">
        <v>14433</v>
      </c>
      <c r="G469" s="152"/>
      <c r="H469" s="161">
        <v>9.6199999999999992</v>
      </c>
      <c r="I469" s="160">
        <f t="shared" si="7"/>
        <v>103665.74000000006</v>
      </c>
    </row>
    <row r="470" spans="2:9" x14ac:dyDescent="0.25">
      <c r="B470" s="148"/>
      <c r="C470" s="148" t="s">
        <v>19401</v>
      </c>
      <c r="D470" s="150">
        <v>44098</v>
      </c>
      <c r="E470" s="341" t="s">
        <v>24088</v>
      </c>
      <c r="F470" s="257" t="s">
        <v>14433</v>
      </c>
      <c r="G470" s="152"/>
      <c r="H470" s="161">
        <v>8.86</v>
      </c>
      <c r="I470" s="160">
        <f t="shared" si="7"/>
        <v>103656.88000000006</v>
      </c>
    </row>
    <row r="471" spans="2:9" x14ac:dyDescent="0.25">
      <c r="B471" s="148"/>
      <c r="C471" s="148" t="s">
        <v>19090</v>
      </c>
      <c r="D471" s="150">
        <v>44098</v>
      </c>
      <c r="E471" s="341" t="s">
        <v>24087</v>
      </c>
      <c r="F471" s="257" t="s">
        <v>14433</v>
      </c>
      <c r="G471" s="152"/>
      <c r="H471" s="161">
        <v>7.92</v>
      </c>
      <c r="I471" s="160">
        <f t="shared" si="7"/>
        <v>103648.96000000006</v>
      </c>
    </row>
    <row r="472" spans="2:9" x14ac:dyDescent="0.25">
      <c r="B472" s="148"/>
      <c r="C472" s="148" t="s">
        <v>19399</v>
      </c>
      <c r="D472" s="150">
        <v>44098</v>
      </c>
      <c r="E472" s="341" t="s">
        <v>24086</v>
      </c>
      <c r="F472" s="257" t="s">
        <v>14433</v>
      </c>
      <c r="G472" s="152"/>
      <c r="H472" s="161">
        <v>21.51</v>
      </c>
      <c r="I472" s="160">
        <f t="shared" si="7"/>
        <v>103627.45000000007</v>
      </c>
    </row>
    <row r="473" spans="2:9" x14ac:dyDescent="0.25">
      <c r="B473" s="148"/>
      <c r="C473" s="148" t="s">
        <v>23425</v>
      </c>
      <c r="D473" s="150">
        <v>44098</v>
      </c>
      <c r="E473" s="341" t="s">
        <v>24085</v>
      </c>
      <c r="F473" s="257" t="s">
        <v>14433</v>
      </c>
      <c r="G473" s="152"/>
      <c r="H473" s="161">
        <v>11.95</v>
      </c>
      <c r="I473" s="160">
        <f t="shared" si="7"/>
        <v>103615.50000000007</v>
      </c>
    </row>
    <row r="474" spans="2:9" x14ac:dyDescent="0.25">
      <c r="B474" s="148"/>
      <c r="C474" s="148" t="s">
        <v>18292</v>
      </c>
      <c r="D474" s="150">
        <v>44098</v>
      </c>
      <c r="E474" s="341" t="s">
        <v>24084</v>
      </c>
      <c r="F474" s="257" t="s">
        <v>14433</v>
      </c>
      <c r="G474" s="152"/>
      <c r="H474" s="161">
        <v>20.09</v>
      </c>
      <c r="I474" s="160">
        <f t="shared" si="7"/>
        <v>103595.41000000008</v>
      </c>
    </row>
    <row r="475" spans="2:9" x14ac:dyDescent="0.25">
      <c r="B475" s="148"/>
      <c r="C475" s="148" t="s">
        <v>18558</v>
      </c>
      <c r="D475" s="150">
        <v>44098</v>
      </c>
      <c r="E475" s="341" t="s">
        <v>24083</v>
      </c>
      <c r="F475" s="257" t="s">
        <v>14433</v>
      </c>
      <c r="G475" s="152"/>
      <c r="H475" s="161">
        <v>15.13</v>
      </c>
      <c r="I475" s="160">
        <f t="shared" si="7"/>
        <v>103580.28000000007</v>
      </c>
    </row>
    <row r="476" spans="2:9" ht="19.5" x14ac:dyDescent="0.25">
      <c r="B476" s="148"/>
      <c r="C476" s="148" t="s">
        <v>18949</v>
      </c>
      <c r="D476" s="150">
        <v>44098</v>
      </c>
      <c r="E476" s="341" t="s">
        <v>24082</v>
      </c>
      <c r="F476" s="257" t="s">
        <v>14433</v>
      </c>
      <c r="G476" s="152"/>
      <c r="H476" s="161">
        <v>10.58</v>
      </c>
      <c r="I476" s="160">
        <f t="shared" si="7"/>
        <v>103569.70000000007</v>
      </c>
    </row>
    <row r="477" spans="2:9" hidden="1" x14ac:dyDescent="0.25">
      <c r="B477" s="148" t="s">
        <v>14413</v>
      </c>
      <c r="C477" s="148" t="s">
        <v>24081</v>
      </c>
      <c r="D477" s="150">
        <v>44099</v>
      </c>
      <c r="E477" s="341" t="s">
        <v>24080</v>
      </c>
      <c r="G477" s="258">
        <v>6.56</v>
      </c>
      <c r="H477" s="152"/>
      <c r="I477" s="160">
        <f t="shared" si="7"/>
        <v>103576.26000000007</v>
      </c>
    </row>
    <row r="478" spans="2:9" hidden="1" x14ac:dyDescent="0.25">
      <c r="B478" s="148" t="s">
        <v>14413</v>
      </c>
      <c r="C478" s="148" t="s">
        <v>24079</v>
      </c>
      <c r="D478" s="150">
        <v>44099</v>
      </c>
      <c r="E478" s="341" t="s">
        <v>24078</v>
      </c>
      <c r="G478" s="258">
        <v>2.54</v>
      </c>
      <c r="H478" s="152"/>
      <c r="I478" s="160">
        <f t="shared" si="7"/>
        <v>103578.80000000006</v>
      </c>
    </row>
    <row r="479" spans="2:9" ht="19.5" hidden="1" x14ac:dyDescent="0.25">
      <c r="B479" s="148" t="s">
        <v>14413</v>
      </c>
      <c r="C479" s="148" t="s">
        <v>24077</v>
      </c>
      <c r="D479" s="150">
        <v>44099</v>
      </c>
      <c r="E479" s="341" t="s">
        <v>24076</v>
      </c>
      <c r="G479" s="258">
        <v>10.68</v>
      </c>
      <c r="H479" s="152"/>
      <c r="I479" s="160">
        <f t="shared" si="7"/>
        <v>103589.48000000005</v>
      </c>
    </row>
    <row r="480" spans="2:9" hidden="1" x14ac:dyDescent="0.25">
      <c r="B480" s="148" t="s">
        <v>14413</v>
      </c>
      <c r="C480" s="148" t="s">
        <v>24075</v>
      </c>
      <c r="D480" s="150">
        <v>44099</v>
      </c>
      <c r="E480" s="341" t="s">
        <v>24074</v>
      </c>
      <c r="G480" s="258">
        <v>0.83</v>
      </c>
      <c r="H480" s="152"/>
      <c r="I480" s="160">
        <f t="shared" si="7"/>
        <v>103590.31000000006</v>
      </c>
    </row>
    <row r="481" spans="2:9" hidden="1" x14ac:dyDescent="0.25">
      <c r="B481" s="148" t="s">
        <v>14413</v>
      </c>
      <c r="C481" s="148" t="s">
        <v>24073</v>
      </c>
      <c r="D481" s="150">
        <v>44099</v>
      </c>
      <c r="E481" s="341" t="s">
        <v>24072</v>
      </c>
      <c r="G481" s="258">
        <v>6.11</v>
      </c>
      <c r="H481" s="152"/>
      <c r="I481" s="160">
        <f t="shared" si="7"/>
        <v>103596.42000000006</v>
      </c>
    </row>
    <row r="482" spans="2:9" hidden="1" x14ac:dyDescent="0.25">
      <c r="B482" s="148" t="s">
        <v>14413</v>
      </c>
      <c r="C482" s="148" t="s">
        <v>24071</v>
      </c>
      <c r="D482" s="150">
        <v>44099</v>
      </c>
      <c r="E482" s="341" t="s">
        <v>24070</v>
      </c>
      <c r="G482" s="258">
        <v>5.69</v>
      </c>
      <c r="H482" s="152"/>
      <c r="I482" s="160">
        <f t="shared" si="7"/>
        <v>103602.11000000006</v>
      </c>
    </row>
    <row r="483" spans="2:9" hidden="1" x14ac:dyDescent="0.25">
      <c r="B483" s="148" t="s">
        <v>14413</v>
      </c>
      <c r="C483" s="148" t="s">
        <v>24069</v>
      </c>
      <c r="D483" s="150">
        <v>44099</v>
      </c>
      <c r="E483" s="341" t="s">
        <v>24068</v>
      </c>
      <c r="G483" s="258">
        <v>5.33</v>
      </c>
      <c r="H483" s="152"/>
      <c r="I483" s="160">
        <f t="shared" si="7"/>
        <v>103607.44000000006</v>
      </c>
    </row>
    <row r="484" spans="2:9" ht="19.5" hidden="1" x14ac:dyDescent="0.25">
      <c r="B484" s="148" t="s">
        <v>14413</v>
      </c>
      <c r="C484" s="148" t="s">
        <v>24067</v>
      </c>
      <c r="D484" s="150">
        <v>44099</v>
      </c>
      <c r="E484" s="341" t="s">
        <v>24066</v>
      </c>
      <c r="G484" s="258">
        <v>10.96</v>
      </c>
      <c r="H484" s="152"/>
      <c r="I484" s="160">
        <f t="shared" si="7"/>
        <v>103618.40000000007</v>
      </c>
    </row>
    <row r="485" spans="2:9" hidden="1" x14ac:dyDescent="0.25">
      <c r="B485" s="148" t="s">
        <v>14413</v>
      </c>
      <c r="C485" s="148" t="s">
        <v>24065</v>
      </c>
      <c r="D485" s="150">
        <v>44099</v>
      </c>
      <c r="E485" s="341" t="s">
        <v>24064</v>
      </c>
      <c r="G485" s="258">
        <v>5.84</v>
      </c>
      <c r="H485" s="152"/>
      <c r="I485" s="160">
        <f t="shared" si="7"/>
        <v>103624.24000000006</v>
      </c>
    </row>
    <row r="486" spans="2:9" ht="19.5" hidden="1" x14ac:dyDescent="0.25">
      <c r="B486" s="148" t="s">
        <v>14413</v>
      </c>
      <c r="C486" s="148" t="s">
        <v>24063</v>
      </c>
      <c r="D486" s="150">
        <v>44099</v>
      </c>
      <c r="E486" s="341" t="s">
        <v>24062</v>
      </c>
      <c r="G486" s="258">
        <v>17.190000000000001</v>
      </c>
      <c r="H486" s="152"/>
      <c r="I486" s="160">
        <f t="shared" si="7"/>
        <v>103641.43000000007</v>
      </c>
    </row>
    <row r="487" spans="2:9" hidden="1" x14ac:dyDescent="0.25">
      <c r="B487" s="148" t="s">
        <v>14413</v>
      </c>
      <c r="C487" s="148" t="s">
        <v>24061</v>
      </c>
      <c r="D487" s="150">
        <v>44099</v>
      </c>
      <c r="E487" s="341" t="s">
        <v>24060</v>
      </c>
      <c r="G487" s="258">
        <v>3.97</v>
      </c>
      <c r="H487" s="152"/>
      <c r="I487" s="160">
        <f t="shared" si="7"/>
        <v>103645.40000000007</v>
      </c>
    </row>
    <row r="488" spans="2:9" ht="19.5" hidden="1" x14ac:dyDescent="0.25">
      <c r="B488" s="148" t="s">
        <v>14413</v>
      </c>
      <c r="C488" s="148" t="s">
        <v>24059</v>
      </c>
      <c r="D488" s="150">
        <v>44099</v>
      </c>
      <c r="E488" s="341" t="s">
        <v>24058</v>
      </c>
      <c r="G488" s="258">
        <v>5.04</v>
      </c>
      <c r="H488" s="152"/>
      <c r="I488" s="160">
        <f t="shared" si="7"/>
        <v>103650.44000000006</v>
      </c>
    </row>
    <row r="489" spans="2:9" hidden="1" x14ac:dyDescent="0.25">
      <c r="B489" s="148" t="s">
        <v>14413</v>
      </c>
      <c r="C489" s="148" t="s">
        <v>24057</v>
      </c>
      <c r="D489" s="150">
        <v>44099</v>
      </c>
      <c r="E489" s="341" t="s">
        <v>24056</v>
      </c>
      <c r="G489" s="258">
        <v>3.58</v>
      </c>
      <c r="H489" s="152"/>
      <c r="I489" s="160">
        <f t="shared" si="7"/>
        <v>103654.02000000006</v>
      </c>
    </row>
    <row r="490" spans="2:9" hidden="1" x14ac:dyDescent="0.25">
      <c r="B490" s="148" t="s">
        <v>14413</v>
      </c>
      <c r="C490" s="148" t="s">
        <v>24055</v>
      </c>
      <c r="D490" s="150">
        <v>44099</v>
      </c>
      <c r="E490" s="341" t="s">
        <v>24054</v>
      </c>
      <c r="G490" s="258">
        <v>5.04</v>
      </c>
      <c r="H490" s="152"/>
      <c r="I490" s="160">
        <f t="shared" si="7"/>
        <v>103659.06000000006</v>
      </c>
    </row>
    <row r="491" spans="2:9" hidden="1" x14ac:dyDescent="0.25">
      <c r="B491" s="148" t="s">
        <v>14413</v>
      </c>
      <c r="C491" s="148" t="s">
        <v>24053</v>
      </c>
      <c r="D491" s="150">
        <v>44099</v>
      </c>
      <c r="E491" s="341" t="s">
        <v>24052</v>
      </c>
      <c r="G491" s="258">
        <v>3.52</v>
      </c>
      <c r="H491" s="152"/>
      <c r="I491" s="160">
        <f t="shared" si="7"/>
        <v>103662.58000000006</v>
      </c>
    </row>
    <row r="492" spans="2:9" hidden="1" x14ac:dyDescent="0.25">
      <c r="B492" s="148" t="s">
        <v>14413</v>
      </c>
      <c r="C492" s="148" t="s">
        <v>24051</v>
      </c>
      <c r="D492" s="150">
        <v>44099</v>
      </c>
      <c r="E492" s="341" t="s">
        <v>24050</v>
      </c>
      <c r="G492" s="258">
        <v>5.85</v>
      </c>
      <c r="H492" s="152"/>
      <c r="I492" s="160">
        <f t="shared" si="7"/>
        <v>103668.43000000007</v>
      </c>
    </row>
    <row r="493" spans="2:9" hidden="1" x14ac:dyDescent="0.25">
      <c r="B493" s="148" t="s">
        <v>14413</v>
      </c>
      <c r="C493" s="148" t="s">
        <v>24049</v>
      </c>
      <c r="D493" s="150">
        <v>44099</v>
      </c>
      <c r="E493" s="341" t="s">
        <v>24048</v>
      </c>
      <c r="G493" s="258">
        <v>3.8</v>
      </c>
      <c r="H493" s="152"/>
      <c r="I493" s="160">
        <f t="shared" si="7"/>
        <v>103672.23000000007</v>
      </c>
    </row>
    <row r="494" spans="2:9" ht="19.5" hidden="1" x14ac:dyDescent="0.25">
      <c r="B494" s="148" t="s">
        <v>14413</v>
      </c>
      <c r="C494" s="148" t="s">
        <v>24047</v>
      </c>
      <c r="D494" s="150">
        <v>44099</v>
      </c>
      <c r="E494" s="341" t="s">
        <v>24046</v>
      </c>
      <c r="G494" s="258">
        <v>9.82</v>
      </c>
      <c r="H494" s="152"/>
      <c r="I494" s="160">
        <f t="shared" si="7"/>
        <v>103682.05000000008</v>
      </c>
    </row>
    <row r="495" spans="2:9" hidden="1" x14ac:dyDescent="0.25">
      <c r="B495" s="148" t="s">
        <v>14413</v>
      </c>
      <c r="C495" s="148" t="s">
        <v>24045</v>
      </c>
      <c r="D495" s="150">
        <v>44099</v>
      </c>
      <c r="E495" s="341" t="s">
        <v>24044</v>
      </c>
      <c r="G495" s="258">
        <v>9.64</v>
      </c>
      <c r="H495" s="152"/>
      <c r="I495" s="160">
        <f t="shared" si="7"/>
        <v>103691.69000000008</v>
      </c>
    </row>
    <row r="496" spans="2:9" hidden="1" x14ac:dyDescent="0.25">
      <c r="B496" s="148" t="s">
        <v>14413</v>
      </c>
      <c r="C496" s="148" t="s">
        <v>24043</v>
      </c>
      <c r="D496" s="150">
        <v>44099</v>
      </c>
      <c r="E496" s="341" t="s">
        <v>24042</v>
      </c>
      <c r="G496" s="258">
        <v>7.73</v>
      </c>
      <c r="H496" s="152"/>
      <c r="I496" s="160">
        <f t="shared" si="7"/>
        <v>103699.42000000007</v>
      </c>
    </row>
    <row r="497" spans="2:9" ht="19.5" hidden="1" x14ac:dyDescent="0.25">
      <c r="B497" s="148"/>
      <c r="C497" s="148" t="s">
        <v>24041</v>
      </c>
      <c r="D497" s="150">
        <v>44099</v>
      </c>
      <c r="E497" s="341" t="s">
        <v>24040</v>
      </c>
      <c r="F497" s="257">
        <v>18</v>
      </c>
      <c r="G497" s="255">
        <v>55.52</v>
      </c>
      <c r="H497" s="152"/>
      <c r="I497" s="160">
        <f t="shared" si="7"/>
        <v>103754.94000000008</v>
      </c>
    </row>
    <row r="498" spans="2:9" hidden="1" x14ac:dyDescent="0.25">
      <c r="B498" s="148"/>
      <c r="C498" s="148" t="s">
        <v>24039</v>
      </c>
      <c r="D498" s="150">
        <v>44099</v>
      </c>
      <c r="E498" s="341" t="s">
        <v>24038</v>
      </c>
      <c r="F498" s="257">
        <v>18</v>
      </c>
      <c r="G498" s="255">
        <v>4.25</v>
      </c>
      <c r="H498" s="152"/>
      <c r="I498" s="160">
        <f t="shared" si="7"/>
        <v>103759.19000000008</v>
      </c>
    </row>
    <row r="499" spans="2:9" hidden="1" x14ac:dyDescent="0.25">
      <c r="B499" s="148"/>
      <c r="C499" s="148" t="s">
        <v>24037</v>
      </c>
      <c r="D499" s="150">
        <v>44099</v>
      </c>
      <c r="E499" s="341" t="s">
        <v>24036</v>
      </c>
      <c r="F499" s="257">
        <v>18</v>
      </c>
      <c r="G499" s="255">
        <v>17.600000000000001</v>
      </c>
      <c r="H499" s="152"/>
      <c r="I499" s="160">
        <f t="shared" si="7"/>
        <v>103776.79000000008</v>
      </c>
    </row>
    <row r="500" spans="2:9" hidden="1" x14ac:dyDescent="0.25">
      <c r="B500" s="148"/>
      <c r="C500" s="148" t="s">
        <v>24035</v>
      </c>
      <c r="D500" s="150">
        <v>44099</v>
      </c>
      <c r="E500" s="341" t="s">
        <v>24034</v>
      </c>
      <c r="F500" s="257">
        <v>18</v>
      </c>
      <c r="G500" s="255">
        <v>2.09</v>
      </c>
      <c r="H500" s="152"/>
      <c r="I500" s="160">
        <f t="shared" si="7"/>
        <v>103778.88000000008</v>
      </c>
    </row>
    <row r="501" spans="2:9" hidden="1" x14ac:dyDescent="0.25">
      <c r="B501" s="148"/>
      <c r="C501" s="148" t="s">
        <v>24033</v>
      </c>
      <c r="D501" s="150">
        <v>44099</v>
      </c>
      <c r="E501" s="341" t="s">
        <v>24032</v>
      </c>
      <c r="F501" s="257">
        <v>18</v>
      </c>
      <c r="G501" s="255">
        <v>2.68</v>
      </c>
      <c r="H501" s="152"/>
      <c r="I501" s="160">
        <f t="shared" si="7"/>
        <v>103781.56000000007</v>
      </c>
    </row>
    <row r="502" spans="2:9" hidden="1" x14ac:dyDescent="0.25">
      <c r="B502" s="148"/>
      <c r="C502" s="148" t="s">
        <v>24031</v>
      </c>
      <c r="D502" s="150">
        <v>44099</v>
      </c>
      <c r="E502" s="341" t="s">
        <v>24030</v>
      </c>
      <c r="F502" s="257">
        <v>18</v>
      </c>
      <c r="G502" s="255">
        <v>4.1100000000000003</v>
      </c>
      <c r="H502" s="152"/>
      <c r="I502" s="160">
        <f t="shared" si="7"/>
        <v>103785.67000000007</v>
      </c>
    </row>
    <row r="503" spans="2:9" hidden="1" x14ac:dyDescent="0.25">
      <c r="B503" s="148"/>
      <c r="C503" s="148" t="s">
        <v>24029</v>
      </c>
      <c r="D503" s="150">
        <v>44099</v>
      </c>
      <c r="E503" s="341" t="s">
        <v>24028</v>
      </c>
      <c r="F503" s="257">
        <v>18</v>
      </c>
      <c r="G503" s="255">
        <v>3.44</v>
      </c>
      <c r="H503" s="152"/>
      <c r="I503" s="160">
        <f t="shared" si="7"/>
        <v>103789.11000000007</v>
      </c>
    </row>
    <row r="504" spans="2:9" hidden="1" x14ac:dyDescent="0.25">
      <c r="B504" s="148"/>
      <c r="C504" s="148" t="s">
        <v>24027</v>
      </c>
      <c r="D504" s="150">
        <v>44099</v>
      </c>
      <c r="E504" s="341" t="s">
        <v>24026</v>
      </c>
      <c r="F504" s="257">
        <v>18</v>
      </c>
      <c r="G504" s="255">
        <v>8.3800000000000008</v>
      </c>
      <c r="H504" s="152"/>
      <c r="I504" s="160">
        <f t="shared" si="7"/>
        <v>103797.49000000008</v>
      </c>
    </row>
    <row r="505" spans="2:9" hidden="1" x14ac:dyDescent="0.25">
      <c r="B505" s="148"/>
      <c r="C505" s="148" t="s">
        <v>24025</v>
      </c>
      <c r="D505" s="150">
        <v>44099</v>
      </c>
      <c r="E505" s="341" t="s">
        <v>24024</v>
      </c>
      <c r="F505" s="257">
        <v>18</v>
      </c>
      <c r="G505" s="255">
        <v>3.36</v>
      </c>
      <c r="H505" s="152"/>
      <c r="I505" s="160">
        <f t="shared" si="7"/>
        <v>103800.85000000008</v>
      </c>
    </row>
    <row r="506" spans="2:9" ht="19.5" hidden="1" x14ac:dyDescent="0.25">
      <c r="B506" s="148"/>
      <c r="C506" s="148" t="s">
        <v>24023</v>
      </c>
      <c r="D506" s="150">
        <v>44099</v>
      </c>
      <c r="E506" s="341" t="s">
        <v>24022</v>
      </c>
      <c r="F506" s="257">
        <v>18</v>
      </c>
      <c r="G506" s="255">
        <v>16.43</v>
      </c>
      <c r="H506" s="152"/>
      <c r="I506" s="160">
        <f t="shared" si="7"/>
        <v>103817.28000000007</v>
      </c>
    </row>
    <row r="507" spans="2:9" hidden="1" x14ac:dyDescent="0.25">
      <c r="B507" s="148"/>
      <c r="C507" s="148" t="s">
        <v>24021</v>
      </c>
      <c r="D507" s="150">
        <v>44099</v>
      </c>
      <c r="E507" s="341" t="s">
        <v>24020</v>
      </c>
      <c r="F507" s="257" t="s">
        <v>14436</v>
      </c>
      <c r="G507" s="160">
        <v>1.95</v>
      </c>
      <c r="H507" s="152"/>
      <c r="I507" s="160">
        <f t="shared" si="7"/>
        <v>103819.23000000007</v>
      </c>
    </row>
    <row r="508" spans="2:9" hidden="1" x14ac:dyDescent="0.25">
      <c r="B508" s="148"/>
      <c r="C508" s="148" t="s">
        <v>24019</v>
      </c>
      <c r="D508" s="150">
        <v>44099</v>
      </c>
      <c r="E508" s="341" t="s">
        <v>24018</v>
      </c>
      <c r="F508" s="257" t="s">
        <v>14436</v>
      </c>
      <c r="G508" s="160">
        <v>3661.16</v>
      </c>
      <c r="H508" s="152"/>
      <c r="I508" s="160">
        <f t="shared" si="7"/>
        <v>107480.39000000007</v>
      </c>
    </row>
    <row r="509" spans="2:9" hidden="1" x14ac:dyDescent="0.25">
      <c r="B509" s="148" t="s">
        <v>14413</v>
      </c>
      <c r="C509" s="148" t="s">
        <v>24017</v>
      </c>
      <c r="D509" s="150">
        <v>44100</v>
      </c>
      <c r="E509" s="341" t="s">
        <v>24016</v>
      </c>
      <c r="G509" s="258">
        <v>1.93</v>
      </c>
      <c r="H509" s="152"/>
      <c r="I509" s="160">
        <f t="shared" si="7"/>
        <v>107482.32000000007</v>
      </c>
    </row>
    <row r="510" spans="2:9" hidden="1" x14ac:dyDescent="0.25">
      <c r="B510" s="148" t="s">
        <v>14413</v>
      </c>
      <c r="C510" s="148" t="s">
        <v>24015</v>
      </c>
      <c r="D510" s="150">
        <v>44100</v>
      </c>
      <c r="E510" s="341" t="s">
        <v>24014</v>
      </c>
      <c r="G510" s="258">
        <v>1.68</v>
      </c>
      <c r="H510" s="152"/>
      <c r="I510" s="160">
        <f t="shared" si="7"/>
        <v>107484.00000000006</v>
      </c>
    </row>
    <row r="511" spans="2:9" hidden="1" x14ac:dyDescent="0.25">
      <c r="B511" s="148" t="s">
        <v>14413</v>
      </c>
      <c r="C511" s="148" t="s">
        <v>24013</v>
      </c>
      <c r="D511" s="150">
        <v>44100</v>
      </c>
      <c r="E511" s="341" t="s">
        <v>24012</v>
      </c>
      <c r="G511" s="258">
        <v>8.3800000000000008</v>
      </c>
      <c r="H511" s="152"/>
      <c r="I511" s="160">
        <f t="shared" si="7"/>
        <v>107492.38000000006</v>
      </c>
    </row>
    <row r="512" spans="2:9" ht="19.5" hidden="1" x14ac:dyDescent="0.25">
      <c r="B512" s="148" t="s">
        <v>14413</v>
      </c>
      <c r="C512" s="148" t="s">
        <v>24011</v>
      </c>
      <c r="D512" s="150">
        <v>44100</v>
      </c>
      <c r="E512" s="341" t="s">
        <v>24010</v>
      </c>
      <c r="G512" s="258">
        <v>14.42</v>
      </c>
      <c r="H512" s="152"/>
      <c r="I512" s="160">
        <f t="shared" si="7"/>
        <v>107506.80000000006</v>
      </c>
    </row>
    <row r="513" spans="2:9" hidden="1" x14ac:dyDescent="0.25">
      <c r="B513" s="148" t="s">
        <v>14413</v>
      </c>
      <c r="C513" s="148" t="s">
        <v>24009</v>
      </c>
      <c r="D513" s="150">
        <v>44100</v>
      </c>
      <c r="E513" s="341" t="s">
        <v>24008</v>
      </c>
      <c r="G513" s="258">
        <v>1.98</v>
      </c>
      <c r="H513" s="152"/>
      <c r="I513" s="160">
        <f t="shared" si="7"/>
        <v>107508.78000000006</v>
      </c>
    </row>
    <row r="514" spans="2:9" hidden="1" x14ac:dyDescent="0.25">
      <c r="B514" s="148" t="s">
        <v>14413</v>
      </c>
      <c r="C514" s="148" t="s">
        <v>24007</v>
      </c>
      <c r="D514" s="150">
        <v>44100</v>
      </c>
      <c r="E514" s="341" t="s">
        <v>24006</v>
      </c>
      <c r="G514" s="258">
        <v>5.34</v>
      </c>
      <c r="H514" s="152"/>
      <c r="I514" s="160">
        <f t="shared" si="7"/>
        <v>107514.12000000005</v>
      </c>
    </row>
    <row r="515" spans="2:9" ht="19.5" hidden="1" x14ac:dyDescent="0.25">
      <c r="B515" s="148" t="s">
        <v>14413</v>
      </c>
      <c r="C515" s="148" t="s">
        <v>24005</v>
      </c>
      <c r="D515" s="150">
        <v>44100</v>
      </c>
      <c r="E515" s="341" t="s">
        <v>24004</v>
      </c>
      <c r="G515" s="258">
        <v>39.64</v>
      </c>
      <c r="H515" s="152"/>
      <c r="I515" s="160">
        <f t="shared" si="7"/>
        <v>107553.76000000005</v>
      </c>
    </row>
    <row r="516" spans="2:9" hidden="1" x14ac:dyDescent="0.25">
      <c r="B516" s="148"/>
      <c r="C516" s="148" t="s">
        <v>24003</v>
      </c>
      <c r="D516" s="150">
        <v>44100</v>
      </c>
      <c r="E516" s="341" t="s">
        <v>24002</v>
      </c>
      <c r="F516" s="257" t="s">
        <v>14436</v>
      </c>
      <c r="G516" s="160">
        <v>39.58</v>
      </c>
      <c r="H516" s="152"/>
      <c r="I516" s="160">
        <f t="shared" si="7"/>
        <v>107593.34000000005</v>
      </c>
    </row>
    <row r="517" spans="2:9" hidden="1" x14ac:dyDescent="0.25">
      <c r="B517" s="148" t="s">
        <v>14413</v>
      </c>
      <c r="C517" s="148" t="s">
        <v>24001</v>
      </c>
      <c r="D517" s="150">
        <v>44101</v>
      </c>
      <c r="E517" s="341" t="s">
        <v>24000</v>
      </c>
      <c r="G517" s="258">
        <v>1.98</v>
      </c>
      <c r="H517" s="152"/>
      <c r="I517" s="160">
        <f t="shared" si="7"/>
        <v>107595.32000000005</v>
      </c>
    </row>
    <row r="518" spans="2:9" hidden="1" x14ac:dyDescent="0.25">
      <c r="B518" s="148" t="s">
        <v>14413</v>
      </c>
      <c r="C518" s="148" t="s">
        <v>23999</v>
      </c>
      <c r="D518" s="150">
        <v>44101</v>
      </c>
      <c r="E518" s="341" t="s">
        <v>23998</v>
      </c>
      <c r="G518" s="258">
        <v>3.36</v>
      </c>
      <c r="H518" s="152"/>
      <c r="I518" s="160">
        <f t="shared" si="7"/>
        <v>107598.68000000005</v>
      </c>
    </row>
    <row r="519" spans="2:9" hidden="1" x14ac:dyDescent="0.25">
      <c r="B519" s="148" t="s">
        <v>14413</v>
      </c>
      <c r="C519" s="148" t="s">
        <v>23997</v>
      </c>
      <c r="D519" s="150">
        <v>44101</v>
      </c>
      <c r="E519" s="341" t="s">
        <v>23996</v>
      </c>
      <c r="G519" s="258">
        <v>8.82</v>
      </c>
      <c r="H519" s="152"/>
      <c r="I519" s="160">
        <f t="shared" si="7"/>
        <v>107607.50000000006</v>
      </c>
    </row>
    <row r="520" spans="2:9" ht="19.5" hidden="1" x14ac:dyDescent="0.25">
      <c r="B520" s="148"/>
      <c r="C520" s="148" t="s">
        <v>23995</v>
      </c>
      <c r="D520" s="150">
        <v>44102</v>
      </c>
      <c r="E520" s="341" t="s">
        <v>23994</v>
      </c>
      <c r="F520" s="257">
        <v>19</v>
      </c>
      <c r="G520" s="255">
        <v>91.8</v>
      </c>
      <c r="H520" s="152"/>
      <c r="I520" s="160">
        <f t="shared" si="7"/>
        <v>107699.30000000006</v>
      </c>
    </row>
    <row r="521" spans="2:9" hidden="1" x14ac:dyDescent="0.25">
      <c r="B521" s="148"/>
      <c r="C521" s="148" t="s">
        <v>23993</v>
      </c>
      <c r="D521" s="150">
        <v>44102</v>
      </c>
      <c r="E521" s="341" t="s">
        <v>23992</v>
      </c>
      <c r="F521" s="257" t="s">
        <v>18712</v>
      </c>
      <c r="G521" s="160">
        <v>9</v>
      </c>
      <c r="H521" s="152"/>
      <c r="I521" s="160">
        <f t="shared" si="7"/>
        <v>107708.30000000006</v>
      </c>
    </row>
    <row r="522" spans="2:9" hidden="1" x14ac:dyDescent="0.25">
      <c r="B522" s="148"/>
      <c r="C522" s="148" t="s">
        <v>23991</v>
      </c>
      <c r="D522" s="150">
        <v>44102</v>
      </c>
      <c r="E522" s="341" t="s">
        <v>23990</v>
      </c>
      <c r="F522" s="257" t="s">
        <v>14436</v>
      </c>
      <c r="G522" s="160">
        <v>1.96</v>
      </c>
      <c r="H522" s="152"/>
      <c r="I522" s="160">
        <f t="shared" si="7"/>
        <v>107710.26000000007</v>
      </c>
    </row>
    <row r="523" spans="2:9" hidden="1" x14ac:dyDescent="0.25">
      <c r="B523" s="148"/>
      <c r="C523" s="148" t="s">
        <v>23989</v>
      </c>
      <c r="D523" s="150">
        <v>44102</v>
      </c>
      <c r="E523" s="341" t="s">
        <v>23988</v>
      </c>
      <c r="F523" s="257" t="s">
        <v>14436</v>
      </c>
      <c r="G523" s="160">
        <v>6083.37</v>
      </c>
      <c r="H523" s="152"/>
      <c r="I523" s="160">
        <f t="shared" si="7"/>
        <v>113793.63000000006</v>
      </c>
    </row>
    <row r="524" spans="2:9" hidden="1" x14ac:dyDescent="0.25">
      <c r="B524" s="148"/>
      <c r="C524" s="148" t="s">
        <v>23987</v>
      </c>
      <c r="D524" s="150">
        <v>44102</v>
      </c>
      <c r="E524" s="341" t="s">
        <v>23986</v>
      </c>
      <c r="F524" s="257" t="s">
        <v>14436</v>
      </c>
      <c r="G524" s="160">
        <v>5368.89</v>
      </c>
      <c r="H524" s="152"/>
      <c r="I524" s="160">
        <f t="shared" si="7"/>
        <v>119162.52000000006</v>
      </c>
    </row>
    <row r="525" spans="2:9" hidden="1" x14ac:dyDescent="0.25">
      <c r="B525" s="148" t="s">
        <v>14413</v>
      </c>
      <c r="C525" s="148" t="s">
        <v>23985</v>
      </c>
      <c r="D525" s="150">
        <v>44102</v>
      </c>
      <c r="E525" s="341" t="s">
        <v>23984</v>
      </c>
      <c r="G525" s="258">
        <v>1.68</v>
      </c>
      <c r="H525" s="152"/>
      <c r="I525" s="160">
        <f t="shared" si="7"/>
        <v>119164.20000000006</v>
      </c>
    </row>
    <row r="526" spans="2:9" hidden="1" x14ac:dyDescent="0.25">
      <c r="B526" s="148" t="s">
        <v>14413</v>
      </c>
      <c r="C526" s="148" t="s">
        <v>23983</v>
      </c>
      <c r="D526" s="150">
        <v>44102</v>
      </c>
      <c r="E526" s="341" t="s">
        <v>23982</v>
      </c>
      <c r="G526" s="258">
        <v>3.74</v>
      </c>
      <c r="H526" s="152"/>
      <c r="I526" s="160">
        <f t="shared" si="7"/>
        <v>119167.94000000006</v>
      </c>
    </row>
    <row r="527" spans="2:9" hidden="1" x14ac:dyDescent="0.25">
      <c r="B527" s="148" t="s">
        <v>14413</v>
      </c>
      <c r="C527" s="148" t="s">
        <v>23981</v>
      </c>
      <c r="D527" s="150">
        <v>44102</v>
      </c>
      <c r="E527" s="341" t="s">
        <v>23980</v>
      </c>
      <c r="G527" s="258">
        <v>2.83</v>
      </c>
      <c r="H527" s="152"/>
      <c r="I527" s="160">
        <f t="shared" si="7"/>
        <v>119170.77000000006</v>
      </c>
    </row>
    <row r="528" spans="2:9" hidden="1" x14ac:dyDescent="0.25">
      <c r="B528" s="148" t="s">
        <v>14413</v>
      </c>
      <c r="C528" s="148" t="s">
        <v>23979</v>
      </c>
      <c r="D528" s="150">
        <v>44102</v>
      </c>
      <c r="E528" s="341" t="s">
        <v>23978</v>
      </c>
      <c r="G528" s="258">
        <v>7.9</v>
      </c>
      <c r="H528" s="152"/>
      <c r="I528" s="160">
        <f t="shared" si="7"/>
        <v>119178.67000000006</v>
      </c>
    </row>
    <row r="529" spans="2:9" hidden="1" x14ac:dyDescent="0.25">
      <c r="B529" s="148" t="s">
        <v>14413</v>
      </c>
      <c r="C529" s="148" t="s">
        <v>23977</v>
      </c>
      <c r="D529" s="150">
        <v>44102</v>
      </c>
      <c r="E529" s="341" t="s">
        <v>23976</v>
      </c>
      <c r="G529" s="258">
        <v>5.5</v>
      </c>
      <c r="H529" s="152"/>
      <c r="I529" s="160">
        <f t="shared" si="7"/>
        <v>119184.17000000006</v>
      </c>
    </row>
    <row r="530" spans="2:9" hidden="1" x14ac:dyDescent="0.25">
      <c r="B530" s="148" t="s">
        <v>14413</v>
      </c>
      <c r="C530" s="148" t="s">
        <v>23975</v>
      </c>
      <c r="D530" s="150">
        <v>44102</v>
      </c>
      <c r="E530" s="341" t="s">
        <v>23974</v>
      </c>
      <c r="G530" s="258">
        <v>3.36</v>
      </c>
      <c r="H530" s="152"/>
      <c r="I530" s="160">
        <f t="shared" si="7"/>
        <v>119187.53000000006</v>
      </c>
    </row>
    <row r="531" spans="2:9" hidden="1" x14ac:dyDescent="0.25">
      <c r="B531" s="148" t="s">
        <v>14413</v>
      </c>
      <c r="C531" s="148" t="s">
        <v>23973</v>
      </c>
      <c r="D531" s="150">
        <v>44102</v>
      </c>
      <c r="E531" s="341" t="s">
        <v>23972</v>
      </c>
      <c r="G531" s="258">
        <v>3.66</v>
      </c>
      <c r="H531" s="152"/>
      <c r="I531" s="160">
        <f t="shared" si="7"/>
        <v>119191.19000000006</v>
      </c>
    </row>
    <row r="532" spans="2:9" hidden="1" x14ac:dyDescent="0.25">
      <c r="B532" s="148" t="s">
        <v>14413</v>
      </c>
      <c r="C532" s="148" t="s">
        <v>23971</v>
      </c>
      <c r="D532" s="150">
        <v>44102</v>
      </c>
      <c r="E532" s="341" t="s">
        <v>23970</v>
      </c>
      <c r="G532" s="258">
        <v>4.8600000000000003</v>
      </c>
      <c r="H532" s="152"/>
      <c r="I532" s="160">
        <f t="shared" ref="I532:I595" si="8">+I531+G532-H532</f>
        <v>119196.05000000006</v>
      </c>
    </row>
    <row r="533" spans="2:9" hidden="1" x14ac:dyDescent="0.25">
      <c r="B533" s="148" t="s">
        <v>14413</v>
      </c>
      <c r="C533" s="148" t="s">
        <v>23969</v>
      </c>
      <c r="D533" s="150">
        <v>44102</v>
      </c>
      <c r="E533" s="341" t="s">
        <v>23968</v>
      </c>
      <c r="G533" s="258">
        <v>1.96</v>
      </c>
      <c r="H533" s="152"/>
      <c r="I533" s="160">
        <f t="shared" si="8"/>
        <v>119198.01000000007</v>
      </c>
    </row>
    <row r="534" spans="2:9" hidden="1" x14ac:dyDescent="0.25">
      <c r="B534" s="148" t="s">
        <v>14413</v>
      </c>
      <c r="C534" s="148" t="s">
        <v>23967</v>
      </c>
      <c r="D534" s="150">
        <v>44102</v>
      </c>
      <c r="E534" s="341" t="s">
        <v>23966</v>
      </c>
      <c r="G534" s="258">
        <v>5.64</v>
      </c>
      <c r="H534" s="152"/>
      <c r="I534" s="160">
        <f t="shared" si="8"/>
        <v>119203.65000000007</v>
      </c>
    </row>
    <row r="535" spans="2:9" hidden="1" x14ac:dyDescent="0.25">
      <c r="B535" s="148"/>
      <c r="C535" s="148" t="s">
        <v>23965</v>
      </c>
      <c r="D535" s="150">
        <v>44102</v>
      </c>
      <c r="E535" s="341" t="s">
        <v>23964</v>
      </c>
      <c r="F535" s="257">
        <v>19</v>
      </c>
      <c r="G535" s="255">
        <v>4.6500000000000004</v>
      </c>
      <c r="H535" s="152"/>
      <c r="I535" s="160">
        <f t="shared" si="8"/>
        <v>119208.30000000006</v>
      </c>
    </row>
    <row r="536" spans="2:9" hidden="1" x14ac:dyDescent="0.25">
      <c r="B536" s="148"/>
      <c r="C536" s="148" t="s">
        <v>23963</v>
      </c>
      <c r="D536" s="150">
        <v>44102</v>
      </c>
      <c r="E536" s="341" t="s">
        <v>23962</v>
      </c>
      <c r="F536" s="257">
        <v>19</v>
      </c>
      <c r="G536" s="255">
        <v>5.31</v>
      </c>
      <c r="H536" s="152"/>
      <c r="I536" s="160">
        <f t="shared" si="8"/>
        <v>119213.61000000006</v>
      </c>
    </row>
    <row r="537" spans="2:9" hidden="1" x14ac:dyDescent="0.25">
      <c r="B537" s="148"/>
      <c r="C537" s="148" t="s">
        <v>23961</v>
      </c>
      <c r="D537" s="150">
        <v>44102</v>
      </c>
      <c r="E537" s="341" t="s">
        <v>23960</v>
      </c>
      <c r="F537" s="257">
        <v>19</v>
      </c>
      <c r="G537" s="255">
        <v>4.04</v>
      </c>
      <c r="H537" s="152"/>
      <c r="I537" s="160">
        <f t="shared" si="8"/>
        <v>119217.65000000005</v>
      </c>
    </row>
    <row r="538" spans="2:9" hidden="1" x14ac:dyDescent="0.25">
      <c r="B538" s="148"/>
      <c r="C538" s="148" t="s">
        <v>23959</v>
      </c>
      <c r="D538" s="150">
        <v>44102</v>
      </c>
      <c r="E538" s="341" t="s">
        <v>23958</v>
      </c>
      <c r="F538" s="257">
        <v>19</v>
      </c>
      <c r="G538" s="255">
        <v>8.6</v>
      </c>
      <c r="H538" s="152"/>
      <c r="I538" s="160">
        <f t="shared" si="8"/>
        <v>119226.25000000006</v>
      </c>
    </row>
    <row r="539" spans="2:9" hidden="1" x14ac:dyDescent="0.25">
      <c r="B539" s="148"/>
      <c r="C539" s="148" t="s">
        <v>23957</v>
      </c>
      <c r="D539" s="150">
        <v>44102</v>
      </c>
      <c r="E539" s="341" t="s">
        <v>23956</v>
      </c>
      <c r="F539" s="257">
        <v>19</v>
      </c>
      <c r="G539" s="255">
        <v>11.64</v>
      </c>
      <c r="H539" s="152"/>
      <c r="I539" s="160">
        <f t="shared" si="8"/>
        <v>119237.89000000006</v>
      </c>
    </row>
    <row r="540" spans="2:9" hidden="1" x14ac:dyDescent="0.25">
      <c r="B540" s="148"/>
      <c r="C540" s="148" t="s">
        <v>23955</v>
      </c>
      <c r="D540" s="150">
        <v>44102</v>
      </c>
      <c r="E540" s="341" t="s">
        <v>23954</v>
      </c>
      <c r="F540" s="257">
        <v>19</v>
      </c>
      <c r="G540" s="255">
        <v>13.62</v>
      </c>
      <c r="H540" s="152"/>
      <c r="I540" s="160">
        <f t="shared" si="8"/>
        <v>119251.51000000005</v>
      </c>
    </row>
    <row r="541" spans="2:9" hidden="1" x14ac:dyDescent="0.25">
      <c r="B541" s="148"/>
      <c r="C541" s="148" t="s">
        <v>23953</v>
      </c>
      <c r="D541" s="150">
        <v>44102</v>
      </c>
      <c r="E541" s="341" t="s">
        <v>23952</v>
      </c>
      <c r="F541" s="257">
        <v>19</v>
      </c>
      <c r="G541" s="255">
        <v>1.71</v>
      </c>
      <c r="H541" s="152"/>
      <c r="I541" s="160">
        <f t="shared" si="8"/>
        <v>119253.22000000006</v>
      </c>
    </row>
    <row r="542" spans="2:9" ht="19.5" hidden="1" x14ac:dyDescent="0.25">
      <c r="B542" s="148"/>
      <c r="C542" s="148" t="s">
        <v>23951</v>
      </c>
      <c r="D542" s="150">
        <v>44102</v>
      </c>
      <c r="E542" s="341" t="s">
        <v>23950</v>
      </c>
      <c r="F542" s="257">
        <v>19</v>
      </c>
      <c r="G542" s="255">
        <v>15.33</v>
      </c>
      <c r="H542" s="152"/>
      <c r="I542" s="160">
        <f t="shared" si="8"/>
        <v>119268.55000000006</v>
      </c>
    </row>
    <row r="543" spans="2:9" hidden="1" x14ac:dyDescent="0.25">
      <c r="B543" s="148"/>
      <c r="C543" s="148" t="s">
        <v>23949</v>
      </c>
      <c r="D543" s="150">
        <v>44102</v>
      </c>
      <c r="E543" s="341" t="s">
        <v>23948</v>
      </c>
      <c r="F543" s="257">
        <v>19</v>
      </c>
      <c r="G543" s="255">
        <v>25.76</v>
      </c>
      <c r="H543" s="152"/>
      <c r="I543" s="160">
        <f t="shared" si="8"/>
        <v>119294.31000000006</v>
      </c>
    </row>
    <row r="544" spans="2:9" hidden="1" x14ac:dyDescent="0.25">
      <c r="B544" s="148"/>
      <c r="C544" s="148" t="s">
        <v>23947</v>
      </c>
      <c r="D544" s="150">
        <v>44102</v>
      </c>
      <c r="E544" s="341" t="s">
        <v>23946</v>
      </c>
      <c r="F544" s="257">
        <v>19</v>
      </c>
      <c r="G544" s="255">
        <v>4.43</v>
      </c>
      <c r="H544" s="152"/>
      <c r="I544" s="160">
        <f t="shared" si="8"/>
        <v>119298.74000000005</v>
      </c>
    </row>
    <row r="545" spans="2:9" ht="19.5" hidden="1" x14ac:dyDescent="0.25">
      <c r="B545" s="148"/>
      <c r="C545" s="148" t="s">
        <v>23945</v>
      </c>
      <c r="D545" s="150">
        <v>44102</v>
      </c>
      <c r="E545" s="341" t="s">
        <v>23944</v>
      </c>
      <c r="F545" s="257" t="s">
        <v>14436</v>
      </c>
      <c r="G545" s="160">
        <v>12.17</v>
      </c>
      <c r="H545" s="152"/>
      <c r="I545" s="160">
        <f t="shared" si="8"/>
        <v>119310.91000000005</v>
      </c>
    </row>
    <row r="546" spans="2:9" ht="19.5" hidden="1" x14ac:dyDescent="0.25">
      <c r="B546" s="148"/>
      <c r="C546" s="148" t="s">
        <v>23943</v>
      </c>
      <c r="D546" s="150">
        <v>44102</v>
      </c>
      <c r="E546" s="341" t="s">
        <v>23942</v>
      </c>
      <c r="F546" s="257" t="s">
        <v>14436</v>
      </c>
      <c r="G546" s="160">
        <v>25</v>
      </c>
      <c r="H546" s="152"/>
      <c r="I546" s="160">
        <f t="shared" si="8"/>
        <v>119335.91000000005</v>
      </c>
    </row>
    <row r="547" spans="2:9" ht="19.5" hidden="1" x14ac:dyDescent="0.25">
      <c r="B547" s="148" t="s">
        <v>14413</v>
      </c>
      <c r="C547" s="148" t="s">
        <v>23941</v>
      </c>
      <c r="D547" s="150">
        <v>44103</v>
      </c>
      <c r="E547" s="341" t="s">
        <v>23940</v>
      </c>
      <c r="G547" s="258">
        <v>1.68</v>
      </c>
      <c r="H547" s="152"/>
      <c r="I547" s="160">
        <f t="shared" si="8"/>
        <v>119337.59000000004</v>
      </c>
    </row>
    <row r="548" spans="2:9" hidden="1" x14ac:dyDescent="0.25">
      <c r="B548" s="148"/>
      <c r="C548" s="148" t="s">
        <v>23939</v>
      </c>
      <c r="D548" s="150">
        <v>44103</v>
      </c>
      <c r="E548" s="341" t="s">
        <v>23938</v>
      </c>
      <c r="F548" s="257" t="s">
        <v>18712</v>
      </c>
      <c r="G548" s="160">
        <v>18.37</v>
      </c>
      <c r="H548" s="152"/>
      <c r="I548" s="160">
        <f t="shared" si="8"/>
        <v>119355.96000000004</v>
      </c>
    </row>
    <row r="549" spans="2:9" hidden="1" x14ac:dyDescent="0.25">
      <c r="B549" s="148" t="s">
        <v>14413</v>
      </c>
      <c r="C549" s="148" t="s">
        <v>23937</v>
      </c>
      <c r="D549" s="150">
        <v>44103</v>
      </c>
      <c r="E549" s="341" t="s">
        <v>23936</v>
      </c>
      <c r="G549" s="258">
        <v>1.68</v>
      </c>
      <c r="H549" s="152"/>
      <c r="I549" s="160">
        <f t="shared" si="8"/>
        <v>119357.64000000003</v>
      </c>
    </row>
    <row r="550" spans="2:9" hidden="1" x14ac:dyDescent="0.25">
      <c r="B550" s="148" t="s">
        <v>14413</v>
      </c>
      <c r="C550" s="148" t="s">
        <v>23935</v>
      </c>
      <c r="D550" s="150">
        <v>44103</v>
      </c>
      <c r="E550" s="341" t="s">
        <v>23934</v>
      </c>
      <c r="G550" s="258">
        <v>9.19</v>
      </c>
      <c r="H550" s="152"/>
      <c r="I550" s="160">
        <f t="shared" si="8"/>
        <v>119366.83000000003</v>
      </c>
    </row>
    <row r="551" spans="2:9" hidden="1" x14ac:dyDescent="0.25">
      <c r="B551" s="148" t="s">
        <v>14413</v>
      </c>
      <c r="C551" s="148" t="s">
        <v>23933</v>
      </c>
      <c r="D551" s="150">
        <v>44103</v>
      </c>
      <c r="E551" s="341" t="s">
        <v>23932</v>
      </c>
      <c r="G551" s="258">
        <v>6.94</v>
      </c>
      <c r="H551" s="152"/>
      <c r="I551" s="160">
        <f t="shared" si="8"/>
        <v>119373.77000000003</v>
      </c>
    </row>
    <row r="552" spans="2:9" hidden="1" x14ac:dyDescent="0.25">
      <c r="B552" s="148" t="s">
        <v>14413</v>
      </c>
      <c r="C552" s="148" t="s">
        <v>23931</v>
      </c>
      <c r="D552" s="150">
        <v>44103</v>
      </c>
      <c r="E552" s="341" t="s">
        <v>23930</v>
      </c>
      <c r="G552" s="258">
        <v>16.760000000000002</v>
      </c>
      <c r="H552" s="152"/>
      <c r="I552" s="160">
        <f t="shared" si="8"/>
        <v>119390.53000000003</v>
      </c>
    </row>
    <row r="553" spans="2:9" hidden="1" x14ac:dyDescent="0.25">
      <c r="B553" s="148" t="s">
        <v>14413</v>
      </c>
      <c r="C553" s="148" t="s">
        <v>23929</v>
      </c>
      <c r="D553" s="150">
        <v>44103</v>
      </c>
      <c r="E553" s="341" t="s">
        <v>23928</v>
      </c>
      <c r="G553" s="258">
        <v>1.93</v>
      </c>
      <c r="H553" s="152"/>
      <c r="I553" s="160">
        <f t="shared" si="8"/>
        <v>119392.46000000002</v>
      </c>
    </row>
    <row r="554" spans="2:9" ht="19.5" hidden="1" x14ac:dyDescent="0.25">
      <c r="B554" s="148" t="s">
        <v>14413</v>
      </c>
      <c r="C554" s="148" t="s">
        <v>23927</v>
      </c>
      <c r="D554" s="150">
        <v>44103</v>
      </c>
      <c r="E554" s="341" t="s">
        <v>23926</v>
      </c>
      <c r="G554" s="258">
        <v>20.059999999999999</v>
      </c>
      <c r="H554" s="152"/>
      <c r="I554" s="160">
        <f t="shared" si="8"/>
        <v>119412.52000000002</v>
      </c>
    </row>
    <row r="555" spans="2:9" ht="19.5" hidden="1" x14ac:dyDescent="0.25">
      <c r="B555" s="148" t="s">
        <v>14413</v>
      </c>
      <c r="C555" s="148" t="s">
        <v>23925</v>
      </c>
      <c r="D555" s="150">
        <v>44103</v>
      </c>
      <c r="E555" s="341" t="s">
        <v>23924</v>
      </c>
      <c r="G555" s="258">
        <v>12.48</v>
      </c>
      <c r="H555" s="152"/>
      <c r="I555" s="160">
        <f t="shared" si="8"/>
        <v>119425.00000000001</v>
      </c>
    </row>
    <row r="556" spans="2:9" hidden="1" x14ac:dyDescent="0.25">
      <c r="B556" s="148" t="s">
        <v>14413</v>
      </c>
      <c r="C556" s="148" t="s">
        <v>23923</v>
      </c>
      <c r="D556" s="150">
        <v>44103</v>
      </c>
      <c r="E556" s="341" t="s">
        <v>23922</v>
      </c>
      <c r="G556" s="258">
        <v>10.67</v>
      </c>
      <c r="H556" s="152"/>
      <c r="I556" s="160">
        <f t="shared" si="8"/>
        <v>119435.67000000001</v>
      </c>
    </row>
    <row r="557" spans="2:9" hidden="1" x14ac:dyDescent="0.25">
      <c r="B557" s="148" t="s">
        <v>14413</v>
      </c>
      <c r="C557" s="148" t="s">
        <v>23921</v>
      </c>
      <c r="D557" s="150">
        <v>44103</v>
      </c>
      <c r="E557" s="341" t="s">
        <v>23920</v>
      </c>
      <c r="G557" s="258">
        <v>5</v>
      </c>
      <c r="H557" s="152"/>
      <c r="I557" s="160">
        <f t="shared" si="8"/>
        <v>119440.67000000001</v>
      </c>
    </row>
    <row r="558" spans="2:9" hidden="1" x14ac:dyDescent="0.25">
      <c r="B558" s="148" t="s">
        <v>14413</v>
      </c>
      <c r="C558" s="148" t="s">
        <v>23919</v>
      </c>
      <c r="D558" s="150">
        <v>44103</v>
      </c>
      <c r="E558" s="341" t="s">
        <v>23918</v>
      </c>
      <c r="G558" s="258">
        <v>25.14</v>
      </c>
      <c r="H558" s="152"/>
      <c r="I558" s="160">
        <f t="shared" si="8"/>
        <v>119465.81000000001</v>
      </c>
    </row>
    <row r="559" spans="2:9" hidden="1" x14ac:dyDescent="0.25">
      <c r="B559" s="148" t="s">
        <v>14413</v>
      </c>
      <c r="C559" s="148" t="s">
        <v>23917</v>
      </c>
      <c r="D559" s="150">
        <v>44103</v>
      </c>
      <c r="E559" s="341" t="s">
        <v>23916</v>
      </c>
      <c r="G559" s="258">
        <v>4.1900000000000004</v>
      </c>
      <c r="H559" s="152"/>
      <c r="I559" s="160">
        <f t="shared" si="8"/>
        <v>119470.00000000001</v>
      </c>
    </row>
    <row r="560" spans="2:9" hidden="1" x14ac:dyDescent="0.25">
      <c r="B560" s="148" t="s">
        <v>14413</v>
      </c>
      <c r="C560" s="148" t="s">
        <v>23915</v>
      </c>
      <c r="D560" s="150">
        <v>44103</v>
      </c>
      <c r="E560" s="341" t="s">
        <v>23914</v>
      </c>
      <c r="G560" s="258">
        <v>2.52</v>
      </c>
      <c r="H560" s="152"/>
      <c r="I560" s="160">
        <f t="shared" si="8"/>
        <v>119472.52000000002</v>
      </c>
    </row>
    <row r="561" spans="2:9" hidden="1" x14ac:dyDescent="0.25">
      <c r="B561" s="148" t="s">
        <v>14413</v>
      </c>
      <c r="C561" s="148" t="s">
        <v>23913</v>
      </c>
      <c r="D561" s="150">
        <v>44103</v>
      </c>
      <c r="E561" s="341" t="s">
        <v>23912</v>
      </c>
      <c r="G561" s="258">
        <v>3.15</v>
      </c>
      <c r="H561" s="152"/>
      <c r="I561" s="160">
        <f t="shared" si="8"/>
        <v>119475.67000000001</v>
      </c>
    </row>
    <row r="562" spans="2:9" hidden="1" x14ac:dyDescent="0.25">
      <c r="B562" s="148" t="s">
        <v>14413</v>
      </c>
      <c r="C562" s="148" t="s">
        <v>23911</v>
      </c>
      <c r="D562" s="150">
        <v>44103</v>
      </c>
      <c r="E562" s="341" t="s">
        <v>23910</v>
      </c>
      <c r="G562" s="258">
        <v>7.32</v>
      </c>
      <c r="H562" s="152"/>
      <c r="I562" s="160">
        <f t="shared" si="8"/>
        <v>119482.99000000002</v>
      </c>
    </row>
    <row r="563" spans="2:9" hidden="1" x14ac:dyDescent="0.25">
      <c r="B563" s="148"/>
      <c r="C563" s="148" t="s">
        <v>23909</v>
      </c>
      <c r="D563" s="150">
        <v>44103</v>
      </c>
      <c r="E563" s="341" t="s">
        <v>23908</v>
      </c>
      <c r="F563" s="257">
        <v>20</v>
      </c>
      <c r="G563" s="255">
        <v>0.93</v>
      </c>
      <c r="H563" s="152"/>
      <c r="I563" s="160">
        <f t="shared" si="8"/>
        <v>119483.92000000001</v>
      </c>
    </row>
    <row r="564" spans="2:9" hidden="1" x14ac:dyDescent="0.25">
      <c r="B564" s="148"/>
      <c r="C564" s="148" t="s">
        <v>23907</v>
      </c>
      <c r="D564" s="150">
        <v>44103</v>
      </c>
      <c r="E564" s="341" t="s">
        <v>23906</v>
      </c>
      <c r="F564" s="257">
        <v>20</v>
      </c>
      <c r="G564" s="255">
        <v>12.3</v>
      </c>
      <c r="H564" s="152"/>
      <c r="I564" s="160">
        <f t="shared" si="8"/>
        <v>119496.22000000002</v>
      </c>
    </row>
    <row r="565" spans="2:9" hidden="1" x14ac:dyDescent="0.25">
      <c r="B565" s="148"/>
      <c r="C565" s="148" t="s">
        <v>23905</v>
      </c>
      <c r="D565" s="150">
        <v>44103</v>
      </c>
      <c r="E565" s="341" t="s">
        <v>23904</v>
      </c>
      <c r="F565" s="257">
        <v>20</v>
      </c>
      <c r="G565" s="255">
        <v>1.68</v>
      </c>
      <c r="H565" s="152"/>
      <c r="I565" s="160">
        <f t="shared" si="8"/>
        <v>119497.90000000001</v>
      </c>
    </row>
    <row r="566" spans="2:9" hidden="1" x14ac:dyDescent="0.25">
      <c r="B566" s="148"/>
      <c r="C566" s="148" t="s">
        <v>23903</v>
      </c>
      <c r="D566" s="150">
        <v>44103</v>
      </c>
      <c r="E566" s="341" t="s">
        <v>23902</v>
      </c>
      <c r="F566" s="257">
        <v>20</v>
      </c>
      <c r="G566" s="255">
        <v>4.7699999999999996</v>
      </c>
      <c r="H566" s="152"/>
      <c r="I566" s="160">
        <f t="shared" si="8"/>
        <v>119502.67000000001</v>
      </c>
    </row>
    <row r="567" spans="2:9" hidden="1" x14ac:dyDescent="0.25">
      <c r="B567" s="148"/>
      <c r="C567" s="148" t="s">
        <v>23901</v>
      </c>
      <c r="D567" s="150">
        <v>44103</v>
      </c>
      <c r="E567" s="341" t="s">
        <v>23900</v>
      </c>
      <c r="F567" s="257">
        <v>20</v>
      </c>
      <c r="G567" s="255">
        <v>1.76</v>
      </c>
      <c r="H567" s="152"/>
      <c r="I567" s="160">
        <f t="shared" si="8"/>
        <v>119504.43000000001</v>
      </c>
    </row>
    <row r="568" spans="2:9" hidden="1" x14ac:dyDescent="0.25">
      <c r="B568" s="148"/>
      <c r="C568" s="148" t="s">
        <v>23899</v>
      </c>
      <c r="D568" s="150">
        <v>44103</v>
      </c>
      <c r="E568" s="341" t="s">
        <v>23898</v>
      </c>
      <c r="F568" s="257">
        <v>20</v>
      </c>
      <c r="G568" s="255">
        <v>3.45</v>
      </c>
      <c r="H568" s="152"/>
      <c r="I568" s="160">
        <f t="shared" si="8"/>
        <v>119507.88</v>
      </c>
    </row>
    <row r="569" spans="2:9" hidden="1" x14ac:dyDescent="0.25">
      <c r="B569" s="148"/>
      <c r="C569" s="148" t="s">
        <v>23897</v>
      </c>
      <c r="D569" s="150">
        <v>44103</v>
      </c>
      <c r="E569" s="341" t="s">
        <v>23896</v>
      </c>
      <c r="F569" s="257" t="s">
        <v>14436</v>
      </c>
      <c r="G569" s="160">
        <v>12.42</v>
      </c>
      <c r="H569" s="152"/>
      <c r="I569" s="160">
        <f t="shared" si="8"/>
        <v>119520.3</v>
      </c>
    </row>
    <row r="570" spans="2:9" hidden="1" x14ac:dyDescent="0.25">
      <c r="B570" s="148"/>
      <c r="C570" s="148" t="s">
        <v>23895</v>
      </c>
      <c r="D570" s="150">
        <v>44103</v>
      </c>
      <c r="E570" s="341" t="s">
        <v>23894</v>
      </c>
      <c r="F570" s="257" t="s">
        <v>14436</v>
      </c>
      <c r="G570" s="160">
        <v>8.3800000000000008</v>
      </c>
      <c r="H570" s="152"/>
      <c r="I570" s="160">
        <f t="shared" si="8"/>
        <v>119528.68000000001</v>
      </c>
    </row>
    <row r="571" spans="2:9" ht="39" x14ac:dyDescent="0.25">
      <c r="B571" s="148"/>
      <c r="C571" s="148" t="s">
        <v>23893</v>
      </c>
      <c r="D571" s="150">
        <v>44104</v>
      </c>
      <c r="E571" s="341" t="s">
        <v>23892</v>
      </c>
      <c r="F571" s="257" t="s">
        <v>14433</v>
      </c>
      <c r="G571" s="152"/>
      <c r="H571" s="161">
        <v>129.25</v>
      </c>
      <c r="I571" s="160">
        <f t="shared" si="8"/>
        <v>119399.43000000001</v>
      </c>
    </row>
    <row r="572" spans="2:9" hidden="1" x14ac:dyDescent="0.25">
      <c r="B572" s="148"/>
      <c r="C572" s="148" t="s">
        <v>23891</v>
      </c>
      <c r="D572" s="150">
        <v>44104</v>
      </c>
      <c r="E572" s="341" t="s">
        <v>23890</v>
      </c>
      <c r="F572" s="257" t="s">
        <v>14436</v>
      </c>
      <c r="G572" s="160">
        <v>5.22</v>
      </c>
      <c r="H572" s="152"/>
      <c r="I572" s="160">
        <f t="shared" si="8"/>
        <v>119404.65000000001</v>
      </c>
    </row>
    <row r="573" spans="2:9" hidden="1" x14ac:dyDescent="0.25">
      <c r="B573" s="148"/>
      <c r="C573" s="148" t="s">
        <v>23889</v>
      </c>
      <c r="D573" s="150">
        <v>44104</v>
      </c>
      <c r="E573" s="341" t="s">
        <v>23888</v>
      </c>
      <c r="F573" s="257" t="s">
        <v>14436</v>
      </c>
      <c r="G573" s="160">
        <v>6.94</v>
      </c>
      <c r="H573" s="152"/>
      <c r="I573" s="160">
        <f t="shared" si="8"/>
        <v>119411.59000000001</v>
      </c>
    </row>
    <row r="574" spans="2:9" hidden="1" x14ac:dyDescent="0.25">
      <c r="B574" s="148" t="s">
        <v>14413</v>
      </c>
      <c r="C574" s="148" t="s">
        <v>23887</v>
      </c>
      <c r="D574" s="150">
        <v>44104</v>
      </c>
      <c r="E574" s="341" t="s">
        <v>23886</v>
      </c>
      <c r="G574" s="258">
        <v>7.94</v>
      </c>
      <c r="H574" s="152"/>
      <c r="I574" s="160">
        <f t="shared" si="8"/>
        <v>119419.53000000001</v>
      </c>
    </row>
    <row r="575" spans="2:9" hidden="1" x14ac:dyDescent="0.25">
      <c r="B575" s="148" t="s">
        <v>14413</v>
      </c>
      <c r="C575" s="148" t="s">
        <v>23885</v>
      </c>
      <c r="D575" s="150">
        <v>44104</v>
      </c>
      <c r="E575" s="341" t="s">
        <v>23884</v>
      </c>
      <c r="G575" s="258">
        <v>2.5099999999999998</v>
      </c>
      <c r="H575" s="152"/>
      <c r="I575" s="160">
        <f t="shared" si="8"/>
        <v>119422.04000000001</v>
      </c>
    </row>
    <row r="576" spans="2:9" hidden="1" x14ac:dyDescent="0.25">
      <c r="B576" s="148" t="s">
        <v>14413</v>
      </c>
      <c r="C576" s="148" t="s">
        <v>23883</v>
      </c>
      <c r="D576" s="150">
        <v>44104</v>
      </c>
      <c r="E576" s="341" t="s">
        <v>23882</v>
      </c>
      <c r="G576" s="258">
        <v>6.59</v>
      </c>
      <c r="H576" s="152"/>
      <c r="I576" s="160">
        <f t="shared" si="8"/>
        <v>119428.63</v>
      </c>
    </row>
    <row r="577" spans="2:9" hidden="1" x14ac:dyDescent="0.25">
      <c r="B577" s="148" t="s">
        <v>14413</v>
      </c>
      <c r="C577" s="148" t="s">
        <v>23881</v>
      </c>
      <c r="D577" s="150">
        <v>44104</v>
      </c>
      <c r="E577" s="341" t="s">
        <v>23880</v>
      </c>
      <c r="G577" s="258">
        <v>1.68</v>
      </c>
      <c r="H577" s="152"/>
      <c r="I577" s="160">
        <f t="shared" si="8"/>
        <v>119430.31</v>
      </c>
    </row>
    <row r="578" spans="2:9" hidden="1" x14ac:dyDescent="0.25">
      <c r="B578" s="148" t="s">
        <v>14413</v>
      </c>
      <c r="C578" s="148" t="s">
        <v>23879</v>
      </c>
      <c r="D578" s="150">
        <v>44104</v>
      </c>
      <c r="E578" s="341" t="s">
        <v>23878</v>
      </c>
      <c r="G578" s="258">
        <v>5.87</v>
      </c>
      <c r="H578" s="152"/>
      <c r="I578" s="160">
        <f t="shared" si="8"/>
        <v>119436.18</v>
      </c>
    </row>
    <row r="579" spans="2:9" hidden="1" x14ac:dyDescent="0.25">
      <c r="B579" s="148" t="s">
        <v>14413</v>
      </c>
      <c r="C579" s="148" t="s">
        <v>23877</v>
      </c>
      <c r="D579" s="150">
        <v>44104</v>
      </c>
      <c r="E579" s="341" t="s">
        <v>23876</v>
      </c>
      <c r="G579" s="258">
        <v>2.46</v>
      </c>
      <c r="H579" s="152"/>
      <c r="I579" s="160">
        <f t="shared" si="8"/>
        <v>119438.64</v>
      </c>
    </row>
    <row r="580" spans="2:9" hidden="1" x14ac:dyDescent="0.25">
      <c r="B580" s="148" t="s">
        <v>14413</v>
      </c>
      <c r="C580" s="148" t="s">
        <v>23875</v>
      </c>
      <c r="D580" s="150">
        <v>44104</v>
      </c>
      <c r="E580" s="341" t="s">
        <v>23874</v>
      </c>
      <c r="G580" s="258">
        <v>1.95</v>
      </c>
      <c r="H580" s="152"/>
      <c r="I580" s="160">
        <f t="shared" si="8"/>
        <v>119440.59</v>
      </c>
    </row>
    <row r="581" spans="2:9" hidden="1" x14ac:dyDescent="0.25">
      <c r="B581" s="148" t="s">
        <v>14413</v>
      </c>
      <c r="C581" s="148" t="s">
        <v>23873</v>
      </c>
      <c r="D581" s="150">
        <v>44104</v>
      </c>
      <c r="E581" s="341" t="s">
        <v>23872</v>
      </c>
      <c r="G581" s="258">
        <v>3.36</v>
      </c>
      <c r="H581" s="152"/>
      <c r="I581" s="160">
        <f t="shared" si="8"/>
        <v>119443.95</v>
      </c>
    </row>
    <row r="582" spans="2:9" hidden="1" x14ac:dyDescent="0.25">
      <c r="B582" s="148" t="s">
        <v>14413</v>
      </c>
      <c r="C582" s="148" t="s">
        <v>23871</v>
      </c>
      <c r="D582" s="150">
        <v>44104</v>
      </c>
      <c r="E582" s="341" t="s">
        <v>23870</v>
      </c>
      <c r="G582" s="258">
        <v>1.68</v>
      </c>
      <c r="H582" s="152"/>
      <c r="I582" s="160">
        <f t="shared" si="8"/>
        <v>119445.62999999999</v>
      </c>
    </row>
    <row r="583" spans="2:9" hidden="1" x14ac:dyDescent="0.25">
      <c r="B583" s="148" t="s">
        <v>14413</v>
      </c>
      <c r="C583" s="148" t="s">
        <v>23869</v>
      </c>
      <c r="D583" s="150">
        <v>44104</v>
      </c>
      <c r="E583" s="341" t="s">
        <v>23868</v>
      </c>
      <c r="G583" s="258">
        <v>5.16</v>
      </c>
      <c r="H583" s="152"/>
      <c r="I583" s="160">
        <f t="shared" si="8"/>
        <v>119450.79</v>
      </c>
    </row>
    <row r="584" spans="2:9" hidden="1" x14ac:dyDescent="0.25">
      <c r="B584" s="148" t="s">
        <v>14413</v>
      </c>
      <c r="C584" s="148" t="s">
        <v>23867</v>
      </c>
      <c r="D584" s="150">
        <v>44104</v>
      </c>
      <c r="E584" s="341" t="s">
        <v>23866</v>
      </c>
      <c r="G584" s="258">
        <v>7.22</v>
      </c>
      <c r="H584" s="152"/>
      <c r="I584" s="160">
        <f t="shared" si="8"/>
        <v>119458.01</v>
      </c>
    </row>
    <row r="585" spans="2:9" hidden="1" x14ac:dyDescent="0.25">
      <c r="B585" s="148" t="s">
        <v>14413</v>
      </c>
      <c r="C585" s="148" t="s">
        <v>23865</v>
      </c>
      <c r="D585" s="150">
        <v>44104</v>
      </c>
      <c r="E585" s="341" t="s">
        <v>23864</v>
      </c>
      <c r="G585" s="258">
        <v>13.32</v>
      </c>
      <c r="H585" s="152"/>
      <c r="I585" s="160">
        <f t="shared" si="8"/>
        <v>119471.33</v>
      </c>
    </row>
    <row r="586" spans="2:9" hidden="1" x14ac:dyDescent="0.25">
      <c r="B586" s="148" t="s">
        <v>14413</v>
      </c>
      <c r="C586" s="148" t="s">
        <v>23863</v>
      </c>
      <c r="D586" s="150">
        <v>44104</v>
      </c>
      <c r="E586" s="341" t="s">
        <v>23862</v>
      </c>
      <c r="G586" s="258">
        <v>10.43</v>
      </c>
      <c r="H586" s="152"/>
      <c r="I586" s="160">
        <f t="shared" si="8"/>
        <v>119481.76</v>
      </c>
    </row>
    <row r="587" spans="2:9" hidden="1" x14ac:dyDescent="0.25">
      <c r="B587" s="148" t="s">
        <v>14413</v>
      </c>
      <c r="C587" s="148" t="s">
        <v>23861</v>
      </c>
      <c r="D587" s="150">
        <v>44104</v>
      </c>
      <c r="E587" s="341" t="s">
        <v>23860</v>
      </c>
      <c r="G587" s="258">
        <v>8.56</v>
      </c>
      <c r="H587" s="152"/>
      <c r="I587" s="160">
        <f t="shared" si="8"/>
        <v>119490.31999999999</v>
      </c>
    </row>
    <row r="588" spans="2:9" ht="19.5" hidden="1" x14ac:dyDescent="0.25">
      <c r="B588" s="148" t="s">
        <v>14413</v>
      </c>
      <c r="C588" s="148" t="s">
        <v>23859</v>
      </c>
      <c r="D588" s="150">
        <v>44104</v>
      </c>
      <c r="E588" s="341" t="s">
        <v>23858</v>
      </c>
      <c r="G588" s="258">
        <v>13.6</v>
      </c>
      <c r="H588" s="152"/>
      <c r="I588" s="160">
        <f t="shared" si="8"/>
        <v>119503.92</v>
      </c>
    </row>
    <row r="589" spans="2:9" hidden="1" x14ac:dyDescent="0.25">
      <c r="B589" s="148" t="s">
        <v>14413</v>
      </c>
      <c r="C589" s="148" t="s">
        <v>23857</v>
      </c>
      <c r="D589" s="150">
        <v>44104</v>
      </c>
      <c r="E589" s="341" t="s">
        <v>23856</v>
      </c>
      <c r="G589" s="258">
        <v>8.3800000000000008</v>
      </c>
      <c r="H589" s="152"/>
      <c r="I589" s="160">
        <f t="shared" si="8"/>
        <v>119512.3</v>
      </c>
    </row>
    <row r="590" spans="2:9" ht="19.5" hidden="1" x14ac:dyDescent="0.25">
      <c r="B590" s="148" t="s">
        <v>14413</v>
      </c>
      <c r="C590" s="148" t="s">
        <v>23855</v>
      </c>
      <c r="D590" s="150">
        <v>44104</v>
      </c>
      <c r="E590" s="341" t="s">
        <v>23854</v>
      </c>
      <c r="G590" s="258">
        <v>39.86</v>
      </c>
      <c r="H590" s="152"/>
      <c r="I590" s="160">
        <f t="shared" si="8"/>
        <v>119552.16</v>
      </c>
    </row>
    <row r="591" spans="2:9" ht="19.5" hidden="1" x14ac:dyDescent="0.25">
      <c r="B591" s="148" t="s">
        <v>14413</v>
      </c>
      <c r="C591" s="148" t="s">
        <v>23853</v>
      </c>
      <c r="D591" s="150">
        <v>44104</v>
      </c>
      <c r="E591" s="341" t="s">
        <v>23852</v>
      </c>
      <c r="G591" s="258">
        <v>33.520000000000003</v>
      </c>
      <c r="H591" s="152"/>
      <c r="I591" s="160">
        <f t="shared" si="8"/>
        <v>119585.68000000001</v>
      </c>
    </row>
    <row r="592" spans="2:9" ht="19.5" hidden="1" x14ac:dyDescent="0.25">
      <c r="B592" s="148" t="s">
        <v>14413</v>
      </c>
      <c r="C592" s="148" t="s">
        <v>23851</v>
      </c>
      <c r="D592" s="150">
        <v>44104</v>
      </c>
      <c r="E592" s="341" t="s">
        <v>23850</v>
      </c>
      <c r="G592" s="258">
        <v>14.37</v>
      </c>
      <c r="H592" s="152"/>
      <c r="I592" s="160">
        <f t="shared" si="8"/>
        <v>119600.05</v>
      </c>
    </row>
    <row r="593" spans="2:9" ht="19.5" hidden="1" x14ac:dyDescent="0.25">
      <c r="B593" s="148" t="s">
        <v>14413</v>
      </c>
      <c r="C593" s="148" t="s">
        <v>23849</v>
      </c>
      <c r="D593" s="150">
        <v>44104</v>
      </c>
      <c r="E593" s="341" t="s">
        <v>23848</v>
      </c>
      <c r="G593" s="258">
        <v>6.98</v>
      </c>
      <c r="H593" s="152"/>
      <c r="I593" s="160">
        <f t="shared" si="8"/>
        <v>119607.03</v>
      </c>
    </row>
    <row r="594" spans="2:9" hidden="1" x14ac:dyDescent="0.25">
      <c r="B594" s="148" t="s">
        <v>14413</v>
      </c>
      <c r="C594" s="148" t="s">
        <v>23847</v>
      </c>
      <c r="D594" s="150">
        <v>44104</v>
      </c>
      <c r="E594" s="341" t="s">
        <v>23846</v>
      </c>
      <c r="G594" s="258">
        <v>6.45</v>
      </c>
      <c r="H594" s="152"/>
      <c r="I594" s="160">
        <f t="shared" si="8"/>
        <v>119613.48</v>
      </c>
    </row>
    <row r="595" spans="2:9" hidden="1" x14ac:dyDescent="0.25">
      <c r="B595" s="148"/>
      <c r="C595" s="148" t="s">
        <v>23845</v>
      </c>
      <c r="D595" s="150">
        <v>44104</v>
      </c>
      <c r="E595" s="341" t="s">
        <v>23844</v>
      </c>
      <c r="F595" s="257">
        <v>21</v>
      </c>
      <c r="G595" s="255">
        <v>1.68</v>
      </c>
      <c r="H595" s="152"/>
      <c r="I595" s="160">
        <f t="shared" si="8"/>
        <v>119615.15999999999</v>
      </c>
    </row>
    <row r="596" spans="2:9" hidden="1" x14ac:dyDescent="0.25">
      <c r="B596" s="148"/>
      <c r="C596" s="148" t="s">
        <v>23843</v>
      </c>
      <c r="D596" s="150">
        <v>44104</v>
      </c>
      <c r="E596" s="341" t="s">
        <v>23842</v>
      </c>
      <c r="F596" s="257">
        <v>21</v>
      </c>
      <c r="G596" s="255">
        <v>6.49</v>
      </c>
      <c r="H596" s="152"/>
      <c r="I596" s="160">
        <f t="shared" ref="I596:I607" si="9">+I595+G596-H596</f>
        <v>119621.65</v>
      </c>
    </row>
    <row r="597" spans="2:9" hidden="1" x14ac:dyDescent="0.25">
      <c r="B597" s="148"/>
      <c r="C597" s="148" t="s">
        <v>23841</v>
      </c>
      <c r="D597" s="150">
        <v>44104</v>
      </c>
      <c r="E597" s="341" t="s">
        <v>23840</v>
      </c>
      <c r="F597" s="257">
        <v>21</v>
      </c>
      <c r="G597" s="255">
        <v>6.03</v>
      </c>
      <c r="H597" s="152"/>
      <c r="I597" s="160">
        <f t="shared" si="9"/>
        <v>119627.68</v>
      </c>
    </row>
    <row r="598" spans="2:9" hidden="1" x14ac:dyDescent="0.25">
      <c r="B598" s="148"/>
      <c r="C598" s="148" t="s">
        <v>23839</v>
      </c>
      <c r="D598" s="150">
        <v>44104</v>
      </c>
      <c r="E598" s="341" t="s">
        <v>23838</v>
      </c>
      <c r="F598" s="257">
        <v>21</v>
      </c>
      <c r="G598" s="255">
        <v>12.3</v>
      </c>
      <c r="H598" s="152"/>
      <c r="I598" s="160">
        <f t="shared" si="9"/>
        <v>119639.98</v>
      </c>
    </row>
    <row r="599" spans="2:9" hidden="1" x14ac:dyDescent="0.25">
      <c r="B599" s="148"/>
      <c r="C599" s="148" t="s">
        <v>23837</v>
      </c>
      <c r="D599" s="150">
        <v>44104</v>
      </c>
      <c r="E599" s="341" t="s">
        <v>23836</v>
      </c>
      <c r="F599" s="257">
        <v>21</v>
      </c>
      <c r="G599" s="255">
        <v>2.31</v>
      </c>
      <c r="H599" s="152"/>
      <c r="I599" s="160">
        <f t="shared" si="9"/>
        <v>119642.29</v>
      </c>
    </row>
    <row r="600" spans="2:9" ht="19.5" hidden="1" x14ac:dyDescent="0.25">
      <c r="B600" s="148"/>
      <c r="C600" s="148" t="s">
        <v>23835</v>
      </c>
      <c r="D600" s="150">
        <v>44104</v>
      </c>
      <c r="E600" s="341" t="s">
        <v>23834</v>
      </c>
      <c r="F600" s="257">
        <v>21</v>
      </c>
      <c r="G600" s="255">
        <v>32.75</v>
      </c>
      <c r="H600" s="152"/>
      <c r="I600" s="160">
        <f t="shared" si="9"/>
        <v>119675.04</v>
      </c>
    </row>
    <row r="601" spans="2:9" hidden="1" x14ac:dyDescent="0.25">
      <c r="B601" s="148"/>
      <c r="C601" s="148" t="s">
        <v>23833</v>
      </c>
      <c r="D601" s="150">
        <v>44104</v>
      </c>
      <c r="E601" s="341" t="s">
        <v>23832</v>
      </c>
      <c r="F601" s="257">
        <v>21</v>
      </c>
      <c r="G601" s="255">
        <v>3.66</v>
      </c>
      <c r="H601" s="152"/>
      <c r="I601" s="160">
        <f t="shared" si="9"/>
        <v>119678.7</v>
      </c>
    </row>
    <row r="602" spans="2:9" hidden="1" x14ac:dyDescent="0.25">
      <c r="B602" s="148"/>
      <c r="C602" s="148" t="s">
        <v>23831</v>
      </c>
      <c r="D602" s="150">
        <v>44104</v>
      </c>
      <c r="E602" s="341" t="s">
        <v>23830</v>
      </c>
      <c r="F602" s="257">
        <v>21</v>
      </c>
      <c r="G602" s="255">
        <v>1.68</v>
      </c>
      <c r="H602" s="152"/>
      <c r="I602" s="160">
        <f t="shared" si="9"/>
        <v>119680.37999999999</v>
      </c>
    </row>
    <row r="603" spans="2:9" hidden="1" x14ac:dyDescent="0.25">
      <c r="B603" s="148"/>
      <c r="C603" s="148" t="s">
        <v>23829</v>
      </c>
      <c r="D603" s="150">
        <v>44104</v>
      </c>
      <c r="E603" s="341" t="s">
        <v>23828</v>
      </c>
      <c r="F603" s="257">
        <v>21</v>
      </c>
      <c r="G603" s="255">
        <v>9.81</v>
      </c>
      <c r="H603" s="152"/>
      <c r="I603" s="160">
        <f t="shared" si="9"/>
        <v>119690.18999999999</v>
      </c>
    </row>
    <row r="604" spans="2:9" hidden="1" x14ac:dyDescent="0.25">
      <c r="B604" s="148"/>
      <c r="C604" s="148" t="s">
        <v>23827</v>
      </c>
      <c r="D604" s="150">
        <v>44104</v>
      </c>
      <c r="E604" s="341" t="s">
        <v>23826</v>
      </c>
      <c r="F604" s="257" t="s">
        <v>18712</v>
      </c>
      <c r="G604" s="160">
        <v>20</v>
      </c>
      <c r="H604" s="152"/>
      <c r="I604" s="160">
        <f t="shared" si="9"/>
        <v>119710.18999999999</v>
      </c>
    </row>
    <row r="605" spans="2:9" ht="19.5" x14ac:dyDescent="0.25">
      <c r="B605" s="148"/>
      <c r="C605" s="148" t="s">
        <v>23825</v>
      </c>
      <c r="D605" s="150">
        <v>44104</v>
      </c>
      <c r="E605" s="341" t="s">
        <v>23824</v>
      </c>
      <c r="F605" s="257" t="s">
        <v>14433</v>
      </c>
      <c r="G605" s="152"/>
      <c r="H605" s="161">
        <v>600</v>
      </c>
      <c r="I605" s="160">
        <f t="shared" si="9"/>
        <v>119110.18999999999</v>
      </c>
    </row>
    <row r="606" spans="2:9" ht="19.5" x14ac:dyDescent="0.25">
      <c r="B606" s="148"/>
      <c r="C606" s="148" t="s">
        <v>22617</v>
      </c>
      <c r="D606" s="150">
        <v>44104</v>
      </c>
      <c r="E606" s="341" t="s">
        <v>23823</v>
      </c>
      <c r="F606" s="257" t="s">
        <v>14433</v>
      </c>
      <c r="G606" s="152"/>
      <c r="H606" s="161">
        <v>1607.47</v>
      </c>
      <c r="I606" s="160">
        <f t="shared" si="9"/>
        <v>117502.71999999999</v>
      </c>
    </row>
    <row r="607" spans="2:9" ht="19.5" x14ac:dyDescent="0.25">
      <c r="B607" s="148"/>
      <c r="C607" s="148" t="s">
        <v>23010</v>
      </c>
      <c r="D607" s="150">
        <v>44104</v>
      </c>
      <c r="E607" s="341" t="s">
        <v>23822</v>
      </c>
      <c r="F607" s="257" t="s">
        <v>14433</v>
      </c>
      <c r="G607" s="152"/>
      <c r="H607" s="161">
        <v>3080.79</v>
      </c>
      <c r="I607" s="160">
        <f t="shared" si="9"/>
        <v>114421.93</v>
      </c>
    </row>
    <row r="608" spans="2:9" hidden="1" x14ac:dyDescent="0.25">
      <c r="B608" s="109"/>
      <c r="C608" s="109" t="s">
        <v>323</v>
      </c>
      <c r="D608" s="151">
        <v>107154.87</v>
      </c>
      <c r="E608" s="342" t="s">
        <v>322</v>
      </c>
      <c r="F608" s="318"/>
      <c r="G608" s="152"/>
      <c r="H608" s="153" t="s">
        <v>320</v>
      </c>
      <c r="I608" s="162">
        <f>+I607</f>
        <v>114421.93</v>
      </c>
    </row>
    <row r="611" spans="5:9" x14ac:dyDescent="0.2">
      <c r="E611" s="343" t="s">
        <v>319</v>
      </c>
      <c r="I611" s="273" t="s">
        <v>318</v>
      </c>
    </row>
  </sheetData>
  <autoFilter ref="A17:K608" xr:uid="{493E9E1B-0881-4794-B9F5-19F780BF462D}">
    <filterColumn colId="1">
      <filters blank="1"/>
    </filterColumn>
    <filterColumn colId="5">
      <filters>
        <filter val="ND"/>
      </filters>
    </filterColumn>
  </autoFilter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0848B-0BBC-4471-B593-F74BDFE9AAC5}">
  <sheetPr>
    <pageSetUpPr fitToPage="1"/>
  </sheetPr>
  <dimension ref="A1:G212"/>
  <sheetViews>
    <sheetView workbookViewId="0">
      <selection activeCell="A10" sqref="A10:XFD11"/>
    </sheetView>
  </sheetViews>
  <sheetFormatPr baseColWidth="10" defaultColWidth="11.5703125" defaultRowHeight="15.75" x14ac:dyDescent="0.25"/>
  <cols>
    <col min="1" max="1" width="11.5703125" style="137"/>
    <col min="2" max="2" width="45.42578125" style="215" customWidth="1"/>
    <col min="3" max="3" width="9.5703125" style="204" customWidth="1"/>
    <col min="4" max="4" width="13.7109375" style="137" bestFit="1" customWidth="1"/>
    <col min="5" max="5" width="17.28515625" style="137" bestFit="1" customWidth="1"/>
    <col min="6" max="6" width="10.42578125" style="137" bestFit="1" customWidth="1"/>
    <col min="7" max="7" width="10.7109375" style="137" customWidth="1"/>
    <col min="8" max="16384" width="11.5703125" style="137"/>
  </cols>
  <sheetData>
    <row r="1" spans="1:6" x14ac:dyDescent="0.25">
      <c r="A1" s="384" t="s">
        <v>14427</v>
      </c>
      <c r="B1" s="384"/>
      <c r="C1" s="384"/>
      <c r="D1" s="384"/>
      <c r="E1" s="384"/>
      <c r="F1" s="384"/>
    </row>
    <row r="2" spans="1:6" x14ac:dyDescent="0.25">
      <c r="A2" s="123" t="s">
        <v>2772</v>
      </c>
      <c r="B2" s="123" t="s">
        <v>2773</v>
      </c>
      <c r="C2" s="219" t="s">
        <v>11</v>
      </c>
      <c r="D2" s="123" t="s">
        <v>2774</v>
      </c>
      <c r="E2" s="123" t="s">
        <v>7</v>
      </c>
      <c r="F2" s="123" t="s">
        <v>2775</v>
      </c>
    </row>
    <row r="3" spans="1:6" x14ac:dyDescent="0.25">
      <c r="A3" s="203" t="str">
        <f>"3909789"</f>
        <v>3909789</v>
      </c>
      <c r="B3" s="207" t="s">
        <v>2878</v>
      </c>
      <c r="C3" s="220">
        <v>3.38</v>
      </c>
      <c r="D3" s="203">
        <v>338249</v>
      </c>
      <c r="E3" s="205">
        <v>44075.438217592593</v>
      </c>
      <c r="F3" s="123">
        <v>10362</v>
      </c>
    </row>
    <row r="4" spans="1:6" x14ac:dyDescent="0.25">
      <c r="A4" s="203" t="str">
        <f>"3903545"</f>
        <v>3903545</v>
      </c>
      <c r="B4" s="207" t="s">
        <v>2877</v>
      </c>
      <c r="C4" s="220">
        <v>2.56</v>
      </c>
      <c r="D4" s="203">
        <v>337793</v>
      </c>
      <c r="E4" s="205">
        <v>44075.486793981479</v>
      </c>
      <c r="F4" s="123">
        <v>10363</v>
      </c>
    </row>
    <row r="5" spans="1:6" x14ac:dyDescent="0.25">
      <c r="A5" s="203" t="str">
        <f>"3907156"</f>
        <v>3907156</v>
      </c>
      <c r="B5" s="207" t="s">
        <v>5862</v>
      </c>
      <c r="C5" s="220">
        <v>6.94</v>
      </c>
      <c r="D5" s="203">
        <v>337118</v>
      </c>
      <c r="E5" s="205">
        <v>44075.498611111114</v>
      </c>
      <c r="F5" s="123">
        <v>10364</v>
      </c>
    </row>
    <row r="6" spans="1:6" x14ac:dyDescent="0.25">
      <c r="A6" s="203" t="str">
        <f>"3930394"</f>
        <v>3930394</v>
      </c>
      <c r="B6" s="207" t="s">
        <v>2813</v>
      </c>
      <c r="C6" s="220">
        <v>2.1800000000000002</v>
      </c>
      <c r="D6" s="203">
        <v>338102</v>
      </c>
      <c r="E6" s="205">
        <v>44075.533055555556</v>
      </c>
      <c r="F6" s="123">
        <v>10365</v>
      </c>
    </row>
    <row r="7" spans="1:6" x14ac:dyDescent="0.25">
      <c r="A7" s="203" t="str">
        <f>"3930155"</f>
        <v>3930155</v>
      </c>
      <c r="B7" s="207" t="s">
        <v>2987</v>
      </c>
      <c r="C7" s="220">
        <v>1.94</v>
      </c>
      <c r="D7" s="203">
        <v>336459</v>
      </c>
      <c r="E7" s="205">
        <v>44075.538055555553</v>
      </c>
      <c r="F7" s="123">
        <v>10366</v>
      </c>
    </row>
    <row r="8" spans="1:6" x14ac:dyDescent="0.25">
      <c r="A8" s="203" t="str">
        <f>"3907666"</f>
        <v>3907666</v>
      </c>
      <c r="B8" s="207" t="s">
        <v>5864</v>
      </c>
      <c r="C8" s="220">
        <v>2.17</v>
      </c>
      <c r="D8" s="203">
        <v>337375</v>
      </c>
      <c r="E8" s="205">
        <v>44075.554675925923</v>
      </c>
      <c r="F8" s="123">
        <v>10367</v>
      </c>
    </row>
    <row r="9" spans="1:6" x14ac:dyDescent="0.25">
      <c r="A9" s="203" t="str">
        <f>"3907257"</f>
        <v>3907257</v>
      </c>
      <c r="B9" s="207" t="s">
        <v>2956</v>
      </c>
      <c r="C9" s="220">
        <v>2.0699999999999998</v>
      </c>
      <c r="D9" s="203">
        <v>337144</v>
      </c>
      <c r="E9" s="205">
        <v>44075.565451388888</v>
      </c>
      <c r="F9" s="123">
        <v>10368</v>
      </c>
    </row>
    <row r="10" spans="1:6" s="164" customFormat="1" x14ac:dyDescent="0.25">
      <c r="A10" s="115"/>
      <c r="B10" s="115" t="s">
        <v>5691</v>
      </c>
      <c r="C10" s="222">
        <f>SUM(C3:C9)</f>
        <v>21.240000000000002</v>
      </c>
      <c r="D10" s="115">
        <v>1</v>
      </c>
      <c r="E10" s="163"/>
      <c r="F10" s="115"/>
    </row>
    <row r="11" spans="1:6" customFormat="1" x14ac:dyDescent="0.25">
      <c r="A11" s="118"/>
      <c r="B11" s="116"/>
      <c r="C11" s="223"/>
      <c r="D11" s="118"/>
      <c r="E11" s="117"/>
      <c r="F11" s="118"/>
    </row>
    <row r="12" spans="1:6" x14ac:dyDescent="0.25">
      <c r="A12" s="203" t="str">
        <f>"3909981"</f>
        <v>3909981</v>
      </c>
      <c r="B12" s="207" t="s">
        <v>2845</v>
      </c>
      <c r="C12" s="220">
        <v>1.68</v>
      </c>
      <c r="D12" s="203">
        <v>337326</v>
      </c>
      <c r="E12" s="205">
        <v>44076.751793981479</v>
      </c>
      <c r="F12" s="123">
        <v>10450</v>
      </c>
    </row>
    <row r="13" spans="1:6" x14ac:dyDescent="0.25">
      <c r="A13" s="203" t="str">
        <f>"3909223"</f>
        <v>3909223</v>
      </c>
      <c r="B13" s="207" t="s">
        <v>2846</v>
      </c>
      <c r="C13" s="220">
        <v>2.79</v>
      </c>
      <c r="D13" s="203">
        <v>338208</v>
      </c>
      <c r="E13" s="205">
        <v>44076.751793981479</v>
      </c>
      <c r="F13" s="123">
        <v>10451</v>
      </c>
    </row>
    <row r="14" spans="1:6" x14ac:dyDescent="0.25">
      <c r="A14" s="203" t="str">
        <f>"3903282"</f>
        <v>3903282</v>
      </c>
      <c r="B14" s="207" t="s">
        <v>2847</v>
      </c>
      <c r="C14" s="220">
        <v>1.68</v>
      </c>
      <c r="D14" s="203">
        <v>338754</v>
      </c>
      <c r="E14" s="205">
        <v>44076.751793981479</v>
      </c>
      <c r="F14" s="123">
        <v>10452</v>
      </c>
    </row>
    <row r="15" spans="1:6" x14ac:dyDescent="0.25">
      <c r="A15" s="203" t="str">
        <f>"3950328"</f>
        <v>3950328</v>
      </c>
      <c r="B15" s="207" t="s">
        <v>2848</v>
      </c>
      <c r="C15" s="220">
        <v>8.3800000000000008</v>
      </c>
      <c r="D15" s="203">
        <v>336985</v>
      </c>
      <c r="E15" s="205">
        <v>44076.751793981479</v>
      </c>
      <c r="F15" s="123">
        <v>10454</v>
      </c>
    </row>
    <row r="16" spans="1:6" x14ac:dyDescent="0.25">
      <c r="A16" s="203" t="str">
        <f>"3940013"</f>
        <v>3940013</v>
      </c>
      <c r="B16" s="207" t="s">
        <v>2854</v>
      </c>
      <c r="C16" s="220">
        <v>8.3800000000000008</v>
      </c>
      <c r="D16" s="203">
        <v>336820</v>
      </c>
      <c r="E16" s="205">
        <v>44076.751793981479</v>
      </c>
      <c r="F16" s="123">
        <v>10455</v>
      </c>
    </row>
    <row r="17" spans="1:6" x14ac:dyDescent="0.25">
      <c r="A17" s="203" t="str">
        <f>"3906324"</f>
        <v>3906324</v>
      </c>
      <c r="B17" s="207" t="s">
        <v>2855</v>
      </c>
      <c r="C17" s="220">
        <v>6.93</v>
      </c>
      <c r="D17" s="203">
        <v>337070</v>
      </c>
      <c r="E17" s="205">
        <v>44076.751793981479</v>
      </c>
      <c r="F17" s="123">
        <v>10456</v>
      </c>
    </row>
    <row r="18" spans="1:6" x14ac:dyDescent="0.25">
      <c r="A18" s="203" t="str">
        <f>"3920281"</f>
        <v>3920281</v>
      </c>
      <c r="B18" s="207" t="s">
        <v>2851</v>
      </c>
      <c r="C18" s="220">
        <v>7.82</v>
      </c>
      <c r="D18" s="203">
        <v>336816</v>
      </c>
      <c r="E18" s="205">
        <v>44076.751793981479</v>
      </c>
      <c r="F18" s="123">
        <v>10457</v>
      </c>
    </row>
    <row r="19" spans="1:6" x14ac:dyDescent="0.25">
      <c r="A19" s="203" t="str">
        <f>"3908927"</f>
        <v>3908927</v>
      </c>
      <c r="B19" s="207" t="s">
        <v>2852</v>
      </c>
      <c r="C19" s="220">
        <v>1.68</v>
      </c>
      <c r="D19" s="203">
        <v>337584</v>
      </c>
      <c r="E19" s="205">
        <v>44076.751793981479</v>
      </c>
      <c r="F19" s="123">
        <v>10458</v>
      </c>
    </row>
    <row r="20" spans="1:6" x14ac:dyDescent="0.25">
      <c r="A20" s="203" t="str">
        <f>"3945272"</f>
        <v>3945272</v>
      </c>
      <c r="B20" s="207" t="s">
        <v>2853</v>
      </c>
      <c r="C20" s="220">
        <v>4.1900000000000004</v>
      </c>
      <c r="D20" s="203">
        <v>337049</v>
      </c>
      <c r="E20" s="205">
        <v>44076.751793981479</v>
      </c>
      <c r="F20" s="123">
        <v>10459</v>
      </c>
    </row>
    <row r="21" spans="1:6" x14ac:dyDescent="0.25">
      <c r="A21" s="203" t="str">
        <f>"3945262"</f>
        <v>3945262</v>
      </c>
      <c r="B21" s="207" t="s">
        <v>2857</v>
      </c>
      <c r="C21" s="220">
        <v>3.36</v>
      </c>
      <c r="D21" s="203">
        <v>337052</v>
      </c>
      <c r="E21" s="205">
        <v>44076.751793981479</v>
      </c>
      <c r="F21" s="123">
        <v>10460</v>
      </c>
    </row>
    <row r="22" spans="1:6" x14ac:dyDescent="0.25">
      <c r="A22" s="203" t="str">
        <f>"3903098"</f>
        <v>3903098</v>
      </c>
      <c r="B22" s="207" t="s">
        <v>2849</v>
      </c>
      <c r="C22" s="220">
        <v>3.47</v>
      </c>
      <c r="D22" s="203">
        <v>337163</v>
      </c>
      <c r="E22" s="205">
        <v>44076.751793981479</v>
      </c>
      <c r="F22" s="123">
        <v>10461</v>
      </c>
    </row>
    <row r="23" spans="1:6" x14ac:dyDescent="0.25">
      <c r="A23" s="203" t="str">
        <f>"3950041"</f>
        <v>3950041</v>
      </c>
      <c r="B23" s="207" t="s">
        <v>2850</v>
      </c>
      <c r="C23" s="220">
        <v>4.1900000000000004</v>
      </c>
      <c r="D23" s="203">
        <v>336840</v>
      </c>
      <c r="E23" s="205">
        <v>44076.751793981479</v>
      </c>
      <c r="F23" s="123">
        <v>10464</v>
      </c>
    </row>
    <row r="24" spans="1:6" x14ac:dyDescent="0.25">
      <c r="A24" s="203" t="str">
        <f>"3960256"</f>
        <v>3960256</v>
      </c>
      <c r="B24" s="207" t="s">
        <v>2843</v>
      </c>
      <c r="C24" s="220">
        <v>17.899999999999999</v>
      </c>
      <c r="D24" s="203">
        <v>336837</v>
      </c>
      <c r="E24" s="205">
        <v>44076.751793981479</v>
      </c>
      <c r="F24" s="123">
        <v>10465</v>
      </c>
    </row>
    <row r="25" spans="1:6" x14ac:dyDescent="0.25">
      <c r="A25" s="203" t="str">
        <f>"3960264"</f>
        <v>3960264</v>
      </c>
      <c r="B25" s="207" t="s">
        <v>2858</v>
      </c>
      <c r="C25" s="220">
        <v>7.82</v>
      </c>
      <c r="D25" s="203">
        <v>336826</v>
      </c>
      <c r="E25" s="205">
        <v>44076.751793981479</v>
      </c>
      <c r="F25" s="123">
        <v>10466</v>
      </c>
    </row>
    <row r="26" spans="1:6" x14ac:dyDescent="0.25">
      <c r="A26" s="203" t="str">
        <f>"3960232"</f>
        <v>3960232</v>
      </c>
      <c r="B26" s="207" t="s">
        <v>2859</v>
      </c>
      <c r="C26" s="220">
        <v>12.3</v>
      </c>
      <c r="D26" s="203">
        <v>336908</v>
      </c>
      <c r="E26" s="205">
        <v>44076.751793981479</v>
      </c>
      <c r="F26" s="123">
        <v>10467</v>
      </c>
    </row>
    <row r="27" spans="1:6" x14ac:dyDescent="0.25">
      <c r="A27" s="203" t="str">
        <f>"3901113"</f>
        <v>3901113</v>
      </c>
      <c r="B27" s="207" t="s">
        <v>2856</v>
      </c>
      <c r="C27" s="220">
        <v>1.85</v>
      </c>
      <c r="D27" s="203">
        <v>337611</v>
      </c>
      <c r="E27" s="205">
        <v>44076.751793981479</v>
      </c>
      <c r="F27" s="123">
        <v>10470</v>
      </c>
    </row>
    <row r="28" spans="1:6" x14ac:dyDescent="0.25">
      <c r="A28" s="203" t="str">
        <f>"3900676"</f>
        <v>3900676</v>
      </c>
      <c r="B28" s="207" t="s">
        <v>5795</v>
      </c>
      <c r="C28" s="220">
        <v>1.75</v>
      </c>
      <c r="D28" s="203">
        <v>338999</v>
      </c>
      <c r="E28" s="205">
        <v>44076.751793981479</v>
      </c>
      <c r="F28" s="123">
        <v>10473</v>
      </c>
    </row>
    <row r="29" spans="1:6" x14ac:dyDescent="0.25">
      <c r="A29" s="203" t="str">
        <f>"3903127"</f>
        <v>3903127</v>
      </c>
      <c r="B29" s="207" t="s">
        <v>2840</v>
      </c>
      <c r="C29" s="220">
        <v>1.68</v>
      </c>
      <c r="D29" s="203">
        <v>337235</v>
      </c>
      <c r="E29" s="205">
        <v>44076.751793981479</v>
      </c>
      <c r="F29" s="123">
        <v>10474</v>
      </c>
    </row>
    <row r="30" spans="1:6" x14ac:dyDescent="0.25">
      <c r="A30" s="203" t="str">
        <f>"3945105"</f>
        <v>3945105</v>
      </c>
      <c r="B30" s="207" t="s">
        <v>5750</v>
      </c>
      <c r="C30" s="220">
        <v>8.3800000000000008</v>
      </c>
      <c r="D30" s="203">
        <v>336914</v>
      </c>
      <c r="E30" s="205">
        <v>44076.751793981479</v>
      </c>
      <c r="F30" s="123">
        <v>10475</v>
      </c>
    </row>
    <row r="31" spans="1:6" x14ac:dyDescent="0.25">
      <c r="A31" s="203" t="str">
        <f>"3907541"</f>
        <v>3907541</v>
      </c>
      <c r="B31" s="207" t="s">
        <v>2841</v>
      </c>
      <c r="C31" s="220">
        <v>2.13</v>
      </c>
      <c r="D31" s="203">
        <v>337257</v>
      </c>
      <c r="E31" s="205">
        <v>44076.751793981479</v>
      </c>
      <c r="F31" s="123">
        <v>10476</v>
      </c>
    </row>
    <row r="32" spans="1:6" x14ac:dyDescent="0.25">
      <c r="A32" s="203" t="str">
        <f>"3909936"</f>
        <v>3909936</v>
      </c>
      <c r="B32" s="207" t="s">
        <v>2820</v>
      </c>
      <c r="C32" s="220">
        <v>9.7899999999999991</v>
      </c>
      <c r="D32" s="203">
        <v>337401</v>
      </c>
      <c r="E32" s="205">
        <v>44076.751793981479</v>
      </c>
      <c r="F32" s="123">
        <v>10477</v>
      </c>
    </row>
    <row r="33" spans="1:7" x14ac:dyDescent="0.25">
      <c r="A33" s="203" t="str">
        <f>"3960212"</f>
        <v>3960212</v>
      </c>
      <c r="B33" s="207" t="s">
        <v>2837</v>
      </c>
      <c r="C33" s="220">
        <v>7.82</v>
      </c>
      <c r="D33" s="203">
        <v>336868</v>
      </c>
      <c r="E33" s="205">
        <v>44076.751793981479</v>
      </c>
      <c r="F33" s="123">
        <v>10478</v>
      </c>
    </row>
    <row r="34" spans="1:7" x14ac:dyDescent="0.25">
      <c r="A34" s="203" t="str">
        <f>"3903061"</f>
        <v>3903061</v>
      </c>
      <c r="B34" s="207" t="s">
        <v>2832</v>
      </c>
      <c r="C34" s="220">
        <v>6.94</v>
      </c>
      <c r="D34" s="203">
        <v>337153</v>
      </c>
      <c r="E34" s="205">
        <v>44076.751793981479</v>
      </c>
      <c r="F34" s="123">
        <v>10479</v>
      </c>
    </row>
    <row r="35" spans="1:7" x14ac:dyDescent="0.25">
      <c r="A35" s="203" t="str">
        <f>"3902419"</f>
        <v>3902419</v>
      </c>
      <c r="B35" s="207" t="s">
        <v>2821</v>
      </c>
      <c r="C35" s="220">
        <v>6.45</v>
      </c>
      <c r="D35" s="203">
        <v>338133</v>
      </c>
      <c r="E35" s="205">
        <v>44076.751793981479</v>
      </c>
      <c r="F35" s="123">
        <v>10480</v>
      </c>
      <c r="G35" s="216"/>
    </row>
    <row r="36" spans="1:7" x14ac:dyDescent="0.25">
      <c r="A36" s="203" t="str">
        <f>"3906802"</f>
        <v>3906802</v>
      </c>
      <c r="B36" s="207" t="s">
        <v>2822</v>
      </c>
      <c r="C36" s="220">
        <v>1.72</v>
      </c>
      <c r="D36" s="203">
        <v>337990</v>
      </c>
      <c r="E36" s="205">
        <v>44076.751793981479</v>
      </c>
      <c r="F36" s="123">
        <v>10481</v>
      </c>
    </row>
    <row r="37" spans="1:7" x14ac:dyDescent="0.25">
      <c r="A37" s="203" t="str">
        <f>"3903467"</f>
        <v>3903467</v>
      </c>
      <c r="B37" s="207" t="s">
        <v>2823</v>
      </c>
      <c r="C37" s="220">
        <v>4.08</v>
      </c>
      <c r="D37" s="203">
        <v>337489</v>
      </c>
      <c r="E37" s="205">
        <v>44076.751793981479</v>
      </c>
      <c r="F37" s="123">
        <v>10482</v>
      </c>
    </row>
    <row r="38" spans="1:7" x14ac:dyDescent="0.25">
      <c r="A38" s="203" t="str">
        <f>"3960277"</f>
        <v>3960277</v>
      </c>
      <c r="B38" s="207" t="s">
        <v>2838</v>
      </c>
      <c r="C38" s="220">
        <v>7.82</v>
      </c>
      <c r="D38" s="203">
        <v>336854</v>
      </c>
      <c r="E38" s="205">
        <v>44076.751793981479</v>
      </c>
      <c r="F38" s="123">
        <v>10483</v>
      </c>
    </row>
    <row r="39" spans="1:7" x14ac:dyDescent="0.25">
      <c r="A39" s="203" t="str">
        <f>"3903364"</f>
        <v>3903364</v>
      </c>
      <c r="B39" s="207" t="s">
        <v>2825</v>
      </c>
      <c r="C39" s="220">
        <v>4.51</v>
      </c>
      <c r="D39" s="203">
        <v>337542</v>
      </c>
      <c r="E39" s="205">
        <v>44076.751793981479</v>
      </c>
      <c r="F39" s="123">
        <v>10484</v>
      </c>
    </row>
    <row r="40" spans="1:7" x14ac:dyDescent="0.25">
      <c r="A40" s="203" t="str">
        <f>"3960315"</f>
        <v>3960315</v>
      </c>
      <c r="B40" s="207" t="s">
        <v>2826</v>
      </c>
      <c r="C40" s="220">
        <v>2.84</v>
      </c>
      <c r="D40" s="203">
        <v>336981</v>
      </c>
      <c r="E40" s="205">
        <v>44076.751793981479</v>
      </c>
      <c r="F40" s="123">
        <v>10485</v>
      </c>
    </row>
    <row r="41" spans="1:7" x14ac:dyDescent="0.25">
      <c r="A41" s="203" t="str">
        <f>"3945102"</f>
        <v>3945102</v>
      </c>
      <c r="B41" s="207" t="s">
        <v>2835</v>
      </c>
      <c r="C41" s="220">
        <v>8.3800000000000008</v>
      </c>
      <c r="D41" s="203">
        <v>336907</v>
      </c>
      <c r="E41" s="205">
        <v>44076.751793981479</v>
      </c>
      <c r="F41" s="123">
        <v>10486</v>
      </c>
    </row>
    <row r="42" spans="1:7" x14ac:dyDescent="0.25">
      <c r="A42" s="203" t="str">
        <f>"3907239"</f>
        <v>3907239</v>
      </c>
      <c r="B42" s="207" t="s">
        <v>2836</v>
      </c>
      <c r="C42" s="220">
        <v>6.94</v>
      </c>
      <c r="D42" s="203">
        <v>337140</v>
      </c>
      <c r="E42" s="205">
        <v>44076.751793981479</v>
      </c>
      <c r="F42" s="123">
        <v>10487</v>
      </c>
    </row>
    <row r="43" spans="1:7" x14ac:dyDescent="0.25">
      <c r="A43" s="203" t="str">
        <f>"3900568"</f>
        <v>3900568</v>
      </c>
      <c r="B43" s="207" t="s">
        <v>5849</v>
      </c>
      <c r="C43" s="220">
        <v>2.2599999999999998</v>
      </c>
      <c r="D43" s="203">
        <v>338472</v>
      </c>
      <c r="E43" s="205">
        <v>44076.751793981479</v>
      </c>
      <c r="F43" s="123">
        <v>10488</v>
      </c>
    </row>
    <row r="44" spans="1:7" x14ac:dyDescent="0.25">
      <c r="A44" s="203" t="str">
        <f>"3901398"</f>
        <v>3901398</v>
      </c>
      <c r="B44" s="207" t="s">
        <v>2829</v>
      </c>
      <c r="C44" s="220">
        <v>2.41</v>
      </c>
      <c r="D44" s="203">
        <v>338554</v>
      </c>
      <c r="E44" s="205">
        <v>44076.751793981479</v>
      </c>
      <c r="F44" s="123">
        <v>10489</v>
      </c>
    </row>
    <row r="45" spans="1:7" x14ac:dyDescent="0.25">
      <c r="A45" s="203" t="str">
        <f>"3903883"</f>
        <v>3903883</v>
      </c>
      <c r="B45" s="207" t="s">
        <v>5794</v>
      </c>
      <c r="C45" s="220">
        <v>1.68</v>
      </c>
      <c r="D45" s="203">
        <v>339154</v>
      </c>
      <c r="E45" s="205">
        <v>44076.751793981479</v>
      </c>
      <c r="F45" s="123">
        <v>10490</v>
      </c>
    </row>
    <row r="46" spans="1:7" x14ac:dyDescent="0.25">
      <c r="A46" s="203" t="str">
        <f>"3909039"</f>
        <v>3909039</v>
      </c>
      <c r="B46" s="207" t="s">
        <v>2833</v>
      </c>
      <c r="C46" s="220">
        <v>1.71</v>
      </c>
      <c r="D46" s="203">
        <v>337871</v>
      </c>
      <c r="E46" s="205">
        <v>44076.751793981479</v>
      </c>
      <c r="F46" s="123">
        <v>10491</v>
      </c>
    </row>
    <row r="47" spans="1:7" x14ac:dyDescent="0.25">
      <c r="A47" s="203" t="str">
        <f>"3945435"</f>
        <v>3945435</v>
      </c>
      <c r="B47" s="207" t="s">
        <v>2834</v>
      </c>
      <c r="C47" s="220">
        <v>8.3800000000000008</v>
      </c>
      <c r="D47" s="203">
        <v>336954</v>
      </c>
      <c r="E47" s="205">
        <v>44076.751793981479</v>
      </c>
      <c r="F47" s="123">
        <v>10492</v>
      </c>
    </row>
    <row r="48" spans="1:7" x14ac:dyDescent="0.25">
      <c r="A48" s="203" t="str">
        <f>"3902750"</f>
        <v>3902750</v>
      </c>
      <c r="B48" s="207" t="s">
        <v>2824</v>
      </c>
      <c r="C48" s="220">
        <v>14.69</v>
      </c>
      <c r="D48" s="203">
        <v>337038</v>
      </c>
      <c r="E48" s="205">
        <v>44076.751793981479</v>
      </c>
      <c r="F48" s="123">
        <v>10493</v>
      </c>
    </row>
    <row r="49" spans="1:6" x14ac:dyDescent="0.25">
      <c r="A49" s="203" t="str">
        <f>"3900349"</f>
        <v>3900349</v>
      </c>
      <c r="B49" s="207" t="s">
        <v>2827</v>
      </c>
      <c r="C49" s="220">
        <v>1.81</v>
      </c>
      <c r="D49" s="203">
        <v>338387</v>
      </c>
      <c r="E49" s="205">
        <v>44076.751793981479</v>
      </c>
      <c r="F49" s="123">
        <v>10494</v>
      </c>
    </row>
    <row r="50" spans="1:6" x14ac:dyDescent="0.25">
      <c r="A50" s="203" t="str">
        <f>"3945284"</f>
        <v>3945284</v>
      </c>
      <c r="B50" s="207" t="s">
        <v>2842</v>
      </c>
      <c r="C50" s="220">
        <v>75.11</v>
      </c>
      <c r="D50" s="203">
        <v>337051</v>
      </c>
      <c r="E50" s="205">
        <v>44076.751793981479</v>
      </c>
      <c r="F50" s="123">
        <v>10495</v>
      </c>
    </row>
    <row r="51" spans="1:6" x14ac:dyDescent="0.25">
      <c r="A51" s="203" t="str">
        <f>"3950033"</f>
        <v>3950033</v>
      </c>
      <c r="B51" s="207" t="s">
        <v>2828</v>
      </c>
      <c r="C51" s="220">
        <v>8.3800000000000008</v>
      </c>
      <c r="D51" s="203">
        <v>336841</v>
      </c>
      <c r="E51" s="205">
        <v>44076.751793981479</v>
      </c>
      <c r="F51" s="123">
        <v>10496</v>
      </c>
    </row>
    <row r="52" spans="1:6" x14ac:dyDescent="0.25">
      <c r="A52" s="203" t="str">
        <f>"3945221"</f>
        <v>3945221</v>
      </c>
      <c r="B52" s="207" t="s">
        <v>5751</v>
      </c>
      <c r="C52" s="220">
        <v>3.36</v>
      </c>
      <c r="D52" s="203">
        <v>337034</v>
      </c>
      <c r="E52" s="205">
        <v>44076.751793981479</v>
      </c>
      <c r="F52" s="123">
        <v>10497</v>
      </c>
    </row>
    <row r="53" spans="1:6" x14ac:dyDescent="0.25">
      <c r="A53" s="203" t="str">
        <f>"3900340"</f>
        <v>3900340</v>
      </c>
      <c r="B53" s="207" t="s">
        <v>2865</v>
      </c>
      <c r="C53" s="220">
        <v>15.3</v>
      </c>
      <c r="D53" s="203">
        <v>339296</v>
      </c>
      <c r="E53" s="205">
        <v>44076.751793981479</v>
      </c>
      <c r="F53" s="123">
        <v>10498</v>
      </c>
    </row>
    <row r="54" spans="1:6" x14ac:dyDescent="0.25">
      <c r="A54" s="203" t="str">
        <f>"3900344"</f>
        <v>3900344</v>
      </c>
      <c r="B54" s="207" t="s">
        <v>2865</v>
      </c>
      <c r="C54" s="220">
        <v>15.3</v>
      </c>
      <c r="D54" s="203">
        <v>339297</v>
      </c>
      <c r="E54" s="205">
        <v>44076.751793981479</v>
      </c>
      <c r="F54" s="123">
        <v>10499</v>
      </c>
    </row>
    <row r="55" spans="1:6" x14ac:dyDescent="0.25">
      <c r="A55" s="203" t="str">
        <f>"3900657"</f>
        <v>3900657</v>
      </c>
      <c r="B55" s="207" t="s">
        <v>2865</v>
      </c>
      <c r="C55" s="220">
        <v>15.3</v>
      </c>
      <c r="D55" s="203">
        <v>339295</v>
      </c>
      <c r="E55" s="205">
        <v>44076.751793981479</v>
      </c>
      <c r="F55" s="123">
        <v>10500</v>
      </c>
    </row>
    <row r="56" spans="1:6" x14ac:dyDescent="0.25">
      <c r="A56" s="203" t="str">
        <f>"3909007"</f>
        <v>3909007</v>
      </c>
      <c r="B56" s="207" t="s">
        <v>2866</v>
      </c>
      <c r="C56" s="220">
        <v>21.17</v>
      </c>
      <c r="D56" s="203">
        <v>339485</v>
      </c>
      <c r="E56" s="205">
        <v>44076.751793981479</v>
      </c>
      <c r="F56" s="123">
        <v>10501</v>
      </c>
    </row>
    <row r="57" spans="1:6" x14ac:dyDescent="0.25">
      <c r="A57" s="203" t="str">
        <f>"3901033"</f>
        <v>3901033</v>
      </c>
      <c r="B57" s="207" t="s">
        <v>2868</v>
      </c>
      <c r="C57" s="220">
        <v>30.6</v>
      </c>
      <c r="D57" s="203">
        <v>339306</v>
      </c>
      <c r="E57" s="205">
        <v>44076.751793981479</v>
      </c>
      <c r="F57" s="123">
        <v>10502</v>
      </c>
    </row>
    <row r="58" spans="1:6" x14ac:dyDescent="0.25">
      <c r="A58" s="203" t="str">
        <f>"3945038"</f>
        <v>3945038</v>
      </c>
      <c r="B58" s="207" t="s">
        <v>2867</v>
      </c>
      <c r="C58" s="220">
        <v>15.3</v>
      </c>
      <c r="D58" s="203">
        <v>339300</v>
      </c>
      <c r="E58" s="205">
        <v>44076.751793981479</v>
      </c>
      <c r="F58" s="123">
        <v>10503</v>
      </c>
    </row>
    <row r="59" spans="1:6" x14ac:dyDescent="0.25">
      <c r="A59" s="203" t="str">
        <f>"3907922"</f>
        <v>3907922</v>
      </c>
      <c r="B59" s="207" t="s">
        <v>2860</v>
      </c>
      <c r="C59" s="220">
        <v>1.68</v>
      </c>
      <c r="D59" s="203">
        <v>339516</v>
      </c>
      <c r="E59" s="205">
        <v>44076.751793981479</v>
      </c>
      <c r="F59" s="123">
        <v>10504</v>
      </c>
    </row>
    <row r="60" spans="1:6" x14ac:dyDescent="0.25">
      <c r="A60" s="203" t="str">
        <f>"3906796"</f>
        <v>3906796</v>
      </c>
      <c r="B60" s="207" t="s">
        <v>2861</v>
      </c>
      <c r="C60" s="220">
        <v>4.6500000000000004</v>
      </c>
      <c r="D60" s="203">
        <v>339531</v>
      </c>
      <c r="E60" s="205">
        <v>44076.751793981479</v>
      </c>
      <c r="F60" s="123">
        <v>10505</v>
      </c>
    </row>
    <row r="61" spans="1:6" x14ac:dyDescent="0.25">
      <c r="A61" s="203" t="str">
        <f>"3908716"</f>
        <v>3908716</v>
      </c>
      <c r="B61" s="207" t="s">
        <v>2862</v>
      </c>
      <c r="C61" s="220">
        <v>16.73</v>
      </c>
      <c r="D61" s="203">
        <v>339409</v>
      </c>
      <c r="E61" s="205">
        <v>44076.751793981479</v>
      </c>
      <c r="F61" s="123">
        <v>10506</v>
      </c>
    </row>
    <row r="62" spans="1:6" x14ac:dyDescent="0.25">
      <c r="A62" s="203" t="str">
        <f>"3908672"</f>
        <v>3908672</v>
      </c>
      <c r="B62" s="207" t="s">
        <v>2863</v>
      </c>
      <c r="C62" s="220">
        <v>2.4900000000000002</v>
      </c>
      <c r="D62" s="203">
        <v>339400</v>
      </c>
      <c r="E62" s="205">
        <v>44076.751793981479</v>
      </c>
      <c r="F62" s="123">
        <v>10507</v>
      </c>
    </row>
    <row r="63" spans="1:6" s="164" customFormat="1" x14ac:dyDescent="0.25">
      <c r="A63" s="115"/>
      <c r="B63" s="115" t="s">
        <v>5691</v>
      </c>
      <c r="C63" s="222">
        <f>SUM(C12:C62)</f>
        <v>433.96000000000004</v>
      </c>
      <c r="D63" s="115">
        <v>2</v>
      </c>
      <c r="E63" s="163"/>
      <c r="F63" s="115"/>
    </row>
    <row r="64" spans="1:6" customFormat="1" x14ac:dyDescent="0.25">
      <c r="A64" s="118"/>
      <c r="B64" s="116"/>
      <c r="C64" s="223"/>
      <c r="D64" s="118"/>
      <c r="E64" s="117"/>
      <c r="F64" s="118"/>
    </row>
    <row r="65" spans="1:6" x14ac:dyDescent="0.25">
      <c r="A65" s="203" t="str">
        <f>"3900389"</f>
        <v>3900389</v>
      </c>
      <c r="B65" s="207" t="s">
        <v>2844</v>
      </c>
      <c r="C65" s="220">
        <v>4.5999999999999996</v>
      </c>
      <c r="D65" s="203">
        <v>338405</v>
      </c>
      <c r="E65" s="205">
        <v>44077.182962962965</v>
      </c>
      <c r="F65" s="123">
        <v>10508</v>
      </c>
    </row>
    <row r="66" spans="1:6" x14ac:dyDescent="0.25">
      <c r="A66" s="203" t="str">
        <f>"3903064"</f>
        <v>3903064</v>
      </c>
      <c r="B66" s="207" t="s">
        <v>5760</v>
      </c>
      <c r="C66" s="220">
        <v>6.94</v>
      </c>
      <c r="D66" s="203">
        <v>337154</v>
      </c>
      <c r="E66" s="205">
        <v>44077.410127314812</v>
      </c>
      <c r="F66" s="123">
        <v>10509</v>
      </c>
    </row>
    <row r="67" spans="1:6" x14ac:dyDescent="0.25">
      <c r="A67" s="203" t="str">
        <f>"3908209"</f>
        <v>3908209</v>
      </c>
      <c r="B67" s="207" t="s">
        <v>5918</v>
      </c>
      <c r="C67" s="220">
        <v>7.82</v>
      </c>
      <c r="D67" s="203">
        <v>339133</v>
      </c>
      <c r="E67" s="205">
        <v>44077.517326388886</v>
      </c>
      <c r="F67" s="123">
        <v>10510</v>
      </c>
    </row>
    <row r="68" spans="1:6" x14ac:dyDescent="0.25">
      <c r="A68" s="203" t="str">
        <f>"3908224"</f>
        <v>3908224</v>
      </c>
      <c r="B68" s="207" t="s">
        <v>5805</v>
      </c>
      <c r="C68" s="220">
        <v>5.27</v>
      </c>
      <c r="D68" s="203">
        <v>339143</v>
      </c>
      <c r="E68" s="205">
        <v>44077.518240740741</v>
      </c>
      <c r="F68" s="123">
        <v>10511</v>
      </c>
    </row>
    <row r="69" spans="1:6" x14ac:dyDescent="0.25">
      <c r="A69" s="203" t="str">
        <f>"3930235"</f>
        <v>3930235</v>
      </c>
      <c r="B69" s="207" t="s">
        <v>5700</v>
      </c>
      <c r="C69" s="220">
        <v>5.36</v>
      </c>
      <c r="D69" s="203">
        <v>337738</v>
      </c>
      <c r="E69" s="205">
        <v>44077.602662037039</v>
      </c>
      <c r="F69" s="123">
        <v>10512</v>
      </c>
    </row>
    <row r="70" spans="1:6" x14ac:dyDescent="0.25">
      <c r="A70" s="203" t="str">
        <f>"3901461"</f>
        <v>3901461</v>
      </c>
      <c r="B70" s="207" t="s">
        <v>2931</v>
      </c>
      <c r="C70" s="220">
        <v>15.3</v>
      </c>
      <c r="D70" s="203">
        <v>339312</v>
      </c>
      <c r="E70" s="205">
        <v>44077.643206018518</v>
      </c>
      <c r="F70" s="123">
        <v>10513</v>
      </c>
    </row>
    <row r="71" spans="1:6" x14ac:dyDescent="0.25">
      <c r="A71" s="203" t="str">
        <f>"3902710"</f>
        <v>3902710</v>
      </c>
      <c r="B71" s="207" t="s">
        <v>2965</v>
      </c>
      <c r="C71" s="220">
        <v>6.5</v>
      </c>
      <c r="D71" s="203">
        <v>338696</v>
      </c>
      <c r="E71" s="205">
        <v>44077.721273148149</v>
      </c>
      <c r="F71" s="123">
        <v>10514</v>
      </c>
    </row>
    <row r="72" spans="1:6" x14ac:dyDescent="0.25">
      <c r="A72" s="203" t="str">
        <f>"23923168"</f>
        <v>23923168</v>
      </c>
      <c r="B72" s="207" t="s">
        <v>5818</v>
      </c>
      <c r="C72" s="220">
        <v>4.7</v>
      </c>
      <c r="D72" s="203">
        <v>2574</v>
      </c>
      <c r="E72" s="205">
        <v>44077.725393518522</v>
      </c>
      <c r="F72" s="123">
        <v>10515</v>
      </c>
    </row>
    <row r="73" spans="1:6" x14ac:dyDescent="0.25">
      <c r="A73" s="203" t="str">
        <f>"3908657"</f>
        <v>3908657</v>
      </c>
      <c r="B73" s="207" t="s">
        <v>5916</v>
      </c>
      <c r="C73" s="220">
        <v>10.199999999999999</v>
      </c>
      <c r="D73" s="203">
        <v>338244</v>
      </c>
      <c r="E73" s="205">
        <v>44077.792384259257</v>
      </c>
      <c r="F73" s="123">
        <v>10516</v>
      </c>
    </row>
    <row r="74" spans="1:6" s="164" customFormat="1" x14ac:dyDescent="0.25">
      <c r="A74" s="115"/>
      <c r="B74" s="115" t="s">
        <v>5691</v>
      </c>
      <c r="C74" s="222">
        <f>SUM(C65:C73)</f>
        <v>66.69</v>
      </c>
      <c r="D74" s="115">
        <v>3</v>
      </c>
      <c r="E74" s="163"/>
      <c r="F74" s="115"/>
    </row>
    <row r="75" spans="1:6" customFormat="1" x14ac:dyDescent="0.25">
      <c r="A75" s="118"/>
      <c r="B75" s="116"/>
      <c r="C75" s="223"/>
      <c r="D75" s="118"/>
      <c r="E75" s="117"/>
      <c r="F75" s="118"/>
    </row>
    <row r="76" spans="1:6" x14ac:dyDescent="0.25">
      <c r="A76" s="203" t="str">
        <f>"3902757"</f>
        <v>3902757</v>
      </c>
      <c r="B76" s="207" t="s">
        <v>5888</v>
      </c>
      <c r="C76" s="220">
        <v>2.16</v>
      </c>
      <c r="D76" s="203">
        <v>338721</v>
      </c>
      <c r="E76" s="205">
        <v>44078.425208333334</v>
      </c>
      <c r="F76" s="123">
        <v>10648</v>
      </c>
    </row>
    <row r="77" spans="1:6" x14ac:dyDescent="0.25">
      <c r="A77" s="203" t="str">
        <f>"3945455"</f>
        <v>3945455</v>
      </c>
      <c r="B77" s="207" t="s">
        <v>5915</v>
      </c>
      <c r="C77" s="220">
        <v>8.3800000000000008</v>
      </c>
      <c r="D77" s="203">
        <v>336956</v>
      </c>
      <c r="E77" s="205">
        <v>44078.460787037038</v>
      </c>
      <c r="F77" s="123">
        <v>10649</v>
      </c>
    </row>
    <row r="78" spans="1:6" x14ac:dyDescent="0.25">
      <c r="A78" s="203" t="str">
        <f>"3900695"</f>
        <v>3900695</v>
      </c>
      <c r="B78" s="207" t="s">
        <v>2778</v>
      </c>
      <c r="C78" s="220">
        <v>9.7100000000000009</v>
      </c>
      <c r="D78" s="203">
        <v>338532</v>
      </c>
      <c r="E78" s="205">
        <v>44078.481458333335</v>
      </c>
      <c r="F78" s="123">
        <v>10650</v>
      </c>
    </row>
    <row r="79" spans="1:6" x14ac:dyDescent="0.25">
      <c r="A79" s="203" t="str">
        <f>"3960241"</f>
        <v>3960241</v>
      </c>
      <c r="B79" s="207" t="s">
        <v>5912</v>
      </c>
      <c r="C79" s="220">
        <v>15.3</v>
      </c>
      <c r="D79" s="203">
        <v>339303</v>
      </c>
      <c r="E79" s="205">
        <v>44078.515555555554</v>
      </c>
      <c r="F79" s="123">
        <v>10651</v>
      </c>
    </row>
    <row r="80" spans="1:6" x14ac:dyDescent="0.25">
      <c r="A80" s="203" t="str">
        <f>"3960363"</f>
        <v>3960363</v>
      </c>
      <c r="B80" s="207" t="s">
        <v>5733</v>
      </c>
      <c r="C80" s="220">
        <v>25.14</v>
      </c>
      <c r="D80" s="203">
        <v>336920</v>
      </c>
      <c r="E80" s="205">
        <v>44078.524641203701</v>
      </c>
      <c r="F80" s="123">
        <v>10652</v>
      </c>
    </row>
    <row r="81" spans="1:6" x14ac:dyDescent="0.25">
      <c r="A81" s="203" t="str">
        <f>"3907330"</f>
        <v>3907330</v>
      </c>
      <c r="B81" s="207" t="s">
        <v>2899</v>
      </c>
      <c r="C81" s="220">
        <v>14.53</v>
      </c>
      <c r="D81" s="203">
        <v>337090</v>
      </c>
      <c r="E81" s="205">
        <v>44078.656574074077</v>
      </c>
      <c r="F81" s="123">
        <v>10653</v>
      </c>
    </row>
    <row r="82" spans="1:6" x14ac:dyDescent="0.25">
      <c r="A82" s="203" t="str">
        <f>"3902041"</f>
        <v>3902041</v>
      </c>
      <c r="B82" s="207" t="s">
        <v>2898</v>
      </c>
      <c r="C82" s="220">
        <v>8.3800000000000008</v>
      </c>
      <c r="D82" s="203">
        <v>337002</v>
      </c>
      <c r="E82" s="205">
        <v>44078.657129629632</v>
      </c>
      <c r="F82" s="123">
        <v>10654</v>
      </c>
    </row>
    <row r="83" spans="1:6" x14ac:dyDescent="0.25">
      <c r="A83" s="203" t="str">
        <f>"3907937"</f>
        <v>3907937</v>
      </c>
      <c r="B83" s="207" t="s">
        <v>5926</v>
      </c>
      <c r="C83" s="220">
        <v>12.42</v>
      </c>
      <c r="D83" s="203">
        <v>339035</v>
      </c>
      <c r="E83" s="205">
        <v>44078.722731481481</v>
      </c>
      <c r="F83" s="123">
        <v>10655</v>
      </c>
    </row>
    <row r="84" spans="1:6" s="164" customFormat="1" x14ac:dyDescent="0.25">
      <c r="A84" s="115"/>
      <c r="B84" s="115" t="s">
        <v>5691</v>
      </c>
      <c r="C84" s="222">
        <f>SUM(C76:C83)</f>
        <v>96.02</v>
      </c>
      <c r="D84" s="115">
        <v>4</v>
      </c>
      <c r="E84" s="163"/>
      <c r="F84" s="115"/>
    </row>
    <row r="85" spans="1:6" customFormat="1" x14ac:dyDescent="0.25">
      <c r="A85" s="118"/>
      <c r="B85" s="116"/>
      <c r="C85" s="223"/>
      <c r="D85" s="118"/>
      <c r="E85" s="117"/>
      <c r="F85" s="118"/>
    </row>
    <row r="86" spans="1:6" x14ac:dyDescent="0.25">
      <c r="A86" s="203" t="str">
        <f>"3960293"</f>
        <v>3960293</v>
      </c>
      <c r="B86" s="207" t="s">
        <v>5886</v>
      </c>
      <c r="C86" s="220">
        <v>7.82</v>
      </c>
      <c r="D86" s="203">
        <v>336847</v>
      </c>
      <c r="E86" s="205">
        <v>44081.562581018516</v>
      </c>
      <c r="F86" s="123">
        <v>10745</v>
      </c>
    </row>
    <row r="87" spans="1:6" x14ac:dyDescent="0.25">
      <c r="A87" s="203" t="str">
        <f>"3960257"</f>
        <v>3960257</v>
      </c>
      <c r="B87" s="207" t="s">
        <v>2880</v>
      </c>
      <c r="C87" s="220">
        <v>16.05</v>
      </c>
      <c r="D87" s="203">
        <v>339292</v>
      </c>
      <c r="E87" s="205">
        <v>44081.648506944446</v>
      </c>
      <c r="F87" s="123">
        <v>10746</v>
      </c>
    </row>
    <row r="88" spans="1:6" x14ac:dyDescent="0.25">
      <c r="A88" s="203" t="str">
        <f>"3960275"</f>
        <v>3960275</v>
      </c>
      <c r="B88" s="207" t="s">
        <v>2880</v>
      </c>
      <c r="C88" s="220">
        <v>16.86</v>
      </c>
      <c r="D88" s="203">
        <v>339299</v>
      </c>
      <c r="E88" s="205">
        <v>44081.651446759257</v>
      </c>
      <c r="F88" s="123">
        <v>10747</v>
      </c>
    </row>
    <row r="89" spans="1:6" x14ac:dyDescent="0.25">
      <c r="A89" s="203" t="str">
        <f>"3901940"</f>
        <v>3901940</v>
      </c>
      <c r="B89" s="207" t="s">
        <v>2779</v>
      </c>
      <c r="C89" s="220">
        <v>1.77</v>
      </c>
      <c r="D89" s="203">
        <v>337247</v>
      </c>
      <c r="E89" s="205">
        <v>44081.386956018519</v>
      </c>
      <c r="F89" s="123">
        <v>10748</v>
      </c>
    </row>
    <row r="90" spans="1:6" x14ac:dyDescent="0.25">
      <c r="A90" s="203" t="str">
        <f>"3903121"</f>
        <v>3903121</v>
      </c>
      <c r="B90" s="207" t="s">
        <v>2794</v>
      </c>
      <c r="C90" s="220">
        <v>4.37</v>
      </c>
      <c r="D90" s="203">
        <v>337220</v>
      </c>
      <c r="E90" s="205">
        <v>44081.390462962961</v>
      </c>
      <c r="F90" s="123">
        <v>10749</v>
      </c>
    </row>
    <row r="91" spans="1:6" x14ac:dyDescent="0.25">
      <c r="A91" s="203" t="str">
        <f>"3906832"</f>
        <v>3906832</v>
      </c>
      <c r="B91" s="207" t="s">
        <v>5839</v>
      </c>
      <c r="C91" s="220">
        <v>7.68</v>
      </c>
      <c r="D91" s="203">
        <v>338016</v>
      </c>
      <c r="E91" s="205">
        <v>44081.431157407409</v>
      </c>
      <c r="F91" s="123">
        <v>10750</v>
      </c>
    </row>
    <row r="92" spans="1:6" x14ac:dyDescent="0.25">
      <c r="A92" s="203" t="str">
        <f>"3908621"</f>
        <v>3908621</v>
      </c>
      <c r="B92" s="207" t="s">
        <v>2912</v>
      </c>
      <c r="C92" s="220">
        <v>1.85</v>
      </c>
      <c r="D92" s="203">
        <v>337202</v>
      </c>
      <c r="E92" s="205">
        <v>44081.460347222222</v>
      </c>
      <c r="F92" s="123">
        <v>10751</v>
      </c>
    </row>
    <row r="93" spans="1:6" x14ac:dyDescent="0.25">
      <c r="A93" s="203" t="str">
        <f>"3920065"</f>
        <v>3920065</v>
      </c>
      <c r="B93" s="207" t="s">
        <v>2895</v>
      </c>
      <c r="C93" s="220">
        <v>15.3</v>
      </c>
      <c r="D93" s="203">
        <v>339291</v>
      </c>
      <c r="E93" s="205">
        <v>44081.485150462962</v>
      </c>
      <c r="F93" s="123">
        <v>10752</v>
      </c>
    </row>
    <row r="94" spans="1:6" x14ac:dyDescent="0.25">
      <c r="A94" s="203" t="str">
        <f>"3907489"</f>
        <v>3907489</v>
      </c>
      <c r="B94" s="207" t="s">
        <v>5749</v>
      </c>
      <c r="C94" s="220">
        <v>6.94</v>
      </c>
      <c r="D94" s="203">
        <v>337175</v>
      </c>
      <c r="E94" s="205">
        <v>44081.486296296294</v>
      </c>
      <c r="F94" s="123">
        <v>10753</v>
      </c>
    </row>
    <row r="95" spans="1:6" x14ac:dyDescent="0.25">
      <c r="A95" s="203" t="str">
        <f>"3945113"</f>
        <v>3945113</v>
      </c>
      <c r="B95" s="207" t="s">
        <v>2790</v>
      </c>
      <c r="C95" s="220">
        <v>8.3800000000000008</v>
      </c>
      <c r="D95" s="203">
        <v>336924</v>
      </c>
      <c r="E95" s="205">
        <v>44081.655856481484</v>
      </c>
      <c r="F95" s="123">
        <v>10754</v>
      </c>
    </row>
    <row r="96" spans="1:6" s="164" customFormat="1" x14ac:dyDescent="0.25">
      <c r="A96" s="115"/>
      <c r="B96" s="115" t="s">
        <v>5691</v>
      </c>
      <c r="C96" s="222">
        <f>SUM(C86:C95)</f>
        <v>87.02</v>
      </c>
      <c r="D96" s="115">
        <v>5</v>
      </c>
      <c r="E96" s="163"/>
      <c r="F96" s="115"/>
    </row>
    <row r="97" spans="1:6" customFormat="1" x14ac:dyDescent="0.25">
      <c r="A97" s="118"/>
      <c r="B97" s="116"/>
      <c r="C97" s="223"/>
      <c r="D97" s="118"/>
      <c r="E97" s="117"/>
      <c r="F97" s="118"/>
    </row>
    <row r="98" spans="1:6" x14ac:dyDescent="0.25">
      <c r="A98" s="203" t="str">
        <f>"3909086"</f>
        <v>3909086</v>
      </c>
      <c r="B98" s="207" t="s">
        <v>2962</v>
      </c>
      <c r="C98" s="220">
        <v>4.8600000000000003</v>
      </c>
      <c r="D98" s="203">
        <v>337882</v>
      </c>
      <c r="E98" s="205">
        <v>44082.392777777779</v>
      </c>
      <c r="F98" s="123">
        <v>10806</v>
      </c>
    </row>
    <row r="99" spans="1:6" x14ac:dyDescent="0.25">
      <c r="A99" s="203" t="str">
        <f>"3960091"</f>
        <v>3960091</v>
      </c>
      <c r="B99" s="207" t="s">
        <v>5810</v>
      </c>
      <c r="C99" s="220">
        <v>4.0599999999999996</v>
      </c>
      <c r="D99" s="203">
        <v>336992</v>
      </c>
      <c r="E99" s="205">
        <v>44082.432268518518</v>
      </c>
      <c r="F99" s="123">
        <v>10807</v>
      </c>
    </row>
    <row r="100" spans="1:6" x14ac:dyDescent="0.25">
      <c r="A100" s="203" t="str">
        <f>"23923029"</f>
        <v>23923029</v>
      </c>
      <c r="B100" s="207" t="s">
        <v>2930</v>
      </c>
      <c r="C100" s="220">
        <v>14.21</v>
      </c>
      <c r="D100" s="203">
        <v>2402</v>
      </c>
      <c r="E100" s="205">
        <v>44082.562002314815</v>
      </c>
      <c r="F100" s="123">
        <v>10808</v>
      </c>
    </row>
    <row r="101" spans="1:6" x14ac:dyDescent="0.25">
      <c r="A101" s="203" t="str">
        <f>"3901741"</f>
        <v>3901741</v>
      </c>
      <c r="B101" s="207" t="s">
        <v>5907</v>
      </c>
      <c r="C101" s="220">
        <v>2.88</v>
      </c>
      <c r="D101" s="203">
        <v>339121</v>
      </c>
      <c r="E101" s="205">
        <v>44082.565428240741</v>
      </c>
      <c r="F101" s="123">
        <v>10809</v>
      </c>
    </row>
    <row r="102" spans="1:6" x14ac:dyDescent="0.25">
      <c r="A102" s="203" t="str">
        <f>"3909033"</f>
        <v>3909033</v>
      </c>
      <c r="B102" s="207" t="s">
        <v>2812</v>
      </c>
      <c r="C102" s="220">
        <v>7.54</v>
      </c>
      <c r="D102" s="203">
        <v>338046</v>
      </c>
      <c r="E102" s="205">
        <v>44082.770497685182</v>
      </c>
      <c r="F102" s="123">
        <v>10810</v>
      </c>
    </row>
    <row r="103" spans="1:6" s="164" customFormat="1" x14ac:dyDescent="0.25">
      <c r="A103" s="115"/>
      <c r="B103" s="115" t="s">
        <v>5691</v>
      </c>
      <c r="C103" s="222">
        <f>SUM(C98:C102)</f>
        <v>33.550000000000004</v>
      </c>
      <c r="D103" s="115">
        <v>6</v>
      </c>
      <c r="E103" s="163"/>
      <c r="F103" s="115"/>
    </row>
    <row r="104" spans="1:6" customFormat="1" x14ac:dyDescent="0.25">
      <c r="A104" s="118"/>
      <c r="B104" s="116"/>
      <c r="C104" s="223"/>
      <c r="D104" s="118"/>
      <c r="E104" s="117"/>
      <c r="F104" s="118"/>
    </row>
    <row r="105" spans="1:6" x14ac:dyDescent="0.25">
      <c r="A105" s="203" t="str">
        <f>"3907531"</f>
        <v>3907531</v>
      </c>
      <c r="B105" s="207" t="s">
        <v>2959</v>
      </c>
      <c r="C105" s="220">
        <v>11.01</v>
      </c>
      <c r="D105" s="203">
        <v>337185</v>
      </c>
      <c r="E105" s="205">
        <v>44083.525960648149</v>
      </c>
      <c r="F105" s="123">
        <v>10830</v>
      </c>
    </row>
    <row r="106" spans="1:6" x14ac:dyDescent="0.25">
      <c r="A106" s="203" t="str">
        <f>"3901426"</f>
        <v>3901426</v>
      </c>
      <c r="B106" s="207" t="s">
        <v>2891</v>
      </c>
      <c r="C106" s="220">
        <v>4.38</v>
      </c>
      <c r="D106" s="203">
        <v>338652</v>
      </c>
      <c r="E106" s="205">
        <v>44083.568981481483</v>
      </c>
      <c r="F106" s="123">
        <v>10831</v>
      </c>
    </row>
    <row r="107" spans="1:6" x14ac:dyDescent="0.25">
      <c r="A107" s="203" t="str">
        <f>"3906750"</f>
        <v>3906750</v>
      </c>
      <c r="B107" s="207" t="s">
        <v>2911</v>
      </c>
      <c r="C107" s="220">
        <v>2.79</v>
      </c>
      <c r="D107" s="203">
        <v>337817</v>
      </c>
      <c r="E107" s="205">
        <v>44083.588854166665</v>
      </c>
      <c r="F107" s="123">
        <v>10832</v>
      </c>
    </row>
    <row r="108" spans="1:6" x14ac:dyDescent="0.25">
      <c r="A108" s="203" t="str">
        <f>"3906658"</f>
        <v>3906658</v>
      </c>
      <c r="B108" s="207" t="s">
        <v>2907</v>
      </c>
      <c r="C108" s="220">
        <v>23.79</v>
      </c>
      <c r="D108" s="203">
        <v>339467</v>
      </c>
      <c r="E108" s="205">
        <v>44083.589733796296</v>
      </c>
      <c r="F108" s="123">
        <v>10833</v>
      </c>
    </row>
    <row r="109" spans="1:6" x14ac:dyDescent="0.25">
      <c r="A109" s="203" t="str">
        <f>"3903516"</f>
        <v>3903516</v>
      </c>
      <c r="B109" s="207" t="s">
        <v>2785</v>
      </c>
      <c r="C109" s="220">
        <v>9.23</v>
      </c>
      <c r="D109" s="203">
        <v>338041</v>
      </c>
      <c r="E109" s="205">
        <v>44083.632928240739</v>
      </c>
      <c r="F109" s="123">
        <v>10834</v>
      </c>
    </row>
    <row r="110" spans="1:6" x14ac:dyDescent="0.25">
      <c r="A110" s="203" t="str">
        <f>"3907152"</f>
        <v>3907152</v>
      </c>
      <c r="B110" s="207" t="s">
        <v>5703</v>
      </c>
      <c r="C110" s="220">
        <v>13.88</v>
      </c>
      <c r="D110" s="203">
        <v>337115</v>
      </c>
      <c r="E110" s="205">
        <v>44083.787708333337</v>
      </c>
      <c r="F110" s="123">
        <v>10835</v>
      </c>
    </row>
    <row r="111" spans="1:6" s="164" customFormat="1" x14ac:dyDescent="0.25">
      <c r="A111" s="115"/>
      <c r="B111" s="115" t="s">
        <v>5691</v>
      </c>
      <c r="C111" s="222">
        <f>SUM(C105:C110)</f>
        <v>65.08</v>
      </c>
      <c r="D111" s="115">
        <v>7</v>
      </c>
      <c r="E111" s="163"/>
      <c r="F111" s="115"/>
    </row>
    <row r="112" spans="1:6" customFormat="1" x14ac:dyDescent="0.25">
      <c r="A112" s="118"/>
      <c r="B112" s="116"/>
      <c r="C112" s="223"/>
      <c r="D112" s="118"/>
      <c r="E112" s="117"/>
      <c r="F112" s="118"/>
    </row>
    <row r="113" spans="1:6" x14ac:dyDescent="0.25">
      <c r="A113" s="203" t="str">
        <f>"3960344"</f>
        <v>3960344</v>
      </c>
      <c r="B113" s="207" t="s">
        <v>2953</v>
      </c>
      <c r="C113" s="220">
        <v>8.3800000000000008</v>
      </c>
      <c r="D113" s="203">
        <v>336915</v>
      </c>
      <c r="E113" s="205">
        <v>44084.495150462964</v>
      </c>
      <c r="F113" s="123">
        <v>10883</v>
      </c>
    </row>
    <row r="114" spans="1:6" s="164" customFormat="1" x14ac:dyDescent="0.25">
      <c r="A114" s="115"/>
      <c r="B114" s="115" t="s">
        <v>5691</v>
      </c>
      <c r="C114" s="222">
        <f>SUM(C113)</f>
        <v>8.3800000000000008</v>
      </c>
      <c r="D114" s="115">
        <v>8</v>
      </c>
      <c r="E114" s="163"/>
      <c r="F114" s="115"/>
    </row>
    <row r="115" spans="1:6" customFormat="1" x14ac:dyDescent="0.25">
      <c r="A115" s="118"/>
      <c r="B115" s="116"/>
      <c r="C115" s="223"/>
      <c r="D115" s="118"/>
      <c r="E115" s="117"/>
      <c r="F115" s="118"/>
    </row>
    <row r="116" spans="1:6" x14ac:dyDescent="0.25">
      <c r="A116" s="203" t="str">
        <f>"3903517"</f>
        <v>3903517</v>
      </c>
      <c r="B116" s="207" t="s">
        <v>5765</v>
      </c>
      <c r="C116" s="220">
        <v>7.17</v>
      </c>
      <c r="D116" s="203">
        <v>337791</v>
      </c>
      <c r="E116" s="205">
        <v>44085.748229166667</v>
      </c>
      <c r="F116" s="123">
        <v>10896</v>
      </c>
    </row>
    <row r="117" spans="1:6" s="164" customFormat="1" x14ac:dyDescent="0.25">
      <c r="A117" s="115"/>
      <c r="B117" s="115" t="s">
        <v>5691</v>
      </c>
      <c r="C117" s="222">
        <f>SUM(C116)</f>
        <v>7.17</v>
      </c>
      <c r="D117" s="115">
        <v>9</v>
      </c>
      <c r="E117" s="163"/>
      <c r="F117" s="115"/>
    </row>
    <row r="118" spans="1:6" customFormat="1" x14ac:dyDescent="0.25">
      <c r="A118" s="118"/>
      <c r="B118" s="116"/>
      <c r="C118" s="223"/>
      <c r="D118" s="118"/>
      <c r="E118" s="117"/>
      <c r="F118" s="118"/>
    </row>
    <row r="119" spans="1:6" x14ac:dyDescent="0.25">
      <c r="A119" s="203" t="str">
        <f>"3945281"</f>
        <v>3945281</v>
      </c>
      <c r="B119" s="207" t="s">
        <v>5882</v>
      </c>
      <c r="C119" s="220">
        <v>4.1900000000000004</v>
      </c>
      <c r="D119" s="203">
        <v>337050</v>
      </c>
      <c r="E119" s="205">
        <v>44088.356562499997</v>
      </c>
      <c r="F119" s="123">
        <v>10931</v>
      </c>
    </row>
    <row r="120" spans="1:6" x14ac:dyDescent="0.25">
      <c r="A120" s="203" t="str">
        <f>"3902771"</f>
        <v>3902771</v>
      </c>
      <c r="B120" s="207" t="s">
        <v>5925</v>
      </c>
      <c r="C120" s="220">
        <v>35.9</v>
      </c>
      <c r="D120" s="203">
        <v>338725</v>
      </c>
      <c r="E120" s="205">
        <v>44088.648923611108</v>
      </c>
      <c r="F120" s="123">
        <v>10932</v>
      </c>
    </row>
    <row r="121" spans="1:6" x14ac:dyDescent="0.25">
      <c r="A121" s="203" t="str">
        <f>"3903497"</f>
        <v>3903497</v>
      </c>
      <c r="B121" s="207" t="s">
        <v>5847</v>
      </c>
      <c r="C121" s="220">
        <v>2.3199999999999998</v>
      </c>
      <c r="D121" s="203">
        <v>339775</v>
      </c>
      <c r="E121" s="205">
        <v>44088.33935185185</v>
      </c>
      <c r="F121" s="123">
        <v>10933</v>
      </c>
    </row>
    <row r="122" spans="1:6" x14ac:dyDescent="0.25">
      <c r="A122" s="203" t="str">
        <f>"3903082"</f>
        <v>3903082</v>
      </c>
      <c r="B122" s="207" t="s">
        <v>5784</v>
      </c>
      <c r="C122" s="220">
        <v>9.6999999999999993</v>
      </c>
      <c r="D122" s="203">
        <v>339602</v>
      </c>
      <c r="E122" s="205">
        <v>44088.408182870371</v>
      </c>
      <c r="F122" s="123">
        <v>10934</v>
      </c>
    </row>
    <row r="123" spans="1:6" x14ac:dyDescent="0.25">
      <c r="A123" s="203" t="str">
        <f>"3902009"</f>
        <v>3902009</v>
      </c>
      <c r="B123" s="207" t="s">
        <v>2890</v>
      </c>
      <c r="C123" s="220">
        <v>3.36</v>
      </c>
      <c r="D123" s="203">
        <v>339447</v>
      </c>
      <c r="E123" s="205">
        <v>44088.575624999998</v>
      </c>
      <c r="F123" s="123">
        <v>10935</v>
      </c>
    </row>
    <row r="124" spans="1:6" x14ac:dyDescent="0.25">
      <c r="A124" s="203" t="str">
        <f>"3930042"</f>
        <v>3930042</v>
      </c>
      <c r="B124" s="207" t="s">
        <v>2929</v>
      </c>
      <c r="C124" s="220">
        <v>6.1</v>
      </c>
      <c r="D124" s="203">
        <v>339427</v>
      </c>
      <c r="E124" s="205">
        <v>44088.6325</v>
      </c>
      <c r="F124" s="123">
        <v>10936</v>
      </c>
    </row>
    <row r="125" spans="1:6" s="164" customFormat="1" x14ac:dyDescent="0.25">
      <c r="A125" s="115"/>
      <c r="B125" s="115" t="s">
        <v>5691</v>
      </c>
      <c r="C125" s="222">
        <f>SUM(C119:C124)</f>
        <v>61.57</v>
      </c>
      <c r="D125" s="115">
        <v>10</v>
      </c>
      <c r="E125" s="163"/>
      <c r="F125" s="115"/>
    </row>
    <row r="126" spans="1:6" s="164" customFormat="1" x14ac:dyDescent="0.25">
      <c r="A126" s="115"/>
      <c r="B126" s="115"/>
      <c r="C126" s="222"/>
      <c r="D126" s="115"/>
      <c r="E126" s="163"/>
      <c r="F126" s="115"/>
    </row>
    <row r="127" spans="1:6" x14ac:dyDescent="0.25">
      <c r="A127" s="203" t="s">
        <v>4917</v>
      </c>
      <c r="B127" s="207" t="s">
        <v>5817</v>
      </c>
      <c r="C127" s="220">
        <v>3.19</v>
      </c>
      <c r="D127" s="203">
        <v>338298</v>
      </c>
      <c r="E127" s="205">
        <v>44089.522013888891</v>
      </c>
      <c r="F127" s="123">
        <v>11004</v>
      </c>
    </row>
    <row r="128" spans="1:6" x14ac:dyDescent="0.25">
      <c r="A128" s="203" t="s">
        <v>5924</v>
      </c>
      <c r="B128" s="207" t="s">
        <v>5923</v>
      </c>
      <c r="C128" s="220">
        <v>16.05</v>
      </c>
      <c r="D128" s="203">
        <v>338940</v>
      </c>
      <c r="E128" s="205">
        <v>44089.544085648151</v>
      </c>
      <c r="F128" s="123">
        <v>11005</v>
      </c>
    </row>
    <row r="129" spans="1:6" x14ac:dyDescent="0.25">
      <c r="A129" s="203" t="s">
        <v>5922</v>
      </c>
      <c r="B129" s="207" t="s">
        <v>2927</v>
      </c>
      <c r="C129" s="220">
        <v>12.3</v>
      </c>
      <c r="D129" s="203">
        <v>336831</v>
      </c>
      <c r="E129" s="205">
        <v>44089.685381944444</v>
      </c>
      <c r="F129" s="123">
        <v>11006</v>
      </c>
    </row>
    <row r="130" spans="1:6" s="164" customFormat="1" x14ac:dyDescent="0.25">
      <c r="A130" s="115"/>
      <c r="B130" s="115" t="s">
        <v>5691</v>
      </c>
      <c r="C130" s="222">
        <f>SUM(C127:C129)</f>
        <v>31.540000000000003</v>
      </c>
      <c r="D130" s="115">
        <v>11</v>
      </c>
      <c r="E130" s="163"/>
      <c r="F130" s="115"/>
    </row>
    <row r="131" spans="1:6" s="164" customFormat="1" x14ac:dyDescent="0.25">
      <c r="A131" s="115"/>
      <c r="B131" s="115"/>
      <c r="C131" s="222"/>
      <c r="D131" s="115"/>
      <c r="E131" s="163"/>
      <c r="F131" s="115"/>
    </row>
    <row r="132" spans="1:6" x14ac:dyDescent="0.25">
      <c r="A132" s="203" t="str">
        <f>"3945401"</f>
        <v>3945401</v>
      </c>
      <c r="B132" s="207" t="s">
        <v>2967</v>
      </c>
      <c r="C132" s="220">
        <v>8.3800000000000008</v>
      </c>
      <c r="D132" s="203">
        <v>336947</v>
      </c>
      <c r="E132" s="205">
        <v>44090.386157407411</v>
      </c>
      <c r="F132" s="123">
        <v>11054</v>
      </c>
    </row>
    <row r="133" spans="1:6" x14ac:dyDescent="0.25">
      <c r="A133" s="203" t="str">
        <f>"3909154"</f>
        <v>3909154</v>
      </c>
      <c r="B133" s="207" t="s">
        <v>5832</v>
      </c>
      <c r="C133" s="220">
        <v>14.59</v>
      </c>
      <c r="D133" s="203">
        <v>339552</v>
      </c>
      <c r="E133" s="205">
        <v>44090.392442129632</v>
      </c>
      <c r="F133" s="123">
        <v>11055</v>
      </c>
    </row>
    <row r="134" spans="1:6" x14ac:dyDescent="0.25">
      <c r="A134" s="203" t="str">
        <f>"3906819"</f>
        <v>3906819</v>
      </c>
      <c r="B134" s="207" t="s">
        <v>5874</v>
      </c>
      <c r="C134" s="220">
        <v>3.53</v>
      </c>
      <c r="D134" s="203">
        <v>338000</v>
      </c>
      <c r="E134" s="205">
        <v>44090.466932870368</v>
      </c>
      <c r="F134" s="123">
        <v>11056</v>
      </c>
    </row>
    <row r="135" spans="1:6" x14ac:dyDescent="0.25">
      <c r="A135" s="203" t="str">
        <f>"3940887"</f>
        <v>3940887</v>
      </c>
      <c r="B135" s="207" t="s">
        <v>2933</v>
      </c>
      <c r="C135" s="220">
        <v>17.899999999999999</v>
      </c>
      <c r="D135" s="203">
        <v>336858</v>
      </c>
      <c r="E135" s="205">
        <v>44090.55201388889</v>
      </c>
      <c r="F135" s="123">
        <v>11057</v>
      </c>
    </row>
    <row r="136" spans="1:6" s="164" customFormat="1" x14ac:dyDescent="0.25">
      <c r="A136" s="115"/>
      <c r="B136" s="115" t="s">
        <v>5691</v>
      </c>
      <c r="C136" s="222">
        <f>SUM(C132:C135)</f>
        <v>44.4</v>
      </c>
      <c r="D136" s="115">
        <v>12</v>
      </c>
      <c r="E136" s="163"/>
      <c r="F136" s="115"/>
    </row>
    <row r="137" spans="1:6" s="164" customFormat="1" x14ac:dyDescent="0.25">
      <c r="A137" s="115"/>
      <c r="B137" s="115"/>
      <c r="C137" s="222"/>
      <c r="D137" s="115"/>
      <c r="E137" s="163"/>
      <c r="F137" s="115"/>
    </row>
    <row r="138" spans="1:6" x14ac:dyDescent="0.25">
      <c r="A138" s="203" t="str">
        <f>"3908344"</f>
        <v>3908344</v>
      </c>
      <c r="B138" s="207" t="s">
        <v>5921</v>
      </c>
      <c r="C138" s="220">
        <v>0.45</v>
      </c>
      <c r="D138" s="203">
        <v>339271</v>
      </c>
      <c r="E138" s="205">
        <v>44091.396365740744</v>
      </c>
      <c r="F138" s="123">
        <v>11072</v>
      </c>
    </row>
    <row r="139" spans="1:6" x14ac:dyDescent="0.25">
      <c r="A139" s="203" t="str">
        <f>"3960373"</f>
        <v>3960373</v>
      </c>
      <c r="B139" s="207" t="s">
        <v>2940</v>
      </c>
      <c r="C139" s="220">
        <v>8.3800000000000008</v>
      </c>
      <c r="D139" s="203">
        <v>336941</v>
      </c>
      <c r="E139" s="205">
        <v>44091.41605324074</v>
      </c>
      <c r="F139" s="123">
        <v>11073</v>
      </c>
    </row>
    <row r="140" spans="1:6" x14ac:dyDescent="0.25">
      <c r="A140" s="203" t="str">
        <f>"3901121"</f>
        <v>3901121</v>
      </c>
      <c r="B140" s="207" t="s">
        <v>2908</v>
      </c>
      <c r="C140" s="220">
        <v>2.0499999999999998</v>
      </c>
      <c r="D140" s="203">
        <v>337612</v>
      </c>
      <c r="E140" s="205">
        <v>44091.576238425929</v>
      </c>
      <c r="F140" s="123">
        <v>11074</v>
      </c>
    </row>
    <row r="141" spans="1:6" x14ac:dyDescent="0.25">
      <c r="A141" s="203" t="str">
        <f>"3908639"</f>
        <v>3908639</v>
      </c>
      <c r="B141" s="207" t="s">
        <v>2906</v>
      </c>
      <c r="C141" s="220">
        <v>5.82</v>
      </c>
      <c r="D141" s="203">
        <v>339604</v>
      </c>
      <c r="E141" s="205">
        <v>44091.706192129626</v>
      </c>
      <c r="F141" s="123">
        <v>11075</v>
      </c>
    </row>
    <row r="142" spans="1:6" s="164" customFormat="1" x14ac:dyDescent="0.25">
      <c r="A142" s="115"/>
      <c r="B142" s="115" t="s">
        <v>5691</v>
      </c>
      <c r="C142" s="222">
        <f>SUM(C138:C141)</f>
        <v>16.7</v>
      </c>
      <c r="D142" s="115">
        <v>13</v>
      </c>
      <c r="E142" s="163"/>
      <c r="F142" s="115"/>
    </row>
    <row r="143" spans="1:6" s="164" customFormat="1" x14ac:dyDescent="0.25">
      <c r="A143" s="115"/>
      <c r="B143" s="115"/>
      <c r="C143" s="222"/>
      <c r="D143" s="115"/>
      <c r="E143" s="163"/>
      <c r="F143" s="115"/>
    </row>
    <row r="144" spans="1:6" x14ac:dyDescent="0.25">
      <c r="A144" s="203" t="str">
        <f>"3904232"</f>
        <v>3904232</v>
      </c>
      <c r="B144" s="207" t="s">
        <v>5872</v>
      </c>
      <c r="C144" s="220">
        <v>21.02</v>
      </c>
      <c r="D144" s="203">
        <v>339321</v>
      </c>
      <c r="E144" s="205">
        <v>44092.45652777778</v>
      </c>
      <c r="F144" s="123">
        <v>11103</v>
      </c>
    </row>
    <row r="145" spans="1:6" s="164" customFormat="1" x14ac:dyDescent="0.25">
      <c r="A145" s="115"/>
      <c r="B145" s="115" t="s">
        <v>5691</v>
      </c>
      <c r="C145" s="222">
        <f>SUM(C144)</f>
        <v>21.02</v>
      </c>
      <c r="D145" s="115">
        <v>14</v>
      </c>
      <c r="E145" s="163"/>
      <c r="F145" s="115"/>
    </row>
    <row r="146" spans="1:6" s="164" customFormat="1" x14ac:dyDescent="0.25">
      <c r="A146" s="115"/>
      <c r="B146" s="115"/>
      <c r="C146" s="222"/>
      <c r="D146" s="115"/>
      <c r="E146" s="163"/>
      <c r="F146" s="115"/>
    </row>
    <row r="147" spans="1:6" x14ac:dyDescent="0.25">
      <c r="A147" s="203" t="str">
        <f>"3960240"</f>
        <v>3960240</v>
      </c>
      <c r="B147" s="207" t="s">
        <v>5775</v>
      </c>
      <c r="C147" s="220">
        <v>15.96</v>
      </c>
      <c r="D147" s="203">
        <v>339802</v>
      </c>
      <c r="E147" s="205">
        <v>44095.60465277778</v>
      </c>
      <c r="F147" s="123">
        <v>11143</v>
      </c>
    </row>
    <row r="148" spans="1:6" x14ac:dyDescent="0.25">
      <c r="A148" s="203" t="str">
        <f>"3960375"</f>
        <v>3960375</v>
      </c>
      <c r="B148" s="207" t="s">
        <v>2936</v>
      </c>
      <c r="C148" s="220">
        <v>4.1900000000000004</v>
      </c>
      <c r="D148" s="203">
        <v>336945</v>
      </c>
      <c r="E148" s="205">
        <v>44095.718680555554</v>
      </c>
      <c r="F148" s="123">
        <v>11141</v>
      </c>
    </row>
    <row r="149" spans="1:6" x14ac:dyDescent="0.25">
      <c r="A149" s="203" t="str">
        <f>"3960357"</f>
        <v>3960357</v>
      </c>
      <c r="B149" s="207" t="s">
        <v>5729</v>
      </c>
      <c r="C149" s="220">
        <v>10.7</v>
      </c>
      <c r="D149" s="203">
        <v>336975</v>
      </c>
      <c r="E149" s="205">
        <v>44095.727164351854</v>
      </c>
      <c r="F149" s="123">
        <v>11142</v>
      </c>
    </row>
    <row r="150" spans="1:6" s="164" customFormat="1" x14ac:dyDescent="0.25">
      <c r="A150" s="115"/>
      <c r="B150" s="115" t="s">
        <v>5691</v>
      </c>
      <c r="C150" s="222">
        <f>SUM(C147:C149)</f>
        <v>30.85</v>
      </c>
      <c r="D150" s="115">
        <v>15</v>
      </c>
      <c r="E150" s="163"/>
      <c r="F150" s="115"/>
    </row>
    <row r="151" spans="1:6" s="164" customFormat="1" x14ac:dyDescent="0.25">
      <c r="A151" s="115"/>
      <c r="B151" s="115"/>
      <c r="C151" s="222"/>
      <c r="D151" s="115"/>
      <c r="E151" s="163"/>
      <c r="F151" s="115"/>
    </row>
    <row r="152" spans="1:6" x14ac:dyDescent="0.25">
      <c r="A152" s="203" t="str">
        <f>"3900176"</f>
        <v>3900176</v>
      </c>
      <c r="B152" s="207" t="s">
        <v>5833</v>
      </c>
      <c r="C152" s="220">
        <v>2.54</v>
      </c>
      <c r="D152" s="203">
        <v>339759</v>
      </c>
      <c r="E152" s="205">
        <v>44097.437858796293</v>
      </c>
      <c r="F152" s="123">
        <v>11170</v>
      </c>
    </row>
    <row r="153" spans="1:6" x14ac:dyDescent="0.25">
      <c r="A153" s="203" t="str">
        <f>"3900244"</f>
        <v>3900244</v>
      </c>
      <c r="B153" s="207" t="s">
        <v>2926</v>
      </c>
      <c r="C153" s="220">
        <v>34.520000000000003</v>
      </c>
      <c r="D153" s="203">
        <v>339629</v>
      </c>
      <c r="E153" s="205">
        <v>44097.463090277779</v>
      </c>
      <c r="F153" s="123">
        <v>11171</v>
      </c>
    </row>
    <row r="154" spans="1:6" x14ac:dyDescent="0.25">
      <c r="A154" s="203" t="str">
        <f>"3920083"</f>
        <v>3920083</v>
      </c>
      <c r="B154" s="207" t="s">
        <v>2954</v>
      </c>
      <c r="C154" s="220">
        <v>5.33</v>
      </c>
      <c r="D154" s="203">
        <v>339871</v>
      </c>
      <c r="E154" s="205">
        <v>44097.544409722221</v>
      </c>
      <c r="F154" s="123">
        <v>11172</v>
      </c>
    </row>
    <row r="155" spans="1:6" x14ac:dyDescent="0.25">
      <c r="A155" s="203" t="str">
        <f>"3901267"</f>
        <v>3901267</v>
      </c>
      <c r="B155" s="207" t="s">
        <v>2807</v>
      </c>
      <c r="C155" s="220">
        <v>7.51</v>
      </c>
      <c r="D155" s="203">
        <v>341534</v>
      </c>
      <c r="E155" s="205">
        <v>44097.605567129627</v>
      </c>
      <c r="F155" s="123">
        <v>11173</v>
      </c>
    </row>
    <row r="156" spans="1:6" x14ac:dyDescent="0.25">
      <c r="A156" s="203" t="str">
        <f>"3960091"</f>
        <v>3960091</v>
      </c>
      <c r="B156" s="207" t="s">
        <v>5810</v>
      </c>
      <c r="C156" s="220">
        <v>9.11</v>
      </c>
      <c r="D156" s="203">
        <v>339986</v>
      </c>
      <c r="E156" s="205">
        <v>44097.769537037035</v>
      </c>
      <c r="F156" s="123">
        <v>11174</v>
      </c>
    </row>
    <row r="157" spans="1:6" s="164" customFormat="1" x14ac:dyDescent="0.25">
      <c r="A157" s="115"/>
      <c r="B157" s="115" t="s">
        <v>5691</v>
      </c>
      <c r="C157" s="222">
        <f>SUM(C152:C156)</f>
        <v>59.01</v>
      </c>
      <c r="D157" s="115">
        <v>16</v>
      </c>
      <c r="E157" s="163"/>
      <c r="F157" s="115"/>
    </row>
    <row r="158" spans="1:6" s="164" customFormat="1" x14ac:dyDescent="0.25">
      <c r="A158" s="115"/>
      <c r="B158" s="115"/>
      <c r="C158" s="222"/>
      <c r="D158" s="115"/>
      <c r="E158" s="163"/>
      <c r="F158" s="115"/>
    </row>
    <row r="159" spans="1:6" x14ac:dyDescent="0.25">
      <c r="A159" s="203" t="str">
        <f>"3908129"</f>
        <v>3908129</v>
      </c>
      <c r="B159" s="207" t="s">
        <v>5809</v>
      </c>
      <c r="C159" s="220">
        <v>2.12</v>
      </c>
      <c r="D159" s="203">
        <v>342066</v>
      </c>
      <c r="E159" s="205">
        <v>44098.254745370374</v>
      </c>
      <c r="F159" s="123">
        <v>11199</v>
      </c>
    </row>
    <row r="160" spans="1:6" x14ac:dyDescent="0.25">
      <c r="A160" s="203" t="str">
        <f>"3903204"</f>
        <v>3903204</v>
      </c>
      <c r="B160" s="207" t="s">
        <v>5787</v>
      </c>
      <c r="C160" s="220">
        <v>11.5</v>
      </c>
      <c r="D160" s="203">
        <v>340320</v>
      </c>
      <c r="E160" s="205">
        <v>44098.28329861111</v>
      </c>
      <c r="F160" s="123">
        <v>11200</v>
      </c>
    </row>
    <row r="161" spans="1:6" x14ac:dyDescent="0.25">
      <c r="A161" s="203" t="str">
        <f>"3906821"</f>
        <v>3906821</v>
      </c>
      <c r="B161" s="207" t="s">
        <v>2950</v>
      </c>
      <c r="C161" s="220">
        <v>3.92</v>
      </c>
      <c r="D161" s="203">
        <v>340993</v>
      </c>
      <c r="E161" s="205">
        <v>44098.386412037034</v>
      </c>
      <c r="F161" s="123">
        <v>11201</v>
      </c>
    </row>
    <row r="162" spans="1:6" x14ac:dyDescent="0.25">
      <c r="A162" s="203" t="str">
        <f>"3903866"</f>
        <v>3903866</v>
      </c>
      <c r="B162" s="207" t="s">
        <v>5792</v>
      </c>
      <c r="C162" s="220">
        <v>1.68</v>
      </c>
      <c r="D162" s="203">
        <v>341784</v>
      </c>
      <c r="E162" s="205">
        <v>44098.564571759256</v>
      </c>
      <c r="F162" s="123">
        <v>11202</v>
      </c>
    </row>
    <row r="163" spans="1:6" x14ac:dyDescent="0.25">
      <c r="A163" s="203" t="str">
        <f>"3902396"</f>
        <v>3902396</v>
      </c>
      <c r="B163" s="207" t="s">
        <v>2909</v>
      </c>
      <c r="C163" s="220">
        <v>1.94</v>
      </c>
      <c r="D163" s="203">
        <v>336544</v>
      </c>
      <c r="E163" s="205">
        <v>44098.659675925926</v>
      </c>
      <c r="F163" s="123">
        <v>11205</v>
      </c>
    </row>
    <row r="164" spans="1:6" x14ac:dyDescent="0.25">
      <c r="A164" s="203" t="str">
        <f>"3903105"</f>
        <v>3903105</v>
      </c>
      <c r="B164" s="207" t="s">
        <v>2903</v>
      </c>
      <c r="C164" s="220">
        <v>1.94</v>
      </c>
      <c r="D164" s="203">
        <v>339606</v>
      </c>
      <c r="E164" s="205">
        <v>44098.743148148147</v>
      </c>
      <c r="F164" s="123">
        <v>11203</v>
      </c>
    </row>
    <row r="165" spans="1:6" x14ac:dyDescent="0.25">
      <c r="A165" s="203" t="str">
        <f>"3907892"</f>
        <v>3907892</v>
      </c>
      <c r="B165" s="207" t="s">
        <v>5727</v>
      </c>
      <c r="C165" s="220">
        <v>6.32</v>
      </c>
      <c r="D165" s="203">
        <v>341034</v>
      </c>
      <c r="E165" s="205">
        <v>44098.805879629632</v>
      </c>
      <c r="F165" s="123">
        <v>11204</v>
      </c>
    </row>
    <row r="166" spans="1:6" s="164" customFormat="1" x14ac:dyDescent="0.25">
      <c r="A166" s="115"/>
      <c r="B166" s="115" t="s">
        <v>5691</v>
      </c>
      <c r="C166" s="222">
        <f>SUM(C159:C165)</f>
        <v>29.42</v>
      </c>
      <c r="D166" s="115">
        <v>17</v>
      </c>
      <c r="E166" s="163"/>
      <c r="F166" s="115"/>
    </row>
    <row r="167" spans="1:6" s="164" customFormat="1" x14ac:dyDescent="0.25">
      <c r="A167" s="115"/>
      <c r="B167" s="115"/>
      <c r="C167" s="222"/>
      <c r="D167" s="115"/>
      <c r="E167" s="163"/>
      <c r="F167" s="115"/>
    </row>
    <row r="168" spans="1:6" x14ac:dyDescent="0.25">
      <c r="A168" s="203" t="str">
        <f>"3907181"</f>
        <v>3907181</v>
      </c>
      <c r="B168" s="207" t="s">
        <v>5757</v>
      </c>
      <c r="C168" s="220">
        <v>55.52</v>
      </c>
      <c r="D168" s="203">
        <v>340116</v>
      </c>
      <c r="E168" s="205">
        <v>44099.365081018521</v>
      </c>
      <c r="F168" s="123">
        <v>11277</v>
      </c>
    </row>
    <row r="169" spans="1:6" x14ac:dyDescent="0.25">
      <c r="A169" s="203" t="str">
        <f>"3930231"</f>
        <v>3930231</v>
      </c>
      <c r="B169" s="207" t="s">
        <v>5741</v>
      </c>
      <c r="C169" s="220">
        <v>4.25</v>
      </c>
      <c r="D169" s="203">
        <v>340715</v>
      </c>
      <c r="E169" s="205">
        <v>44099.390335648146</v>
      </c>
      <c r="F169" s="123">
        <v>11278</v>
      </c>
    </row>
    <row r="170" spans="1:6" x14ac:dyDescent="0.25">
      <c r="A170" s="203" t="str">
        <f>"3901913"</f>
        <v>3901913</v>
      </c>
      <c r="B170" s="207" t="s">
        <v>2904</v>
      </c>
      <c r="C170" s="220">
        <v>17.600000000000001</v>
      </c>
      <c r="D170" s="203">
        <v>339614</v>
      </c>
      <c r="E170" s="205">
        <v>44099.42597222222</v>
      </c>
      <c r="F170" s="123">
        <v>11279</v>
      </c>
    </row>
    <row r="171" spans="1:6" x14ac:dyDescent="0.25">
      <c r="A171" s="203" t="str">
        <f>"3902951"</f>
        <v>3902951</v>
      </c>
      <c r="B171" s="207" t="s">
        <v>2904</v>
      </c>
      <c r="C171" s="220">
        <v>2.09</v>
      </c>
      <c r="D171" s="203">
        <v>339621</v>
      </c>
      <c r="E171" s="205">
        <v>44099.426076388889</v>
      </c>
      <c r="F171" s="123">
        <v>11280</v>
      </c>
    </row>
    <row r="172" spans="1:6" x14ac:dyDescent="0.25">
      <c r="A172" s="203" t="str">
        <f>"3930235"</f>
        <v>3930235</v>
      </c>
      <c r="B172" s="207" t="s">
        <v>5700</v>
      </c>
      <c r="C172" s="220">
        <v>2.68</v>
      </c>
      <c r="D172" s="203">
        <v>340730</v>
      </c>
      <c r="E172" s="205">
        <v>44099.439699074072</v>
      </c>
      <c r="F172" s="123">
        <v>11281</v>
      </c>
    </row>
    <row r="173" spans="1:6" x14ac:dyDescent="0.25">
      <c r="A173" s="203" t="str">
        <f>"3907615"</f>
        <v>3907615</v>
      </c>
      <c r="B173" s="207" t="s">
        <v>2781</v>
      </c>
      <c r="C173" s="220">
        <v>4.1100000000000003</v>
      </c>
      <c r="D173" s="203">
        <v>340355</v>
      </c>
      <c r="E173" s="205">
        <v>44099.458182870374</v>
      </c>
      <c r="F173" s="123">
        <v>11282</v>
      </c>
    </row>
    <row r="174" spans="1:6" x14ac:dyDescent="0.25">
      <c r="A174" s="203" t="str">
        <f>"3907960"</f>
        <v>3907960</v>
      </c>
      <c r="B174" s="207" t="s">
        <v>2916</v>
      </c>
      <c r="C174" s="220">
        <v>3.44</v>
      </c>
      <c r="D174" s="203">
        <v>341104</v>
      </c>
      <c r="E174" s="205">
        <v>44099.467037037037</v>
      </c>
      <c r="F174" s="123">
        <v>11283</v>
      </c>
    </row>
    <row r="175" spans="1:6" x14ac:dyDescent="0.25">
      <c r="A175" s="203" t="str">
        <f>"3945455"</f>
        <v>3945455</v>
      </c>
      <c r="B175" s="207" t="s">
        <v>5915</v>
      </c>
      <c r="C175" s="220">
        <v>8.3800000000000008</v>
      </c>
      <c r="D175" s="203">
        <v>339955</v>
      </c>
      <c r="E175" s="205">
        <v>44099.4841087963</v>
      </c>
      <c r="F175" s="123">
        <v>11284</v>
      </c>
    </row>
    <row r="176" spans="1:6" x14ac:dyDescent="0.25">
      <c r="A176" s="203" t="str">
        <f>"3903080"</f>
        <v>3903080</v>
      </c>
      <c r="B176" s="207" t="s">
        <v>5845</v>
      </c>
      <c r="C176" s="220">
        <v>3.36</v>
      </c>
      <c r="D176" s="203">
        <v>341738</v>
      </c>
      <c r="E176" s="205">
        <v>44099.577592592592</v>
      </c>
      <c r="F176" s="123">
        <v>11285</v>
      </c>
    </row>
    <row r="177" spans="1:6" x14ac:dyDescent="0.25">
      <c r="A177" s="203" t="str">
        <f>"3907920"</f>
        <v>3907920</v>
      </c>
      <c r="B177" s="207" t="s">
        <v>2806</v>
      </c>
      <c r="C177" s="220">
        <v>16.43</v>
      </c>
      <c r="D177" s="203">
        <v>340841</v>
      </c>
      <c r="E177" s="205">
        <v>44099.665671296294</v>
      </c>
      <c r="F177" s="123">
        <v>11286</v>
      </c>
    </row>
    <row r="178" spans="1:6" s="164" customFormat="1" x14ac:dyDescent="0.25">
      <c r="A178" s="115"/>
      <c r="B178" s="115" t="s">
        <v>5691</v>
      </c>
      <c r="C178" s="222">
        <f>SUM(C168:C177)</f>
        <v>117.86000000000001</v>
      </c>
      <c r="D178" s="115">
        <v>18</v>
      </c>
      <c r="E178" s="163"/>
      <c r="F178" s="115"/>
    </row>
    <row r="179" spans="1:6" s="164" customFormat="1" x14ac:dyDescent="0.25">
      <c r="A179" s="115"/>
      <c r="B179" s="115"/>
      <c r="C179" s="222"/>
      <c r="D179" s="115"/>
      <c r="E179" s="163"/>
      <c r="F179" s="115"/>
    </row>
    <row r="180" spans="1:6" x14ac:dyDescent="0.25">
      <c r="A180" s="203" t="str">
        <f>"3909959"</f>
        <v>3909959</v>
      </c>
      <c r="B180" s="207" t="s">
        <v>2998</v>
      </c>
      <c r="C180" s="220">
        <v>4.6500000000000004</v>
      </c>
      <c r="D180" s="203">
        <v>340379</v>
      </c>
      <c r="E180" s="205">
        <v>44102.327581018515</v>
      </c>
      <c r="F180" s="123">
        <v>11390</v>
      </c>
    </row>
    <row r="181" spans="1:6" x14ac:dyDescent="0.25">
      <c r="A181" s="203" t="str">
        <f>"3900325"</f>
        <v>3900325</v>
      </c>
      <c r="B181" s="207" t="s">
        <v>2881</v>
      </c>
      <c r="C181" s="220">
        <v>5.31</v>
      </c>
      <c r="D181" s="203">
        <v>341368</v>
      </c>
      <c r="E181" s="205">
        <v>44102.451932870368</v>
      </c>
      <c r="F181" s="123">
        <v>11391</v>
      </c>
    </row>
    <row r="182" spans="1:6" x14ac:dyDescent="0.25">
      <c r="A182" s="203" t="str">
        <f>"3900328"</f>
        <v>3900328</v>
      </c>
      <c r="B182" s="207" t="s">
        <v>2881</v>
      </c>
      <c r="C182" s="220">
        <v>4.04</v>
      </c>
      <c r="D182" s="203">
        <v>341369</v>
      </c>
      <c r="E182" s="205">
        <v>44102.452337962961</v>
      </c>
      <c r="F182" s="123">
        <v>11392</v>
      </c>
    </row>
    <row r="183" spans="1:6" x14ac:dyDescent="0.25">
      <c r="A183" s="203" t="str">
        <f>"3903952"</f>
        <v>3903952</v>
      </c>
      <c r="B183" s="207" t="s">
        <v>2963</v>
      </c>
      <c r="C183" s="220">
        <v>8.6</v>
      </c>
      <c r="D183" s="203">
        <v>341810</v>
      </c>
      <c r="E183" s="205">
        <v>44102.503078703703</v>
      </c>
      <c r="F183" s="123">
        <v>11393</v>
      </c>
    </row>
    <row r="184" spans="1:6" x14ac:dyDescent="0.25">
      <c r="A184" s="203" t="str">
        <f>"23923204"</f>
        <v>23923204</v>
      </c>
      <c r="B184" s="207" t="s">
        <v>5763</v>
      </c>
      <c r="C184" s="220">
        <v>11.64</v>
      </c>
      <c r="D184" s="203">
        <v>2730</v>
      </c>
      <c r="E184" s="205">
        <v>44102.44090277778</v>
      </c>
      <c r="F184" s="123">
        <v>11394</v>
      </c>
    </row>
    <row r="185" spans="1:6" x14ac:dyDescent="0.25">
      <c r="A185" s="203" t="str">
        <f>"3960274"</f>
        <v>3960274</v>
      </c>
      <c r="B185" s="207" t="s">
        <v>2798</v>
      </c>
      <c r="C185" s="220">
        <v>13.62</v>
      </c>
      <c r="D185" s="203">
        <v>339844</v>
      </c>
      <c r="E185" s="205">
        <v>44102.273148148146</v>
      </c>
      <c r="F185" s="123">
        <v>11395</v>
      </c>
    </row>
    <row r="186" spans="1:6" x14ac:dyDescent="0.25">
      <c r="A186" s="203" t="str">
        <f>"3930280"</f>
        <v>3930280</v>
      </c>
      <c r="B186" s="207" t="s">
        <v>2996</v>
      </c>
      <c r="C186" s="220">
        <v>1.71</v>
      </c>
      <c r="D186" s="203">
        <v>340894</v>
      </c>
      <c r="E186" s="205">
        <v>44102.318240740744</v>
      </c>
      <c r="F186" s="123">
        <v>11396</v>
      </c>
    </row>
    <row r="187" spans="1:6" x14ac:dyDescent="0.25">
      <c r="A187" s="203" t="str">
        <f>"3908860"</f>
        <v>3908860</v>
      </c>
      <c r="B187" s="207" t="s">
        <v>5920</v>
      </c>
      <c r="C187" s="220">
        <v>15.33</v>
      </c>
      <c r="D187" s="203">
        <v>340477</v>
      </c>
      <c r="E187" s="205">
        <v>44102.603495370371</v>
      </c>
      <c r="F187" s="123">
        <v>11397</v>
      </c>
    </row>
    <row r="188" spans="1:6" x14ac:dyDescent="0.25">
      <c r="A188" s="203" t="str">
        <f>"3903686"</f>
        <v>3903686</v>
      </c>
      <c r="B188" s="207" t="s">
        <v>5773</v>
      </c>
      <c r="C188" s="220">
        <v>25.76</v>
      </c>
      <c r="D188" s="203">
        <v>339710</v>
      </c>
      <c r="E188" s="205">
        <v>44102.657916666663</v>
      </c>
      <c r="F188" s="123">
        <v>11398</v>
      </c>
    </row>
    <row r="189" spans="1:6" x14ac:dyDescent="0.25">
      <c r="A189" s="203" t="str">
        <f>"3906858"</f>
        <v>3906858</v>
      </c>
      <c r="B189" s="207" t="s">
        <v>5773</v>
      </c>
      <c r="C189" s="220">
        <v>4.43</v>
      </c>
      <c r="D189" s="203">
        <v>339544</v>
      </c>
      <c r="E189" s="205">
        <v>44102.658020833333</v>
      </c>
      <c r="F189" s="123">
        <v>11399</v>
      </c>
    </row>
    <row r="190" spans="1:6" x14ac:dyDescent="0.25">
      <c r="A190" s="203" t="str">
        <f>"3945066"</f>
        <v>3945066</v>
      </c>
      <c r="B190" s="207" t="s">
        <v>5869</v>
      </c>
      <c r="C190" s="220">
        <v>91.8</v>
      </c>
      <c r="D190" s="203">
        <v>339342</v>
      </c>
      <c r="E190" s="205">
        <v>44102.658229166664</v>
      </c>
      <c r="F190" s="123" t="s">
        <v>5919</v>
      </c>
    </row>
    <row r="191" spans="1:6" s="164" customFormat="1" x14ac:dyDescent="0.25">
      <c r="A191" s="115"/>
      <c r="B191" s="115" t="s">
        <v>5691</v>
      </c>
      <c r="C191" s="222">
        <f>SUM(C180:C190)</f>
        <v>186.89</v>
      </c>
      <c r="D191" s="115">
        <v>19</v>
      </c>
      <c r="E191" s="163"/>
      <c r="F191" s="115"/>
    </row>
    <row r="192" spans="1:6" s="164" customFormat="1" x14ac:dyDescent="0.25">
      <c r="A192" s="115"/>
      <c r="B192" s="115"/>
      <c r="C192" s="222"/>
      <c r="D192" s="115"/>
      <c r="E192" s="163"/>
      <c r="F192" s="115"/>
    </row>
    <row r="193" spans="1:6" x14ac:dyDescent="0.25">
      <c r="A193" s="203" t="str">
        <f>"3930044"</f>
        <v>3930044</v>
      </c>
      <c r="B193" s="207" t="s">
        <v>5840</v>
      </c>
      <c r="C193" s="220">
        <v>0.93</v>
      </c>
      <c r="D193" s="203">
        <v>341102</v>
      </c>
      <c r="E193" s="205">
        <v>44103.385231481479</v>
      </c>
      <c r="F193" s="123">
        <v>11400</v>
      </c>
    </row>
    <row r="194" spans="1:6" x14ac:dyDescent="0.25">
      <c r="A194" s="203" t="str">
        <f>"3960276"</f>
        <v>3960276</v>
      </c>
      <c r="B194" s="207" t="s">
        <v>2894</v>
      </c>
      <c r="C194" s="220">
        <v>12.3</v>
      </c>
      <c r="D194" s="203">
        <v>339864</v>
      </c>
      <c r="E194" s="205">
        <v>44103.392604166664</v>
      </c>
      <c r="F194" s="123">
        <v>11401</v>
      </c>
    </row>
    <row r="195" spans="1:6" x14ac:dyDescent="0.25">
      <c r="A195" s="203" t="str">
        <f>"3906033"</f>
        <v>3906033</v>
      </c>
      <c r="B195" s="207" t="s">
        <v>5769</v>
      </c>
      <c r="C195" s="220">
        <v>1.68</v>
      </c>
      <c r="D195" s="203">
        <v>341837</v>
      </c>
      <c r="E195" s="205">
        <v>44103.685590277775</v>
      </c>
      <c r="F195" s="123">
        <v>11402</v>
      </c>
    </row>
    <row r="196" spans="1:6" x14ac:dyDescent="0.25">
      <c r="A196" s="203" t="str">
        <f>"3930030"</f>
        <v>3930030</v>
      </c>
      <c r="B196" s="207" t="s">
        <v>5830</v>
      </c>
      <c r="C196" s="220">
        <v>4.7699999999999996</v>
      </c>
      <c r="D196" s="203">
        <v>340492</v>
      </c>
      <c r="E196" s="205">
        <v>44103.691747685189</v>
      </c>
      <c r="F196" s="123">
        <v>11403</v>
      </c>
    </row>
    <row r="197" spans="1:6" x14ac:dyDescent="0.25">
      <c r="A197" s="203" t="str">
        <f>"3908209"</f>
        <v>3908209</v>
      </c>
      <c r="B197" s="207" t="s">
        <v>5918</v>
      </c>
      <c r="C197" s="220">
        <v>1.76</v>
      </c>
      <c r="D197" s="203">
        <v>342128</v>
      </c>
      <c r="E197" s="205">
        <v>44103.698854166665</v>
      </c>
      <c r="F197" s="123">
        <v>11404</v>
      </c>
    </row>
    <row r="198" spans="1:6" x14ac:dyDescent="0.25">
      <c r="A198" s="203" t="str">
        <f>"3908224"</f>
        <v>3908224</v>
      </c>
      <c r="B198" s="207" t="s">
        <v>5805</v>
      </c>
      <c r="C198" s="220">
        <v>3.45</v>
      </c>
      <c r="D198" s="203">
        <v>342138</v>
      </c>
      <c r="E198" s="205">
        <v>44103.787094907406</v>
      </c>
      <c r="F198" s="123">
        <v>11405</v>
      </c>
    </row>
    <row r="199" spans="1:6" s="164" customFormat="1" x14ac:dyDescent="0.25">
      <c r="A199" s="115"/>
      <c r="B199" s="115" t="s">
        <v>5691</v>
      </c>
      <c r="C199" s="222">
        <f>SUM(C193:C198)</f>
        <v>24.89</v>
      </c>
      <c r="D199" s="115">
        <v>20</v>
      </c>
      <c r="E199" s="163"/>
      <c r="F199" s="115"/>
    </row>
    <row r="200" spans="1:6" s="164" customFormat="1" x14ac:dyDescent="0.25">
      <c r="A200" s="115"/>
      <c r="B200" s="115"/>
      <c r="C200" s="222"/>
      <c r="D200" s="115"/>
      <c r="E200" s="163"/>
      <c r="F200" s="115"/>
    </row>
    <row r="201" spans="1:6" x14ac:dyDescent="0.25">
      <c r="A201" s="203" t="str">
        <f>"3908182"</f>
        <v>3908182</v>
      </c>
      <c r="B201" s="207" t="s">
        <v>5820</v>
      </c>
      <c r="C201" s="220">
        <v>1.68</v>
      </c>
      <c r="D201" s="203">
        <v>342104</v>
      </c>
      <c r="E201" s="205">
        <v>44104.363981481481</v>
      </c>
      <c r="F201" s="123">
        <v>11458</v>
      </c>
    </row>
    <row r="202" spans="1:6" x14ac:dyDescent="0.25">
      <c r="A202" s="203" t="str">
        <f>"3909239"</f>
        <v>3909239</v>
      </c>
      <c r="B202" s="207" t="s">
        <v>5732</v>
      </c>
      <c r="C202" s="220">
        <v>6.49</v>
      </c>
      <c r="D202" s="203">
        <v>341208</v>
      </c>
      <c r="E202" s="205">
        <v>44104.464942129627</v>
      </c>
      <c r="F202" s="123">
        <v>11459</v>
      </c>
    </row>
    <row r="203" spans="1:6" x14ac:dyDescent="0.25">
      <c r="A203" s="203" t="str">
        <f>"3907867"</f>
        <v>3907867</v>
      </c>
      <c r="B203" s="207" t="s">
        <v>2791</v>
      </c>
      <c r="C203" s="220">
        <v>6.03</v>
      </c>
      <c r="D203" s="203">
        <v>340684</v>
      </c>
      <c r="E203" s="205">
        <v>44104.575740740744</v>
      </c>
      <c r="F203" s="123">
        <v>11460</v>
      </c>
    </row>
    <row r="204" spans="1:6" x14ac:dyDescent="0.25">
      <c r="A204" s="203" t="str">
        <f>"3960265"</f>
        <v>3960265</v>
      </c>
      <c r="B204" s="207" t="s">
        <v>2999</v>
      </c>
      <c r="C204" s="220">
        <v>12.3</v>
      </c>
      <c r="D204" s="203">
        <v>339839</v>
      </c>
      <c r="E204" s="205">
        <v>44104.647048611114</v>
      </c>
      <c r="F204" s="123">
        <v>11461</v>
      </c>
    </row>
    <row r="205" spans="1:6" x14ac:dyDescent="0.25">
      <c r="A205" s="203" t="str">
        <f>"3908160"</f>
        <v>3908160</v>
      </c>
      <c r="B205" s="207" t="s">
        <v>5877</v>
      </c>
      <c r="C205" s="220">
        <v>2.31</v>
      </c>
      <c r="D205" s="203">
        <v>342089</v>
      </c>
      <c r="E205" s="205">
        <v>44104.661874999998</v>
      </c>
      <c r="F205" s="123">
        <v>11462</v>
      </c>
    </row>
    <row r="206" spans="1:6" x14ac:dyDescent="0.25">
      <c r="A206" s="203" t="str">
        <f>"3902744"</f>
        <v>3902744</v>
      </c>
      <c r="B206" s="207" t="s">
        <v>2934</v>
      </c>
      <c r="C206" s="220">
        <v>32.75</v>
      </c>
      <c r="D206" s="203">
        <v>341708</v>
      </c>
      <c r="E206" s="205">
        <v>44104.737511574072</v>
      </c>
      <c r="F206" s="123">
        <v>11463</v>
      </c>
    </row>
    <row r="207" spans="1:6" x14ac:dyDescent="0.25">
      <c r="A207" s="203" t="str">
        <f>"3908057"</f>
        <v>3908057</v>
      </c>
      <c r="B207" s="207" t="s">
        <v>3000</v>
      </c>
      <c r="C207" s="220">
        <v>3.66</v>
      </c>
      <c r="D207" s="203">
        <v>341161</v>
      </c>
      <c r="E207" s="205">
        <v>44104.789375</v>
      </c>
      <c r="F207" s="123">
        <v>11464</v>
      </c>
    </row>
    <row r="208" spans="1:6" x14ac:dyDescent="0.25">
      <c r="A208" s="203" t="str">
        <f>"3900576"</f>
        <v>3900576</v>
      </c>
      <c r="B208" s="207" t="s">
        <v>2995</v>
      </c>
      <c r="C208" s="220">
        <v>1.68</v>
      </c>
      <c r="D208" s="203">
        <v>341466</v>
      </c>
      <c r="E208" s="205">
        <v>44104.808136574073</v>
      </c>
      <c r="F208" s="123">
        <v>11465</v>
      </c>
    </row>
    <row r="209" spans="1:6" x14ac:dyDescent="0.25">
      <c r="A209" s="203" t="str">
        <f>"3900258"</f>
        <v>3900258</v>
      </c>
      <c r="B209" s="207" t="s">
        <v>5781</v>
      </c>
      <c r="C209" s="220">
        <v>9.81</v>
      </c>
      <c r="D209" s="203">
        <v>341349</v>
      </c>
      <c r="E209" s="205">
        <v>44104.872650462959</v>
      </c>
      <c r="F209" s="123">
        <v>11466</v>
      </c>
    </row>
    <row r="210" spans="1:6" s="164" customFormat="1" x14ac:dyDescent="0.25">
      <c r="A210" s="115"/>
      <c r="B210" s="115" t="s">
        <v>5691</v>
      </c>
      <c r="C210" s="222">
        <f>SUM(C201:C209)</f>
        <v>76.710000000000008</v>
      </c>
      <c r="D210" s="115">
        <v>21</v>
      </c>
      <c r="E210" s="163"/>
      <c r="F210" s="115"/>
    </row>
    <row r="211" spans="1:6" s="164" customFormat="1" x14ac:dyDescent="0.25">
      <c r="A211" s="115"/>
      <c r="B211" s="115"/>
      <c r="C211" s="222"/>
      <c r="D211" s="115"/>
      <c r="E211" s="163"/>
      <c r="F211" s="115"/>
    </row>
    <row r="212" spans="1:6" x14ac:dyDescent="0.25">
      <c r="A212" s="203"/>
      <c r="B212" s="207"/>
      <c r="C212" s="220"/>
      <c r="D212" s="203"/>
      <c r="E212" s="205"/>
      <c r="F212" s="123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1" fitToHeight="5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5164B-66F0-41B9-B193-11831F9AFA47}">
  <sheetPr>
    <pageSetUpPr fitToPage="1"/>
  </sheetPr>
  <dimension ref="A1:K347"/>
  <sheetViews>
    <sheetView topLeftCell="A233" workbookViewId="0">
      <selection activeCell="A242" sqref="A242:XFD243"/>
    </sheetView>
  </sheetViews>
  <sheetFormatPr baseColWidth="10" defaultColWidth="37.7109375" defaultRowHeight="15.75" x14ac:dyDescent="0.25"/>
  <cols>
    <col min="1" max="1" width="9.85546875" style="137" bestFit="1" customWidth="1"/>
    <col min="2" max="2" width="9" style="137" bestFit="1" customWidth="1"/>
    <col min="3" max="3" width="46.42578125" style="137" customWidth="1"/>
    <col min="4" max="4" width="9.85546875" style="137" bestFit="1" customWidth="1"/>
    <col min="5" max="5" width="9.140625" style="142" customWidth="1"/>
    <col min="6" max="6" width="16.42578125" style="137" customWidth="1"/>
    <col min="7" max="7" width="8.7109375" style="137" bestFit="1" customWidth="1"/>
    <col min="8" max="8" width="8" style="137" bestFit="1" customWidth="1"/>
    <col min="9" max="10" width="37.7109375" style="137"/>
    <col min="11" max="11" width="1.5703125" style="137" bestFit="1" customWidth="1"/>
    <col min="12" max="16384" width="37.7109375" style="137"/>
  </cols>
  <sheetData>
    <row r="1" spans="1:8" ht="16.5" thickBot="1" x14ac:dyDescent="0.3">
      <c r="A1" s="380" t="s">
        <v>14428</v>
      </c>
      <c r="B1" s="381"/>
      <c r="C1" s="381"/>
      <c r="D1" s="381"/>
      <c r="E1" s="381"/>
      <c r="F1" s="381"/>
      <c r="G1" s="143"/>
      <c r="H1" s="201"/>
    </row>
    <row r="2" spans="1:8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ht="31.5" x14ac:dyDescent="0.25">
      <c r="A3" s="134" t="s">
        <v>13595</v>
      </c>
      <c r="B3" s="134" t="s">
        <v>13637</v>
      </c>
      <c r="C3" s="134" t="s">
        <v>13636</v>
      </c>
      <c r="D3" s="134" t="s">
        <v>7349</v>
      </c>
      <c r="E3" s="139">
        <v>8.3800000000000008</v>
      </c>
      <c r="F3" s="134" t="s">
        <v>7348</v>
      </c>
      <c r="G3" s="134" t="s">
        <v>3007</v>
      </c>
      <c r="H3" s="123">
        <v>10722</v>
      </c>
    </row>
    <row r="4" spans="1:8" ht="31.5" x14ac:dyDescent="0.25">
      <c r="A4" s="134" t="s">
        <v>13595</v>
      </c>
      <c r="B4" s="134" t="s">
        <v>13635</v>
      </c>
      <c r="C4" s="134" t="s">
        <v>13634</v>
      </c>
      <c r="D4" s="134" t="s">
        <v>10305</v>
      </c>
      <c r="E4" s="139">
        <v>4.08</v>
      </c>
      <c r="F4" s="134" t="s">
        <v>10304</v>
      </c>
      <c r="G4" s="134" t="s">
        <v>3007</v>
      </c>
      <c r="H4" s="123">
        <v>10333</v>
      </c>
    </row>
    <row r="5" spans="1:8" ht="31.5" x14ac:dyDescent="0.25">
      <c r="A5" s="134" t="s">
        <v>13595</v>
      </c>
      <c r="B5" s="134" t="s">
        <v>13633</v>
      </c>
      <c r="C5" s="134" t="s">
        <v>13632</v>
      </c>
      <c r="D5" s="134" t="s">
        <v>8720</v>
      </c>
      <c r="E5" s="139">
        <v>25.14</v>
      </c>
      <c r="F5" s="134" t="s">
        <v>8719</v>
      </c>
      <c r="G5" s="134" t="s">
        <v>3007</v>
      </c>
      <c r="H5" s="123">
        <v>10334</v>
      </c>
    </row>
    <row r="6" spans="1:8" ht="31.5" x14ac:dyDescent="0.25">
      <c r="A6" s="134" t="s">
        <v>13595</v>
      </c>
      <c r="B6" s="134" t="s">
        <v>13631</v>
      </c>
      <c r="C6" s="134" t="s">
        <v>13630</v>
      </c>
      <c r="D6" s="134" t="s">
        <v>13629</v>
      </c>
      <c r="E6" s="139">
        <v>14.14</v>
      </c>
      <c r="F6" s="134" t="s">
        <v>13628</v>
      </c>
      <c r="G6" s="134" t="s">
        <v>3007</v>
      </c>
      <c r="H6" s="123">
        <v>10335</v>
      </c>
    </row>
    <row r="7" spans="1:8" ht="31.5" x14ac:dyDescent="0.25">
      <c r="A7" s="134" t="s">
        <v>13595</v>
      </c>
      <c r="B7" s="134" t="s">
        <v>13627</v>
      </c>
      <c r="C7" s="134" t="s">
        <v>13626</v>
      </c>
      <c r="D7" s="134" t="s">
        <v>4032</v>
      </c>
      <c r="E7" s="139">
        <v>6.72</v>
      </c>
      <c r="F7" s="134" t="s">
        <v>4031</v>
      </c>
      <c r="G7" s="134" t="s">
        <v>3007</v>
      </c>
      <c r="H7" s="123">
        <v>10336</v>
      </c>
    </row>
    <row r="8" spans="1:8" ht="31.5" x14ac:dyDescent="0.25">
      <c r="A8" s="134" t="s">
        <v>13595</v>
      </c>
      <c r="B8" s="134" t="s">
        <v>13625</v>
      </c>
      <c r="C8" s="134" t="s">
        <v>13624</v>
      </c>
      <c r="D8" s="134" t="s">
        <v>7585</v>
      </c>
      <c r="E8" s="139">
        <v>6.7</v>
      </c>
      <c r="F8" s="134" t="s">
        <v>7584</v>
      </c>
      <c r="G8" s="134" t="s">
        <v>3007</v>
      </c>
      <c r="H8" s="123">
        <v>10337</v>
      </c>
    </row>
    <row r="9" spans="1:8" ht="31.5" x14ac:dyDescent="0.25">
      <c r="A9" s="134" t="s">
        <v>13595</v>
      </c>
      <c r="B9" s="134" t="s">
        <v>13623</v>
      </c>
      <c r="C9" s="134" t="s">
        <v>13622</v>
      </c>
      <c r="D9" s="134" t="s">
        <v>4384</v>
      </c>
      <c r="E9" s="139">
        <v>3</v>
      </c>
      <c r="F9" s="134" t="s">
        <v>4383</v>
      </c>
      <c r="G9" s="134" t="s">
        <v>3007</v>
      </c>
      <c r="H9" s="123">
        <v>10338</v>
      </c>
    </row>
    <row r="10" spans="1:8" ht="31.5" x14ac:dyDescent="0.25">
      <c r="A10" s="134" t="s">
        <v>13595</v>
      </c>
      <c r="B10" s="134" t="s">
        <v>13621</v>
      </c>
      <c r="C10" s="134" t="s">
        <v>13620</v>
      </c>
      <c r="D10" s="134" t="s">
        <v>10173</v>
      </c>
      <c r="E10" s="139">
        <v>10.28</v>
      </c>
      <c r="F10" s="134" t="s">
        <v>10172</v>
      </c>
      <c r="G10" s="134" t="s">
        <v>3007</v>
      </c>
      <c r="H10" s="123">
        <v>10339</v>
      </c>
    </row>
    <row r="11" spans="1:8" ht="31.5" x14ac:dyDescent="0.25">
      <c r="A11" s="134" t="s">
        <v>13595</v>
      </c>
      <c r="B11" s="134" t="s">
        <v>13619</v>
      </c>
      <c r="C11" s="134" t="s">
        <v>13618</v>
      </c>
      <c r="D11" s="134" t="s">
        <v>7563</v>
      </c>
      <c r="E11" s="139">
        <v>8.18</v>
      </c>
      <c r="F11" s="134" t="s">
        <v>7562</v>
      </c>
      <c r="G11" s="134" t="s">
        <v>3007</v>
      </c>
      <c r="H11" s="123">
        <v>10340</v>
      </c>
    </row>
    <row r="12" spans="1:8" ht="31.5" x14ac:dyDescent="0.25">
      <c r="A12" s="134" t="s">
        <v>13595</v>
      </c>
      <c r="B12" s="134" t="s">
        <v>13617</v>
      </c>
      <c r="C12" s="134" t="s">
        <v>13616</v>
      </c>
      <c r="D12" s="134" t="s">
        <v>5983</v>
      </c>
      <c r="E12" s="139">
        <v>1.71</v>
      </c>
      <c r="F12" s="134" t="s">
        <v>5982</v>
      </c>
      <c r="G12" s="134" t="s">
        <v>3007</v>
      </c>
      <c r="H12" s="123">
        <v>10341</v>
      </c>
    </row>
    <row r="13" spans="1:8" ht="31.5" x14ac:dyDescent="0.25">
      <c r="A13" s="134" t="s">
        <v>13595</v>
      </c>
      <c r="B13" s="134" t="s">
        <v>12465</v>
      </c>
      <c r="C13" s="134" t="s">
        <v>13615</v>
      </c>
      <c r="D13" s="134" t="s">
        <v>3345</v>
      </c>
      <c r="E13" s="139">
        <v>1.68</v>
      </c>
      <c r="F13" s="134" t="s">
        <v>3344</v>
      </c>
      <c r="G13" s="134" t="s">
        <v>3007</v>
      </c>
      <c r="H13" s="123">
        <v>10342</v>
      </c>
    </row>
    <row r="14" spans="1:8" ht="31.5" x14ac:dyDescent="0.25">
      <c r="A14" s="134" t="s">
        <v>13595</v>
      </c>
      <c r="B14" s="134" t="s">
        <v>13614</v>
      </c>
      <c r="C14" s="134" t="s">
        <v>13613</v>
      </c>
      <c r="D14" s="134" t="s">
        <v>5634</v>
      </c>
      <c r="E14" s="139">
        <v>5.44</v>
      </c>
      <c r="F14" s="134" t="s">
        <v>5633</v>
      </c>
      <c r="G14" s="134" t="s">
        <v>3007</v>
      </c>
      <c r="H14" s="123">
        <v>10343</v>
      </c>
    </row>
    <row r="15" spans="1:8" ht="31.5" x14ac:dyDescent="0.25">
      <c r="A15" s="134" t="s">
        <v>13595</v>
      </c>
      <c r="B15" s="134" t="s">
        <v>13612</v>
      </c>
      <c r="C15" s="134" t="s">
        <v>13611</v>
      </c>
      <c r="D15" s="134" t="s">
        <v>4504</v>
      </c>
      <c r="E15" s="139">
        <v>9.33</v>
      </c>
      <c r="F15" s="134" t="s">
        <v>8051</v>
      </c>
      <c r="G15" s="134" t="s">
        <v>3007</v>
      </c>
      <c r="H15" s="123">
        <v>10344</v>
      </c>
    </row>
    <row r="16" spans="1:8" ht="31.5" x14ac:dyDescent="0.25">
      <c r="A16" s="134" t="s">
        <v>13595</v>
      </c>
      <c r="B16" s="134" t="s">
        <v>13610</v>
      </c>
      <c r="C16" s="134" t="s">
        <v>13609</v>
      </c>
      <c r="D16" s="134" t="s">
        <v>3723</v>
      </c>
      <c r="E16" s="139">
        <v>8.3800000000000008</v>
      </c>
      <c r="F16" s="134" t="s">
        <v>3722</v>
      </c>
      <c r="G16" s="134" t="s">
        <v>3007</v>
      </c>
      <c r="H16" s="123">
        <v>10345</v>
      </c>
    </row>
    <row r="17" spans="1:8" ht="31.5" x14ac:dyDescent="0.25">
      <c r="A17" s="134" t="s">
        <v>13595</v>
      </c>
      <c r="B17" s="134" t="s">
        <v>13608</v>
      </c>
      <c r="C17" s="134" t="s">
        <v>13607</v>
      </c>
      <c r="D17" s="134" t="s">
        <v>9986</v>
      </c>
      <c r="E17" s="139">
        <v>19.48</v>
      </c>
      <c r="F17" s="134" t="s">
        <v>9985</v>
      </c>
      <c r="G17" s="134" t="s">
        <v>3007</v>
      </c>
      <c r="H17" s="123">
        <v>10346</v>
      </c>
    </row>
    <row r="18" spans="1:8" ht="31.5" x14ac:dyDescent="0.25">
      <c r="A18" s="134" t="s">
        <v>13595</v>
      </c>
      <c r="B18" s="134" t="s">
        <v>13606</v>
      </c>
      <c r="C18" s="134" t="s">
        <v>13605</v>
      </c>
      <c r="D18" s="134" t="s">
        <v>9792</v>
      </c>
      <c r="E18" s="139">
        <v>3.94</v>
      </c>
      <c r="F18" s="134" t="s">
        <v>9791</v>
      </c>
      <c r="G18" s="134" t="s">
        <v>3007</v>
      </c>
      <c r="H18" s="123">
        <v>10347</v>
      </c>
    </row>
    <row r="19" spans="1:8" ht="31.5" x14ac:dyDescent="0.25">
      <c r="A19" s="134" t="s">
        <v>13595</v>
      </c>
      <c r="B19" s="134" t="s">
        <v>13604</v>
      </c>
      <c r="C19" s="134" t="s">
        <v>13603</v>
      </c>
      <c r="D19" s="134" t="s">
        <v>3123</v>
      </c>
      <c r="E19" s="139">
        <v>1.68</v>
      </c>
      <c r="F19" s="134" t="s">
        <v>3122</v>
      </c>
      <c r="G19" s="134" t="s">
        <v>3007</v>
      </c>
      <c r="H19" s="123">
        <v>10348</v>
      </c>
    </row>
    <row r="20" spans="1:8" ht="31.5" x14ac:dyDescent="0.25">
      <c r="A20" s="134" t="s">
        <v>13595</v>
      </c>
      <c r="B20" s="134" t="s">
        <v>13602</v>
      </c>
      <c r="C20" s="134" t="s">
        <v>13601</v>
      </c>
      <c r="D20" s="134" t="s">
        <v>6553</v>
      </c>
      <c r="E20" s="139">
        <v>5.55</v>
      </c>
      <c r="F20" s="134" t="s">
        <v>6552</v>
      </c>
      <c r="G20" s="134" t="s">
        <v>3007</v>
      </c>
      <c r="H20" s="123">
        <v>10349</v>
      </c>
    </row>
    <row r="21" spans="1:8" ht="31.5" x14ac:dyDescent="0.25">
      <c r="A21" s="134" t="s">
        <v>13595</v>
      </c>
      <c r="B21" s="134" t="s">
        <v>13600</v>
      </c>
      <c r="C21" s="134" t="s">
        <v>13599</v>
      </c>
      <c r="D21" s="134" t="s">
        <v>12131</v>
      </c>
      <c r="E21" s="139">
        <v>4.5999999999999996</v>
      </c>
      <c r="F21" s="134" t="s">
        <v>12130</v>
      </c>
      <c r="G21" s="134" t="s">
        <v>3007</v>
      </c>
      <c r="H21" s="123">
        <v>10350</v>
      </c>
    </row>
    <row r="22" spans="1:8" ht="31.5" x14ac:dyDescent="0.25">
      <c r="A22" s="134" t="s">
        <v>13595</v>
      </c>
      <c r="B22" s="134" t="s">
        <v>12240</v>
      </c>
      <c r="C22" s="134" t="s">
        <v>13598</v>
      </c>
      <c r="D22" s="134" t="s">
        <v>13597</v>
      </c>
      <c r="E22" s="139">
        <v>2.44</v>
      </c>
      <c r="F22" s="134" t="s">
        <v>13596</v>
      </c>
      <c r="G22" s="134" t="s">
        <v>3007</v>
      </c>
      <c r="H22" s="123">
        <v>10351</v>
      </c>
    </row>
    <row r="23" spans="1:8" ht="31.5" x14ac:dyDescent="0.25">
      <c r="A23" s="134" t="s">
        <v>13595</v>
      </c>
      <c r="B23" s="134" t="s">
        <v>13594</v>
      </c>
      <c r="C23" s="134" t="s">
        <v>13593</v>
      </c>
      <c r="D23" s="134" t="s">
        <v>5024</v>
      </c>
      <c r="E23" s="139">
        <v>8.3800000000000008</v>
      </c>
      <c r="F23" s="134" t="s">
        <v>5023</v>
      </c>
      <c r="G23" s="134" t="s">
        <v>3007</v>
      </c>
      <c r="H23" s="123">
        <v>10352</v>
      </c>
    </row>
    <row r="24" spans="1:8" ht="31.5" x14ac:dyDescent="0.25">
      <c r="A24" s="134" t="s">
        <v>13545</v>
      </c>
      <c r="B24" s="134" t="s">
        <v>13592</v>
      </c>
      <c r="C24" s="134" t="s">
        <v>13591</v>
      </c>
      <c r="D24" s="134" t="s">
        <v>11453</v>
      </c>
      <c r="E24" s="139">
        <v>2.35</v>
      </c>
      <c r="F24" s="134" t="s">
        <v>11452</v>
      </c>
      <c r="G24" s="134" t="s">
        <v>3007</v>
      </c>
      <c r="H24" s="123">
        <v>10386</v>
      </c>
    </row>
    <row r="25" spans="1:8" ht="31.5" x14ac:dyDescent="0.25">
      <c r="A25" s="134" t="s">
        <v>13545</v>
      </c>
      <c r="B25" s="134" t="s">
        <v>13590</v>
      </c>
      <c r="C25" s="134" t="s">
        <v>13589</v>
      </c>
      <c r="D25" s="134" t="s">
        <v>4488</v>
      </c>
      <c r="E25" s="139">
        <v>4.83</v>
      </c>
      <c r="F25" s="134" t="s">
        <v>4487</v>
      </c>
      <c r="G25" s="134" t="s">
        <v>3007</v>
      </c>
      <c r="H25" s="123">
        <v>10387</v>
      </c>
    </row>
    <row r="26" spans="1:8" ht="31.5" x14ac:dyDescent="0.25">
      <c r="A26" s="134" t="s">
        <v>13545</v>
      </c>
      <c r="B26" s="134" t="s">
        <v>13588</v>
      </c>
      <c r="C26" s="134" t="s">
        <v>13587</v>
      </c>
      <c r="D26" s="134" t="s">
        <v>3583</v>
      </c>
      <c r="E26" s="139">
        <v>8.0399999999999991</v>
      </c>
      <c r="F26" s="134" t="s">
        <v>3582</v>
      </c>
      <c r="G26" s="134" t="s">
        <v>3007</v>
      </c>
      <c r="H26" s="123">
        <v>10388</v>
      </c>
    </row>
    <row r="27" spans="1:8" ht="31.5" x14ac:dyDescent="0.25">
      <c r="A27" s="134" t="s">
        <v>13545</v>
      </c>
      <c r="B27" s="134" t="s">
        <v>13586</v>
      </c>
      <c r="C27" s="134" t="s">
        <v>13585</v>
      </c>
      <c r="D27" s="134" t="s">
        <v>3979</v>
      </c>
      <c r="E27" s="139">
        <v>5.04</v>
      </c>
      <c r="F27" s="134" t="s">
        <v>3978</v>
      </c>
      <c r="G27" s="134" t="s">
        <v>3007</v>
      </c>
      <c r="H27" s="123">
        <v>10390</v>
      </c>
    </row>
    <row r="28" spans="1:8" ht="31.5" x14ac:dyDescent="0.25">
      <c r="A28" s="134" t="s">
        <v>13545</v>
      </c>
      <c r="B28" s="134" t="s">
        <v>13584</v>
      </c>
      <c r="C28" s="134" t="s">
        <v>13583</v>
      </c>
      <c r="D28" s="134" t="s">
        <v>6022</v>
      </c>
      <c r="E28" s="139">
        <v>1.68</v>
      </c>
      <c r="F28" s="134" t="s">
        <v>6021</v>
      </c>
      <c r="G28" s="134" t="s">
        <v>3007</v>
      </c>
      <c r="H28" s="123">
        <v>10391</v>
      </c>
    </row>
    <row r="29" spans="1:8" ht="31.5" x14ac:dyDescent="0.25">
      <c r="A29" s="134" t="s">
        <v>13545</v>
      </c>
      <c r="B29" s="134" t="s">
        <v>13582</v>
      </c>
      <c r="C29" s="134" t="s">
        <v>13581</v>
      </c>
      <c r="D29" s="134" t="s">
        <v>6317</v>
      </c>
      <c r="E29" s="139">
        <v>2.95</v>
      </c>
      <c r="F29" s="134" t="s">
        <v>6316</v>
      </c>
      <c r="G29" s="134" t="s">
        <v>3007</v>
      </c>
      <c r="H29" s="124">
        <v>10392</v>
      </c>
    </row>
    <row r="30" spans="1:8" ht="31.5" x14ac:dyDescent="0.25">
      <c r="A30" s="134" t="s">
        <v>13545</v>
      </c>
      <c r="B30" s="134" t="s">
        <v>13580</v>
      </c>
      <c r="C30" s="134" t="s">
        <v>13579</v>
      </c>
      <c r="D30" s="134" t="s">
        <v>4712</v>
      </c>
      <c r="E30" s="139">
        <v>8.09</v>
      </c>
      <c r="F30" s="134" t="s">
        <v>4711</v>
      </c>
      <c r="G30" s="134" t="s">
        <v>3007</v>
      </c>
      <c r="H30" s="124">
        <v>10393</v>
      </c>
    </row>
    <row r="31" spans="1:8" ht="31.5" x14ac:dyDescent="0.25">
      <c r="A31" s="134" t="s">
        <v>13545</v>
      </c>
      <c r="B31" s="134" t="s">
        <v>13578</v>
      </c>
      <c r="C31" s="134" t="s">
        <v>13577</v>
      </c>
      <c r="D31" s="134" t="s">
        <v>6053</v>
      </c>
      <c r="E31" s="139">
        <v>1.87</v>
      </c>
      <c r="F31" s="134" t="s">
        <v>6052</v>
      </c>
      <c r="G31" s="134" t="s">
        <v>3007</v>
      </c>
      <c r="H31" s="124">
        <v>10394</v>
      </c>
    </row>
    <row r="32" spans="1:8" ht="31.5" x14ac:dyDescent="0.25">
      <c r="A32" s="134" t="s">
        <v>13545</v>
      </c>
      <c r="B32" s="134" t="s">
        <v>13576</v>
      </c>
      <c r="C32" s="134" t="s">
        <v>13575</v>
      </c>
      <c r="D32" s="134" t="s">
        <v>7160</v>
      </c>
      <c r="E32" s="139">
        <v>2.92</v>
      </c>
      <c r="F32" s="134" t="s">
        <v>7159</v>
      </c>
      <c r="G32" s="134" t="s">
        <v>3007</v>
      </c>
      <c r="H32" s="124">
        <v>10395</v>
      </c>
    </row>
    <row r="33" spans="1:11" ht="31.5" x14ac:dyDescent="0.25">
      <c r="A33" s="134" t="s">
        <v>13545</v>
      </c>
      <c r="B33" s="134" t="s">
        <v>13574</v>
      </c>
      <c r="C33" s="134" t="s">
        <v>13573</v>
      </c>
      <c r="D33" s="134" t="s">
        <v>3235</v>
      </c>
      <c r="E33" s="139">
        <v>2.67</v>
      </c>
      <c r="F33" s="134" t="s">
        <v>3234</v>
      </c>
      <c r="G33" s="134" t="s">
        <v>3007</v>
      </c>
      <c r="H33" s="124">
        <v>10396</v>
      </c>
    </row>
    <row r="34" spans="1:11" ht="31.5" x14ac:dyDescent="0.25">
      <c r="A34" s="134" t="s">
        <v>13545</v>
      </c>
      <c r="B34" s="134" t="s">
        <v>13572</v>
      </c>
      <c r="C34" s="134" t="s">
        <v>13571</v>
      </c>
      <c r="D34" s="134" t="s">
        <v>3940</v>
      </c>
      <c r="E34" s="139">
        <v>2.69</v>
      </c>
      <c r="F34" s="134" t="s">
        <v>3939</v>
      </c>
      <c r="G34" s="134" t="s">
        <v>3007</v>
      </c>
      <c r="H34" s="124">
        <v>10397</v>
      </c>
    </row>
    <row r="35" spans="1:11" ht="31.5" x14ac:dyDescent="0.25">
      <c r="A35" s="134" t="s">
        <v>13545</v>
      </c>
      <c r="B35" s="134" t="s">
        <v>10793</v>
      </c>
      <c r="C35" s="134" t="s">
        <v>13570</v>
      </c>
      <c r="D35" s="134" t="s">
        <v>9822</v>
      </c>
      <c r="E35" s="139">
        <v>7.24</v>
      </c>
      <c r="F35" s="134" t="s">
        <v>9821</v>
      </c>
      <c r="G35" s="134" t="s">
        <v>3007</v>
      </c>
      <c r="H35" s="124">
        <v>10398</v>
      </c>
    </row>
    <row r="36" spans="1:11" ht="31.5" x14ac:dyDescent="0.25">
      <c r="A36" s="134" t="s">
        <v>13545</v>
      </c>
      <c r="B36" s="134" t="s">
        <v>13569</v>
      </c>
      <c r="C36" s="134" t="s">
        <v>13568</v>
      </c>
      <c r="D36" s="134" t="s">
        <v>9696</v>
      </c>
      <c r="E36" s="139">
        <v>9.35</v>
      </c>
      <c r="F36" s="134" t="s">
        <v>9695</v>
      </c>
      <c r="G36" s="134" t="s">
        <v>3007</v>
      </c>
      <c r="H36" s="124">
        <v>10399</v>
      </c>
    </row>
    <row r="37" spans="1:11" ht="31.5" x14ac:dyDescent="0.25">
      <c r="A37" s="134" t="s">
        <v>13545</v>
      </c>
      <c r="B37" s="134" t="s">
        <v>13567</v>
      </c>
      <c r="C37" s="134" t="s">
        <v>13566</v>
      </c>
      <c r="D37" s="134" t="s">
        <v>3563</v>
      </c>
      <c r="E37" s="139">
        <v>6.94</v>
      </c>
      <c r="F37" s="134" t="s">
        <v>3562</v>
      </c>
      <c r="G37" s="134" t="s">
        <v>3007</v>
      </c>
      <c r="H37" s="123">
        <v>10400</v>
      </c>
    </row>
    <row r="38" spans="1:11" ht="31.5" x14ac:dyDescent="0.25">
      <c r="A38" s="134" t="s">
        <v>13545</v>
      </c>
      <c r="B38" s="134" t="s">
        <v>13565</v>
      </c>
      <c r="C38" s="134" t="s">
        <v>13564</v>
      </c>
      <c r="D38" s="134" t="s">
        <v>11833</v>
      </c>
      <c r="E38" s="139">
        <v>6.21</v>
      </c>
      <c r="F38" s="134" t="s">
        <v>11832</v>
      </c>
      <c r="G38" s="134" t="s">
        <v>3007</v>
      </c>
      <c r="H38" s="123">
        <v>10403</v>
      </c>
    </row>
    <row r="39" spans="1:11" ht="31.5" x14ac:dyDescent="0.25">
      <c r="A39" s="134" t="s">
        <v>13545</v>
      </c>
      <c r="B39" s="134" t="s">
        <v>13563</v>
      </c>
      <c r="C39" s="134" t="s">
        <v>13562</v>
      </c>
      <c r="D39" s="134" t="s">
        <v>5210</v>
      </c>
      <c r="E39" s="139">
        <v>2.35</v>
      </c>
      <c r="F39" s="134" t="s">
        <v>5209</v>
      </c>
      <c r="G39" s="134" t="s">
        <v>3007</v>
      </c>
      <c r="H39" s="123">
        <v>10407</v>
      </c>
    </row>
    <row r="40" spans="1:11" ht="31.5" x14ac:dyDescent="0.25">
      <c r="A40" s="134" t="s">
        <v>13545</v>
      </c>
      <c r="B40" s="134" t="s">
        <v>13561</v>
      </c>
      <c r="C40" s="134" t="s">
        <v>13560</v>
      </c>
      <c r="D40" s="134" t="s">
        <v>10443</v>
      </c>
      <c r="E40" s="139">
        <v>9.0299999999999994</v>
      </c>
      <c r="F40" s="134" t="s">
        <v>10442</v>
      </c>
      <c r="G40" s="134" t="s">
        <v>3007</v>
      </c>
      <c r="H40" s="123">
        <v>10411</v>
      </c>
    </row>
    <row r="41" spans="1:11" ht="31.5" x14ac:dyDescent="0.25">
      <c r="A41" s="134" t="s">
        <v>13545</v>
      </c>
      <c r="B41" s="134" t="s">
        <v>9896</v>
      </c>
      <c r="C41" s="134" t="s">
        <v>13559</v>
      </c>
      <c r="D41" s="134" t="s">
        <v>3341</v>
      </c>
      <c r="E41" s="139">
        <v>2.09</v>
      </c>
      <c r="F41" s="134" t="s">
        <v>3340</v>
      </c>
      <c r="G41" s="134" t="s">
        <v>3007</v>
      </c>
      <c r="H41" s="123">
        <v>10413</v>
      </c>
    </row>
    <row r="42" spans="1:11" ht="31.5" x14ac:dyDescent="0.25">
      <c r="A42" s="134" t="s">
        <v>13545</v>
      </c>
      <c r="B42" s="134" t="s">
        <v>13558</v>
      </c>
      <c r="C42" s="134" t="s">
        <v>13557</v>
      </c>
      <c r="D42" s="134" t="s">
        <v>4457</v>
      </c>
      <c r="E42" s="139">
        <v>2.0499999999999998</v>
      </c>
      <c r="F42" s="134" t="s">
        <v>4456</v>
      </c>
      <c r="G42" s="134" t="s">
        <v>3007</v>
      </c>
      <c r="H42" s="123">
        <v>10414</v>
      </c>
    </row>
    <row r="43" spans="1:11" ht="31.5" x14ac:dyDescent="0.25">
      <c r="A43" s="134" t="s">
        <v>13545</v>
      </c>
      <c r="B43" s="134" t="s">
        <v>13556</v>
      </c>
      <c r="C43" s="134" t="s">
        <v>13555</v>
      </c>
      <c r="D43" s="134" t="s">
        <v>7553</v>
      </c>
      <c r="E43" s="139">
        <v>7.08</v>
      </c>
      <c r="F43" s="134" t="s">
        <v>7552</v>
      </c>
      <c r="G43" s="134" t="s">
        <v>3007</v>
      </c>
      <c r="H43" s="123">
        <v>10415</v>
      </c>
    </row>
    <row r="44" spans="1:11" ht="31.5" x14ac:dyDescent="0.25">
      <c r="A44" s="134" t="s">
        <v>13545</v>
      </c>
      <c r="B44" s="134" t="s">
        <v>11796</v>
      </c>
      <c r="C44" s="134" t="s">
        <v>13554</v>
      </c>
      <c r="D44" s="134" t="s">
        <v>13553</v>
      </c>
      <c r="E44" s="139">
        <v>7.12</v>
      </c>
      <c r="F44" s="134" t="s">
        <v>13552</v>
      </c>
      <c r="G44" s="134" t="s">
        <v>3007</v>
      </c>
      <c r="H44" s="123">
        <v>10416</v>
      </c>
    </row>
    <row r="45" spans="1:11" ht="31.5" x14ac:dyDescent="0.25">
      <c r="A45" s="134" t="s">
        <v>13545</v>
      </c>
      <c r="B45" s="134" t="s">
        <v>13551</v>
      </c>
      <c r="C45" s="134" t="s">
        <v>13550</v>
      </c>
      <c r="D45" s="134" t="s">
        <v>12141</v>
      </c>
      <c r="E45" s="139">
        <v>2.3199999999999998</v>
      </c>
      <c r="F45" s="134" t="s">
        <v>12140</v>
      </c>
      <c r="G45" s="134" t="s">
        <v>3007</v>
      </c>
      <c r="H45" s="123">
        <v>10417</v>
      </c>
    </row>
    <row r="46" spans="1:11" ht="31.5" x14ac:dyDescent="0.25">
      <c r="A46" s="134" t="s">
        <v>13545</v>
      </c>
      <c r="B46" s="134" t="s">
        <v>13549</v>
      </c>
      <c r="C46" s="134" t="s">
        <v>13548</v>
      </c>
      <c r="D46" s="134" t="s">
        <v>5202</v>
      </c>
      <c r="E46" s="139">
        <v>4.5999999999999996</v>
      </c>
      <c r="F46" s="134" t="s">
        <v>5201</v>
      </c>
      <c r="G46" s="134" t="s">
        <v>3007</v>
      </c>
      <c r="H46" s="123">
        <v>10418</v>
      </c>
      <c r="K46" s="137" t="s">
        <v>5521</v>
      </c>
    </row>
    <row r="47" spans="1:11" ht="31.5" x14ac:dyDescent="0.25">
      <c r="A47" s="134" t="s">
        <v>13545</v>
      </c>
      <c r="B47" s="134" t="s">
        <v>13547</v>
      </c>
      <c r="C47" s="134" t="s">
        <v>13546</v>
      </c>
      <c r="D47" s="134" t="s">
        <v>6580</v>
      </c>
      <c r="E47" s="139">
        <v>4.84</v>
      </c>
      <c r="F47" s="134" t="s">
        <v>6579</v>
      </c>
      <c r="G47" s="134" t="s">
        <v>3007</v>
      </c>
      <c r="H47" s="123">
        <v>10419</v>
      </c>
    </row>
    <row r="48" spans="1:11" ht="31.5" x14ac:dyDescent="0.25">
      <c r="A48" s="134" t="s">
        <v>13545</v>
      </c>
      <c r="B48" s="134" t="s">
        <v>13544</v>
      </c>
      <c r="C48" s="134" t="s">
        <v>13543</v>
      </c>
      <c r="D48" s="134" t="s">
        <v>4480</v>
      </c>
      <c r="E48" s="139">
        <v>7.21</v>
      </c>
      <c r="F48" s="134" t="s">
        <v>4476</v>
      </c>
      <c r="G48" s="134" t="s">
        <v>3007</v>
      </c>
      <c r="H48" s="123">
        <v>10420</v>
      </c>
    </row>
    <row r="49" spans="1:8" ht="31.5" x14ac:dyDescent="0.25">
      <c r="A49" s="134" t="s">
        <v>13479</v>
      </c>
      <c r="B49" s="134" t="s">
        <v>13542</v>
      </c>
      <c r="C49" s="134" t="s">
        <v>13541</v>
      </c>
      <c r="D49" s="134" t="s">
        <v>4933</v>
      </c>
      <c r="E49" s="139">
        <v>22.04</v>
      </c>
      <c r="F49" s="134" t="s">
        <v>4932</v>
      </c>
      <c r="G49" s="134" t="s">
        <v>3007</v>
      </c>
      <c r="H49" s="123">
        <v>10421</v>
      </c>
    </row>
    <row r="50" spans="1:8" ht="31.5" x14ac:dyDescent="0.25">
      <c r="A50" s="134" t="s">
        <v>13479</v>
      </c>
      <c r="B50" s="134" t="s">
        <v>13540</v>
      </c>
      <c r="C50" s="134" t="s">
        <v>13539</v>
      </c>
      <c r="D50" s="134" t="s">
        <v>13538</v>
      </c>
      <c r="E50" s="139">
        <v>1.72</v>
      </c>
      <c r="F50" s="134" t="s">
        <v>13537</v>
      </c>
      <c r="G50" s="134" t="s">
        <v>3007</v>
      </c>
      <c r="H50" s="123">
        <v>10422</v>
      </c>
    </row>
    <row r="51" spans="1:8" ht="31.5" x14ac:dyDescent="0.25">
      <c r="A51" s="134" t="s">
        <v>13479</v>
      </c>
      <c r="B51" s="134" t="s">
        <v>13536</v>
      </c>
      <c r="C51" s="134" t="s">
        <v>13535</v>
      </c>
      <c r="D51" s="134" t="s">
        <v>13534</v>
      </c>
      <c r="E51" s="139">
        <v>3.03</v>
      </c>
      <c r="F51" s="134" t="s">
        <v>13533</v>
      </c>
      <c r="G51" s="134" t="s">
        <v>3007</v>
      </c>
      <c r="H51" s="123">
        <v>10423</v>
      </c>
    </row>
    <row r="52" spans="1:8" ht="31.5" x14ac:dyDescent="0.25">
      <c r="A52" s="134" t="s">
        <v>13479</v>
      </c>
      <c r="B52" s="134" t="s">
        <v>13532</v>
      </c>
      <c r="C52" s="134" t="s">
        <v>13531</v>
      </c>
      <c r="D52" s="134" t="s">
        <v>3502</v>
      </c>
      <c r="E52" s="139">
        <v>4.12</v>
      </c>
      <c r="F52" s="134" t="s">
        <v>3498</v>
      </c>
      <c r="G52" s="134" t="s">
        <v>3007</v>
      </c>
      <c r="H52" s="123">
        <v>10424</v>
      </c>
    </row>
    <row r="53" spans="1:8" ht="31.5" x14ac:dyDescent="0.25">
      <c r="A53" s="134" t="s">
        <v>13479</v>
      </c>
      <c r="B53" s="134" t="s">
        <v>13530</v>
      </c>
      <c r="C53" s="134" t="s">
        <v>13529</v>
      </c>
      <c r="D53" s="134" t="s">
        <v>7843</v>
      </c>
      <c r="E53" s="139">
        <v>7.12</v>
      </c>
      <c r="F53" s="134" t="s">
        <v>7842</v>
      </c>
      <c r="G53" s="134" t="s">
        <v>3007</v>
      </c>
      <c r="H53" s="123">
        <v>10425</v>
      </c>
    </row>
    <row r="54" spans="1:8" ht="31.5" x14ac:dyDescent="0.25">
      <c r="A54" s="134" t="s">
        <v>13479</v>
      </c>
      <c r="B54" s="134" t="s">
        <v>13528</v>
      </c>
      <c r="C54" s="134" t="s">
        <v>13527</v>
      </c>
      <c r="D54" s="134" t="s">
        <v>5102</v>
      </c>
      <c r="E54" s="139">
        <v>62.98</v>
      </c>
      <c r="F54" s="134" t="s">
        <v>5101</v>
      </c>
      <c r="G54" s="134" t="s">
        <v>3007</v>
      </c>
      <c r="H54" s="123">
        <v>10426</v>
      </c>
    </row>
    <row r="55" spans="1:8" ht="31.5" x14ac:dyDescent="0.25">
      <c r="A55" s="134" t="s">
        <v>13479</v>
      </c>
      <c r="B55" s="134" t="s">
        <v>13526</v>
      </c>
      <c r="C55" s="134" t="s">
        <v>13525</v>
      </c>
      <c r="D55" s="134" t="s">
        <v>3546</v>
      </c>
      <c r="E55" s="139">
        <v>15.93</v>
      </c>
      <c r="F55" s="134" t="s">
        <v>3545</v>
      </c>
      <c r="G55" s="134" t="s">
        <v>3007</v>
      </c>
      <c r="H55" s="123">
        <v>10427</v>
      </c>
    </row>
    <row r="56" spans="1:8" ht="17.25" customHeight="1" x14ac:dyDescent="0.25">
      <c r="A56" s="134" t="s">
        <v>13479</v>
      </c>
      <c r="B56" s="134" t="s">
        <v>4584</v>
      </c>
      <c r="C56" s="134" t="s">
        <v>13524</v>
      </c>
      <c r="D56" s="134" t="s">
        <v>10345</v>
      </c>
      <c r="E56" s="139">
        <v>6.94</v>
      </c>
      <c r="F56" s="134" t="s">
        <v>10344</v>
      </c>
      <c r="G56" s="134" t="s">
        <v>3007</v>
      </c>
      <c r="H56" s="123">
        <v>10428</v>
      </c>
    </row>
    <row r="57" spans="1:8" ht="31.5" x14ac:dyDescent="0.25">
      <c r="A57" s="134" t="s">
        <v>13479</v>
      </c>
      <c r="B57" s="134" t="s">
        <v>13523</v>
      </c>
      <c r="C57" s="134" t="s">
        <v>13522</v>
      </c>
      <c r="D57" s="134" t="s">
        <v>4823</v>
      </c>
      <c r="E57" s="139">
        <v>4.51</v>
      </c>
      <c r="F57" s="134" t="s">
        <v>4822</v>
      </c>
      <c r="G57" s="134" t="s">
        <v>3007</v>
      </c>
      <c r="H57" s="123">
        <v>10429</v>
      </c>
    </row>
    <row r="58" spans="1:8" ht="31.5" x14ac:dyDescent="0.25">
      <c r="A58" s="134" t="s">
        <v>13479</v>
      </c>
      <c r="B58" s="134" t="s">
        <v>13521</v>
      </c>
      <c r="C58" s="134" t="s">
        <v>13520</v>
      </c>
      <c r="D58" s="134" t="s">
        <v>9615</v>
      </c>
      <c r="E58" s="139">
        <v>2.56</v>
      </c>
      <c r="F58" s="134" t="s">
        <v>9614</v>
      </c>
      <c r="G58" s="134" t="s">
        <v>3007</v>
      </c>
      <c r="H58" s="123">
        <v>10430</v>
      </c>
    </row>
    <row r="59" spans="1:8" ht="31.5" x14ac:dyDescent="0.25">
      <c r="A59" s="134" t="s">
        <v>13479</v>
      </c>
      <c r="B59" s="134" t="s">
        <v>13519</v>
      </c>
      <c r="C59" s="134" t="s">
        <v>13518</v>
      </c>
      <c r="D59" s="134" t="s">
        <v>4847</v>
      </c>
      <c r="E59" s="139">
        <v>2.5299999999999998</v>
      </c>
      <c r="F59" s="134" t="s">
        <v>4846</v>
      </c>
      <c r="G59" s="134" t="s">
        <v>3007</v>
      </c>
      <c r="H59" s="123">
        <v>10431</v>
      </c>
    </row>
    <row r="60" spans="1:8" ht="31.5" x14ac:dyDescent="0.25">
      <c r="A60" s="134" t="s">
        <v>13479</v>
      </c>
      <c r="B60" s="134" t="s">
        <v>13517</v>
      </c>
      <c r="C60" s="134" t="s">
        <v>13516</v>
      </c>
      <c r="D60" s="134" t="s">
        <v>10559</v>
      </c>
      <c r="E60" s="139">
        <v>11.05</v>
      </c>
      <c r="F60" s="134" t="s">
        <v>10558</v>
      </c>
      <c r="G60" s="134" t="s">
        <v>3007</v>
      </c>
      <c r="H60" s="123">
        <v>10432</v>
      </c>
    </row>
    <row r="61" spans="1:8" ht="31.5" x14ac:dyDescent="0.25">
      <c r="A61" s="134" t="s">
        <v>13479</v>
      </c>
      <c r="B61" s="134" t="s">
        <v>9839</v>
      </c>
      <c r="C61" s="134" t="s">
        <v>13515</v>
      </c>
      <c r="D61" s="134" t="s">
        <v>5618</v>
      </c>
      <c r="E61" s="139">
        <v>1.68</v>
      </c>
      <c r="F61" s="134" t="s">
        <v>5617</v>
      </c>
      <c r="G61" s="134" t="s">
        <v>3007</v>
      </c>
      <c r="H61" s="123">
        <v>10433</v>
      </c>
    </row>
    <row r="62" spans="1:8" ht="31.5" x14ac:dyDescent="0.25">
      <c r="A62" s="134" t="s">
        <v>13479</v>
      </c>
      <c r="B62" s="134" t="s">
        <v>5062</v>
      </c>
      <c r="C62" s="134" t="s">
        <v>13514</v>
      </c>
      <c r="D62" s="134" t="s">
        <v>7682</v>
      </c>
      <c r="E62" s="139">
        <v>27.75</v>
      </c>
      <c r="F62" s="134" t="s">
        <v>7681</v>
      </c>
      <c r="G62" s="134" t="s">
        <v>3007</v>
      </c>
      <c r="H62" s="123">
        <v>10434</v>
      </c>
    </row>
    <row r="63" spans="1:8" ht="31.5" x14ac:dyDescent="0.25">
      <c r="A63" s="134" t="s">
        <v>13479</v>
      </c>
      <c r="B63" s="134" t="s">
        <v>12490</v>
      </c>
      <c r="C63" s="134" t="s">
        <v>13513</v>
      </c>
      <c r="D63" s="134" t="s">
        <v>5486</v>
      </c>
      <c r="E63" s="139">
        <v>5.19</v>
      </c>
      <c r="F63" s="134" t="s">
        <v>5485</v>
      </c>
      <c r="G63" s="134" t="s">
        <v>3007</v>
      </c>
      <c r="H63" s="123">
        <v>10435</v>
      </c>
    </row>
    <row r="64" spans="1:8" ht="31.5" x14ac:dyDescent="0.25">
      <c r="A64" s="134" t="s">
        <v>13479</v>
      </c>
      <c r="B64" s="134" t="s">
        <v>13512</v>
      </c>
      <c r="C64" s="134" t="s">
        <v>13511</v>
      </c>
      <c r="D64" s="134" t="s">
        <v>10121</v>
      </c>
      <c r="E64" s="139">
        <v>17.73</v>
      </c>
      <c r="F64" s="134" t="s">
        <v>10120</v>
      </c>
      <c r="G64" s="134" t="s">
        <v>3007</v>
      </c>
      <c r="H64" s="123">
        <v>10436</v>
      </c>
    </row>
    <row r="65" spans="1:8" ht="31.5" x14ac:dyDescent="0.25">
      <c r="A65" s="134" t="s">
        <v>13479</v>
      </c>
      <c r="B65" s="134" t="s">
        <v>13510</v>
      </c>
      <c r="C65" s="134" t="s">
        <v>13509</v>
      </c>
      <c r="D65" s="134" t="s">
        <v>7113</v>
      </c>
      <c r="E65" s="139">
        <v>2.7</v>
      </c>
      <c r="F65" s="134" t="s">
        <v>7112</v>
      </c>
      <c r="G65" s="134" t="s">
        <v>3007</v>
      </c>
      <c r="H65" s="123">
        <v>10437</v>
      </c>
    </row>
    <row r="66" spans="1:8" ht="31.5" x14ac:dyDescent="0.25">
      <c r="A66" s="134" t="s">
        <v>13479</v>
      </c>
      <c r="B66" s="134" t="s">
        <v>13508</v>
      </c>
      <c r="C66" s="134" t="s">
        <v>13507</v>
      </c>
      <c r="D66" s="134" t="s">
        <v>7031</v>
      </c>
      <c r="E66" s="139">
        <v>3.6</v>
      </c>
      <c r="F66" s="134" t="s">
        <v>7030</v>
      </c>
      <c r="G66" s="134" t="s">
        <v>3007</v>
      </c>
      <c r="H66" s="123">
        <v>10438</v>
      </c>
    </row>
    <row r="67" spans="1:8" ht="31.5" x14ac:dyDescent="0.25">
      <c r="A67" s="134" t="s">
        <v>13479</v>
      </c>
      <c r="B67" s="134" t="s">
        <v>13506</v>
      </c>
      <c r="C67" s="134" t="s">
        <v>13505</v>
      </c>
      <c r="D67" s="134" t="s">
        <v>3499</v>
      </c>
      <c r="E67" s="139">
        <v>0.13</v>
      </c>
      <c r="F67" s="134" t="s">
        <v>13504</v>
      </c>
      <c r="G67" s="134" t="s">
        <v>3007</v>
      </c>
      <c r="H67" s="123">
        <v>10439</v>
      </c>
    </row>
    <row r="68" spans="1:8" ht="31.5" x14ac:dyDescent="0.25">
      <c r="A68" s="134" t="s">
        <v>13479</v>
      </c>
      <c r="B68" s="134" t="s">
        <v>13503</v>
      </c>
      <c r="C68" s="134" t="s">
        <v>13502</v>
      </c>
      <c r="D68" s="134" t="s">
        <v>7066</v>
      </c>
      <c r="E68" s="139">
        <v>9.35</v>
      </c>
      <c r="F68" s="134" t="s">
        <v>7065</v>
      </c>
      <c r="G68" s="134" t="s">
        <v>3007</v>
      </c>
      <c r="H68" s="123">
        <v>10440</v>
      </c>
    </row>
    <row r="69" spans="1:8" ht="31.5" x14ac:dyDescent="0.25">
      <c r="A69" s="134" t="s">
        <v>13479</v>
      </c>
      <c r="B69" s="134" t="s">
        <v>13501</v>
      </c>
      <c r="C69" s="134" t="s">
        <v>13500</v>
      </c>
      <c r="D69" s="134" t="s">
        <v>13499</v>
      </c>
      <c r="E69" s="139">
        <v>3.7</v>
      </c>
      <c r="F69" s="134" t="s">
        <v>13498</v>
      </c>
      <c r="G69" s="134" t="s">
        <v>3007</v>
      </c>
      <c r="H69" s="123">
        <v>10441</v>
      </c>
    </row>
    <row r="70" spans="1:8" ht="31.5" x14ac:dyDescent="0.25">
      <c r="A70" s="134" t="s">
        <v>13479</v>
      </c>
      <c r="B70" s="134" t="s">
        <v>13497</v>
      </c>
      <c r="C70" s="134" t="s">
        <v>13496</v>
      </c>
      <c r="D70" s="134" t="s">
        <v>5470</v>
      </c>
      <c r="E70" s="139">
        <v>5.38</v>
      </c>
      <c r="F70" s="134" t="s">
        <v>5469</v>
      </c>
      <c r="G70" s="134" t="s">
        <v>3007</v>
      </c>
      <c r="H70" s="123">
        <v>10442</v>
      </c>
    </row>
    <row r="71" spans="1:8" ht="31.5" x14ac:dyDescent="0.25">
      <c r="A71" s="134" t="s">
        <v>13479</v>
      </c>
      <c r="B71" s="134" t="s">
        <v>13495</v>
      </c>
      <c r="C71" s="134" t="s">
        <v>13494</v>
      </c>
      <c r="D71" s="134" t="s">
        <v>5285</v>
      </c>
      <c r="E71" s="139">
        <v>9</v>
      </c>
      <c r="F71" s="134" t="s">
        <v>5284</v>
      </c>
      <c r="G71" s="134" t="s">
        <v>3007</v>
      </c>
      <c r="H71" s="123">
        <v>10443</v>
      </c>
    </row>
    <row r="72" spans="1:8" ht="31.5" x14ac:dyDescent="0.25">
      <c r="A72" s="134" t="s">
        <v>13479</v>
      </c>
      <c r="B72" s="134" t="s">
        <v>13493</v>
      </c>
      <c r="C72" s="134" t="s">
        <v>13492</v>
      </c>
      <c r="D72" s="134" t="s">
        <v>3418</v>
      </c>
      <c r="E72" s="139">
        <v>11.79</v>
      </c>
      <c r="F72" s="134" t="s">
        <v>3417</v>
      </c>
      <c r="G72" s="134" t="s">
        <v>3007</v>
      </c>
      <c r="H72" s="123">
        <v>10444</v>
      </c>
    </row>
    <row r="73" spans="1:8" ht="31.5" x14ac:dyDescent="0.25">
      <c r="A73" s="134" t="s">
        <v>13479</v>
      </c>
      <c r="B73" s="134" t="s">
        <v>13491</v>
      </c>
      <c r="C73" s="134" t="s">
        <v>13490</v>
      </c>
      <c r="D73" s="134" t="s">
        <v>5622</v>
      </c>
      <c r="E73" s="139">
        <v>2.13</v>
      </c>
      <c r="F73" s="134" t="s">
        <v>5621</v>
      </c>
      <c r="G73" s="134" t="s">
        <v>3007</v>
      </c>
      <c r="H73" s="123">
        <v>10445</v>
      </c>
    </row>
    <row r="74" spans="1:8" ht="31.5" x14ac:dyDescent="0.25">
      <c r="A74" s="134" t="s">
        <v>13479</v>
      </c>
      <c r="B74" s="134" t="s">
        <v>13489</v>
      </c>
      <c r="C74" s="134" t="s">
        <v>13488</v>
      </c>
      <c r="D74" s="134" t="s">
        <v>8578</v>
      </c>
      <c r="E74" s="139">
        <v>3.52</v>
      </c>
      <c r="F74" s="134" t="s">
        <v>8577</v>
      </c>
      <c r="G74" s="134" t="s">
        <v>3007</v>
      </c>
      <c r="H74" s="123">
        <v>10446</v>
      </c>
    </row>
    <row r="75" spans="1:8" ht="31.5" x14ac:dyDescent="0.25">
      <c r="A75" s="134" t="s">
        <v>13479</v>
      </c>
      <c r="B75" s="134" t="s">
        <v>13487</v>
      </c>
      <c r="C75" s="134" t="s">
        <v>13486</v>
      </c>
      <c r="D75" s="134" t="s">
        <v>11591</v>
      </c>
      <c r="E75" s="139">
        <v>4.25</v>
      </c>
      <c r="F75" s="134" t="s">
        <v>11590</v>
      </c>
      <c r="G75" s="134" t="s">
        <v>3007</v>
      </c>
      <c r="H75" s="123">
        <v>10447</v>
      </c>
    </row>
    <row r="76" spans="1:8" ht="31.5" x14ac:dyDescent="0.25">
      <c r="A76" s="134" t="s">
        <v>13479</v>
      </c>
      <c r="B76" s="134" t="s">
        <v>13485</v>
      </c>
      <c r="C76" s="134" t="s">
        <v>13484</v>
      </c>
      <c r="D76" s="134" t="s">
        <v>5523</v>
      </c>
      <c r="E76" s="139">
        <v>3.96</v>
      </c>
      <c r="F76" s="134" t="s">
        <v>5522</v>
      </c>
      <c r="G76" s="134" t="s">
        <v>3007</v>
      </c>
      <c r="H76" s="123">
        <v>10448</v>
      </c>
    </row>
    <row r="77" spans="1:8" ht="31.5" x14ac:dyDescent="0.25">
      <c r="A77" s="134" t="s">
        <v>13479</v>
      </c>
      <c r="B77" s="134" t="s">
        <v>13483</v>
      </c>
      <c r="C77" s="134" t="s">
        <v>13482</v>
      </c>
      <c r="D77" s="134" t="s">
        <v>4689</v>
      </c>
      <c r="E77" s="139">
        <v>3.26</v>
      </c>
      <c r="F77" s="134" t="s">
        <v>4688</v>
      </c>
      <c r="G77" s="134" t="s">
        <v>3007</v>
      </c>
      <c r="H77" s="123">
        <v>10449</v>
      </c>
    </row>
    <row r="78" spans="1:8" ht="31.5" x14ac:dyDescent="0.25">
      <c r="A78" s="134" t="s">
        <v>13479</v>
      </c>
      <c r="B78" s="134" t="s">
        <v>13481</v>
      </c>
      <c r="C78" s="134" t="s">
        <v>13480</v>
      </c>
      <c r="D78" s="134" t="s">
        <v>5466</v>
      </c>
      <c r="E78" s="139">
        <v>6.3</v>
      </c>
      <c r="F78" s="134" t="s">
        <v>5465</v>
      </c>
      <c r="G78" s="134" t="s">
        <v>3007</v>
      </c>
      <c r="H78" s="123">
        <v>10631</v>
      </c>
    </row>
    <row r="79" spans="1:8" ht="31.5" x14ac:dyDescent="0.25">
      <c r="A79" s="134" t="s">
        <v>13479</v>
      </c>
      <c r="B79" s="134" t="s">
        <v>13478</v>
      </c>
      <c r="C79" s="134" t="s">
        <v>13477</v>
      </c>
      <c r="D79" s="134" t="s">
        <v>3511</v>
      </c>
      <c r="E79" s="139">
        <v>11.76</v>
      </c>
      <c r="F79" s="134" t="s">
        <v>3510</v>
      </c>
      <c r="G79" s="134" t="s">
        <v>3007</v>
      </c>
      <c r="H79" s="123">
        <v>10632</v>
      </c>
    </row>
    <row r="80" spans="1:8" ht="31.5" x14ac:dyDescent="0.25">
      <c r="A80" s="134" t="s">
        <v>13448</v>
      </c>
      <c r="B80" s="134" t="s">
        <v>13476</v>
      </c>
      <c r="C80" s="134" t="s">
        <v>13475</v>
      </c>
      <c r="D80" s="134" t="s">
        <v>5198</v>
      </c>
      <c r="E80" s="139">
        <v>1.35</v>
      </c>
      <c r="F80" s="134" t="s">
        <v>5197</v>
      </c>
      <c r="G80" s="134" t="s">
        <v>3007</v>
      </c>
      <c r="H80" s="123">
        <v>10633</v>
      </c>
    </row>
    <row r="81" spans="1:11" ht="31.5" x14ac:dyDescent="0.25">
      <c r="A81" s="134" t="s">
        <v>13448</v>
      </c>
      <c r="B81" s="134" t="s">
        <v>13474</v>
      </c>
      <c r="C81" s="134" t="s">
        <v>13473</v>
      </c>
      <c r="D81" s="134" t="s">
        <v>5518</v>
      </c>
      <c r="E81" s="139">
        <v>10.25</v>
      </c>
      <c r="F81" s="134" t="s">
        <v>5517</v>
      </c>
      <c r="G81" s="134" t="s">
        <v>3007</v>
      </c>
      <c r="H81" s="123">
        <v>10634</v>
      </c>
    </row>
    <row r="82" spans="1:11" ht="31.5" x14ac:dyDescent="0.25">
      <c r="A82" s="134" t="s">
        <v>13448</v>
      </c>
      <c r="B82" s="134" t="s">
        <v>13472</v>
      </c>
      <c r="C82" s="134" t="s">
        <v>13471</v>
      </c>
      <c r="D82" s="134" t="s">
        <v>7166</v>
      </c>
      <c r="E82" s="139">
        <v>1.68</v>
      </c>
      <c r="F82" s="134" t="s">
        <v>7165</v>
      </c>
      <c r="G82" s="134" t="s">
        <v>3007</v>
      </c>
      <c r="H82" s="123">
        <v>10635</v>
      </c>
    </row>
    <row r="83" spans="1:11" ht="31.5" x14ac:dyDescent="0.25">
      <c r="A83" s="134" t="s">
        <v>13448</v>
      </c>
      <c r="B83" s="134" t="s">
        <v>13470</v>
      </c>
      <c r="C83" s="134" t="s">
        <v>13469</v>
      </c>
      <c r="D83" s="134" t="s">
        <v>4257</v>
      </c>
      <c r="E83" s="139">
        <v>8.3800000000000008</v>
      </c>
      <c r="F83" s="134" t="s">
        <v>4256</v>
      </c>
      <c r="G83" s="134" t="s">
        <v>3007</v>
      </c>
      <c r="H83" s="123">
        <v>10636</v>
      </c>
    </row>
    <row r="84" spans="1:11" ht="31.5" x14ac:dyDescent="0.25">
      <c r="A84" s="134" t="s">
        <v>13448</v>
      </c>
      <c r="B84" s="134" t="s">
        <v>13468</v>
      </c>
      <c r="C84" s="134" t="s">
        <v>13467</v>
      </c>
      <c r="D84" s="134" t="s">
        <v>13466</v>
      </c>
      <c r="E84" s="139">
        <v>38.479999999999997</v>
      </c>
      <c r="F84" s="134" t="s">
        <v>13465</v>
      </c>
      <c r="G84" s="134" t="s">
        <v>3007</v>
      </c>
      <c r="H84" s="123">
        <v>10637</v>
      </c>
    </row>
    <row r="85" spans="1:11" ht="31.5" x14ac:dyDescent="0.25">
      <c r="A85" s="134" t="s">
        <v>13448</v>
      </c>
      <c r="B85" s="134" t="s">
        <v>13464</v>
      </c>
      <c r="C85" s="134" t="s">
        <v>13463</v>
      </c>
      <c r="D85" s="134" t="s">
        <v>7337</v>
      </c>
      <c r="E85" s="139">
        <v>14.37</v>
      </c>
      <c r="F85" s="134" t="s">
        <v>7336</v>
      </c>
      <c r="G85" s="134" t="s">
        <v>3007</v>
      </c>
      <c r="H85" s="123">
        <v>10638</v>
      </c>
      <c r="I85" s="202"/>
      <c r="K85" s="123"/>
    </row>
    <row r="86" spans="1:11" ht="31.5" x14ac:dyDescent="0.25">
      <c r="A86" s="134" t="s">
        <v>13448</v>
      </c>
      <c r="B86" s="134" t="s">
        <v>5085</v>
      </c>
      <c r="C86" s="134" t="s">
        <v>13462</v>
      </c>
      <c r="D86" s="134" t="s">
        <v>5506</v>
      </c>
      <c r="E86" s="139">
        <v>3.88</v>
      </c>
      <c r="F86" s="134" t="s">
        <v>5505</v>
      </c>
      <c r="G86" s="134" t="s">
        <v>3007</v>
      </c>
      <c r="H86" s="123">
        <v>10639</v>
      </c>
    </row>
    <row r="87" spans="1:11" ht="31.5" x14ac:dyDescent="0.25">
      <c r="A87" s="134" t="s">
        <v>13448</v>
      </c>
      <c r="B87" s="134" t="s">
        <v>13461</v>
      </c>
      <c r="C87" s="134" t="s">
        <v>13460</v>
      </c>
      <c r="D87" s="134" t="s">
        <v>7464</v>
      </c>
      <c r="E87" s="139">
        <v>8.5500000000000007</v>
      </c>
      <c r="F87" s="134" t="s">
        <v>7463</v>
      </c>
      <c r="G87" s="134" t="s">
        <v>3007</v>
      </c>
      <c r="H87" s="123">
        <v>10640</v>
      </c>
    </row>
    <row r="88" spans="1:11" ht="31.5" x14ac:dyDescent="0.25">
      <c r="A88" s="134" t="s">
        <v>13448</v>
      </c>
      <c r="B88" s="134" t="s">
        <v>13459</v>
      </c>
      <c r="C88" s="134" t="s">
        <v>13458</v>
      </c>
      <c r="D88" s="134" t="s">
        <v>3325</v>
      </c>
      <c r="E88" s="139">
        <v>8.3800000000000008</v>
      </c>
      <c r="F88" s="134" t="s">
        <v>3324</v>
      </c>
      <c r="G88" s="134" t="s">
        <v>3007</v>
      </c>
      <c r="H88" s="123">
        <v>10641</v>
      </c>
    </row>
    <row r="89" spans="1:11" ht="31.5" x14ac:dyDescent="0.25">
      <c r="A89" s="134" t="s">
        <v>13448</v>
      </c>
      <c r="B89" s="134" t="s">
        <v>13457</v>
      </c>
      <c r="C89" s="134" t="s">
        <v>13456</v>
      </c>
      <c r="D89" s="134" t="s">
        <v>5032</v>
      </c>
      <c r="E89" s="139">
        <v>2.87</v>
      </c>
      <c r="F89" s="134" t="s">
        <v>5031</v>
      </c>
      <c r="G89" s="134" t="s">
        <v>3007</v>
      </c>
      <c r="H89" s="123">
        <v>10642</v>
      </c>
    </row>
    <row r="90" spans="1:11" ht="31.5" x14ac:dyDescent="0.25">
      <c r="A90" s="134" t="s">
        <v>13448</v>
      </c>
      <c r="B90" s="134" t="s">
        <v>13455</v>
      </c>
      <c r="C90" s="134" t="s">
        <v>13454</v>
      </c>
      <c r="D90" s="134" t="s">
        <v>3567</v>
      </c>
      <c r="E90" s="139">
        <v>10.11</v>
      </c>
      <c r="F90" s="134" t="s">
        <v>3566</v>
      </c>
      <c r="G90" s="134" t="s">
        <v>3007</v>
      </c>
      <c r="H90" s="123">
        <v>10643</v>
      </c>
    </row>
    <row r="91" spans="1:11" ht="31.5" x14ac:dyDescent="0.25">
      <c r="A91" s="134" t="s">
        <v>13448</v>
      </c>
      <c r="B91" s="134" t="s">
        <v>12613</v>
      </c>
      <c r="C91" s="134" t="s">
        <v>13453</v>
      </c>
      <c r="D91" s="134" t="s">
        <v>3042</v>
      </c>
      <c r="E91" s="139">
        <v>6.62</v>
      </c>
      <c r="F91" s="134" t="s">
        <v>3041</v>
      </c>
      <c r="G91" s="134" t="s">
        <v>3007</v>
      </c>
      <c r="H91" s="123">
        <v>10644</v>
      </c>
    </row>
    <row r="92" spans="1:11" ht="31.5" x14ac:dyDescent="0.25">
      <c r="A92" s="134" t="s">
        <v>13448</v>
      </c>
      <c r="B92" s="134" t="s">
        <v>13452</v>
      </c>
      <c r="C92" s="134" t="s">
        <v>13451</v>
      </c>
      <c r="D92" s="134" t="s">
        <v>5376</v>
      </c>
      <c r="E92" s="139">
        <v>2.14</v>
      </c>
      <c r="F92" s="134" t="s">
        <v>5375</v>
      </c>
      <c r="G92" s="134" t="s">
        <v>3007</v>
      </c>
      <c r="H92" s="123">
        <v>10645</v>
      </c>
    </row>
    <row r="93" spans="1:11" ht="31.5" x14ac:dyDescent="0.25">
      <c r="A93" s="134" t="s">
        <v>13448</v>
      </c>
      <c r="B93" s="134" t="s">
        <v>13450</v>
      </c>
      <c r="C93" s="134" t="s">
        <v>13449</v>
      </c>
      <c r="D93" s="134" t="s">
        <v>3763</v>
      </c>
      <c r="E93" s="139">
        <v>3.91</v>
      </c>
      <c r="F93" s="134" t="s">
        <v>3762</v>
      </c>
      <c r="G93" s="134" t="s">
        <v>3007</v>
      </c>
      <c r="H93" s="123">
        <v>10646</v>
      </c>
    </row>
    <row r="94" spans="1:11" ht="31.5" x14ac:dyDescent="0.25">
      <c r="A94" s="134" t="s">
        <v>13448</v>
      </c>
      <c r="B94" s="134" t="s">
        <v>13447</v>
      </c>
      <c r="C94" s="134" t="s">
        <v>13446</v>
      </c>
      <c r="D94" s="134" t="s">
        <v>13445</v>
      </c>
      <c r="E94" s="139">
        <v>0.43</v>
      </c>
      <c r="F94" s="134" t="s">
        <v>13444</v>
      </c>
      <c r="G94" s="134" t="s">
        <v>3007</v>
      </c>
      <c r="H94" s="123">
        <v>10647</v>
      </c>
    </row>
    <row r="95" spans="1:11" ht="31.5" x14ac:dyDescent="0.25">
      <c r="A95" s="134" t="s">
        <v>13426</v>
      </c>
      <c r="B95" s="134" t="s">
        <v>13443</v>
      </c>
      <c r="C95" s="134" t="s">
        <v>13442</v>
      </c>
      <c r="D95" s="134" t="s">
        <v>3462</v>
      </c>
      <c r="E95" s="139">
        <v>2.59</v>
      </c>
      <c r="F95" s="134" t="s">
        <v>3461</v>
      </c>
      <c r="G95" s="134" t="s">
        <v>3007</v>
      </c>
      <c r="H95" s="124">
        <v>10702</v>
      </c>
    </row>
    <row r="96" spans="1:11" ht="31.5" x14ac:dyDescent="0.25">
      <c r="A96" s="134" t="s">
        <v>13426</v>
      </c>
      <c r="B96" s="134" t="s">
        <v>13441</v>
      </c>
      <c r="C96" s="134" t="s">
        <v>13440</v>
      </c>
      <c r="D96" s="134" t="s">
        <v>6658</v>
      </c>
      <c r="E96" s="139">
        <v>3.49</v>
      </c>
      <c r="F96" s="134" t="s">
        <v>6657</v>
      </c>
      <c r="G96" s="134" t="s">
        <v>3007</v>
      </c>
      <c r="H96" s="123">
        <v>10703</v>
      </c>
    </row>
    <row r="97" spans="1:8" ht="31.5" x14ac:dyDescent="0.25">
      <c r="A97" s="134" t="s">
        <v>13426</v>
      </c>
      <c r="B97" s="134" t="s">
        <v>13439</v>
      </c>
      <c r="C97" s="134" t="s">
        <v>13438</v>
      </c>
      <c r="D97" s="134" t="s">
        <v>5226</v>
      </c>
      <c r="E97" s="139">
        <v>8.64</v>
      </c>
      <c r="F97" s="134" t="s">
        <v>5225</v>
      </c>
      <c r="G97" s="134" t="s">
        <v>3007</v>
      </c>
      <c r="H97" s="123">
        <v>10704</v>
      </c>
    </row>
    <row r="98" spans="1:8" ht="31.5" x14ac:dyDescent="0.25">
      <c r="A98" s="134" t="s">
        <v>13426</v>
      </c>
      <c r="B98" s="134" t="s">
        <v>13437</v>
      </c>
      <c r="C98" s="134" t="s">
        <v>13436</v>
      </c>
      <c r="D98" s="134" t="s">
        <v>4317</v>
      </c>
      <c r="E98" s="139">
        <v>4.0599999999999996</v>
      </c>
      <c r="F98" s="134" t="s">
        <v>4316</v>
      </c>
      <c r="G98" s="134" t="s">
        <v>3007</v>
      </c>
      <c r="H98" s="123">
        <v>10705</v>
      </c>
    </row>
    <row r="99" spans="1:8" ht="31.5" x14ac:dyDescent="0.25">
      <c r="A99" s="134" t="s">
        <v>13426</v>
      </c>
      <c r="B99" s="134" t="s">
        <v>13435</v>
      </c>
      <c r="C99" s="134" t="s">
        <v>13434</v>
      </c>
      <c r="D99" s="134" t="s">
        <v>5366</v>
      </c>
      <c r="E99" s="139">
        <v>8.14</v>
      </c>
      <c r="F99" s="134" t="s">
        <v>5365</v>
      </c>
      <c r="G99" s="134" t="s">
        <v>3007</v>
      </c>
      <c r="H99" s="123">
        <v>10706</v>
      </c>
    </row>
    <row r="100" spans="1:8" ht="31.5" x14ac:dyDescent="0.25">
      <c r="A100" s="134" t="s">
        <v>13426</v>
      </c>
      <c r="B100" s="134" t="s">
        <v>13433</v>
      </c>
      <c r="C100" s="134" t="s">
        <v>13432</v>
      </c>
      <c r="D100" s="134" t="s">
        <v>3285</v>
      </c>
      <c r="E100" s="139">
        <v>11.58</v>
      </c>
      <c r="F100" s="134" t="s">
        <v>3284</v>
      </c>
      <c r="G100" s="134" t="s">
        <v>3007</v>
      </c>
      <c r="H100" s="123">
        <v>10707</v>
      </c>
    </row>
    <row r="101" spans="1:8" ht="31.5" x14ac:dyDescent="0.25">
      <c r="A101" s="134" t="s">
        <v>13426</v>
      </c>
      <c r="B101" s="134" t="s">
        <v>13431</v>
      </c>
      <c r="C101" s="134" t="s">
        <v>13430</v>
      </c>
      <c r="D101" s="134" t="s">
        <v>8803</v>
      </c>
      <c r="E101" s="139">
        <v>5.32</v>
      </c>
      <c r="F101" s="134" t="s">
        <v>8802</v>
      </c>
      <c r="G101" s="134" t="s">
        <v>3007</v>
      </c>
      <c r="H101" s="123">
        <v>10708</v>
      </c>
    </row>
    <row r="102" spans="1:8" ht="31.5" x14ac:dyDescent="0.25">
      <c r="A102" s="134" t="s">
        <v>13426</v>
      </c>
      <c r="B102" s="134" t="s">
        <v>13429</v>
      </c>
      <c r="C102" s="134" t="s">
        <v>13428</v>
      </c>
      <c r="D102" s="134" t="s">
        <v>6359</v>
      </c>
      <c r="E102" s="139">
        <v>20.59</v>
      </c>
      <c r="F102" s="134" t="s">
        <v>6358</v>
      </c>
      <c r="G102" s="134" t="s">
        <v>3007</v>
      </c>
      <c r="H102" s="123">
        <v>10709</v>
      </c>
    </row>
    <row r="103" spans="1:8" ht="31.5" x14ac:dyDescent="0.25">
      <c r="A103" s="134" t="s">
        <v>13426</v>
      </c>
      <c r="B103" s="134" t="s">
        <v>6380</v>
      </c>
      <c r="C103" s="134" t="s">
        <v>13427</v>
      </c>
      <c r="D103" s="134" t="s">
        <v>9254</v>
      </c>
      <c r="E103" s="139">
        <v>2.1800000000000002</v>
      </c>
      <c r="F103" s="134" t="s">
        <v>9253</v>
      </c>
      <c r="G103" s="134" t="s">
        <v>3007</v>
      </c>
      <c r="H103" s="123">
        <v>10710</v>
      </c>
    </row>
    <row r="104" spans="1:8" ht="31.5" x14ac:dyDescent="0.25">
      <c r="A104" s="134" t="s">
        <v>13426</v>
      </c>
      <c r="B104" s="134" t="s">
        <v>13425</v>
      </c>
      <c r="C104" s="134" t="s">
        <v>13424</v>
      </c>
      <c r="D104" s="134" t="s">
        <v>6117</v>
      </c>
      <c r="E104" s="139">
        <v>4.41</v>
      </c>
      <c r="F104" s="134" t="s">
        <v>6116</v>
      </c>
      <c r="G104" s="134" t="s">
        <v>3007</v>
      </c>
      <c r="H104" s="123">
        <v>10711</v>
      </c>
    </row>
    <row r="105" spans="1:8" ht="31.5" x14ac:dyDescent="0.25">
      <c r="A105" s="134" t="s">
        <v>13414</v>
      </c>
      <c r="B105" s="134" t="s">
        <v>13423</v>
      </c>
      <c r="C105" s="134" t="s">
        <v>13422</v>
      </c>
      <c r="D105" s="134" t="s">
        <v>8775</v>
      </c>
      <c r="E105" s="139">
        <v>2.73</v>
      </c>
      <c r="F105" s="134" t="s">
        <v>8774</v>
      </c>
      <c r="G105" s="134" t="s">
        <v>3007</v>
      </c>
      <c r="H105" s="123">
        <v>10712</v>
      </c>
    </row>
    <row r="106" spans="1:8" ht="31.5" x14ac:dyDescent="0.25">
      <c r="A106" s="134" t="s">
        <v>13414</v>
      </c>
      <c r="B106" s="134" t="s">
        <v>13421</v>
      </c>
      <c r="C106" s="134" t="s">
        <v>13420</v>
      </c>
      <c r="D106" s="134" t="s">
        <v>7701</v>
      </c>
      <c r="E106" s="139">
        <v>2.0699999999999998</v>
      </c>
      <c r="F106" s="134" t="s">
        <v>7700</v>
      </c>
      <c r="G106" s="134" t="s">
        <v>3007</v>
      </c>
      <c r="H106" s="123">
        <v>10713</v>
      </c>
    </row>
    <row r="107" spans="1:8" ht="31.5" x14ac:dyDescent="0.25">
      <c r="A107" s="134" t="s">
        <v>13414</v>
      </c>
      <c r="B107" s="134" t="s">
        <v>12914</v>
      </c>
      <c r="C107" s="134" t="s">
        <v>13419</v>
      </c>
      <c r="D107" s="134" t="s">
        <v>3627</v>
      </c>
      <c r="E107" s="139">
        <v>24.09</v>
      </c>
      <c r="F107" s="134" t="s">
        <v>3626</v>
      </c>
      <c r="G107" s="134" t="s">
        <v>3007</v>
      </c>
      <c r="H107" s="123">
        <v>10714</v>
      </c>
    </row>
    <row r="108" spans="1:8" ht="31.5" x14ac:dyDescent="0.25">
      <c r="A108" s="134" t="s">
        <v>13414</v>
      </c>
      <c r="B108" s="134" t="s">
        <v>13418</v>
      </c>
      <c r="C108" s="134" t="s">
        <v>13417</v>
      </c>
      <c r="D108" s="134" t="s">
        <v>7691</v>
      </c>
      <c r="E108" s="139">
        <v>6.33</v>
      </c>
      <c r="F108" s="134" t="s">
        <v>7690</v>
      </c>
      <c r="G108" s="134" t="s">
        <v>3007</v>
      </c>
      <c r="H108" s="123">
        <v>10715</v>
      </c>
    </row>
    <row r="109" spans="1:8" ht="31.5" x14ac:dyDescent="0.25">
      <c r="A109" s="134" t="s">
        <v>13414</v>
      </c>
      <c r="B109" s="134" t="s">
        <v>13416</v>
      </c>
      <c r="C109" s="134" t="s">
        <v>13415</v>
      </c>
      <c r="D109" s="134" t="s">
        <v>5002</v>
      </c>
      <c r="E109" s="139">
        <v>5.53</v>
      </c>
      <c r="F109" s="134" t="s">
        <v>5001</v>
      </c>
      <c r="G109" s="134" t="s">
        <v>3007</v>
      </c>
      <c r="H109" s="123">
        <v>10716</v>
      </c>
    </row>
    <row r="110" spans="1:8" ht="31.5" x14ac:dyDescent="0.25">
      <c r="A110" s="134" t="s">
        <v>13414</v>
      </c>
      <c r="B110" s="134" t="s">
        <v>13413</v>
      </c>
      <c r="C110" s="134" t="s">
        <v>13412</v>
      </c>
      <c r="D110" s="134" t="s">
        <v>6949</v>
      </c>
      <c r="E110" s="139">
        <v>13.86</v>
      </c>
      <c r="F110" s="134" t="s">
        <v>6948</v>
      </c>
      <c r="G110" s="134" t="s">
        <v>3007</v>
      </c>
      <c r="H110" s="123">
        <v>10717</v>
      </c>
    </row>
    <row r="111" spans="1:8" ht="31.5" x14ac:dyDescent="0.25">
      <c r="A111" s="134" t="s">
        <v>13367</v>
      </c>
      <c r="B111" s="134" t="s">
        <v>13411</v>
      </c>
      <c r="C111" s="134" t="s">
        <v>13410</v>
      </c>
      <c r="D111" s="134" t="s">
        <v>9990</v>
      </c>
      <c r="E111" s="139">
        <v>1.88</v>
      </c>
      <c r="F111" s="134" t="s">
        <v>9989</v>
      </c>
      <c r="G111" s="134" t="s">
        <v>3007</v>
      </c>
      <c r="H111" s="123">
        <v>10723</v>
      </c>
    </row>
    <row r="112" spans="1:8" ht="31.5" x14ac:dyDescent="0.25">
      <c r="A112" s="134" t="s">
        <v>13367</v>
      </c>
      <c r="B112" s="134" t="s">
        <v>8938</v>
      </c>
      <c r="C112" s="134" t="s">
        <v>13409</v>
      </c>
      <c r="D112" s="134" t="s">
        <v>5309</v>
      </c>
      <c r="E112" s="139">
        <v>1.81</v>
      </c>
      <c r="F112" s="134" t="s">
        <v>5308</v>
      </c>
      <c r="G112" s="134" t="s">
        <v>3007</v>
      </c>
      <c r="H112" s="123">
        <v>10724</v>
      </c>
    </row>
    <row r="113" spans="1:8" ht="31.5" x14ac:dyDescent="0.25">
      <c r="A113" s="134" t="s">
        <v>13367</v>
      </c>
      <c r="B113" s="134" t="s">
        <v>13408</v>
      </c>
      <c r="C113" s="134" t="s">
        <v>13407</v>
      </c>
      <c r="D113" s="134" t="s">
        <v>3203</v>
      </c>
      <c r="E113" s="139">
        <v>52.13</v>
      </c>
      <c r="F113" s="134" t="s">
        <v>3202</v>
      </c>
      <c r="G113" s="134" t="s">
        <v>3007</v>
      </c>
      <c r="H113" s="123">
        <v>10725</v>
      </c>
    </row>
    <row r="114" spans="1:8" ht="31.5" x14ac:dyDescent="0.25">
      <c r="A114" s="134" t="s">
        <v>13367</v>
      </c>
      <c r="B114" s="134" t="s">
        <v>11633</v>
      </c>
      <c r="C114" s="134" t="s">
        <v>13406</v>
      </c>
      <c r="D114" s="134" t="s">
        <v>7138</v>
      </c>
      <c r="E114" s="139">
        <v>6.51</v>
      </c>
      <c r="F114" s="134" t="s">
        <v>7137</v>
      </c>
      <c r="G114" s="134" t="s">
        <v>3007</v>
      </c>
      <c r="H114" s="123">
        <v>10726</v>
      </c>
    </row>
    <row r="115" spans="1:8" ht="31.5" x14ac:dyDescent="0.25">
      <c r="A115" s="134" t="s">
        <v>13367</v>
      </c>
      <c r="B115" s="134" t="s">
        <v>13405</v>
      </c>
      <c r="C115" s="134" t="s">
        <v>13404</v>
      </c>
      <c r="D115" s="134" t="s">
        <v>7025</v>
      </c>
      <c r="E115" s="139">
        <v>13.34</v>
      </c>
      <c r="F115" s="134" t="s">
        <v>7024</v>
      </c>
      <c r="G115" s="134" t="s">
        <v>3007</v>
      </c>
      <c r="H115" s="123">
        <v>10727</v>
      </c>
    </row>
    <row r="116" spans="1:8" ht="31.5" x14ac:dyDescent="0.25">
      <c r="A116" s="134" t="s">
        <v>13367</v>
      </c>
      <c r="B116" s="134" t="s">
        <v>13403</v>
      </c>
      <c r="C116" s="134" t="s">
        <v>13402</v>
      </c>
      <c r="D116" s="134" t="s">
        <v>3115</v>
      </c>
      <c r="E116" s="139">
        <v>17.32</v>
      </c>
      <c r="F116" s="134" t="s">
        <v>3114</v>
      </c>
      <c r="G116" s="134" t="s">
        <v>3007</v>
      </c>
      <c r="H116" s="123">
        <v>10728</v>
      </c>
    </row>
    <row r="117" spans="1:8" ht="31.5" x14ac:dyDescent="0.25">
      <c r="A117" s="134" t="s">
        <v>13367</v>
      </c>
      <c r="B117" s="134" t="s">
        <v>13401</v>
      </c>
      <c r="C117" s="134" t="s">
        <v>13400</v>
      </c>
      <c r="D117" s="134" t="s">
        <v>13399</v>
      </c>
      <c r="E117" s="139">
        <v>3.92</v>
      </c>
      <c r="F117" s="134" t="s">
        <v>13398</v>
      </c>
      <c r="G117" s="134" t="s">
        <v>3007</v>
      </c>
      <c r="H117" s="123">
        <v>10729</v>
      </c>
    </row>
    <row r="118" spans="1:8" ht="31.5" x14ac:dyDescent="0.25">
      <c r="A118" s="134" t="s">
        <v>13367</v>
      </c>
      <c r="B118" s="134" t="s">
        <v>13397</v>
      </c>
      <c r="C118" s="134" t="s">
        <v>13396</v>
      </c>
      <c r="D118" s="134" t="s">
        <v>5566</v>
      </c>
      <c r="E118" s="139">
        <v>3.57</v>
      </c>
      <c r="F118" s="134" t="s">
        <v>5565</v>
      </c>
      <c r="G118" s="134" t="s">
        <v>3007</v>
      </c>
      <c r="H118" s="123">
        <v>10730</v>
      </c>
    </row>
    <row r="119" spans="1:8" ht="31.5" x14ac:dyDescent="0.25">
      <c r="A119" s="134" t="s">
        <v>13367</v>
      </c>
      <c r="B119" s="134" t="s">
        <v>10002</v>
      </c>
      <c r="C119" s="134" t="s">
        <v>13395</v>
      </c>
      <c r="D119" s="134" t="s">
        <v>3281</v>
      </c>
      <c r="E119" s="139">
        <v>7.39</v>
      </c>
      <c r="F119" s="134" t="s">
        <v>3280</v>
      </c>
      <c r="G119" s="134" t="s">
        <v>3007</v>
      </c>
      <c r="H119" s="123">
        <v>10731</v>
      </c>
    </row>
    <row r="120" spans="1:8" ht="31.5" x14ac:dyDescent="0.25">
      <c r="A120" s="134" t="s">
        <v>13367</v>
      </c>
      <c r="B120" s="134" t="s">
        <v>13394</v>
      </c>
      <c r="C120" s="134" t="s">
        <v>13393</v>
      </c>
      <c r="D120" s="134" t="s">
        <v>7407</v>
      </c>
      <c r="E120" s="139">
        <v>9.2200000000000006</v>
      </c>
      <c r="F120" s="134" t="s">
        <v>7406</v>
      </c>
      <c r="G120" s="134" t="s">
        <v>3007</v>
      </c>
      <c r="H120" s="123">
        <v>10732</v>
      </c>
    </row>
    <row r="121" spans="1:8" ht="31.5" x14ac:dyDescent="0.25">
      <c r="A121" s="134" t="s">
        <v>13367</v>
      </c>
      <c r="B121" s="134" t="s">
        <v>5058</v>
      </c>
      <c r="C121" s="134" t="s">
        <v>13392</v>
      </c>
      <c r="D121" s="134" t="s">
        <v>12694</v>
      </c>
      <c r="E121" s="139">
        <v>0.24</v>
      </c>
      <c r="F121" s="134" t="s">
        <v>12693</v>
      </c>
      <c r="G121" s="134" t="s">
        <v>3007</v>
      </c>
      <c r="H121" s="123">
        <v>10733</v>
      </c>
    </row>
    <row r="122" spans="1:8" ht="31.5" x14ac:dyDescent="0.25">
      <c r="A122" s="134" t="s">
        <v>13367</v>
      </c>
      <c r="B122" s="134" t="s">
        <v>13391</v>
      </c>
      <c r="C122" s="134" t="s">
        <v>13390</v>
      </c>
      <c r="D122" s="134" t="s">
        <v>5106</v>
      </c>
      <c r="E122" s="139">
        <v>6.62</v>
      </c>
      <c r="F122" s="134" t="s">
        <v>5105</v>
      </c>
      <c r="G122" s="134" t="s">
        <v>3007</v>
      </c>
      <c r="H122" s="123">
        <v>10734</v>
      </c>
    </row>
    <row r="123" spans="1:8" ht="31.5" x14ac:dyDescent="0.25">
      <c r="A123" s="134" t="s">
        <v>13367</v>
      </c>
      <c r="B123" s="134" t="s">
        <v>13389</v>
      </c>
      <c r="C123" s="134" t="s">
        <v>13388</v>
      </c>
      <c r="D123" s="134" t="s">
        <v>5265</v>
      </c>
      <c r="E123" s="139">
        <v>4.2699999999999996</v>
      </c>
      <c r="F123" s="134" t="s">
        <v>5264</v>
      </c>
      <c r="G123" s="134" t="s">
        <v>3007</v>
      </c>
      <c r="H123" s="123">
        <v>10735</v>
      </c>
    </row>
    <row r="124" spans="1:8" ht="31.5" x14ac:dyDescent="0.25">
      <c r="A124" s="134" t="s">
        <v>13367</v>
      </c>
      <c r="B124" s="134" t="s">
        <v>13387</v>
      </c>
      <c r="C124" s="134" t="s">
        <v>13386</v>
      </c>
      <c r="D124" s="134" t="s">
        <v>3223</v>
      </c>
      <c r="E124" s="139">
        <v>1.68</v>
      </c>
      <c r="F124" s="134" t="s">
        <v>3222</v>
      </c>
      <c r="G124" s="134" t="s">
        <v>3007</v>
      </c>
      <c r="H124" s="123">
        <v>10720</v>
      </c>
    </row>
    <row r="125" spans="1:8" ht="31.5" x14ac:dyDescent="0.25">
      <c r="A125" s="134" t="s">
        <v>13367</v>
      </c>
      <c r="B125" s="134" t="s">
        <v>13385</v>
      </c>
      <c r="C125" s="134" t="s">
        <v>13384</v>
      </c>
      <c r="D125" s="134" t="s">
        <v>3820</v>
      </c>
      <c r="E125" s="139">
        <v>14.27</v>
      </c>
      <c r="F125" s="134" t="s">
        <v>3819</v>
      </c>
      <c r="G125" s="134" t="s">
        <v>3007</v>
      </c>
      <c r="H125" s="123">
        <v>10736</v>
      </c>
    </row>
    <row r="126" spans="1:8" ht="31.5" x14ac:dyDescent="0.25">
      <c r="A126" s="134" t="s">
        <v>13367</v>
      </c>
      <c r="B126" s="134" t="s">
        <v>13383</v>
      </c>
      <c r="C126" s="134" t="s">
        <v>13382</v>
      </c>
      <c r="D126" s="134" t="s">
        <v>6911</v>
      </c>
      <c r="E126" s="139">
        <v>9.5</v>
      </c>
      <c r="F126" s="134" t="s">
        <v>6910</v>
      </c>
      <c r="G126" s="134" t="s">
        <v>3007</v>
      </c>
      <c r="H126" s="123">
        <v>10737</v>
      </c>
    </row>
    <row r="127" spans="1:8" ht="31.5" x14ac:dyDescent="0.25">
      <c r="A127" s="134" t="s">
        <v>13367</v>
      </c>
      <c r="B127" s="134" t="s">
        <v>13381</v>
      </c>
      <c r="C127" s="134" t="s">
        <v>13380</v>
      </c>
      <c r="D127" s="134" t="s">
        <v>6510</v>
      </c>
      <c r="E127" s="139">
        <v>3.36</v>
      </c>
      <c r="F127" s="134" t="s">
        <v>6509</v>
      </c>
      <c r="G127" s="134" t="s">
        <v>3007</v>
      </c>
      <c r="H127" s="123">
        <v>10738</v>
      </c>
    </row>
    <row r="128" spans="1:8" ht="31.5" x14ac:dyDescent="0.25">
      <c r="A128" s="134" t="s">
        <v>13367</v>
      </c>
      <c r="B128" s="134" t="s">
        <v>13379</v>
      </c>
      <c r="C128" s="134" t="s">
        <v>13378</v>
      </c>
      <c r="D128" s="134" t="s">
        <v>13377</v>
      </c>
      <c r="E128" s="139">
        <v>57.31</v>
      </c>
      <c r="F128" s="134" t="s">
        <v>13376</v>
      </c>
      <c r="G128" s="134" t="s">
        <v>3007</v>
      </c>
      <c r="H128" s="123">
        <v>10739</v>
      </c>
    </row>
    <row r="129" spans="1:8" ht="31.5" x14ac:dyDescent="0.25">
      <c r="A129" s="134" t="s">
        <v>13367</v>
      </c>
      <c r="B129" s="134" t="s">
        <v>13375</v>
      </c>
      <c r="C129" s="134" t="s">
        <v>13374</v>
      </c>
      <c r="D129" s="134" t="s">
        <v>3098</v>
      </c>
      <c r="E129" s="139">
        <v>7.9</v>
      </c>
      <c r="F129" s="134" t="s">
        <v>3097</v>
      </c>
      <c r="G129" s="134" t="s">
        <v>3007</v>
      </c>
      <c r="H129" s="123">
        <v>10740</v>
      </c>
    </row>
    <row r="130" spans="1:8" ht="31.5" x14ac:dyDescent="0.25">
      <c r="A130" s="134" t="s">
        <v>13367</v>
      </c>
      <c r="B130" s="134" t="s">
        <v>13373</v>
      </c>
      <c r="C130" s="134" t="s">
        <v>13372</v>
      </c>
      <c r="D130" s="134" t="s">
        <v>3158</v>
      </c>
      <c r="E130" s="139">
        <v>6.41</v>
      </c>
      <c r="F130" s="134" t="s">
        <v>3157</v>
      </c>
      <c r="G130" s="134" t="s">
        <v>3007</v>
      </c>
      <c r="H130" s="123">
        <v>10741</v>
      </c>
    </row>
    <row r="131" spans="1:8" ht="31.5" x14ac:dyDescent="0.25">
      <c r="A131" s="134" t="s">
        <v>13367</v>
      </c>
      <c r="B131" s="134" t="s">
        <v>13371</v>
      </c>
      <c r="C131" s="134" t="s">
        <v>13370</v>
      </c>
      <c r="D131" s="134" t="s">
        <v>9725</v>
      </c>
      <c r="E131" s="139">
        <v>3.91</v>
      </c>
      <c r="F131" s="134" t="s">
        <v>9724</v>
      </c>
      <c r="G131" s="134" t="s">
        <v>3007</v>
      </c>
      <c r="H131" s="123">
        <v>10742</v>
      </c>
    </row>
    <row r="132" spans="1:8" ht="31.5" x14ac:dyDescent="0.25">
      <c r="A132" s="134" t="s">
        <v>13367</v>
      </c>
      <c r="B132" s="134" t="s">
        <v>13369</v>
      </c>
      <c r="C132" s="134" t="s">
        <v>13368</v>
      </c>
      <c r="D132" s="134" t="s">
        <v>3166</v>
      </c>
      <c r="E132" s="139">
        <v>2.92</v>
      </c>
      <c r="F132" s="134" t="s">
        <v>3165</v>
      </c>
      <c r="G132" s="134" t="s">
        <v>3007</v>
      </c>
      <c r="H132" s="123">
        <v>10743</v>
      </c>
    </row>
    <row r="133" spans="1:8" ht="31.5" x14ac:dyDescent="0.25">
      <c r="A133" s="134" t="s">
        <v>13367</v>
      </c>
      <c r="B133" s="134" t="s">
        <v>13366</v>
      </c>
      <c r="C133" s="134" t="s">
        <v>13365</v>
      </c>
      <c r="D133" s="134" t="s">
        <v>7707</v>
      </c>
      <c r="E133" s="139">
        <v>5.61</v>
      </c>
      <c r="F133" s="134" t="s">
        <v>7706</v>
      </c>
      <c r="G133" s="134" t="s">
        <v>3007</v>
      </c>
      <c r="H133" s="123">
        <v>10744</v>
      </c>
    </row>
    <row r="134" spans="1:8" ht="31.5" x14ac:dyDescent="0.25">
      <c r="A134" s="134" t="s">
        <v>13331</v>
      </c>
      <c r="B134" s="134" t="s">
        <v>13364</v>
      </c>
      <c r="C134" s="134" t="s">
        <v>13363</v>
      </c>
      <c r="D134" s="134" t="s">
        <v>5350</v>
      </c>
      <c r="E134" s="139">
        <v>7.87</v>
      </c>
      <c r="F134" s="134" t="s">
        <v>5349</v>
      </c>
      <c r="G134" s="134" t="s">
        <v>3007</v>
      </c>
      <c r="H134" s="123">
        <v>10788</v>
      </c>
    </row>
    <row r="135" spans="1:8" ht="31.5" x14ac:dyDescent="0.25">
      <c r="A135" s="134" t="s">
        <v>13331</v>
      </c>
      <c r="B135" s="134" t="s">
        <v>13362</v>
      </c>
      <c r="C135" s="134" t="s">
        <v>13361</v>
      </c>
      <c r="D135" s="134" t="s">
        <v>4220</v>
      </c>
      <c r="E135" s="139">
        <v>4.9800000000000004</v>
      </c>
      <c r="F135" s="134" t="s">
        <v>4219</v>
      </c>
      <c r="G135" s="134" t="s">
        <v>3007</v>
      </c>
      <c r="H135" s="123">
        <v>10789</v>
      </c>
    </row>
    <row r="136" spans="1:8" ht="31.5" x14ac:dyDescent="0.25">
      <c r="A136" s="134" t="s">
        <v>13331</v>
      </c>
      <c r="B136" s="134" t="s">
        <v>13360</v>
      </c>
      <c r="C136" s="134" t="s">
        <v>13359</v>
      </c>
      <c r="D136" s="134" t="s">
        <v>5143</v>
      </c>
      <c r="E136" s="139">
        <v>7.84</v>
      </c>
      <c r="F136" s="134" t="s">
        <v>5142</v>
      </c>
      <c r="G136" s="134" t="s">
        <v>3007</v>
      </c>
      <c r="H136" s="123">
        <v>10790</v>
      </c>
    </row>
    <row r="137" spans="1:8" ht="31.5" x14ac:dyDescent="0.25">
      <c r="A137" s="134" t="s">
        <v>13331</v>
      </c>
      <c r="B137" s="134" t="s">
        <v>13358</v>
      </c>
      <c r="C137" s="134" t="s">
        <v>13357</v>
      </c>
      <c r="D137" s="134" t="s">
        <v>8597</v>
      </c>
      <c r="E137" s="139">
        <v>2.4</v>
      </c>
      <c r="F137" s="134" t="s">
        <v>8596</v>
      </c>
      <c r="G137" s="134" t="s">
        <v>3007</v>
      </c>
      <c r="H137" s="123">
        <v>10791</v>
      </c>
    </row>
    <row r="138" spans="1:8" ht="31.5" x14ac:dyDescent="0.25">
      <c r="A138" s="134" t="s">
        <v>13331</v>
      </c>
      <c r="B138" s="134" t="s">
        <v>13356</v>
      </c>
      <c r="C138" s="134" t="s">
        <v>13355</v>
      </c>
      <c r="D138" s="134" t="s">
        <v>4971</v>
      </c>
      <c r="E138" s="139">
        <v>20.059999999999999</v>
      </c>
      <c r="F138" s="134" t="s">
        <v>4970</v>
      </c>
      <c r="G138" s="134" t="s">
        <v>3007</v>
      </c>
      <c r="H138" s="123">
        <v>10792</v>
      </c>
    </row>
    <row r="139" spans="1:8" ht="31.5" x14ac:dyDescent="0.25">
      <c r="A139" s="134" t="s">
        <v>13331</v>
      </c>
      <c r="B139" s="134" t="s">
        <v>13354</v>
      </c>
      <c r="C139" s="134" t="s">
        <v>13353</v>
      </c>
      <c r="D139" s="134" t="s">
        <v>5214</v>
      </c>
      <c r="E139" s="139">
        <v>13.26</v>
      </c>
      <c r="F139" s="134" t="s">
        <v>5213</v>
      </c>
      <c r="G139" s="134" t="s">
        <v>3007</v>
      </c>
      <c r="H139" s="123">
        <v>10793</v>
      </c>
    </row>
    <row r="140" spans="1:8" ht="31.5" x14ac:dyDescent="0.25">
      <c r="A140" s="134" t="s">
        <v>13331</v>
      </c>
      <c r="B140" s="134" t="s">
        <v>13352</v>
      </c>
      <c r="C140" s="134" t="s">
        <v>13351</v>
      </c>
      <c r="D140" s="134" t="s">
        <v>5500</v>
      </c>
      <c r="E140" s="139">
        <v>2.23</v>
      </c>
      <c r="F140" s="134" t="s">
        <v>5499</v>
      </c>
      <c r="G140" s="134" t="s">
        <v>3007</v>
      </c>
      <c r="H140" s="123">
        <v>10794</v>
      </c>
    </row>
    <row r="141" spans="1:8" ht="31.5" x14ac:dyDescent="0.25">
      <c r="A141" s="134" t="s">
        <v>13331</v>
      </c>
      <c r="B141" s="134" t="s">
        <v>13350</v>
      </c>
      <c r="C141" s="134" t="s">
        <v>13349</v>
      </c>
      <c r="D141" s="134" t="s">
        <v>3591</v>
      </c>
      <c r="E141" s="139">
        <v>2.37</v>
      </c>
      <c r="F141" s="134" t="s">
        <v>3590</v>
      </c>
      <c r="G141" s="134" t="s">
        <v>3007</v>
      </c>
      <c r="H141" s="123">
        <v>10795</v>
      </c>
    </row>
    <row r="142" spans="1:8" ht="31.5" x14ac:dyDescent="0.25">
      <c r="A142" s="134" t="s">
        <v>13331</v>
      </c>
      <c r="B142" s="134" t="s">
        <v>13348</v>
      </c>
      <c r="C142" s="134" t="s">
        <v>13347</v>
      </c>
      <c r="D142" s="134" t="s">
        <v>4309</v>
      </c>
      <c r="E142" s="139">
        <v>1.21</v>
      </c>
      <c r="F142" s="134" t="s">
        <v>4308</v>
      </c>
      <c r="G142" s="134" t="s">
        <v>3007</v>
      </c>
      <c r="H142" s="123">
        <v>10796</v>
      </c>
    </row>
    <row r="143" spans="1:8" ht="31.5" x14ac:dyDescent="0.25">
      <c r="A143" s="134" t="s">
        <v>13331</v>
      </c>
      <c r="B143" s="134" t="s">
        <v>13346</v>
      </c>
      <c r="C143" s="134" t="s">
        <v>13345</v>
      </c>
      <c r="D143" s="134" t="s">
        <v>8724</v>
      </c>
      <c r="E143" s="139">
        <v>1.69</v>
      </c>
      <c r="F143" s="134" t="s">
        <v>8723</v>
      </c>
      <c r="G143" s="134" t="s">
        <v>3007</v>
      </c>
      <c r="H143" s="123">
        <v>10797</v>
      </c>
    </row>
    <row r="144" spans="1:8" ht="31.5" x14ac:dyDescent="0.25">
      <c r="A144" s="134" t="s">
        <v>13331</v>
      </c>
      <c r="B144" s="134" t="s">
        <v>11497</v>
      </c>
      <c r="C144" s="134" t="s">
        <v>13344</v>
      </c>
      <c r="D144" s="134" t="s">
        <v>3912</v>
      </c>
      <c r="E144" s="139">
        <v>7.45</v>
      </c>
      <c r="F144" s="134" t="s">
        <v>3911</v>
      </c>
      <c r="G144" s="134" t="s">
        <v>3007</v>
      </c>
      <c r="H144" s="123">
        <v>10798</v>
      </c>
    </row>
    <row r="145" spans="1:8" ht="31.5" x14ac:dyDescent="0.25">
      <c r="A145" s="134" t="s">
        <v>13331</v>
      </c>
      <c r="B145" s="134" t="s">
        <v>13343</v>
      </c>
      <c r="C145" s="134" t="s">
        <v>13342</v>
      </c>
      <c r="D145" s="134" t="s">
        <v>4443</v>
      </c>
      <c r="E145" s="139">
        <v>4.16</v>
      </c>
      <c r="F145" s="134" t="s">
        <v>4442</v>
      </c>
      <c r="G145" s="134" t="s">
        <v>3007</v>
      </c>
      <c r="H145" s="123">
        <v>10799</v>
      </c>
    </row>
    <row r="146" spans="1:8" ht="31.5" x14ac:dyDescent="0.25">
      <c r="A146" s="134" t="s">
        <v>13331</v>
      </c>
      <c r="B146" s="134" t="s">
        <v>13341</v>
      </c>
      <c r="C146" s="134" t="s">
        <v>13340</v>
      </c>
      <c r="D146" s="134" t="s">
        <v>9666</v>
      </c>
      <c r="E146" s="139">
        <v>25.14</v>
      </c>
      <c r="F146" s="134" t="s">
        <v>9665</v>
      </c>
      <c r="G146" s="134" t="s">
        <v>3007</v>
      </c>
      <c r="H146" s="123">
        <v>10800</v>
      </c>
    </row>
    <row r="147" spans="1:8" ht="31.5" x14ac:dyDescent="0.25">
      <c r="A147" s="134" t="s">
        <v>13331</v>
      </c>
      <c r="B147" s="134" t="s">
        <v>13339</v>
      </c>
      <c r="C147" s="134" t="s">
        <v>13338</v>
      </c>
      <c r="D147" s="134" t="s">
        <v>4540</v>
      </c>
      <c r="E147" s="139">
        <v>22.37</v>
      </c>
      <c r="F147" s="134" t="s">
        <v>4539</v>
      </c>
      <c r="G147" s="134" t="s">
        <v>3007</v>
      </c>
      <c r="H147" s="123">
        <v>10801</v>
      </c>
    </row>
    <row r="148" spans="1:8" ht="31.5" x14ac:dyDescent="0.25">
      <c r="A148" s="134" t="s">
        <v>13331</v>
      </c>
      <c r="B148" s="134" t="s">
        <v>13337</v>
      </c>
      <c r="C148" s="134" t="s">
        <v>13336</v>
      </c>
      <c r="D148" s="134" t="s">
        <v>9811</v>
      </c>
      <c r="E148" s="139">
        <v>12.21</v>
      </c>
      <c r="F148" s="134" t="s">
        <v>9810</v>
      </c>
      <c r="G148" s="134" t="s">
        <v>3007</v>
      </c>
      <c r="H148" s="123">
        <v>10802</v>
      </c>
    </row>
    <row r="149" spans="1:8" ht="31.5" x14ac:dyDescent="0.25">
      <c r="A149" s="134" t="s">
        <v>13331</v>
      </c>
      <c r="B149" s="134" t="s">
        <v>13335</v>
      </c>
      <c r="C149" s="134" t="s">
        <v>13334</v>
      </c>
      <c r="D149" s="134" t="s">
        <v>7254</v>
      </c>
      <c r="E149" s="139">
        <v>5.04</v>
      </c>
      <c r="F149" s="134" t="s">
        <v>7253</v>
      </c>
      <c r="G149" s="134" t="s">
        <v>3007</v>
      </c>
      <c r="H149" s="123">
        <v>10803</v>
      </c>
    </row>
    <row r="150" spans="1:8" ht="31.5" x14ac:dyDescent="0.25">
      <c r="A150" s="134" t="s">
        <v>13331</v>
      </c>
      <c r="B150" s="134" t="s">
        <v>13333</v>
      </c>
      <c r="C150" s="134" t="s">
        <v>13332</v>
      </c>
      <c r="D150" s="134" t="s">
        <v>3571</v>
      </c>
      <c r="E150" s="139">
        <v>7.13</v>
      </c>
      <c r="F150" s="134" t="s">
        <v>3570</v>
      </c>
      <c r="G150" s="134" t="s">
        <v>3007</v>
      </c>
      <c r="H150" s="123">
        <v>10804</v>
      </c>
    </row>
    <row r="151" spans="1:8" ht="31.5" x14ac:dyDescent="0.25">
      <c r="A151" s="134" t="s">
        <v>13331</v>
      </c>
      <c r="B151" s="134" t="s">
        <v>13330</v>
      </c>
      <c r="C151" s="134" t="s">
        <v>13329</v>
      </c>
      <c r="D151" s="134" t="s">
        <v>13328</v>
      </c>
      <c r="E151" s="139">
        <v>12.07</v>
      </c>
      <c r="F151" s="134" t="s">
        <v>6845</v>
      </c>
      <c r="G151" s="134" t="s">
        <v>3007</v>
      </c>
      <c r="H151" s="123">
        <v>10805</v>
      </c>
    </row>
    <row r="152" spans="1:8" ht="31.5" x14ac:dyDescent="0.25">
      <c r="A152" s="134" t="s">
        <v>13317</v>
      </c>
      <c r="B152" s="134" t="s">
        <v>13327</v>
      </c>
      <c r="C152" s="134" t="s">
        <v>13326</v>
      </c>
      <c r="D152" s="134" t="s">
        <v>11893</v>
      </c>
      <c r="E152" s="139">
        <v>4.38</v>
      </c>
      <c r="F152" s="134" t="s">
        <v>11892</v>
      </c>
      <c r="G152" s="134" t="s">
        <v>3007</v>
      </c>
      <c r="H152" s="123">
        <v>10823</v>
      </c>
    </row>
    <row r="153" spans="1:8" ht="31.5" x14ac:dyDescent="0.25">
      <c r="A153" s="134" t="s">
        <v>13317</v>
      </c>
      <c r="B153" s="134" t="s">
        <v>6501</v>
      </c>
      <c r="C153" s="134" t="s">
        <v>13325</v>
      </c>
      <c r="D153" s="134" t="s">
        <v>5638</v>
      </c>
      <c r="E153" s="139">
        <v>2.02</v>
      </c>
      <c r="F153" s="134" t="s">
        <v>5637</v>
      </c>
      <c r="G153" s="134" t="s">
        <v>3007</v>
      </c>
      <c r="H153" s="123">
        <v>10824</v>
      </c>
    </row>
    <row r="154" spans="1:8" ht="31.5" x14ac:dyDescent="0.25">
      <c r="A154" s="134" t="s">
        <v>13317</v>
      </c>
      <c r="B154" s="134" t="s">
        <v>13324</v>
      </c>
      <c r="C154" s="134" t="s">
        <v>13323</v>
      </c>
      <c r="D154" s="134" t="s">
        <v>3276</v>
      </c>
      <c r="E154" s="139">
        <v>3.81</v>
      </c>
      <c r="F154" s="134" t="s">
        <v>3275</v>
      </c>
      <c r="G154" s="134" t="s">
        <v>3007</v>
      </c>
      <c r="H154" s="123">
        <v>10825</v>
      </c>
    </row>
    <row r="155" spans="1:8" ht="31.5" x14ac:dyDescent="0.25">
      <c r="A155" s="134" t="s">
        <v>13317</v>
      </c>
      <c r="B155" s="134" t="s">
        <v>9589</v>
      </c>
      <c r="C155" s="134" t="s">
        <v>13322</v>
      </c>
      <c r="D155" s="134" t="s">
        <v>7602</v>
      </c>
      <c r="E155" s="139">
        <v>3.83</v>
      </c>
      <c r="F155" s="134" t="s">
        <v>7601</v>
      </c>
      <c r="G155" s="134" t="s">
        <v>3007</v>
      </c>
      <c r="H155" s="123">
        <v>10826</v>
      </c>
    </row>
    <row r="156" spans="1:8" ht="31.5" x14ac:dyDescent="0.25">
      <c r="A156" s="134" t="s">
        <v>13317</v>
      </c>
      <c r="B156" s="134" t="s">
        <v>13321</v>
      </c>
      <c r="C156" s="134" t="s">
        <v>13320</v>
      </c>
      <c r="D156" s="134" t="s">
        <v>3542</v>
      </c>
      <c r="E156" s="139">
        <v>1.68</v>
      </c>
      <c r="F156" s="134" t="s">
        <v>3541</v>
      </c>
      <c r="G156" s="134" t="s">
        <v>3007</v>
      </c>
      <c r="H156" s="123">
        <v>10827</v>
      </c>
    </row>
    <row r="157" spans="1:8" ht="31.5" x14ac:dyDescent="0.25">
      <c r="A157" s="134" t="s">
        <v>13317</v>
      </c>
      <c r="B157" s="134" t="s">
        <v>13319</v>
      </c>
      <c r="C157" s="134" t="s">
        <v>13318</v>
      </c>
      <c r="D157" s="134" t="s">
        <v>5417</v>
      </c>
      <c r="E157" s="139">
        <v>5.69</v>
      </c>
      <c r="F157" s="134" t="s">
        <v>5416</v>
      </c>
      <c r="G157" s="134" t="s">
        <v>3007</v>
      </c>
      <c r="H157" s="123">
        <v>10828</v>
      </c>
    </row>
    <row r="158" spans="1:8" ht="31.5" x14ac:dyDescent="0.25">
      <c r="A158" s="134" t="s">
        <v>13317</v>
      </c>
      <c r="B158" s="134" t="s">
        <v>13316</v>
      </c>
      <c r="C158" s="134" t="s">
        <v>13315</v>
      </c>
      <c r="D158" s="134" t="s">
        <v>3385</v>
      </c>
      <c r="E158" s="139">
        <v>15.07</v>
      </c>
      <c r="F158" s="134" t="s">
        <v>3384</v>
      </c>
      <c r="G158" s="134" t="s">
        <v>3007</v>
      </c>
      <c r="H158" s="123">
        <v>10829</v>
      </c>
    </row>
    <row r="159" spans="1:8" ht="31.5" x14ac:dyDescent="0.25">
      <c r="A159" s="134" t="s">
        <v>13290</v>
      </c>
      <c r="B159" s="134" t="s">
        <v>13314</v>
      </c>
      <c r="C159" s="134" t="s">
        <v>13313</v>
      </c>
      <c r="D159" s="134" t="s">
        <v>6836</v>
      </c>
      <c r="E159" s="139">
        <v>11.4</v>
      </c>
      <c r="F159" s="134" t="s">
        <v>6835</v>
      </c>
      <c r="G159" s="134" t="s">
        <v>3007</v>
      </c>
      <c r="H159" s="123">
        <v>10869</v>
      </c>
    </row>
    <row r="160" spans="1:8" ht="31.5" x14ac:dyDescent="0.25">
      <c r="A160" s="134" t="s">
        <v>13290</v>
      </c>
      <c r="B160" s="134" t="s">
        <v>13312</v>
      </c>
      <c r="C160" s="134" t="s">
        <v>13311</v>
      </c>
      <c r="D160" s="134" t="s">
        <v>7760</v>
      </c>
      <c r="E160" s="139">
        <v>3.68</v>
      </c>
      <c r="F160" s="134" t="s">
        <v>7759</v>
      </c>
      <c r="G160" s="134" t="s">
        <v>3007</v>
      </c>
      <c r="H160" s="123">
        <v>10870</v>
      </c>
    </row>
    <row r="161" spans="1:8" ht="31.5" x14ac:dyDescent="0.25">
      <c r="A161" s="134" t="s">
        <v>13290</v>
      </c>
      <c r="B161" s="134" t="s">
        <v>13310</v>
      </c>
      <c r="C161" s="134" t="s">
        <v>13309</v>
      </c>
      <c r="D161" s="134" t="s">
        <v>5147</v>
      </c>
      <c r="E161" s="139">
        <v>7.1</v>
      </c>
      <c r="F161" s="134" t="s">
        <v>5146</v>
      </c>
      <c r="G161" s="134" t="s">
        <v>3007</v>
      </c>
      <c r="H161" s="123">
        <v>10871</v>
      </c>
    </row>
    <row r="162" spans="1:8" ht="31.5" x14ac:dyDescent="0.25">
      <c r="A162" s="134" t="s">
        <v>13290</v>
      </c>
      <c r="B162" s="134" t="s">
        <v>13308</v>
      </c>
      <c r="C162" s="134" t="s">
        <v>13307</v>
      </c>
      <c r="D162" s="134" t="s">
        <v>7283</v>
      </c>
      <c r="E162" s="139">
        <v>8.3800000000000008</v>
      </c>
      <c r="F162" s="134" t="s">
        <v>7282</v>
      </c>
      <c r="G162" s="134" t="s">
        <v>3007</v>
      </c>
      <c r="H162" s="123">
        <v>10872</v>
      </c>
    </row>
    <row r="163" spans="1:8" ht="31.5" x14ac:dyDescent="0.25">
      <c r="A163" s="134" t="s">
        <v>13290</v>
      </c>
      <c r="B163" s="134" t="s">
        <v>9490</v>
      </c>
      <c r="C163" s="134" t="s">
        <v>13306</v>
      </c>
      <c r="D163" s="134" t="s">
        <v>5166</v>
      </c>
      <c r="E163" s="139">
        <v>6.63</v>
      </c>
      <c r="F163" s="134" t="s">
        <v>5165</v>
      </c>
      <c r="G163" s="134" t="s">
        <v>3007</v>
      </c>
      <c r="H163" s="123">
        <v>10873</v>
      </c>
    </row>
    <row r="164" spans="1:8" ht="31.5" x14ac:dyDescent="0.25">
      <c r="A164" s="134" t="s">
        <v>13290</v>
      </c>
      <c r="B164" s="134" t="s">
        <v>13305</v>
      </c>
      <c r="C164" s="134" t="s">
        <v>13304</v>
      </c>
      <c r="D164" s="134" t="s">
        <v>13303</v>
      </c>
      <c r="E164" s="139">
        <v>17.16</v>
      </c>
      <c r="F164" s="134" t="s">
        <v>13302</v>
      </c>
      <c r="G164" s="134" t="s">
        <v>3007</v>
      </c>
      <c r="H164" s="123">
        <v>10874</v>
      </c>
    </row>
    <row r="165" spans="1:8" ht="31.5" x14ac:dyDescent="0.25">
      <c r="A165" s="134" t="s">
        <v>13290</v>
      </c>
      <c r="B165" s="134" t="s">
        <v>13301</v>
      </c>
      <c r="C165" s="134" t="s">
        <v>13300</v>
      </c>
      <c r="D165" s="134" t="s">
        <v>5678</v>
      </c>
      <c r="E165" s="139">
        <v>2.92</v>
      </c>
      <c r="F165" s="134" t="s">
        <v>5677</v>
      </c>
      <c r="G165" s="134" t="s">
        <v>3007</v>
      </c>
      <c r="H165" s="123">
        <v>10875</v>
      </c>
    </row>
    <row r="166" spans="1:8" ht="31.5" x14ac:dyDescent="0.25">
      <c r="A166" s="134" t="s">
        <v>13290</v>
      </c>
      <c r="B166" s="134" t="s">
        <v>13299</v>
      </c>
      <c r="C166" s="134" t="s">
        <v>13298</v>
      </c>
      <c r="D166" s="134" t="s">
        <v>13297</v>
      </c>
      <c r="E166" s="139">
        <v>76.28</v>
      </c>
      <c r="F166" s="134" t="s">
        <v>13296</v>
      </c>
      <c r="G166" s="134" t="s">
        <v>3007</v>
      </c>
      <c r="H166" s="123">
        <v>10876</v>
      </c>
    </row>
    <row r="167" spans="1:8" ht="31.5" x14ac:dyDescent="0.25">
      <c r="A167" s="134" t="s">
        <v>13290</v>
      </c>
      <c r="B167" s="134" t="s">
        <v>10670</v>
      </c>
      <c r="C167" s="134" t="s">
        <v>13295</v>
      </c>
      <c r="D167" s="134" t="s">
        <v>9629</v>
      </c>
      <c r="E167" s="139">
        <v>3.15</v>
      </c>
      <c r="F167" s="134" t="s">
        <v>9628</v>
      </c>
      <c r="G167" s="134" t="s">
        <v>3007</v>
      </c>
      <c r="H167" s="123">
        <v>10877</v>
      </c>
    </row>
    <row r="168" spans="1:8" ht="31.5" x14ac:dyDescent="0.25">
      <c r="A168" s="134" t="s">
        <v>13290</v>
      </c>
      <c r="B168" s="134" t="s">
        <v>13294</v>
      </c>
      <c r="C168" s="134" t="s">
        <v>13293</v>
      </c>
      <c r="D168" s="134" t="s">
        <v>10015</v>
      </c>
      <c r="E168" s="139">
        <v>11.02</v>
      </c>
      <c r="F168" s="134" t="s">
        <v>10014</v>
      </c>
      <c r="G168" s="134" t="s">
        <v>3007</v>
      </c>
      <c r="H168" s="123">
        <v>10878</v>
      </c>
    </row>
    <row r="169" spans="1:8" ht="31.5" x14ac:dyDescent="0.25">
      <c r="A169" s="134" t="s">
        <v>13290</v>
      </c>
      <c r="B169" s="134" t="s">
        <v>13292</v>
      </c>
      <c r="C169" s="134" t="s">
        <v>13291</v>
      </c>
      <c r="D169" s="134" t="s">
        <v>4701</v>
      </c>
      <c r="E169" s="139">
        <v>27.01</v>
      </c>
      <c r="F169" s="134" t="s">
        <v>4700</v>
      </c>
      <c r="G169" s="134" t="s">
        <v>3007</v>
      </c>
      <c r="H169" s="123">
        <v>10879</v>
      </c>
    </row>
    <row r="170" spans="1:8" ht="31.5" x14ac:dyDescent="0.25">
      <c r="A170" s="134" t="s">
        <v>13290</v>
      </c>
      <c r="B170" s="134" t="s">
        <v>13289</v>
      </c>
      <c r="C170" s="134" t="s">
        <v>13288</v>
      </c>
      <c r="D170" s="134" t="s">
        <v>10668</v>
      </c>
      <c r="E170" s="139">
        <v>5.04</v>
      </c>
      <c r="F170" s="134" t="s">
        <v>10667</v>
      </c>
      <c r="G170" s="134" t="s">
        <v>3007</v>
      </c>
      <c r="H170" s="123">
        <v>10880</v>
      </c>
    </row>
    <row r="171" spans="1:8" s="200" customFormat="1" x14ac:dyDescent="0.25">
      <c r="A171" s="198"/>
      <c r="B171" s="198"/>
      <c r="C171" s="198" t="s">
        <v>5691</v>
      </c>
      <c r="D171" s="198" t="s">
        <v>14408</v>
      </c>
      <c r="E171" s="199">
        <f>SUM(E3:E170)</f>
        <v>1422.3300000000006</v>
      </c>
      <c r="F171" s="198"/>
      <c r="G171" s="198"/>
      <c r="H171" s="172"/>
    </row>
    <row r="172" spans="1:8" s="200" customFormat="1" x14ac:dyDescent="0.25">
      <c r="A172" s="198"/>
      <c r="B172" s="198"/>
      <c r="C172" s="198"/>
      <c r="D172" s="198"/>
      <c r="E172" s="199"/>
      <c r="F172" s="198"/>
      <c r="G172" s="198"/>
      <c r="H172" s="172"/>
    </row>
    <row r="173" spans="1:8" ht="31.5" x14ac:dyDescent="0.25">
      <c r="A173" s="134" t="s">
        <v>13269</v>
      </c>
      <c r="B173" s="134" t="s">
        <v>13287</v>
      </c>
      <c r="C173" s="134" t="s">
        <v>13286</v>
      </c>
      <c r="D173" s="134" t="s">
        <v>5423</v>
      </c>
      <c r="E173" s="139">
        <v>8.31</v>
      </c>
      <c r="F173" s="134" t="s">
        <v>5422</v>
      </c>
      <c r="G173" s="134" t="s">
        <v>3007</v>
      </c>
      <c r="H173" s="123">
        <v>10897</v>
      </c>
    </row>
    <row r="174" spans="1:8" ht="31.5" x14ac:dyDescent="0.25">
      <c r="A174" s="134" t="s">
        <v>13269</v>
      </c>
      <c r="B174" s="134" t="s">
        <v>13285</v>
      </c>
      <c r="C174" s="134" t="s">
        <v>13284</v>
      </c>
      <c r="D174" s="134" t="s">
        <v>7657</v>
      </c>
      <c r="E174" s="139">
        <v>3.27</v>
      </c>
      <c r="F174" s="134" t="s">
        <v>7656</v>
      </c>
      <c r="G174" s="134" t="s">
        <v>3007</v>
      </c>
      <c r="H174" s="123">
        <v>10898</v>
      </c>
    </row>
    <row r="175" spans="1:8" ht="31.5" x14ac:dyDescent="0.25">
      <c r="A175" s="134" t="s">
        <v>13269</v>
      </c>
      <c r="B175" s="134" t="s">
        <v>12041</v>
      </c>
      <c r="C175" s="134" t="s">
        <v>13283</v>
      </c>
      <c r="D175" s="134" t="s">
        <v>5230</v>
      </c>
      <c r="E175" s="139">
        <v>47.23</v>
      </c>
      <c r="F175" s="134" t="s">
        <v>5229</v>
      </c>
      <c r="G175" s="134" t="s">
        <v>3007</v>
      </c>
      <c r="H175" s="123">
        <v>10899</v>
      </c>
    </row>
    <row r="176" spans="1:8" ht="31.5" x14ac:dyDescent="0.25">
      <c r="A176" s="134" t="s">
        <v>13269</v>
      </c>
      <c r="B176" s="134" t="s">
        <v>13282</v>
      </c>
      <c r="C176" s="134" t="s">
        <v>13281</v>
      </c>
      <c r="D176" s="134" t="s">
        <v>13280</v>
      </c>
      <c r="E176" s="139">
        <v>19.25</v>
      </c>
      <c r="F176" s="134" t="s">
        <v>13279</v>
      </c>
      <c r="G176" s="134" t="s">
        <v>3007</v>
      </c>
      <c r="H176" s="123">
        <v>10900</v>
      </c>
    </row>
    <row r="177" spans="1:8" ht="31.5" x14ac:dyDescent="0.25">
      <c r="A177" s="134" t="s">
        <v>13269</v>
      </c>
      <c r="B177" s="134" t="s">
        <v>13278</v>
      </c>
      <c r="C177" s="134" t="s">
        <v>13277</v>
      </c>
      <c r="D177" s="134" t="s">
        <v>9201</v>
      </c>
      <c r="E177" s="139">
        <v>8.0500000000000007</v>
      </c>
      <c r="F177" s="134" t="s">
        <v>9200</v>
      </c>
      <c r="G177" s="134" t="s">
        <v>3007</v>
      </c>
      <c r="H177" s="123">
        <v>10901</v>
      </c>
    </row>
    <row r="178" spans="1:8" ht="31.5" x14ac:dyDescent="0.25">
      <c r="A178" s="134" t="s">
        <v>13269</v>
      </c>
      <c r="B178" s="134" t="s">
        <v>13276</v>
      </c>
      <c r="C178" s="134" t="s">
        <v>13275</v>
      </c>
      <c r="D178" s="134" t="s">
        <v>13274</v>
      </c>
      <c r="E178" s="139">
        <v>14.92</v>
      </c>
      <c r="F178" s="134" t="s">
        <v>13273</v>
      </c>
      <c r="G178" s="134" t="s">
        <v>3007</v>
      </c>
      <c r="H178" s="123">
        <v>10902</v>
      </c>
    </row>
    <row r="179" spans="1:8" ht="31.5" x14ac:dyDescent="0.25">
      <c r="A179" s="134" t="s">
        <v>13269</v>
      </c>
      <c r="B179" s="134" t="s">
        <v>7719</v>
      </c>
      <c r="C179" s="134" t="s">
        <v>13272</v>
      </c>
      <c r="D179" s="134" t="s">
        <v>3692</v>
      </c>
      <c r="E179" s="139">
        <v>3.17</v>
      </c>
      <c r="F179" s="134" t="s">
        <v>3691</v>
      </c>
      <c r="G179" s="134" t="s">
        <v>3007</v>
      </c>
      <c r="H179" s="123">
        <v>10903</v>
      </c>
    </row>
    <row r="180" spans="1:8" ht="31.5" x14ac:dyDescent="0.25">
      <c r="A180" s="134" t="s">
        <v>13269</v>
      </c>
      <c r="B180" s="134" t="s">
        <v>13271</v>
      </c>
      <c r="C180" s="134" t="s">
        <v>13270</v>
      </c>
      <c r="D180" s="134" t="s">
        <v>6402</v>
      </c>
      <c r="E180" s="139">
        <v>4.07</v>
      </c>
      <c r="F180" s="134" t="s">
        <v>6401</v>
      </c>
      <c r="G180" s="134" t="s">
        <v>3007</v>
      </c>
      <c r="H180" s="123">
        <v>10904</v>
      </c>
    </row>
    <row r="181" spans="1:8" ht="31.5" x14ac:dyDescent="0.25">
      <c r="A181" s="134" t="s">
        <v>13269</v>
      </c>
      <c r="B181" s="134" t="s">
        <v>13268</v>
      </c>
      <c r="C181" s="134" t="s">
        <v>13267</v>
      </c>
      <c r="D181" s="134" t="s">
        <v>5321</v>
      </c>
      <c r="E181" s="139">
        <v>15.38</v>
      </c>
      <c r="F181" s="134" t="s">
        <v>5320</v>
      </c>
      <c r="G181" s="134" t="s">
        <v>3007</v>
      </c>
      <c r="H181" s="123">
        <v>10905</v>
      </c>
    </row>
    <row r="182" spans="1:8" ht="31.5" x14ac:dyDescent="0.25">
      <c r="A182" s="134" t="s">
        <v>13250</v>
      </c>
      <c r="B182" s="134" t="s">
        <v>10635</v>
      </c>
      <c r="C182" s="134" t="s">
        <v>13266</v>
      </c>
      <c r="D182" s="134" t="s">
        <v>13265</v>
      </c>
      <c r="E182" s="139">
        <v>12.88</v>
      </c>
      <c r="F182" s="134" t="s">
        <v>13264</v>
      </c>
      <c r="G182" s="134" t="s">
        <v>3007</v>
      </c>
      <c r="H182" s="123">
        <v>10910</v>
      </c>
    </row>
    <row r="183" spans="1:8" ht="31.5" x14ac:dyDescent="0.25">
      <c r="A183" s="134" t="s">
        <v>13250</v>
      </c>
      <c r="B183" s="134" t="s">
        <v>13263</v>
      </c>
      <c r="C183" s="134" t="s">
        <v>13262</v>
      </c>
      <c r="D183" s="134" t="s">
        <v>8955</v>
      </c>
      <c r="E183" s="139">
        <v>7.32</v>
      </c>
      <c r="F183" s="134" t="s">
        <v>8954</v>
      </c>
      <c r="G183" s="134" t="s">
        <v>3007</v>
      </c>
      <c r="H183" s="123">
        <v>10911</v>
      </c>
    </row>
    <row r="184" spans="1:8" ht="31.5" x14ac:dyDescent="0.25">
      <c r="A184" s="134" t="s">
        <v>13250</v>
      </c>
      <c r="B184" s="134" t="s">
        <v>5680</v>
      </c>
      <c r="C184" s="134" t="s">
        <v>13261</v>
      </c>
      <c r="D184" s="134" t="s">
        <v>6743</v>
      </c>
      <c r="E184" s="139">
        <v>6.37</v>
      </c>
      <c r="F184" s="134" t="s">
        <v>6742</v>
      </c>
      <c r="G184" s="134" t="s">
        <v>3007</v>
      </c>
      <c r="H184" s="123">
        <v>10912</v>
      </c>
    </row>
    <row r="185" spans="1:8" ht="31.5" x14ac:dyDescent="0.25">
      <c r="A185" s="134" t="s">
        <v>13250</v>
      </c>
      <c r="B185" s="134" t="s">
        <v>13260</v>
      </c>
      <c r="C185" s="134" t="s">
        <v>13259</v>
      </c>
      <c r="D185" s="134" t="s">
        <v>5091</v>
      </c>
      <c r="E185" s="139">
        <v>0.84</v>
      </c>
      <c r="F185" s="134" t="s">
        <v>5090</v>
      </c>
      <c r="G185" s="134" t="s">
        <v>3007</v>
      </c>
      <c r="H185" s="123">
        <v>10913</v>
      </c>
    </row>
    <row r="186" spans="1:8" ht="31.5" x14ac:dyDescent="0.25">
      <c r="A186" s="134" t="s">
        <v>13250</v>
      </c>
      <c r="B186" s="134" t="s">
        <v>13258</v>
      </c>
      <c r="C186" s="134" t="s">
        <v>13257</v>
      </c>
      <c r="D186" s="134" t="s">
        <v>10548</v>
      </c>
      <c r="E186" s="139">
        <v>8.3800000000000008</v>
      </c>
      <c r="F186" s="134" t="s">
        <v>10547</v>
      </c>
      <c r="G186" s="134" t="s">
        <v>3007</v>
      </c>
      <c r="H186" s="123">
        <v>10914</v>
      </c>
    </row>
    <row r="187" spans="1:8" ht="31.5" x14ac:dyDescent="0.25">
      <c r="A187" s="134" t="s">
        <v>13250</v>
      </c>
      <c r="B187" s="134" t="s">
        <v>7639</v>
      </c>
      <c r="C187" s="134" t="s">
        <v>13256</v>
      </c>
      <c r="D187" s="134" t="s">
        <v>8385</v>
      </c>
      <c r="E187" s="139">
        <v>4.88</v>
      </c>
      <c r="F187" s="134" t="s">
        <v>8384</v>
      </c>
      <c r="G187" s="134" t="s">
        <v>3007</v>
      </c>
      <c r="H187" s="123">
        <v>10915</v>
      </c>
    </row>
    <row r="188" spans="1:8" ht="31.5" x14ac:dyDescent="0.25">
      <c r="A188" s="134" t="s">
        <v>13250</v>
      </c>
      <c r="B188" s="134" t="s">
        <v>8201</v>
      </c>
      <c r="C188" s="134" t="s">
        <v>13255</v>
      </c>
      <c r="D188" s="134" t="s">
        <v>8027</v>
      </c>
      <c r="E188" s="139">
        <v>37.04</v>
      </c>
      <c r="F188" s="134" t="s">
        <v>8026</v>
      </c>
      <c r="G188" s="134" t="s">
        <v>3007</v>
      </c>
      <c r="H188" s="123">
        <v>10916</v>
      </c>
    </row>
    <row r="189" spans="1:8" ht="31.5" x14ac:dyDescent="0.25">
      <c r="A189" s="134" t="s">
        <v>13250</v>
      </c>
      <c r="B189" s="134" t="s">
        <v>13254</v>
      </c>
      <c r="C189" s="134" t="s">
        <v>13253</v>
      </c>
      <c r="D189" s="134" t="s">
        <v>13252</v>
      </c>
      <c r="E189" s="139">
        <v>20.2</v>
      </c>
      <c r="F189" s="134" t="s">
        <v>13251</v>
      </c>
      <c r="G189" s="134" t="s">
        <v>3007</v>
      </c>
      <c r="H189" s="123">
        <v>10917</v>
      </c>
    </row>
    <row r="190" spans="1:8" ht="31.5" x14ac:dyDescent="0.25">
      <c r="A190" s="134" t="s">
        <v>13250</v>
      </c>
      <c r="B190" s="134" t="s">
        <v>13249</v>
      </c>
      <c r="C190" s="134" t="s">
        <v>13248</v>
      </c>
      <c r="D190" s="134" t="s">
        <v>4783</v>
      </c>
      <c r="E190" s="139">
        <v>4.0199999999999996</v>
      </c>
      <c r="F190" s="134" t="s">
        <v>4782</v>
      </c>
      <c r="G190" s="134" t="s">
        <v>3007</v>
      </c>
      <c r="H190" s="123">
        <v>10918</v>
      </c>
    </row>
    <row r="191" spans="1:8" ht="31.5" x14ac:dyDescent="0.25">
      <c r="A191" s="134" t="s">
        <v>13245</v>
      </c>
      <c r="B191" s="134" t="s">
        <v>13247</v>
      </c>
      <c r="C191" s="134" t="s">
        <v>13246</v>
      </c>
      <c r="D191" s="134" t="s">
        <v>6279</v>
      </c>
      <c r="E191" s="139">
        <v>31.89</v>
      </c>
      <c r="F191" s="134" t="s">
        <v>6278</v>
      </c>
      <c r="G191" s="134" t="s">
        <v>3007</v>
      </c>
      <c r="H191" s="123">
        <v>10919</v>
      </c>
    </row>
    <row r="192" spans="1:8" ht="31.5" x14ac:dyDescent="0.25">
      <c r="A192" s="134" t="s">
        <v>13245</v>
      </c>
      <c r="B192" s="134" t="s">
        <v>13244</v>
      </c>
      <c r="C192" s="134" t="s">
        <v>13243</v>
      </c>
      <c r="D192" s="134" t="s">
        <v>4281</v>
      </c>
      <c r="E192" s="139">
        <v>20.260000000000002</v>
      </c>
      <c r="F192" s="134" t="s">
        <v>4280</v>
      </c>
      <c r="G192" s="134" t="s">
        <v>3007</v>
      </c>
      <c r="H192" s="123">
        <v>10920</v>
      </c>
    </row>
    <row r="193" spans="1:8" ht="31.5" x14ac:dyDescent="0.25">
      <c r="A193" s="134" t="s">
        <v>13221</v>
      </c>
      <c r="B193" s="134" t="s">
        <v>13242</v>
      </c>
      <c r="C193" s="134" t="s">
        <v>13241</v>
      </c>
      <c r="D193" s="134" t="s">
        <v>6683</v>
      </c>
      <c r="E193" s="139">
        <v>4.1100000000000003</v>
      </c>
      <c r="F193" s="134" t="s">
        <v>6682</v>
      </c>
      <c r="G193" s="134" t="s">
        <v>3007</v>
      </c>
      <c r="H193" s="123">
        <v>10937</v>
      </c>
    </row>
    <row r="194" spans="1:8" ht="31.5" x14ac:dyDescent="0.25">
      <c r="A194" s="134" t="s">
        <v>13221</v>
      </c>
      <c r="B194" s="134" t="s">
        <v>13240</v>
      </c>
      <c r="C194" s="134" t="s">
        <v>13239</v>
      </c>
      <c r="D194" s="134" t="s">
        <v>4665</v>
      </c>
      <c r="E194" s="139">
        <v>23.49</v>
      </c>
      <c r="F194" s="134" t="s">
        <v>4664</v>
      </c>
      <c r="G194" s="134" t="s">
        <v>3007</v>
      </c>
      <c r="H194" s="123">
        <v>10938</v>
      </c>
    </row>
    <row r="195" spans="1:8" ht="31.5" x14ac:dyDescent="0.25">
      <c r="A195" s="134" t="s">
        <v>13221</v>
      </c>
      <c r="B195" s="134" t="s">
        <v>13238</v>
      </c>
      <c r="C195" s="134" t="s">
        <v>13237</v>
      </c>
      <c r="D195" s="134" t="s">
        <v>4791</v>
      </c>
      <c r="E195" s="139">
        <v>1.68</v>
      </c>
      <c r="F195" s="134" t="s">
        <v>4790</v>
      </c>
      <c r="G195" s="134" t="s">
        <v>3007</v>
      </c>
      <c r="H195" s="123">
        <v>10939</v>
      </c>
    </row>
    <row r="196" spans="1:8" ht="31.5" x14ac:dyDescent="0.25">
      <c r="A196" s="134" t="s">
        <v>13221</v>
      </c>
      <c r="B196" s="134" t="s">
        <v>9439</v>
      </c>
      <c r="C196" s="134" t="s">
        <v>13236</v>
      </c>
      <c r="D196" s="134" t="s">
        <v>13235</v>
      </c>
      <c r="E196" s="139">
        <v>57.04</v>
      </c>
      <c r="F196" s="134" t="s">
        <v>13234</v>
      </c>
      <c r="G196" s="134" t="s">
        <v>3007</v>
      </c>
      <c r="H196" s="123">
        <v>10940</v>
      </c>
    </row>
    <row r="197" spans="1:8" ht="31.5" x14ac:dyDescent="0.25">
      <c r="A197" s="134" t="s">
        <v>13221</v>
      </c>
      <c r="B197" s="134" t="s">
        <v>13233</v>
      </c>
      <c r="C197" s="134" t="s">
        <v>13232</v>
      </c>
      <c r="D197" s="134" t="s">
        <v>13231</v>
      </c>
      <c r="E197" s="139">
        <v>1.92</v>
      </c>
      <c r="F197" s="134" t="s">
        <v>13230</v>
      </c>
      <c r="G197" s="134" t="s">
        <v>3007</v>
      </c>
      <c r="H197" s="123">
        <v>10941</v>
      </c>
    </row>
    <row r="198" spans="1:8" ht="31.5" x14ac:dyDescent="0.25">
      <c r="A198" s="134" t="s">
        <v>13221</v>
      </c>
      <c r="B198" s="134" t="s">
        <v>13229</v>
      </c>
      <c r="C198" s="134" t="s">
        <v>13228</v>
      </c>
      <c r="D198" s="134" t="s">
        <v>12833</v>
      </c>
      <c r="E198" s="139">
        <v>2.4300000000000002</v>
      </c>
      <c r="F198" s="134" t="s">
        <v>12335</v>
      </c>
      <c r="G198" s="134" t="s">
        <v>3007</v>
      </c>
      <c r="H198" s="123">
        <v>10942</v>
      </c>
    </row>
    <row r="199" spans="1:8" ht="31.5" x14ac:dyDescent="0.25">
      <c r="A199" s="134" t="s">
        <v>13221</v>
      </c>
      <c r="B199" s="134" t="s">
        <v>13227</v>
      </c>
      <c r="C199" s="134" t="s">
        <v>13226</v>
      </c>
      <c r="D199" s="134" t="s">
        <v>4610</v>
      </c>
      <c r="E199" s="139">
        <v>6.94</v>
      </c>
      <c r="F199" s="134" t="s">
        <v>4609</v>
      </c>
      <c r="G199" s="134" t="s">
        <v>3007</v>
      </c>
      <c r="H199" s="123">
        <v>10943</v>
      </c>
    </row>
    <row r="200" spans="1:8" ht="31.5" x14ac:dyDescent="0.25">
      <c r="A200" s="134" t="s">
        <v>13221</v>
      </c>
      <c r="B200" s="134" t="s">
        <v>13225</v>
      </c>
      <c r="C200" s="134" t="s">
        <v>13224</v>
      </c>
      <c r="D200" s="134" t="s">
        <v>9218</v>
      </c>
      <c r="E200" s="139">
        <v>12.3</v>
      </c>
      <c r="F200" s="134" t="s">
        <v>9217</v>
      </c>
      <c r="G200" s="134" t="s">
        <v>3007</v>
      </c>
      <c r="H200" s="123">
        <v>10944</v>
      </c>
    </row>
    <row r="201" spans="1:8" ht="31.5" x14ac:dyDescent="0.25">
      <c r="A201" s="134" t="s">
        <v>13221</v>
      </c>
      <c r="B201" s="134" t="s">
        <v>13223</v>
      </c>
      <c r="C201" s="134" t="s">
        <v>13222</v>
      </c>
      <c r="D201" s="134" t="s">
        <v>5539</v>
      </c>
      <c r="E201" s="139">
        <v>2.72</v>
      </c>
      <c r="F201" s="134" t="s">
        <v>5538</v>
      </c>
      <c r="G201" s="134" t="s">
        <v>3007</v>
      </c>
      <c r="H201" s="123">
        <v>10945</v>
      </c>
    </row>
    <row r="202" spans="1:8" ht="31.5" x14ac:dyDescent="0.25">
      <c r="A202" s="134" t="s">
        <v>13221</v>
      </c>
      <c r="B202" s="134" t="s">
        <v>13220</v>
      </c>
      <c r="C202" s="134" t="s">
        <v>13219</v>
      </c>
      <c r="D202" s="134" t="s">
        <v>5259</v>
      </c>
      <c r="E202" s="139">
        <v>15.53</v>
      </c>
      <c r="F202" s="134" t="s">
        <v>5258</v>
      </c>
      <c r="G202" s="134" t="s">
        <v>3007</v>
      </c>
      <c r="H202" s="123">
        <v>10946</v>
      </c>
    </row>
    <row r="203" spans="1:8" ht="31.5" x14ac:dyDescent="0.25">
      <c r="A203" s="134" t="s">
        <v>13178</v>
      </c>
      <c r="B203" s="134" t="s">
        <v>13218</v>
      </c>
      <c r="C203" s="134" t="s">
        <v>13217</v>
      </c>
      <c r="D203" s="134" t="s">
        <v>13216</v>
      </c>
      <c r="E203" s="139">
        <v>13.58</v>
      </c>
      <c r="F203" s="134" t="s">
        <v>13209</v>
      </c>
      <c r="G203" s="134" t="s">
        <v>3007</v>
      </c>
      <c r="H203" s="123">
        <v>10981</v>
      </c>
    </row>
    <row r="204" spans="1:8" ht="31.5" x14ac:dyDescent="0.25">
      <c r="A204" s="134" t="s">
        <v>13178</v>
      </c>
      <c r="B204" s="134" t="s">
        <v>13215</v>
      </c>
      <c r="C204" s="134" t="s">
        <v>13214</v>
      </c>
      <c r="D204" s="134" t="s">
        <v>13213</v>
      </c>
      <c r="E204" s="139">
        <v>13.58</v>
      </c>
      <c r="F204" s="134" t="s">
        <v>13209</v>
      </c>
      <c r="G204" s="134" t="s">
        <v>3007</v>
      </c>
      <c r="H204" s="123">
        <v>10982</v>
      </c>
    </row>
    <row r="205" spans="1:8" ht="31.5" x14ac:dyDescent="0.25">
      <c r="A205" s="134" t="s">
        <v>13178</v>
      </c>
      <c r="B205" s="134" t="s">
        <v>13212</v>
      </c>
      <c r="C205" s="134" t="s">
        <v>13211</v>
      </c>
      <c r="D205" s="134" t="s">
        <v>13210</v>
      </c>
      <c r="E205" s="139">
        <v>13.58</v>
      </c>
      <c r="F205" s="134" t="s">
        <v>13209</v>
      </c>
      <c r="G205" s="134" t="s">
        <v>3007</v>
      </c>
      <c r="H205" s="123">
        <v>10983</v>
      </c>
    </row>
    <row r="206" spans="1:8" ht="31.5" x14ac:dyDescent="0.25">
      <c r="A206" s="134" t="s">
        <v>13178</v>
      </c>
      <c r="B206" s="134" t="s">
        <v>13208</v>
      </c>
      <c r="C206" s="134" t="s">
        <v>13207</v>
      </c>
      <c r="D206" s="134" t="s">
        <v>3755</v>
      </c>
      <c r="E206" s="139">
        <v>14.5</v>
      </c>
      <c r="F206" s="134" t="s">
        <v>3754</v>
      </c>
      <c r="G206" s="134" t="s">
        <v>3007</v>
      </c>
      <c r="H206" s="123">
        <v>10984</v>
      </c>
    </row>
    <row r="207" spans="1:8" ht="31.5" x14ac:dyDescent="0.25">
      <c r="A207" s="134" t="s">
        <v>13178</v>
      </c>
      <c r="B207" s="134" t="s">
        <v>13206</v>
      </c>
      <c r="C207" s="134" t="s">
        <v>13205</v>
      </c>
      <c r="D207" s="134" t="s">
        <v>5060</v>
      </c>
      <c r="E207" s="139">
        <v>26.78</v>
      </c>
      <c r="F207" s="134" t="s">
        <v>5059</v>
      </c>
      <c r="G207" s="134" t="s">
        <v>3007</v>
      </c>
      <c r="H207" s="123">
        <v>10985</v>
      </c>
    </row>
    <row r="208" spans="1:8" ht="31.5" x14ac:dyDescent="0.25">
      <c r="A208" s="134" t="s">
        <v>13178</v>
      </c>
      <c r="B208" s="134" t="s">
        <v>13204</v>
      </c>
      <c r="C208" s="134" t="s">
        <v>13203</v>
      </c>
      <c r="D208" s="134" t="s">
        <v>7099</v>
      </c>
      <c r="E208" s="139">
        <v>32.4</v>
      </c>
      <c r="F208" s="134" t="s">
        <v>7098</v>
      </c>
      <c r="G208" s="134" t="s">
        <v>3007</v>
      </c>
      <c r="H208" s="123">
        <v>10986</v>
      </c>
    </row>
    <row r="209" spans="1:8" ht="31.5" x14ac:dyDescent="0.25">
      <c r="A209" s="134" t="s">
        <v>13178</v>
      </c>
      <c r="B209" s="134" t="s">
        <v>13202</v>
      </c>
      <c r="C209" s="134" t="s">
        <v>13201</v>
      </c>
      <c r="D209" s="134" t="s">
        <v>4941</v>
      </c>
      <c r="E209" s="139">
        <v>47.9</v>
      </c>
      <c r="F209" s="134" t="s">
        <v>4940</v>
      </c>
      <c r="G209" s="134" t="s">
        <v>3007</v>
      </c>
      <c r="H209" s="123">
        <v>10987</v>
      </c>
    </row>
    <row r="210" spans="1:8" ht="31.5" x14ac:dyDescent="0.25">
      <c r="A210" s="134" t="s">
        <v>13178</v>
      </c>
      <c r="B210" s="134" t="s">
        <v>13200</v>
      </c>
      <c r="C210" s="134" t="s">
        <v>13199</v>
      </c>
      <c r="D210" s="134" t="s">
        <v>4767</v>
      </c>
      <c r="E210" s="139">
        <v>4.0999999999999996</v>
      </c>
      <c r="F210" s="134" t="s">
        <v>4766</v>
      </c>
      <c r="G210" s="134" t="s">
        <v>3007</v>
      </c>
      <c r="H210" s="123">
        <v>10988</v>
      </c>
    </row>
    <row r="211" spans="1:8" ht="31.5" x14ac:dyDescent="0.25">
      <c r="A211" s="134" t="s">
        <v>13178</v>
      </c>
      <c r="B211" s="134" t="s">
        <v>13198</v>
      </c>
      <c r="C211" s="134" t="s">
        <v>13197</v>
      </c>
      <c r="D211" s="134" t="s">
        <v>3054</v>
      </c>
      <c r="E211" s="139">
        <v>14.65</v>
      </c>
      <c r="F211" s="134" t="s">
        <v>3053</v>
      </c>
      <c r="G211" s="134" t="s">
        <v>3007</v>
      </c>
      <c r="H211" s="123">
        <v>10989</v>
      </c>
    </row>
    <row r="212" spans="1:8" ht="31.5" x14ac:dyDescent="0.25">
      <c r="A212" s="134" t="s">
        <v>13178</v>
      </c>
      <c r="B212" s="134" t="s">
        <v>13196</v>
      </c>
      <c r="C212" s="134" t="s">
        <v>13195</v>
      </c>
      <c r="D212" s="134" t="s">
        <v>10818</v>
      </c>
      <c r="E212" s="139">
        <v>6.82</v>
      </c>
      <c r="F212" s="134" t="s">
        <v>10817</v>
      </c>
      <c r="G212" s="134" t="s">
        <v>3007</v>
      </c>
      <c r="H212" s="123">
        <v>10991</v>
      </c>
    </row>
    <row r="213" spans="1:8" ht="31.5" x14ac:dyDescent="0.25">
      <c r="A213" s="134" t="s">
        <v>13178</v>
      </c>
      <c r="B213" s="134" t="s">
        <v>13194</v>
      </c>
      <c r="C213" s="134" t="s">
        <v>13193</v>
      </c>
      <c r="D213" s="134" t="s">
        <v>10821</v>
      </c>
      <c r="E213" s="139">
        <v>5.04</v>
      </c>
      <c r="F213" s="134" t="s">
        <v>10817</v>
      </c>
      <c r="G213" s="134" t="s">
        <v>3007</v>
      </c>
      <c r="H213" s="123">
        <v>10990</v>
      </c>
    </row>
    <row r="214" spans="1:8" ht="31.5" x14ac:dyDescent="0.25">
      <c r="A214" s="134" t="s">
        <v>13178</v>
      </c>
      <c r="B214" s="134" t="s">
        <v>13192</v>
      </c>
      <c r="C214" s="134" t="s">
        <v>13191</v>
      </c>
      <c r="D214" s="134" t="s">
        <v>10824</v>
      </c>
      <c r="E214" s="139">
        <v>5.04</v>
      </c>
      <c r="F214" s="134" t="s">
        <v>10817</v>
      </c>
      <c r="G214" s="134" t="s">
        <v>3007</v>
      </c>
      <c r="H214" s="123">
        <v>10992</v>
      </c>
    </row>
    <row r="215" spans="1:8" ht="31.5" x14ac:dyDescent="0.25">
      <c r="A215" s="134" t="s">
        <v>13178</v>
      </c>
      <c r="B215" s="134" t="s">
        <v>13190</v>
      </c>
      <c r="C215" s="134" t="s">
        <v>13189</v>
      </c>
      <c r="D215" s="134" t="s">
        <v>4342</v>
      </c>
      <c r="E215" s="139">
        <v>6.06</v>
      </c>
      <c r="F215" s="134" t="s">
        <v>4341</v>
      </c>
      <c r="G215" s="134" t="s">
        <v>3007</v>
      </c>
      <c r="H215" s="123">
        <v>10993</v>
      </c>
    </row>
    <row r="216" spans="1:8" ht="31.5" x14ac:dyDescent="0.25">
      <c r="A216" s="134" t="s">
        <v>13178</v>
      </c>
      <c r="B216" s="134" t="s">
        <v>13188</v>
      </c>
      <c r="C216" s="134" t="s">
        <v>13187</v>
      </c>
      <c r="D216" s="134" t="s">
        <v>7865</v>
      </c>
      <c r="E216" s="139">
        <v>9.8000000000000007</v>
      </c>
      <c r="F216" s="134" t="s">
        <v>7864</v>
      </c>
      <c r="G216" s="134" t="s">
        <v>3007</v>
      </c>
      <c r="H216" s="123">
        <v>10994</v>
      </c>
    </row>
    <row r="217" spans="1:8" ht="31.5" x14ac:dyDescent="0.25">
      <c r="A217" s="134" t="s">
        <v>13178</v>
      </c>
      <c r="B217" s="134" t="s">
        <v>13186</v>
      </c>
      <c r="C217" s="134" t="s">
        <v>13185</v>
      </c>
      <c r="D217" s="134" t="s">
        <v>5996</v>
      </c>
      <c r="E217" s="139">
        <v>6.75</v>
      </c>
      <c r="F217" s="134" t="s">
        <v>5995</v>
      </c>
      <c r="G217" s="134" t="s">
        <v>3007</v>
      </c>
      <c r="H217" s="123">
        <v>10995</v>
      </c>
    </row>
    <row r="218" spans="1:8" ht="31.5" x14ac:dyDescent="0.25">
      <c r="A218" s="134" t="s">
        <v>13178</v>
      </c>
      <c r="B218" s="134" t="s">
        <v>13184</v>
      </c>
      <c r="C218" s="134" t="s">
        <v>13183</v>
      </c>
      <c r="D218" s="134" t="s">
        <v>11109</v>
      </c>
      <c r="E218" s="139">
        <v>19.48</v>
      </c>
      <c r="F218" s="134" t="s">
        <v>11108</v>
      </c>
      <c r="G218" s="134" t="s">
        <v>3007</v>
      </c>
      <c r="H218" s="123">
        <v>10996</v>
      </c>
    </row>
    <row r="219" spans="1:8" ht="31.5" x14ac:dyDescent="0.25">
      <c r="A219" s="134" t="s">
        <v>13178</v>
      </c>
      <c r="B219" s="134" t="s">
        <v>13182</v>
      </c>
      <c r="C219" s="134" t="s">
        <v>13181</v>
      </c>
      <c r="D219" s="134" t="s">
        <v>13180</v>
      </c>
      <c r="E219" s="139">
        <v>2.83</v>
      </c>
      <c r="F219" s="134" t="s">
        <v>13179</v>
      </c>
      <c r="G219" s="134" t="s">
        <v>3007</v>
      </c>
      <c r="H219" s="123">
        <v>10997</v>
      </c>
    </row>
    <row r="220" spans="1:8" ht="31.5" x14ac:dyDescent="0.25">
      <c r="A220" s="134" t="s">
        <v>13178</v>
      </c>
      <c r="B220" s="134" t="s">
        <v>13177</v>
      </c>
      <c r="C220" s="134" t="s">
        <v>13176</v>
      </c>
      <c r="D220" s="134" t="s">
        <v>8116</v>
      </c>
      <c r="E220" s="139">
        <v>3.45</v>
      </c>
      <c r="F220" s="134" t="s">
        <v>8115</v>
      </c>
      <c r="G220" s="134" t="s">
        <v>3007</v>
      </c>
      <c r="H220" s="123">
        <v>10998</v>
      </c>
    </row>
    <row r="221" spans="1:8" ht="31.5" x14ac:dyDescent="0.25">
      <c r="A221" s="134" t="s">
        <v>13152</v>
      </c>
      <c r="B221" s="134" t="s">
        <v>13175</v>
      </c>
      <c r="C221" s="134" t="s">
        <v>13174</v>
      </c>
      <c r="D221" s="134" t="s">
        <v>3551</v>
      </c>
      <c r="E221" s="139">
        <v>10.14</v>
      </c>
      <c r="F221" s="134" t="s">
        <v>3550</v>
      </c>
      <c r="G221" s="134" t="s">
        <v>3007</v>
      </c>
      <c r="H221" s="123">
        <v>11036</v>
      </c>
    </row>
    <row r="222" spans="1:8" ht="31.5" x14ac:dyDescent="0.25">
      <c r="A222" s="134" t="s">
        <v>13152</v>
      </c>
      <c r="B222" s="134" t="s">
        <v>13173</v>
      </c>
      <c r="C222" s="134" t="s">
        <v>13172</v>
      </c>
      <c r="D222" s="134" t="s">
        <v>13171</v>
      </c>
      <c r="E222" s="139">
        <v>4.45</v>
      </c>
      <c r="F222" s="134" t="s">
        <v>13170</v>
      </c>
      <c r="G222" s="134" t="s">
        <v>3007</v>
      </c>
      <c r="H222" s="123">
        <v>11037</v>
      </c>
    </row>
    <row r="223" spans="1:8" ht="31.5" x14ac:dyDescent="0.25">
      <c r="A223" s="134" t="s">
        <v>13152</v>
      </c>
      <c r="B223" s="134" t="s">
        <v>13169</v>
      </c>
      <c r="C223" s="134" t="s">
        <v>13168</v>
      </c>
      <c r="D223" s="134" t="s">
        <v>4021</v>
      </c>
      <c r="E223" s="139">
        <v>4.7</v>
      </c>
      <c r="F223" s="134" t="s">
        <v>4020</v>
      </c>
      <c r="G223" s="134" t="s">
        <v>3007</v>
      </c>
      <c r="H223" s="123">
        <v>11038</v>
      </c>
    </row>
    <row r="224" spans="1:8" ht="31.5" x14ac:dyDescent="0.25">
      <c r="A224" s="134" t="s">
        <v>13152</v>
      </c>
      <c r="B224" s="134" t="s">
        <v>13167</v>
      </c>
      <c r="C224" s="134" t="s">
        <v>13166</v>
      </c>
      <c r="D224" s="134" t="s">
        <v>5388</v>
      </c>
      <c r="E224" s="139">
        <v>8.1999999999999993</v>
      </c>
      <c r="F224" s="134" t="s">
        <v>5387</v>
      </c>
      <c r="G224" s="134" t="s">
        <v>3007</v>
      </c>
      <c r="H224" s="123">
        <v>11039</v>
      </c>
    </row>
    <row r="225" spans="1:8" ht="31.5" x14ac:dyDescent="0.25">
      <c r="A225" s="134" t="s">
        <v>13152</v>
      </c>
      <c r="B225" s="134" t="s">
        <v>13165</v>
      </c>
      <c r="C225" s="134" t="s">
        <v>13164</v>
      </c>
      <c r="D225" s="134" t="s">
        <v>9686</v>
      </c>
      <c r="E225" s="139">
        <v>3.39</v>
      </c>
      <c r="F225" s="134" t="s">
        <v>9685</v>
      </c>
      <c r="G225" s="134" t="s">
        <v>3007</v>
      </c>
      <c r="H225" s="123">
        <v>11040</v>
      </c>
    </row>
    <row r="226" spans="1:8" ht="31.5" x14ac:dyDescent="0.25">
      <c r="A226" s="134" t="s">
        <v>13152</v>
      </c>
      <c r="B226" s="134" t="s">
        <v>13163</v>
      </c>
      <c r="C226" s="134" t="s">
        <v>13162</v>
      </c>
      <c r="D226" s="134" t="s">
        <v>9110</v>
      </c>
      <c r="E226" s="139">
        <v>21.95</v>
      </c>
      <c r="F226" s="134" t="s">
        <v>9109</v>
      </c>
      <c r="G226" s="134" t="s">
        <v>3007</v>
      </c>
      <c r="H226" s="123">
        <v>11041</v>
      </c>
    </row>
    <row r="227" spans="1:8" ht="31.5" x14ac:dyDescent="0.25">
      <c r="A227" s="134" t="s">
        <v>13152</v>
      </c>
      <c r="B227" s="134" t="s">
        <v>6182</v>
      </c>
      <c r="C227" s="134" t="s">
        <v>13161</v>
      </c>
      <c r="D227" s="134" t="s">
        <v>4253</v>
      </c>
      <c r="E227" s="139">
        <v>5.17</v>
      </c>
      <c r="F227" s="134" t="s">
        <v>4252</v>
      </c>
      <c r="G227" s="134" t="s">
        <v>3007</v>
      </c>
      <c r="H227" s="123">
        <v>11042</v>
      </c>
    </row>
    <row r="228" spans="1:8" ht="31.5" x14ac:dyDescent="0.25">
      <c r="A228" s="134" t="s">
        <v>13152</v>
      </c>
      <c r="B228" s="134" t="s">
        <v>13160</v>
      </c>
      <c r="C228" s="134" t="s">
        <v>13159</v>
      </c>
      <c r="D228" s="134" t="s">
        <v>9498</v>
      </c>
      <c r="E228" s="139">
        <v>2.2200000000000002</v>
      </c>
      <c r="F228" s="134" t="s">
        <v>9497</v>
      </c>
      <c r="G228" s="134" t="s">
        <v>3007</v>
      </c>
      <c r="H228" s="123">
        <v>11043</v>
      </c>
    </row>
    <row r="229" spans="1:8" ht="31.5" x14ac:dyDescent="0.25">
      <c r="A229" s="134" t="s">
        <v>13152</v>
      </c>
      <c r="B229" s="134" t="s">
        <v>13158</v>
      </c>
      <c r="C229" s="134" t="s">
        <v>13157</v>
      </c>
      <c r="D229" s="134" t="s">
        <v>3026</v>
      </c>
      <c r="E229" s="139">
        <v>3.46</v>
      </c>
      <c r="F229" s="134" t="s">
        <v>3025</v>
      </c>
      <c r="G229" s="134" t="s">
        <v>3007</v>
      </c>
      <c r="H229" s="123">
        <v>11044</v>
      </c>
    </row>
    <row r="230" spans="1:8" ht="31.5" x14ac:dyDescent="0.25">
      <c r="A230" s="134" t="s">
        <v>13152</v>
      </c>
      <c r="B230" s="134" t="s">
        <v>13156</v>
      </c>
      <c r="C230" s="134" t="s">
        <v>13155</v>
      </c>
      <c r="D230" s="134" t="s">
        <v>6028</v>
      </c>
      <c r="E230" s="139">
        <v>2.02</v>
      </c>
      <c r="F230" s="134" t="s">
        <v>6027</v>
      </c>
      <c r="G230" s="134" t="s">
        <v>3007</v>
      </c>
      <c r="H230" s="123">
        <v>11045</v>
      </c>
    </row>
    <row r="231" spans="1:8" ht="31.5" x14ac:dyDescent="0.25">
      <c r="A231" s="134" t="s">
        <v>13152</v>
      </c>
      <c r="B231" s="134" t="s">
        <v>13154</v>
      </c>
      <c r="C231" s="134" t="s">
        <v>13153</v>
      </c>
      <c r="D231" s="134" t="s">
        <v>5044</v>
      </c>
      <c r="E231" s="139">
        <v>14.24</v>
      </c>
      <c r="F231" s="134" t="s">
        <v>5043</v>
      </c>
      <c r="G231" s="134" t="s">
        <v>3007</v>
      </c>
      <c r="H231" s="123">
        <v>11046</v>
      </c>
    </row>
    <row r="232" spans="1:8" ht="31.5" x14ac:dyDescent="0.25">
      <c r="A232" s="134" t="s">
        <v>13152</v>
      </c>
      <c r="B232" s="134" t="s">
        <v>13151</v>
      </c>
      <c r="C232" s="134" t="s">
        <v>13150</v>
      </c>
      <c r="D232" s="134" t="s">
        <v>8363</v>
      </c>
      <c r="E232" s="139">
        <v>20.94</v>
      </c>
      <c r="F232" s="134" t="s">
        <v>8362</v>
      </c>
      <c r="G232" s="134" t="s">
        <v>3007</v>
      </c>
      <c r="H232" s="123">
        <v>11047</v>
      </c>
    </row>
    <row r="233" spans="1:8" ht="31.5" x14ac:dyDescent="0.25">
      <c r="A233" s="134" t="s">
        <v>13137</v>
      </c>
      <c r="B233" s="134" t="s">
        <v>13149</v>
      </c>
      <c r="C233" s="134" t="s">
        <v>13148</v>
      </c>
      <c r="D233" s="134" t="s">
        <v>6470</v>
      </c>
      <c r="E233" s="139">
        <v>8.06</v>
      </c>
      <c r="F233" s="134" t="s">
        <v>6469</v>
      </c>
      <c r="G233" s="134" t="s">
        <v>3007</v>
      </c>
      <c r="H233" s="123">
        <v>11064</v>
      </c>
    </row>
    <row r="234" spans="1:8" ht="31.5" x14ac:dyDescent="0.25">
      <c r="A234" s="134" t="s">
        <v>13137</v>
      </c>
      <c r="B234" s="134" t="s">
        <v>13147</v>
      </c>
      <c r="C234" s="134" t="s">
        <v>13146</v>
      </c>
      <c r="D234" s="134" t="s">
        <v>4587</v>
      </c>
      <c r="E234" s="139">
        <v>5.9</v>
      </c>
      <c r="F234" s="134" t="s">
        <v>4586</v>
      </c>
      <c r="G234" s="134" t="s">
        <v>3007</v>
      </c>
      <c r="H234" s="123">
        <v>11065</v>
      </c>
    </row>
    <row r="235" spans="1:8" ht="31.5" x14ac:dyDescent="0.25">
      <c r="A235" s="134" t="s">
        <v>13137</v>
      </c>
      <c r="B235" s="134" t="s">
        <v>13145</v>
      </c>
      <c r="C235" s="134" t="s">
        <v>13144</v>
      </c>
      <c r="D235" s="134" t="s">
        <v>6832</v>
      </c>
      <c r="E235" s="139">
        <v>1.84</v>
      </c>
      <c r="F235" s="134" t="s">
        <v>6831</v>
      </c>
      <c r="G235" s="134" t="s">
        <v>3007</v>
      </c>
      <c r="H235" s="123">
        <v>11066</v>
      </c>
    </row>
    <row r="236" spans="1:8" ht="31.5" x14ac:dyDescent="0.25">
      <c r="A236" s="134" t="s">
        <v>13137</v>
      </c>
      <c r="B236" s="134" t="s">
        <v>13143</v>
      </c>
      <c r="C236" s="134" t="s">
        <v>13142</v>
      </c>
      <c r="D236" s="134" t="s">
        <v>6842</v>
      </c>
      <c r="E236" s="139">
        <v>4.5599999999999996</v>
      </c>
      <c r="F236" s="134" t="s">
        <v>6841</v>
      </c>
      <c r="G236" s="134" t="s">
        <v>3007</v>
      </c>
      <c r="H236" s="123">
        <v>11067</v>
      </c>
    </row>
    <row r="237" spans="1:8" ht="31.5" x14ac:dyDescent="0.25">
      <c r="A237" s="134" t="s">
        <v>13137</v>
      </c>
      <c r="B237" s="134" t="s">
        <v>6006</v>
      </c>
      <c r="C237" s="134" t="s">
        <v>13141</v>
      </c>
      <c r="D237" s="134" t="s">
        <v>4132</v>
      </c>
      <c r="E237" s="139">
        <v>3.38</v>
      </c>
      <c r="F237" s="134" t="s">
        <v>4131</v>
      </c>
      <c r="G237" s="134" t="s">
        <v>3007</v>
      </c>
      <c r="H237" s="123">
        <v>11068</v>
      </c>
    </row>
    <row r="238" spans="1:8" ht="31.5" x14ac:dyDescent="0.25">
      <c r="A238" s="134" t="s">
        <v>13137</v>
      </c>
      <c r="B238" s="134" t="s">
        <v>13140</v>
      </c>
      <c r="C238" s="134" t="s">
        <v>13139</v>
      </c>
      <c r="D238" s="134" t="s">
        <v>7248</v>
      </c>
      <c r="E238" s="139">
        <v>7.77</v>
      </c>
      <c r="F238" s="134" t="s">
        <v>7247</v>
      </c>
      <c r="G238" s="134" t="s">
        <v>3007</v>
      </c>
      <c r="H238" s="123">
        <v>11069</v>
      </c>
    </row>
    <row r="239" spans="1:8" ht="31.5" x14ac:dyDescent="0.25">
      <c r="A239" s="134" t="s">
        <v>13137</v>
      </c>
      <c r="B239" s="134" t="s">
        <v>3654</v>
      </c>
      <c r="C239" s="134" t="s">
        <v>13138</v>
      </c>
      <c r="D239" s="134" t="s">
        <v>9831</v>
      </c>
      <c r="E239" s="139">
        <v>2.89</v>
      </c>
      <c r="F239" s="134" t="s">
        <v>9830</v>
      </c>
      <c r="G239" s="134" t="s">
        <v>3007</v>
      </c>
      <c r="H239" s="123">
        <v>11070</v>
      </c>
    </row>
    <row r="240" spans="1:8" ht="31.5" x14ac:dyDescent="0.25">
      <c r="A240" s="134" t="s">
        <v>13137</v>
      </c>
      <c r="B240" s="134" t="s">
        <v>13136</v>
      </c>
      <c r="C240" s="134" t="s">
        <v>13135</v>
      </c>
      <c r="D240" s="134" t="s">
        <v>5396</v>
      </c>
      <c r="E240" s="139">
        <v>3.52</v>
      </c>
      <c r="F240" s="134" t="s">
        <v>5395</v>
      </c>
      <c r="G240" s="134" t="s">
        <v>3007</v>
      </c>
      <c r="H240" s="123">
        <v>11071</v>
      </c>
    </row>
    <row r="241" spans="1:8" s="200" customFormat="1" x14ac:dyDescent="0.25">
      <c r="A241" s="198"/>
      <c r="B241" s="198"/>
      <c r="C241" s="198" t="s">
        <v>5691</v>
      </c>
      <c r="D241" s="198" t="s">
        <v>14409</v>
      </c>
      <c r="E241" s="199">
        <f>SUM(E173:E240)</f>
        <v>791.03</v>
      </c>
      <c r="F241" s="198"/>
      <c r="G241" s="198"/>
      <c r="H241" s="172"/>
    </row>
    <row r="242" spans="1:8" s="195" customFormat="1" ht="16.5" thickBot="1" x14ac:dyDescent="0.3">
      <c r="A242" s="193"/>
      <c r="B242" s="193"/>
      <c r="C242" s="193" t="s">
        <v>14410</v>
      </c>
      <c r="D242" s="193"/>
      <c r="E242" s="197">
        <v>-59.61</v>
      </c>
      <c r="F242" s="193"/>
      <c r="G242" s="193"/>
      <c r="H242" s="123"/>
    </row>
    <row r="243" spans="1:8" s="195" customFormat="1" x14ac:dyDescent="0.25">
      <c r="A243" s="193"/>
      <c r="B243" s="193"/>
      <c r="C243" s="193" t="s">
        <v>5691</v>
      </c>
      <c r="D243" s="193"/>
      <c r="E243" s="196">
        <f>SUM(E241:E242)</f>
        <v>731.42</v>
      </c>
      <c r="F243" s="193"/>
      <c r="G243" s="193"/>
      <c r="H243" s="123"/>
    </row>
    <row r="244" spans="1:8" s="195" customFormat="1" x14ac:dyDescent="0.25">
      <c r="A244" s="193"/>
      <c r="B244" s="193"/>
      <c r="C244" s="193"/>
      <c r="D244" s="193"/>
      <c r="E244" s="196"/>
      <c r="F244" s="193"/>
      <c r="G244" s="193"/>
      <c r="H244" s="123"/>
    </row>
    <row r="245" spans="1:8" ht="31.5" x14ac:dyDescent="0.25">
      <c r="A245" s="134" t="s">
        <v>13107</v>
      </c>
      <c r="B245" s="134" t="s">
        <v>13134</v>
      </c>
      <c r="C245" s="134" t="s">
        <v>13133</v>
      </c>
      <c r="D245" s="134" t="s">
        <v>13132</v>
      </c>
      <c r="E245" s="139">
        <v>0.36</v>
      </c>
      <c r="F245" s="134" t="s">
        <v>13131</v>
      </c>
      <c r="G245" s="134" t="s">
        <v>3007</v>
      </c>
      <c r="H245" s="123">
        <v>11091</v>
      </c>
    </row>
    <row r="246" spans="1:8" ht="31.5" x14ac:dyDescent="0.25">
      <c r="A246" s="134" t="s">
        <v>13107</v>
      </c>
      <c r="B246" s="134" t="s">
        <v>13130</v>
      </c>
      <c r="C246" s="134" t="s">
        <v>13129</v>
      </c>
      <c r="D246" s="134" t="s">
        <v>5317</v>
      </c>
      <c r="E246" s="139">
        <v>1.77</v>
      </c>
      <c r="F246" s="134" t="s">
        <v>5316</v>
      </c>
      <c r="G246" s="134" t="s">
        <v>3007</v>
      </c>
      <c r="H246" s="123">
        <v>11092</v>
      </c>
    </row>
    <row r="247" spans="1:8" ht="31.5" x14ac:dyDescent="0.25">
      <c r="A247" s="134" t="s">
        <v>13107</v>
      </c>
      <c r="B247" s="134" t="s">
        <v>13128</v>
      </c>
      <c r="C247" s="134" t="s">
        <v>13127</v>
      </c>
      <c r="D247" s="134" t="s">
        <v>4362</v>
      </c>
      <c r="E247" s="139">
        <v>2.2000000000000002</v>
      </c>
      <c r="F247" s="134" t="s">
        <v>4361</v>
      </c>
      <c r="G247" s="134" t="s">
        <v>3007</v>
      </c>
      <c r="H247" s="123">
        <v>11093</v>
      </c>
    </row>
    <row r="248" spans="1:8" ht="31.5" x14ac:dyDescent="0.25">
      <c r="A248" s="134" t="s">
        <v>13107</v>
      </c>
      <c r="B248" s="134" t="s">
        <v>13126</v>
      </c>
      <c r="C248" s="134" t="s">
        <v>13125</v>
      </c>
      <c r="D248" s="134" t="s">
        <v>4257</v>
      </c>
      <c r="E248" s="139">
        <v>8.3800000000000008</v>
      </c>
      <c r="F248" s="134" t="s">
        <v>4256</v>
      </c>
      <c r="G248" s="134" t="s">
        <v>3007</v>
      </c>
      <c r="H248" s="123" t="s">
        <v>13124</v>
      </c>
    </row>
    <row r="249" spans="1:8" ht="31.5" x14ac:dyDescent="0.25">
      <c r="A249" s="134" t="s">
        <v>13107</v>
      </c>
      <c r="B249" s="134" t="s">
        <v>13123</v>
      </c>
      <c r="C249" s="134" t="s">
        <v>13122</v>
      </c>
      <c r="D249" s="134" t="s">
        <v>12384</v>
      </c>
      <c r="E249" s="139">
        <v>7.4</v>
      </c>
      <c r="F249" s="134" t="s">
        <v>12383</v>
      </c>
      <c r="G249" s="134" t="s">
        <v>3007</v>
      </c>
      <c r="H249" s="123">
        <v>11094</v>
      </c>
    </row>
    <row r="250" spans="1:8" ht="31.5" x14ac:dyDescent="0.25">
      <c r="A250" s="134" t="s">
        <v>13107</v>
      </c>
      <c r="B250" s="134" t="s">
        <v>8393</v>
      </c>
      <c r="C250" s="134" t="s">
        <v>13121</v>
      </c>
      <c r="D250" s="134" t="s">
        <v>7258</v>
      </c>
      <c r="E250" s="139">
        <v>15.68</v>
      </c>
      <c r="F250" s="134" t="s">
        <v>7257</v>
      </c>
      <c r="G250" s="134" t="s">
        <v>3007</v>
      </c>
      <c r="H250" s="123">
        <v>11095</v>
      </c>
    </row>
    <row r="251" spans="1:8" ht="31.5" x14ac:dyDescent="0.25">
      <c r="A251" s="134" t="s">
        <v>13107</v>
      </c>
      <c r="B251" s="134" t="s">
        <v>13120</v>
      </c>
      <c r="C251" s="134" t="s">
        <v>13119</v>
      </c>
      <c r="D251" s="134" t="s">
        <v>4305</v>
      </c>
      <c r="E251" s="139">
        <v>17.2</v>
      </c>
      <c r="F251" s="134" t="s">
        <v>4304</v>
      </c>
      <c r="G251" s="134" t="s">
        <v>3007</v>
      </c>
      <c r="H251" s="123">
        <v>11096</v>
      </c>
    </row>
    <row r="252" spans="1:8" ht="31.5" x14ac:dyDescent="0.25">
      <c r="A252" s="134" t="s">
        <v>13107</v>
      </c>
      <c r="B252" s="134" t="s">
        <v>13118</v>
      </c>
      <c r="C252" s="134" t="s">
        <v>13117</v>
      </c>
      <c r="D252" s="134" t="s">
        <v>13116</v>
      </c>
      <c r="E252" s="139">
        <v>3.43</v>
      </c>
      <c r="F252" s="134" t="s">
        <v>13115</v>
      </c>
      <c r="G252" s="134" t="s">
        <v>3007</v>
      </c>
      <c r="H252" s="123">
        <v>11097</v>
      </c>
    </row>
    <row r="253" spans="1:8" ht="31.5" x14ac:dyDescent="0.25">
      <c r="A253" s="134" t="s">
        <v>13107</v>
      </c>
      <c r="B253" s="134" t="s">
        <v>13114</v>
      </c>
      <c r="C253" s="134" t="s">
        <v>13113</v>
      </c>
      <c r="D253" s="134" t="s">
        <v>5122</v>
      </c>
      <c r="E253" s="139">
        <v>3.77</v>
      </c>
      <c r="F253" s="134" t="s">
        <v>5121</v>
      </c>
      <c r="G253" s="134" t="s">
        <v>3007</v>
      </c>
      <c r="H253" s="123">
        <v>11098</v>
      </c>
    </row>
    <row r="254" spans="1:8" ht="31.5" x14ac:dyDescent="0.25">
      <c r="A254" s="134" t="s">
        <v>13107</v>
      </c>
      <c r="B254" s="134" t="s">
        <v>10465</v>
      </c>
      <c r="C254" s="134" t="s">
        <v>13112</v>
      </c>
      <c r="D254" s="134" t="s">
        <v>6479</v>
      </c>
      <c r="E254" s="139">
        <v>11.05</v>
      </c>
      <c r="F254" s="134" t="s">
        <v>6478</v>
      </c>
      <c r="G254" s="134" t="s">
        <v>3007</v>
      </c>
      <c r="H254" s="123">
        <v>11099</v>
      </c>
    </row>
    <row r="255" spans="1:8" ht="31.5" x14ac:dyDescent="0.25">
      <c r="A255" s="134" t="s">
        <v>13107</v>
      </c>
      <c r="B255" s="134" t="s">
        <v>13111</v>
      </c>
      <c r="C255" s="134" t="s">
        <v>13110</v>
      </c>
      <c r="D255" s="134" t="s">
        <v>3993</v>
      </c>
      <c r="E255" s="139">
        <v>8.3800000000000008</v>
      </c>
      <c r="F255" s="134" t="s">
        <v>3992</v>
      </c>
      <c r="G255" s="134" t="s">
        <v>3007</v>
      </c>
      <c r="H255" s="123">
        <v>11100</v>
      </c>
    </row>
    <row r="256" spans="1:8" ht="31.5" x14ac:dyDescent="0.25">
      <c r="A256" s="134" t="s">
        <v>13107</v>
      </c>
      <c r="B256" s="134" t="s">
        <v>13109</v>
      </c>
      <c r="C256" s="134" t="s">
        <v>13108</v>
      </c>
      <c r="D256" s="134" t="s">
        <v>4245</v>
      </c>
      <c r="E256" s="139">
        <v>3.48</v>
      </c>
      <c r="F256" s="134" t="s">
        <v>4244</v>
      </c>
      <c r="G256" s="134" t="s">
        <v>3007</v>
      </c>
      <c r="H256" s="123">
        <v>11101</v>
      </c>
    </row>
    <row r="257" spans="1:8" ht="31.5" x14ac:dyDescent="0.25">
      <c r="A257" s="134" t="s">
        <v>13107</v>
      </c>
      <c r="B257" s="134" t="s">
        <v>13106</v>
      </c>
      <c r="C257" s="134" t="s">
        <v>13105</v>
      </c>
      <c r="D257" s="134" t="s">
        <v>5717</v>
      </c>
      <c r="E257" s="139">
        <v>25.14</v>
      </c>
      <c r="F257" s="134" t="s">
        <v>8125</v>
      </c>
      <c r="G257" s="134" t="s">
        <v>3007</v>
      </c>
      <c r="H257" s="123">
        <v>11102</v>
      </c>
    </row>
    <row r="258" spans="1:8" ht="31.5" x14ac:dyDescent="0.25">
      <c r="A258" s="134" t="s">
        <v>13089</v>
      </c>
      <c r="B258" s="134" t="s">
        <v>13104</v>
      </c>
      <c r="C258" s="134" t="s">
        <v>13103</v>
      </c>
      <c r="D258" s="134" t="s">
        <v>9702</v>
      </c>
      <c r="E258" s="139">
        <v>1.83</v>
      </c>
      <c r="F258" s="134" t="s">
        <v>9701</v>
      </c>
      <c r="G258" s="134" t="s">
        <v>3007</v>
      </c>
      <c r="H258" s="123">
        <v>11113</v>
      </c>
    </row>
    <row r="259" spans="1:8" ht="31.5" x14ac:dyDescent="0.25">
      <c r="A259" s="134" t="s">
        <v>13089</v>
      </c>
      <c r="B259" s="134" t="s">
        <v>10619</v>
      </c>
      <c r="C259" s="134" t="s">
        <v>13102</v>
      </c>
      <c r="D259" s="134" t="s">
        <v>10760</v>
      </c>
      <c r="E259" s="139">
        <v>14.41</v>
      </c>
      <c r="F259" s="134" t="s">
        <v>10759</v>
      </c>
      <c r="G259" s="134" t="s">
        <v>3007</v>
      </c>
      <c r="H259" s="123">
        <v>11114</v>
      </c>
    </row>
    <row r="260" spans="1:8" ht="31.5" x14ac:dyDescent="0.25">
      <c r="A260" s="134" t="s">
        <v>13089</v>
      </c>
      <c r="B260" s="134" t="s">
        <v>13101</v>
      </c>
      <c r="C260" s="134" t="s">
        <v>13100</v>
      </c>
      <c r="D260" s="134" t="s">
        <v>5234</v>
      </c>
      <c r="E260" s="139">
        <v>10.07</v>
      </c>
      <c r="F260" s="134" t="s">
        <v>5233</v>
      </c>
      <c r="G260" s="134" t="s">
        <v>3007</v>
      </c>
      <c r="H260" s="123">
        <v>11115</v>
      </c>
    </row>
    <row r="261" spans="1:8" ht="31.5" x14ac:dyDescent="0.25">
      <c r="A261" s="134" t="s">
        <v>13089</v>
      </c>
      <c r="B261" s="134" t="s">
        <v>10702</v>
      </c>
      <c r="C261" s="134" t="s">
        <v>13099</v>
      </c>
      <c r="D261" s="134" t="s">
        <v>13098</v>
      </c>
      <c r="E261" s="139">
        <v>16.420000000000002</v>
      </c>
      <c r="F261" s="134" t="s">
        <v>13097</v>
      </c>
      <c r="G261" s="134" t="s">
        <v>3007</v>
      </c>
      <c r="H261" s="123">
        <v>11116</v>
      </c>
    </row>
    <row r="262" spans="1:8" ht="31.5" x14ac:dyDescent="0.25">
      <c r="A262" s="134" t="s">
        <v>13089</v>
      </c>
      <c r="B262" s="134" t="s">
        <v>13096</v>
      </c>
      <c r="C262" s="134" t="s">
        <v>13095</v>
      </c>
      <c r="D262" s="134" t="s">
        <v>3267</v>
      </c>
      <c r="E262" s="139">
        <v>12.41</v>
      </c>
      <c r="F262" s="134" t="s">
        <v>13094</v>
      </c>
      <c r="G262" s="134" t="s">
        <v>3007</v>
      </c>
      <c r="H262" s="123">
        <v>11117</v>
      </c>
    </row>
    <row r="263" spans="1:8" ht="31.5" x14ac:dyDescent="0.25">
      <c r="A263" s="134" t="s">
        <v>13089</v>
      </c>
      <c r="B263" s="134" t="s">
        <v>13093</v>
      </c>
      <c r="C263" s="134" t="s">
        <v>13092</v>
      </c>
      <c r="D263" s="134" t="s">
        <v>6066</v>
      </c>
      <c r="E263" s="139">
        <v>6.23</v>
      </c>
      <c r="F263" s="134" t="s">
        <v>3266</v>
      </c>
      <c r="G263" s="134" t="s">
        <v>3007</v>
      </c>
      <c r="H263" s="123">
        <v>11118</v>
      </c>
    </row>
    <row r="264" spans="1:8" ht="31.5" x14ac:dyDescent="0.25">
      <c r="A264" s="134" t="s">
        <v>13089</v>
      </c>
      <c r="B264" s="134" t="s">
        <v>13091</v>
      </c>
      <c r="C264" s="134" t="s">
        <v>13090</v>
      </c>
      <c r="D264" s="134" t="s">
        <v>8973</v>
      </c>
      <c r="E264" s="139">
        <v>13.57</v>
      </c>
      <c r="F264" s="134" t="s">
        <v>8972</v>
      </c>
      <c r="G264" s="134" t="s">
        <v>3007</v>
      </c>
      <c r="H264" s="123">
        <v>11119</v>
      </c>
    </row>
    <row r="265" spans="1:8" ht="31.5" x14ac:dyDescent="0.25">
      <c r="A265" s="134" t="s">
        <v>13089</v>
      </c>
      <c r="B265" s="134" t="s">
        <v>13088</v>
      </c>
      <c r="C265" s="134" t="s">
        <v>13087</v>
      </c>
      <c r="D265" s="134" t="s">
        <v>6853</v>
      </c>
      <c r="E265" s="139">
        <v>5.34</v>
      </c>
      <c r="F265" s="134" t="s">
        <v>6852</v>
      </c>
      <c r="G265" s="134" t="s">
        <v>3007</v>
      </c>
      <c r="H265" s="123">
        <v>11120</v>
      </c>
    </row>
    <row r="266" spans="1:8" ht="31.5" x14ac:dyDescent="0.25">
      <c r="A266" s="134" t="s">
        <v>13082</v>
      </c>
      <c r="B266" s="134" t="s">
        <v>13086</v>
      </c>
      <c r="C266" s="134" t="s">
        <v>13085</v>
      </c>
      <c r="D266" s="134" t="s">
        <v>13084</v>
      </c>
      <c r="E266" s="139">
        <v>5.04</v>
      </c>
      <c r="F266" s="134" t="s">
        <v>13083</v>
      </c>
      <c r="G266" s="134" t="s">
        <v>3007</v>
      </c>
      <c r="H266" s="123">
        <v>11121</v>
      </c>
    </row>
    <row r="267" spans="1:8" ht="31.5" x14ac:dyDescent="0.25">
      <c r="A267" s="134" t="s">
        <v>13082</v>
      </c>
      <c r="B267" s="134" t="s">
        <v>13081</v>
      </c>
      <c r="C267" s="134" t="s">
        <v>13080</v>
      </c>
      <c r="D267" s="134" t="s">
        <v>4638</v>
      </c>
      <c r="E267" s="139">
        <v>6.92</v>
      </c>
      <c r="F267" s="134" t="s">
        <v>4637</v>
      </c>
      <c r="G267" s="134" t="s">
        <v>3007</v>
      </c>
      <c r="H267" s="123">
        <v>11122</v>
      </c>
    </row>
    <row r="268" spans="1:8" s="200" customFormat="1" x14ac:dyDescent="0.25">
      <c r="A268" s="198"/>
      <c r="B268" s="198"/>
      <c r="C268" s="198" t="s">
        <v>5691</v>
      </c>
      <c r="D268" s="198" t="s">
        <v>14412</v>
      </c>
      <c r="E268" s="199">
        <f>SUM(E245:E267)</f>
        <v>200.47999999999993</v>
      </c>
      <c r="F268" s="198"/>
      <c r="G268" s="198"/>
      <c r="H268" s="172"/>
    </row>
    <row r="269" spans="1:8" s="200" customFormat="1" x14ac:dyDescent="0.25">
      <c r="A269" s="198"/>
      <c r="B269" s="198"/>
      <c r="C269" s="198"/>
      <c r="D269" s="198"/>
      <c r="E269" s="199"/>
      <c r="F269" s="198"/>
      <c r="G269" s="198"/>
      <c r="H269" s="172"/>
    </row>
    <row r="270" spans="1:8" ht="31.5" x14ac:dyDescent="0.25">
      <c r="A270" s="134" t="s">
        <v>13039</v>
      </c>
      <c r="B270" s="134" t="s">
        <v>13079</v>
      </c>
      <c r="C270" s="134" t="s">
        <v>13078</v>
      </c>
      <c r="D270" s="134" t="s">
        <v>3450</v>
      </c>
      <c r="E270" s="139">
        <v>6.56</v>
      </c>
      <c r="F270" s="134" t="s">
        <v>3449</v>
      </c>
      <c r="G270" s="134" t="s">
        <v>3007</v>
      </c>
      <c r="H270" s="123">
        <v>11257</v>
      </c>
    </row>
    <row r="271" spans="1:8" ht="31.5" x14ac:dyDescent="0.25">
      <c r="A271" s="134" t="s">
        <v>13039</v>
      </c>
      <c r="B271" s="134" t="s">
        <v>13077</v>
      </c>
      <c r="C271" s="134" t="s">
        <v>13076</v>
      </c>
      <c r="D271" s="134" t="s">
        <v>4013</v>
      </c>
      <c r="E271" s="139">
        <v>2.54</v>
      </c>
      <c r="F271" s="134" t="s">
        <v>4012</v>
      </c>
      <c r="G271" s="134" t="s">
        <v>3007</v>
      </c>
      <c r="H271" s="123">
        <v>11258</v>
      </c>
    </row>
    <row r="272" spans="1:8" ht="31.5" x14ac:dyDescent="0.25">
      <c r="A272" s="134" t="s">
        <v>13039</v>
      </c>
      <c r="B272" s="134" t="s">
        <v>13075</v>
      </c>
      <c r="C272" s="134" t="s">
        <v>13074</v>
      </c>
      <c r="D272" s="134" t="s">
        <v>3483</v>
      </c>
      <c r="E272" s="139">
        <v>10.68</v>
      </c>
      <c r="F272" s="134" t="s">
        <v>3482</v>
      </c>
      <c r="G272" s="134" t="s">
        <v>3007</v>
      </c>
      <c r="H272" s="123">
        <v>11259</v>
      </c>
    </row>
    <row r="273" spans="1:8" ht="31.5" x14ac:dyDescent="0.25">
      <c r="A273" s="134" t="s">
        <v>13039</v>
      </c>
      <c r="B273" s="134" t="s">
        <v>13073</v>
      </c>
      <c r="C273" s="134" t="s">
        <v>13072</v>
      </c>
      <c r="D273" s="134" t="s">
        <v>13071</v>
      </c>
      <c r="E273" s="139">
        <v>0.83</v>
      </c>
      <c r="F273" s="134" t="s">
        <v>13070</v>
      </c>
      <c r="G273" s="134" t="s">
        <v>3007</v>
      </c>
      <c r="H273" s="123">
        <v>11260</v>
      </c>
    </row>
    <row r="274" spans="1:8" ht="31.5" x14ac:dyDescent="0.25">
      <c r="A274" s="134" t="s">
        <v>13039</v>
      </c>
      <c r="B274" s="134" t="s">
        <v>13069</v>
      </c>
      <c r="C274" s="134" t="s">
        <v>13068</v>
      </c>
      <c r="D274" s="134" t="s">
        <v>7664</v>
      </c>
      <c r="E274" s="139">
        <v>6.11</v>
      </c>
      <c r="F274" s="134" t="s">
        <v>7663</v>
      </c>
      <c r="G274" s="134" t="s">
        <v>3007</v>
      </c>
      <c r="H274" s="123">
        <v>11261</v>
      </c>
    </row>
    <row r="275" spans="1:8" ht="31.5" x14ac:dyDescent="0.25">
      <c r="A275" s="134" t="s">
        <v>13039</v>
      </c>
      <c r="B275" s="134" t="s">
        <v>13067</v>
      </c>
      <c r="C275" s="134" t="s">
        <v>13066</v>
      </c>
      <c r="D275" s="134" t="s">
        <v>3530</v>
      </c>
      <c r="E275" s="139">
        <v>5.69</v>
      </c>
      <c r="F275" s="134" t="s">
        <v>3526</v>
      </c>
      <c r="G275" s="134" t="s">
        <v>3007</v>
      </c>
      <c r="H275" s="123">
        <v>11262</v>
      </c>
    </row>
    <row r="276" spans="1:8" ht="31.5" x14ac:dyDescent="0.25">
      <c r="A276" s="134" t="s">
        <v>13039</v>
      </c>
      <c r="B276" s="134" t="s">
        <v>13065</v>
      </c>
      <c r="C276" s="134" t="s">
        <v>13064</v>
      </c>
      <c r="D276" s="134" t="s">
        <v>3527</v>
      </c>
      <c r="E276" s="139">
        <v>5.33</v>
      </c>
      <c r="F276" s="134" t="s">
        <v>13063</v>
      </c>
      <c r="G276" s="134" t="s">
        <v>3007</v>
      </c>
      <c r="H276" s="123">
        <v>11263</v>
      </c>
    </row>
    <row r="277" spans="1:8" ht="31.5" x14ac:dyDescent="0.25">
      <c r="A277" s="134" t="s">
        <v>13039</v>
      </c>
      <c r="B277" s="134" t="s">
        <v>13062</v>
      </c>
      <c r="C277" s="134" t="s">
        <v>13061</v>
      </c>
      <c r="D277" s="134" t="s">
        <v>3884</v>
      </c>
      <c r="E277" s="139">
        <v>10.96</v>
      </c>
      <c r="F277" s="134" t="s">
        <v>3883</v>
      </c>
      <c r="G277" s="134" t="s">
        <v>3007</v>
      </c>
      <c r="H277" s="123">
        <v>11264</v>
      </c>
    </row>
    <row r="278" spans="1:8" ht="31.5" x14ac:dyDescent="0.25">
      <c r="A278" s="134" t="s">
        <v>13039</v>
      </c>
      <c r="B278" s="134" t="s">
        <v>13060</v>
      </c>
      <c r="C278" s="134" t="s">
        <v>13059</v>
      </c>
      <c r="D278" s="134" t="s">
        <v>3571</v>
      </c>
      <c r="E278" s="139">
        <v>5.84</v>
      </c>
      <c r="F278" s="134" t="s">
        <v>3570</v>
      </c>
      <c r="G278" s="134" t="s">
        <v>3007</v>
      </c>
      <c r="H278" s="123">
        <v>11265</v>
      </c>
    </row>
    <row r="279" spans="1:8" ht="31.5" x14ac:dyDescent="0.25">
      <c r="A279" s="134" t="s">
        <v>13039</v>
      </c>
      <c r="B279" s="134" t="s">
        <v>13058</v>
      </c>
      <c r="C279" s="134" t="s">
        <v>13057</v>
      </c>
      <c r="D279" s="134" t="s">
        <v>4160</v>
      </c>
      <c r="E279" s="139">
        <v>17.190000000000001</v>
      </c>
      <c r="F279" s="134" t="s">
        <v>13056</v>
      </c>
      <c r="G279" s="134" t="s">
        <v>3007</v>
      </c>
      <c r="H279" s="123">
        <v>11266</v>
      </c>
    </row>
    <row r="280" spans="1:8" ht="31.5" x14ac:dyDescent="0.25">
      <c r="A280" s="134" t="s">
        <v>13039</v>
      </c>
      <c r="B280" s="134" t="s">
        <v>4919</v>
      </c>
      <c r="C280" s="134" t="s">
        <v>13055</v>
      </c>
      <c r="D280" s="134" t="s">
        <v>12777</v>
      </c>
      <c r="E280" s="139">
        <v>3.97</v>
      </c>
      <c r="F280" s="134" t="s">
        <v>12776</v>
      </c>
      <c r="G280" s="134" t="s">
        <v>3007</v>
      </c>
      <c r="H280" s="123">
        <v>11267</v>
      </c>
    </row>
    <row r="281" spans="1:8" ht="31.5" x14ac:dyDescent="0.25">
      <c r="A281" s="134" t="s">
        <v>13039</v>
      </c>
      <c r="B281" s="134" t="s">
        <v>13054</v>
      </c>
      <c r="C281" s="134" t="s">
        <v>13053</v>
      </c>
      <c r="D281" s="134" t="s">
        <v>9643</v>
      </c>
      <c r="E281" s="139">
        <v>5.04</v>
      </c>
      <c r="F281" s="134" t="s">
        <v>9642</v>
      </c>
      <c r="G281" s="134" t="s">
        <v>3007</v>
      </c>
      <c r="H281" s="123">
        <v>11268</v>
      </c>
    </row>
    <row r="282" spans="1:8" ht="31.5" x14ac:dyDescent="0.25">
      <c r="A282" s="134" t="s">
        <v>13039</v>
      </c>
      <c r="B282" s="134" t="s">
        <v>13052</v>
      </c>
      <c r="C282" s="134" t="s">
        <v>13051</v>
      </c>
      <c r="D282" s="134" t="s">
        <v>5186</v>
      </c>
      <c r="E282" s="139">
        <v>3.58</v>
      </c>
      <c r="F282" s="134" t="s">
        <v>5185</v>
      </c>
      <c r="G282" s="134" t="s">
        <v>3007</v>
      </c>
      <c r="H282" s="123">
        <v>11269</v>
      </c>
    </row>
    <row r="283" spans="1:8" ht="31.5" x14ac:dyDescent="0.25">
      <c r="A283" s="134" t="s">
        <v>13039</v>
      </c>
      <c r="B283" s="134" t="s">
        <v>4083</v>
      </c>
      <c r="C283" s="134" t="s">
        <v>13050</v>
      </c>
      <c r="D283" s="134" t="s">
        <v>4839</v>
      </c>
      <c r="E283" s="139">
        <v>5.04</v>
      </c>
      <c r="F283" s="134" t="s">
        <v>4838</v>
      </c>
      <c r="G283" s="134" t="s">
        <v>3007</v>
      </c>
      <c r="H283" s="123">
        <v>11270</v>
      </c>
    </row>
    <row r="284" spans="1:8" ht="31.5" x14ac:dyDescent="0.25">
      <c r="A284" s="134" t="s">
        <v>13039</v>
      </c>
      <c r="B284" s="134" t="s">
        <v>13049</v>
      </c>
      <c r="C284" s="134" t="s">
        <v>13048</v>
      </c>
      <c r="D284" s="134" t="s">
        <v>7474</v>
      </c>
      <c r="E284" s="139">
        <v>3.52</v>
      </c>
      <c r="F284" s="134" t="s">
        <v>7473</v>
      </c>
      <c r="G284" s="134" t="s">
        <v>3007</v>
      </c>
      <c r="H284" s="123">
        <v>11271</v>
      </c>
    </row>
    <row r="285" spans="1:8" ht="31.5" x14ac:dyDescent="0.25">
      <c r="A285" s="134" t="s">
        <v>13039</v>
      </c>
      <c r="B285" s="134" t="s">
        <v>13047</v>
      </c>
      <c r="C285" s="134" t="s">
        <v>13046</v>
      </c>
      <c r="D285" s="134" t="s">
        <v>5052</v>
      </c>
      <c r="E285" s="139">
        <v>5.85</v>
      </c>
      <c r="F285" s="134" t="s">
        <v>5051</v>
      </c>
      <c r="G285" s="134" t="s">
        <v>3007</v>
      </c>
      <c r="H285" s="123">
        <v>11272</v>
      </c>
    </row>
    <row r="286" spans="1:8" ht="31.5" x14ac:dyDescent="0.25">
      <c r="A286" s="134" t="s">
        <v>13039</v>
      </c>
      <c r="B286" s="134" t="s">
        <v>13045</v>
      </c>
      <c r="C286" s="134" t="s">
        <v>13044</v>
      </c>
      <c r="D286" s="134" t="s">
        <v>4614</v>
      </c>
      <c r="E286" s="139">
        <v>3.8</v>
      </c>
      <c r="F286" s="134" t="s">
        <v>4613</v>
      </c>
      <c r="G286" s="134" t="s">
        <v>3007</v>
      </c>
      <c r="H286" s="123">
        <v>11273</v>
      </c>
    </row>
    <row r="287" spans="1:8" ht="31.5" x14ac:dyDescent="0.25">
      <c r="A287" s="134" t="s">
        <v>13039</v>
      </c>
      <c r="B287" s="134" t="s">
        <v>13043</v>
      </c>
      <c r="C287" s="134" t="s">
        <v>13042</v>
      </c>
      <c r="D287" s="134" t="s">
        <v>6651</v>
      </c>
      <c r="E287" s="139">
        <v>9.82</v>
      </c>
      <c r="F287" s="134" t="s">
        <v>6650</v>
      </c>
      <c r="G287" s="134" t="s">
        <v>3007</v>
      </c>
      <c r="H287" s="123">
        <v>11274</v>
      </c>
    </row>
    <row r="288" spans="1:8" ht="31.5" x14ac:dyDescent="0.25">
      <c r="A288" s="134" t="s">
        <v>13039</v>
      </c>
      <c r="B288" s="134" t="s">
        <v>13041</v>
      </c>
      <c r="C288" s="134" t="s">
        <v>13040</v>
      </c>
      <c r="D288" s="134" t="s">
        <v>9174</v>
      </c>
      <c r="E288" s="139">
        <v>9.64</v>
      </c>
      <c r="F288" s="134" t="s">
        <v>9173</v>
      </c>
      <c r="G288" s="134" t="s">
        <v>3007</v>
      </c>
      <c r="H288" s="123">
        <v>11275</v>
      </c>
    </row>
    <row r="289" spans="1:8" ht="31.5" x14ac:dyDescent="0.25">
      <c r="A289" s="134" t="s">
        <v>13039</v>
      </c>
      <c r="B289" s="134" t="s">
        <v>13038</v>
      </c>
      <c r="C289" s="134" t="s">
        <v>13037</v>
      </c>
      <c r="D289" s="134" t="s">
        <v>4354</v>
      </c>
      <c r="E289" s="139">
        <v>7.73</v>
      </c>
      <c r="F289" s="134" t="s">
        <v>4353</v>
      </c>
      <c r="G289" s="134" t="s">
        <v>3007</v>
      </c>
      <c r="H289" s="123">
        <v>11276</v>
      </c>
    </row>
    <row r="290" spans="1:8" ht="31.5" x14ac:dyDescent="0.25">
      <c r="A290" s="134" t="s">
        <v>13022</v>
      </c>
      <c r="B290" s="134" t="s">
        <v>13036</v>
      </c>
      <c r="C290" s="134" t="s">
        <v>13035</v>
      </c>
      <c r="D290" s="134" t="s">
        <v>6832</v>
      </c>
      <c r="E290" s="139">
        <v>1.93</v>
      </c>
      <c r="F290" s="134" t="s">
        <v>6831</v>
      </c>
      <c r="G290" s="134" t="s">
        <v>3007</v>
      </c>
      <c r="H290" s="123">
        <v>11295</v>
      </c>
    </row>
    <row r="291" spans="1:8" ht="31.5" x14ac:dyDescent="0.25">
      <c r="A291" s="134" t="s">
        <v>13022</v>
      </c>
      <c r="B291" s="134" t="s">
        <v>13034</v>
      </c>
      <c r="C291" s="134" t="s">
        <v>13033</v>
      </c>
      <c r="D291" s="134" t="s">
        <v>4281</v>
      </c>
      <c r="E291" s="139">
        <v>1.68</v>
      </c>
      <c r="F291" s="134" t="s">
        <v>4280</v>
      </c>
      <c r="G291" s="134" t="s">
        <v>3007</v>
      </c>
      <c r="H291" s="123">
        <v>11296</v>
      </c>
    </row>
    <row r="292" spans="1:8" ht="31.5" x14ac:dyDescent="0.25">
      <c r="A292" s="134" t="s">
        <v>13022</v>
      </c>
      <c r="B292" s="134" t="s">
        <v>13032</v>
      </c>
      <c r="C292" s="134" t="s">
        <v>13031</v>
      </c>
      <c r="D292" s="134" t="s">
        <v>3434</v>
      </c>
      <c r="E292" s="139">
        <v>8.3800000000000008</v>
      </c>
      <c r="F292" s="134" t="s">
        <v>3433</v>
      </c>
      <c r="G292" s="134" t="s">
        <v>3007</v>
      </c>
      <c r="H292" s="123">
        <v>11297</v>
      </c>
    </row>
    <row r="293" spans="1:8" ht="31.5" x14ac:dyDescent="0.25">
      <c r="A293" s="134" t="s">
        <v>13022</v>
      </c>
      <c r="B293" s="134" t="s">
        <v>13030</v>
      </c>
      <c r="C293" s="134" t="s">
        <v>13029</v>
      </c>
      <c r="D293" s="134" t="s">
        <v>13028</v>
      </c>
      <c r="E293" s="139">
        <v>14.42</v>
      </c>
      <c r="F293" s="134" t="s">
        <v>13027</v>
      </c>
      <c r="G293" s="134" t="s">
        <v>3007</v>
      </c>
      <c r="H293" s="123">
        <v>11298</v>
      </c>
    </row>
    <row r="294" spans="1:8" ht="31.5" x14ac:dyDescent="0.25">
      <c r="A294" s="134" t="s">
        <v>13022</v>
      </c>
      <c r="B294" s="134" t="s">
        <v>13026</v>
      </c>
      <c r="C294" s="134" t="s">
        <v>13025</v>
      </c>
      <c r="D294" s="134" t="s">
        <v>3595</v>
      </c>
      <c r="E294" s="139">
        <v>1.98</v>
      </c>
      <c r="F294" s="134" t="s">
        <v>3594</v>
      </c>
      <c r="G294" s="134" t="s">
        <v>3007</v>
      </c>
      <c r="H294" s="123">
        <v>11299</v>
      </c>
    </row>
    <row r="295" spans="1:8" ht="31.5" x14ac:dyDescent="0.25">
      <c r="A295" s="134" t="s">
        <v>13022</v>
      </c>
      <c r="B295" s="134" t="s">
        <v>13024</v>
      </c>
      <c r="C295" s="134" t="s">
        <v>13023</v>
      </c>
      <c r="D295" s="134" t="s">
        <v>9728</v>
      </c>
      <c r="E295" s="139">
        <v>5.34</v>
      </c>
      <c r="F295" s="134" t="s">
        <v>3490</v>
      </c>
      <c r="G295" s="134" t="s">
        <v>3007</v>
      </c>
      <c r="H295" s="123">
        <v>11300</v>
      </c>
    </row>
    <row r="296" spans="1:8" ht="31.5" x14ac:dyDescent="0.25">
      <c r="A296" s="134" t="s">
        <v>13022</v>
      </c>
      <c r="B296" s="134" t="s">
        <v>13021</v>
      </c>
      <c r="C296" s="134" t="s">
        <v>13020</v>
      </c>
      <c r="D296" s="134" t="s">
        <v>13019</v>
      </c>
      <c r="E296" s="139">
        <v>39.64</v>
      </c>
      <c r="F296" s="134" t="s">
        <v>13018</v>
      </c>
      <c r="G296" s="134" t="s">
        <v>3007</v>
      </c>
      <c r="H296" s="123">
        <v>11301</v>
      </c>
    </row>
    <row r="297" spans="1:8" ht="31.5" x14ac:dyDescent="0.25">
      <c r="A297" s="134" t="s">
        <v>13013</v>
      </c>
      <c r="B297" s="134" t="s">
        <v>13017</v>
      </c>
      <c r="C297" s="134" t="s">
        <v>13016</v>
      </c>
      <c r="D297" s="134" t="s">
        <v>3579</v>
      </c>
      <c r="E297" s="139">
        <v>1.98</v>
      </c>
      <c r="F297" s="134" t="s">
        <v>3578</v>
      </c>
      <c r="G297" s="134" t="s">
        <v>3007</v>
      </c>
      <c r="H297" s="123">
        <v>11302</v>
      </c>
    </row>
    <row r="298" spans="1:8" ht="31.5" x14ac:dyDescent="0.25">
      <c r="A298" s="134" t="s">
        <v>13013</v>
      </c>
      <c r="B298" s="134" t="s">
        <v>13015</v>
      </c>
      <c r="C298" s="134" t="s">
        <v>13014</v>
      </c>
      <c r="D298" s="134" t="s">
        <v>5313</v>
      </c>
      <c r="E298" s="139">
        <v>3.36</v>
      </c>
      <c r="F298" s="134" t="s">
        <v>5312</v>
      </c>
      <c r="G298" s="134" t="s">
        <v>3007</v>
      </c>
      <c r="H298" s="123">
        <v>11303</v>
      </c>
    </row>
    <row r="299" spans="1:8" ht="31.5" x14ac:dyDescent="0.25">
      <c r="A299" s="134" t="s">
        <v>13013</v>
      </c>
      <c r="B299" s="134" t="s">
        <v>13012</v>
      </c>
      <c r="C299" s="134" t="s">
        <v>13011</v>
      </c>
      <c r="D299" s="134" t="s">
        <v>12639</v>
      </c>
      <c r="E299" s="139">
        <v>8.82</v>
      </c>
      <c r="F299" s="134" t="s">
        <v>12638</v>
      </c>
      <c r="G299" s="134" t="s">
        <v>3007</v>
      </c>
      <c r="H299" s="123">
        <v>11304</v>
      </c>
    </row>
    <row r="300" spans="1:8" ht="31.5" x14ac:dyDescent="0.25">
      <c r="A300" s="134" t="s">
        <v>12990</v>
      </c>
      <c r="B300" s="134" t="s">
        <v>13010</v>
      </c>
      <c r="C300" s="134" t="s">
        <v>13009</v>
      </c>
      <c r="D300" s="134" t="s">
        <v>5634</v>
      </c>
      <c r="E300" s="139">
        <v>1.68</v>
      </c>
      <c r="F300" s="134" t="s">
        <v>5633</v>
      </c>
      <c r="G300" s="134" t="s">
        <v>3007</v>
      </c>
      <c r="H300" s="123">
        <v>11327</v>
      </c>
    </row>
    <row r="301" spans="1:8" ht="31.5" x14ac:dyDescent="0.25">
      <c r="A301" s="134" t="s">
        <v>12990</v>
      </c>
      <c r="B301" s="134" t="s">
        <v>13008</v>
      </c>
      <c r="C301" s="134" t="s">
        <v>13007</v>
      </c>
      <c r="D301" s="134" t="s">
        <v>13006</v>
      </c>
      <c r="E301" s="139">
        <v>3.74</v>
      </c>
      <c r="F301" s="134" t="s">
        <v>13005</v>
      </c>
      <c r="G301" s="134" t="s">
        <v>3007</v>
      </c>
      <c r="H301" s="123">
        <v>11328</v>
      </c>
    </row>
    <row r="302" spans="1:8" ht="31.5" x14ac:dyDescent="0.25">
      <c r="A302" s="134" t="s">
        <v>12990</v>
      </c>
      <c r="B302" s="134" t="s">
        <v>13004</v>
      </c>
      <c r="C302" s="134" t="s">
        <v>13003</v>
      </c>
      <c r="D302" s="134" t="s">
        <v>3848</v>
      </c>
      <c r="E302" s="139">
        <v>2.83</v>
      </c>
      <c r="F302" s="134" t="s">
        <v>3847</v>
      </c>
      <c r="G302" s="134" t="s">
        <v>3007</v>
      </c>
      <c r="H302" s="123">
        <v>11329</v>
      </c>
    </row>
    <row r="303" spans="1:8" ht="31.5" x14ac:dyDescent="0.25">
      <c r="A303" s="134" t="s">
        <v>12990</v>
      </c>
      <c r="B303" s="134" t="s">
        <v>13002</v>
      </c>
      <c r="C303" s="134" t="s">
        <v>13001</v>
      </c>
      <c r="D303" s="134" t="s">
        <v>3851</v>
      </c>
      <c r="E303" s="139">
        <v>7.9</v>
      </c>
      <c r="F303" s="134" t="s">
        <v>3847</v>
      </c>
      <c r="G303" s="134" t="s">
        <v>3007</v>
      </c>
      <c r="H303" s="123">
        <v>11330</v>
      </c>
    </row>
    <row r="304" spans="1:8" ht="31.5" x14ac:dyDescent="0.25">
      <c r="A304" s="134" t="s">
        <v>12990</v>
      </c>
      <c r="B304" s="134" t="s">
        <v>13000</v>
      </c>
      <c r="C304" s="134" t="s">
        <v>12999</v>
      </c>
      <c r="D304" s="134" t="s">
        <v>8912</v>
      </c>
      <c r="E304" s="139">
        <v>5.5</v>
      </c>
      <c r="F304" s="134" t="s">
        <v>8911</v>
      </c>
      <c r="G304" s="134" t="s">
        <v>3007</v>
      </c>
      <c r="H304" s="123">
        <v>11331</v>
      </c>
    </row>
    <row r="305" spans="1:8" ht="31.5" x14ac:dyDescent="0.25">
      <c r="A305" s="134" t="s">
        <v>12990</v>
      </c>
      <c r="B305" s="134" t="s">
        <v>12998</v>
      </c>
      <c r="C305" s="134" t="s">
        <v>12997</v>
      </c>
      <c r="D305" s="134" t="s">
        <v>4697</v>
      </c>
      <c r="E305" s="139">
        <v>3.36</v>
      </c>
      <c r="F305" s="134" t="s">
        <v>4696</v>
      </c>
      <c r="G305" s="134" t="s">
        <v>3007</v>
      </c>
      <c r="H305" s="123">
        <v>11332</v>
      </c>
    </row>
    <row r="306" spans="1:8" ht="31.5" x14ac:dyDescent="0.25">
      <c r="A306" s="134" t="s">
        <v>12990</v>
      </c>
      <c r="B306" s="134" t="s">
        <v>12996</v>
      </c>
      <c r="C306" s="134" t="s">
        <v>12995</v>
      </c>
      <c r="D306" s="134" t="s">
        <v>7113</v>
      </c>
      <c r="E306" s="139">
        <v>3.66</v>
      </c>
      <c r="F306" s="134" t="s">
        <v>7112</v>
      </c>
      <c r="G306" s="134" t="s">
        <v>3007</v>
      </c>
      <c r="H306" s="123">
        <v>11333</v>
      </c>
    </row>
    <row r="307" spans="1:8" ht="31.5" x14ac:dyDescent="0.25">
      <c r="A307" s="134" t="s">
        <v>12990</v>
      </c>
      <c r="B307" s="134" t="s">
        <v>12994</v>
      </c>
      <c r="C307" s="134" t="s">
        <v>12993</v>
      </c>
      <c r="D307" s="134" t="s">
        <v>12781</v>
      </c>
      <c r="E307" s="139">
        <v>4.8600000000000003</v>
      </c>
      <c r="F307" s="134" t="s">
        <v>12780</v>
      </c>
      <c r="G307" s="134" t="s">
        <v>3007</v>
      </c>
      <c r="H307" s="123">
        <v>11334</v>
      </c>
    </row>
    <row r="308" spans="1:8" ht="31.5" x14ac:dyDescent="0.25">
      <c r="A308" s="134" t="s">
        <v>12990</v>
      </c>
      <c r="B308" s="134" t="s">
        <v>12992</v>
      </c>
      <c r="C308" s="134" t="s">
        <v>12991</v>
      </c>
      <c r="D308" s="134" t="s">
        <v>3317</v>
      </c>
      <c r="E308" s="139">
        <v>1.96</v>
      </c>
      <c r="F308" s="134" t="s">
        <v>3316</v>
      </c>
      <c r="G308" s="134" t="s">
        <v>3007</v>
      </c>
      <c r="H308" s="123">
        <v>11335</v>
      </c>
    </row>
    <row r="309" spans="1:8" ht="31.5" x14ac:dyDescent="0.25">
      <c r="A309" s="134" t="s">
        <v>12990</v>
      </c>
      <c r="B309" s="134" t="s">
        <v>12989</v>
      </c>
      <c r="C309" s="134" t="s">
        <v>12988</v>
      </c>
      <c r="D309" s="134" t="s">
        <v>9190</v>
      </c>
      <c r="E309" s="139">
        <v>5.64</v>
      </c>
      <c r="F309" s="134" t="s">
        <v>9189</v>
      </c>
      <c r="G309" s="134" t="s">
        <v>3007</v>
      </c>
      <c r="H309" s="123">
        <v>11336</v>
      </c>
    </row>
    <row r="310" spans="1:8" ht="31.5" x14ac:dyDescent="0.25">
      <c r="A310" s="134" t="s">
        <v>12960</v>
      </c>
      <c r="B310" s="134" t="s">
        <v>12987</v>
      </c>
      <c r="C310" s="134" t="s">
        <v>12986</v>
      </c>
      <c r="D310" s="134" t="s">
        <v>12188</v>
      </c>
      <c r="E310" s="139">
        <v>1.68</v>
      </c>
      <c r="F310" s="134" t="s">
        <v>12187</v>
      </c>
      <c r="G310" s="134" t="s">
        <v>3007</v>
      </c>
      <c r="H310" s="123">
        <v>11368</v>
      </c>
    </row>
    <row r="311" spans="1:8" ht="31.5" x14ac:dyDescent="0.25">
      <c r="A311" s="134" t="s">
        <v>12960</v>
      </c>
      <c r="B311" s="134" t="s">
        <v>12985</v>
      </c>
      <c r="C311" s="134" t="s">
        <v>12984</v>
      </c>
      <c r="D311" s="134" t="s">
        <v>7289</v>
      </c>
      <c r="E311" s="139">
        <v>9.19</v>
      </c>
      <c r="F311" s="134" t="s">
        <v>7288</v>
      </c>
      <c r="G311" s="134" t="s">
        <v>3007</v>
      </c>
      <c r="H311" s="123">
        <v>11369</v>
      </c>
    </row>
    <row r="312" spans="1:8" ht="31.5" x14ac:dyDescent="0.25">
      <c r="A312" s="134" t="s">
        <v>12960</v>
      </c>
      <c r="B312" s="134" t="s">
        <v>12983</v>
      </c>
      <c r="C312" s="134" t="s">
        <v>12982</v>
      </c>
      <c r="D312" s="134" t="s">
        <v>3563</v>
      </c>
      <c r="E312" s="139">
        <v>6.94</v>
      </c>
      <c r="F312" s="134" t="s">
        <v>3562</v>
      </c>
      <c r="G312" s="134" t="s">
        <v>3007</v>
      </c>
      <c r="H312" s="124">
        <v>11370</v>
      </c>
    </row>
    <row r="313" spans="1:8" ht="31.5" x14ac:dyDescent="0.25">
      <c r="A313" s="134" t="s">
        <v>12960</v>
      </c>
      <c r="B313" s="134" t="s">
        <v>12981</v>
      </c>
      <c r="C313" s="134" t="s">
        <v>12980</v>
      </c>
      <c r="D313" s="134" t="s">
        <v>5588</v>
      </c>
      <c r="E313" s="139">
        <v>16.760000000000002</v>
      </c>
      <c r="F313" s="134" t="s">
        <v>5587</v>
      </c>
      <c r="G313" s="134" t="s">
        <v>3007</v>
      </c>
      <c r="H313" s="123">
        <v>11371</v>
      </c>
    </row>
    <row r="314" spans="1:8" ht="31.5" x14ac:dyDescent="0.25">
      <c r="A314" s="134" t="s">
        <v>12960</v>
      </c>
      <c r="B314" s="134" t="s">
        <v>12363</v>
      </c>
      <c r="C314" s="134" t="s">
        <v>12979</v>
      </c>
      <c r="D314" s="134" t="s">
        <v>5638</v>
      </c>
      <c r="E314" s="139">
        <v>1.93</v>
      </c>
      <c r="F314" s="134" t="s">
        <v>5637</v>
      </c>
      <c r="G314" s="134" t="s">
        <v>3007</v>
      </c>
      <c r="H314" s="123">
        <v>11372</v>
      </c>
    </row>
    <row r="315" spans="1:8" ht="31.5" x14ac:dyDescent="0.25">
      <c r="A315" s="134" t="s">
        <v>12960</v>
      </c>
      <c r="B315" s="134" t="s">
        <v>6456</v>
      </c>
      <c r="C315" s="134" t="s">
        <v>12978</v>
      </c>
      <c r="D315" s="134" t="s">
        <v>4156</v>
      </c>
      <c r="E315" s="139">
        <v>20.059999999999999</v>
      </c>
      <c r="F315" s="134" t="s">
        <v>4155</v>
      </c>
      <c r="G315" s="134" t="s">
        <v>3007</v>
      </c>
      <c r="H315" s="123">
        <v>11373</v>
      </c>
    </row>
    <row r="316" spans="1:8" ht="31.5" x14ac:dyDescent="0.25">
      <c r="A316" s="134" t="s">
        <v>12960</v>
      </c>
      <c r="B316" s="134" t="s">
        <v>12977</v>
      </c>
      <c r="C316" s="134" t="s">
        <v>12976</v>
      </c>
      <c r="D316" s="134" t="s">
        <v>4281</v>
      </c>
      <c r="E316" s="139">
        <v>1.68</v>
      </c>
      <c r="F316" s="134" t="s">
        <v>4280</v>
      </c>
      <c r="G316" s="134" t="s">
        <v>3007</v>
      </c>
      <c r="H316" s="123" t="s">
        <v>12975</v>
      </c>
    </row>
    <row r="317" spans="1:8" ht="31.5" x14ac:dyDescent="0.25">
      <c r="A317" s="134" t="s">
        <v>12960</v>
      </c>
      <c r="B317" s="134" t="s">
        <v>10100</v>
      </c>
      <c r="C317" s="134" t="s">
        <v>12974</v>
      </c>
      <c r="D317" s="134" t="s">
        <v>10710</v>
      </c>
      <c r="E317" s="139">
        <v>12.48</v>
      </c>
      <c r="F317" s="134" t="s">
        <v>10709</v>
      </c>
      <c r="G317" s="134" t="s">
        <v>3007</v>
      </c>
      <c r="H317" s="123">
        <v>11374</v>
      </c>
    </row>
    <row r="318" spans="1:8" ht="31.5" x14ac:dyDescent="0.25">
      <c r="A318" s="134" t="s">
        <v>12960</v>
      </c>
      <c r="B318" s="134" t="s">
        <v>12973</v>
      </c>
      <c r="C318" s="134" t="s">
        <v>12972</v>
      </c>
      <c r="D318" s="134" t="s">
        <v>3844</v>
      </c>
      <c r="E318" s="139">
        <v>10.67</v>
      </c>
      <c r="F318" s="134" t="s">
        <v>3843</v>
      </c>
      <c r="G318" s="134" t="s">
        <v>3007</v>
      </c>
      <c r="H318" s="123">
        <v>11375</v>
      </c>
    </row>
    <row r="319" spans="1:8" ht="31.5" x14ac:dyDescent="0.25">
      <c r="A319" s="134" t="s">
        <v>12960</v>
      </c>
      <c r="B319" s="134" t="s">
        <v>12971</v>
      </c>
      <c r="C319" s="134" t="s">
        <v>12970</v>
      </c>
      <c r="D319" s="134" t="s">
        <v>12484</v>
      </c>
      <c r="E319" s="139">
        <v>5</v>
      </c>
      <c r="F319" s="134" t="s">
        <v>12483</v>
      </c>
      <c r="G319" s="134" t="s">
        <v>3007</v>
      </c>
      <c r="H319" s="123">
        <v>11376</v>
      </c>
    </row>
    <row r="320" spans="1:8" ht="31.5" x14ac:dyDescent="0.25">
      <c r="A320" s="134" t="s">
        <v>12960</v>
      </c>
      <c r="B320" s="134" t="s">
        <v>12969</v>
      </c>
      <c r="C320" s="134" t="s">
        <v>12968</v>
      </c>
      <c r="D320" s="134" t="s">
        <v>12967</v>
      </c>
      <c r="E320" s="139">
        <v>25.14</v>
      </c>
      <c r="F320" s="134" t="s">
        <v>12966</v>
      </c>
      <c r="G320" s="134" t="s">
        <v>3007</v>
      </c>
      <c r="H320" s="123">
        <v>11377</v>
      </c>
    </row>
    <row r="321" spans="1:8" ht="31.5" x14ac:dyDescent="0.25">
      <c r="A321" s="134" t="s">
        <v>12960</v>
      </c>
      <c r="B321" s="134" t="s">
        <v>12965</v>
      </c>
      <c r="C321" s="134" t="s">
        <v>12964</v>
      </c>
      <c r="D321" s="134" t="s">
        <v>4372</v>
      </c>
      <c r="E321" s="139">
        <v>4.1900000000000004</v>
      </c>
      <c r="F321" s="134" t="s">
        <v>4371</v>
      </c>
      <c r="G321" s="134" t="s">
        <v>3007</v>
      </c>
      <c r="H321" s="123">
        <v>11378</v>
      </c>
    </row>
    <row r="322" spans="1:8" ht="31.5" x14ac:dyDescent="0.25">
      <c r="A322" s="134" t="s">
        <v>12960</v>
      </c>
      <c r="B322" s="134" t="s">
        <v>9627</v>
      </c>
      <c r="C322" s="134" t="s">
        <v>12963</v>
      </c>
      <c r="D322" s="134" t="s">
        <v>3735</v>
      </c>
      <c r="E322" s="139">
        <v>2.52</v>
      </c>
      <c r="F322" s="134" t="s">
        <v>3734</v>
      </c>
      <c r="G322" s="134" t="s">
        <v>3007</v>
      </c>
      <c r="H322" s="123">
        <v>11379</v>
      </c>
    </row>
    <row r="323" spans="1:8" ht="31.5" x14ac:dyDescent="0.25">
      <c r="A323" s="134" t="s">
        <v>12960</v>
      </c>
      <c r="B323" s="134" t="s">
        <v>12962</v>
      </c>
      <c r="C323" s="134" t="s">
        <v>12961</v>
      </c>
      <c r="D323" s="134" t="s">
        <v>10496</v>
      </c>
      <c r="E323" s="139">
        <v>3.15</v>
      </c>
      <c r="F323" s="134" t="s">
        <v>10495</v>
      </c>
      <c r="G323" s="134" t="s">
        <v>3007</v>
      </c>
      <c r="H323" s="123">
        <v>11380</v>
      </c>
    </row>
    <row r="324" spans="1:8" ht="31.5" x14ac:dyDescent="0.25">
      <c r="A324" s="134" t="s">
        <v>12960</v>
      </c>
      <c r="B324" s="134" t="s">
        <v>12959</v>
      </c>
      <c r="C324" s="134" t="s">
        <v>12958</v>
      </c>
      <c r="D324" s="134" t="s">
        <v>7833</v>
      </c>
      <c r="E324" s="139">
        <v>7.32</v>
      </c>
      <c r="F324" s="134" t="s">
        <v>7832</v>
      </c>
      <c r="G324" s="134" t="s">
        <v>3007</v>
      </c>
      <c r="H324" s="123">
        <v>11381</v>
      </c>
    </row>
    <row r="325" spans="1:8" ht="31.5" x14ac:dyDescent="0.25">
      <c r="A325" s="134" t="s">
        <v>12919</v>
      </c>
      <c r="B325" s="134" t="s">
        <v>8827</v>
      </c>
      <c r="C325" s="134" t="s">
        <v>12957</v>
      </c>
      <c r="D325" s="134" t="s">
        <v>5294</v>
      </c>
      <c r="E325" s="139">
        <v>7.94</v>
      </c>
      <c r="F325" s="134" t="s">
        <v>5293</v>
      </c>
      <c r="G325" s="134" t="s">
        <v>3007</v>
      </c>
      <c r="H325" s="123">
        <v>11437</v>
      </c>
    </row>
    <row r="326" spans="1:8" ht="31.5" x14ac:dyDescent="0.25">
      <c r="A326" s="134" t="s">
        <v>12919</v>
      </c>
      <c r="B326" s="134" t="s">
        <v>12956</v>
      </c>
      <c r="C326" s="134" t="s">
        <v>12955</v>
      </c>
      <c r="D326" s="134" t="s">
        <v>9696</v>
      </c>
      <c r="E326" s="139">
        <v>2.5099999999999998</v>
      </c>
      <c r="F326" s="134" t="s">
        <v>9695</v>
      </c>
      <c r="G326" s="134" t="s">
        <v>3007</v>
      </c>
      <c r="H326" s="123">
        <v>11438</v>
      </c>
    </row>
    <row r="327" spans="1:8" ht="31.5" x14ac:dyDescent="0.25">
      <c r="A327" s="134" t="s">
        <v>12919</v>
      </c>
      <c r="B327" s="134" t="s">
        <v>12954</v>
      </c>
      <c r="C327" s="134" t="s">
        <v>12953</v>
      </c>
      <c r="D327" s="134" t="s">
        <v>4598</v>
      </c>
      <c r="E327" s="139">
        <v>6.59</v>
      </c>
      <c r="F327" s="134" t="s">
        <v>4597</v>
      </c>
      <c r="G327" s="134" t="s">
        <v>3007</v>
      </c>
      <c r="H327" s="123">
        <v>11439</v>
      </c>
    </row>
    <row r="328" spans="1:8" ht="31.5" x14ac:dyDescent="0.25">
      <c r="A328" s="134" t="s">
        <v>12919</v>
      </c>
      <c r="B328" s="134" t="s">
        <v>12952</v>
      </c>
      <c r="C328" s="134" t="s">
        <v>12951</v>
      </c>
      <c r="D328" s="134" t="s">
        <v>12950</v>
      </c>
      <c r="E328" s="139">
        <v>1.68</v>
      </c>
      <c r="F328" s="134" t="s">
        <v>12949</v>
      </c>
      <c r="G328" s="134" t="s">
        <v>3007</v>
      </c>
      <c r="H328" s="123">
        <v>11440</v>
      </c>
    </row>
    <row r="329" spans="1:8" ht="31.5" x14ac:dyDescent="0.25">
      <c r="A329" s="134" t="s">
        <v>12919</v>
      </c>
      <c r="B329" s="134" t="s">
        <v>12948</v>
      </c>
      <c r="C329" s="134" t="s">
        <v>12947</v>
      </c>
      <c r="D329" s="134" t="s">
        <v>4313</v>
      </c>
      <c r="E329" s="139">
        <v>5.87</v>
      </c>
      <c r="F329" s="134" t="s">
        <v>4312</v>
      </c>
      <c r="G329" s="134" t="s">
        <v>3007</v>
      </c>
      <c r="H329" s="123">
        <v>11441</v>
      </c>
    </row>
    <row r="330" spans="1:8" ht="31.5" x14ac:dyDescent="0.25">
      <c r="A330" s="134" t="s">
        <v>12919</v>
      </c>
      <c r="B330" s="134" t="s">
        <v>8397</v>
      </c>
      <c r="C330" s="134" t="s">
        <v>12946</v>
      </c>
      <c r="D330" s="134" t="s">
        <v>9990</v>
      </c>
      <c r="E330" s="139">
        <v>2.46</v>
      </c>
      <c r="F330" s="134" t="s">
        <v>9989</v>
      </c>
      <c r="G330" s="134" t="s">
        <v>3007</v>
      </c>
      <c r="H330" s="123">
        <v>11442</v>
      </c>
    </row>
    <row r="331" spans="1:8" ht="31.5" x14ac:dyDescent="0.25">
      <c r="A331" s="134" t="s">
        <v>12919</v>
      </c>
      <c r="B331" s="134" t="s">
        <v>12945</v>
      </c>
      <c r="C331" s="134" t="s">
        <v>12944</v>
      </c>
      <c r="D331" s="134" t="s">
        <v>9535</v>
      </c>
      <c r="E331" s="139">
        <v>1.95</v>
      </c>
      <c r="F331" s="134" t="s">
        <v>9534</v>
      </c>
      <c r="G331" s="134" t="s">
        <v>3007</v>
      </c>
      <c r="H331" s="123">
        <v>11443</v>
      </c>
    </row>
    <row r="332" spans="1:8" ht="31.5" x14ac:dyDescent="0.25">
      <c r="A332" s="134" t="s">
        <v>12919</v>
      </c>
      <c r="B332" s="134" t="s">
        <v>8473</v>
      </c>
      <c r="C332" s="134" t="s">
        <v>12943</v>
      </c>
      <c r="D332" s="134" t="s">
        <v>8293</v>
      </c>
      <c r="E332" s="139">
        <v>3.36</v>
      </c>
      <c r="F332" s="134" t="s">
        <v>8292</v>
      </c>
      <c r="G332" s="134" t="s">
        <v>3007</v>
      </c>
      <c r="H332" s="123">
        <v>11444</v>
      </c>
    </row>
    <row r="333" spans="1:8" ht="31.5" x14ac:dyDescent="0.25">
      <c r="A333" s="134" t="s">
        <v>12919</v>
      </c>
      <c r="B333" s="134" t="s">
        <v>12942</v>
      </c>
      <c r="C333" s="134" t="s">
        <v>12941</v>
      </c>
      <c r="D333" s="134" t="s">
        <v>5255</v>
      </c>
      <c r="E333" s="139">
        <v>1.68</v>
      </c>
      <c r="F333" s="134" t="s">
        <v>5254</v>
      </c>
      <c r="G333" s="134" t="s">
        <v>3007</v>
      </c>
      <c r="H333" s="123">
        <v>11445</v>
      </c>
    </row>
    <row r="334" spans="1:8" ht="31.5" x14ac:dyDescent="0.25">
      <c r="A334" s="134" t="s">
        <v>12919</v>
      </c>
      <c r="B334" s="134" t="s">
        <v>12940</v>
      </c>
      <c r="C334" s="134" t="s">
        <v>12939</v>
      </c>
      <c r="D334" s="134" t="s">
        <v>3166</v>
      </c>
      <c r="E334" s="139">
        <v>5.16</v>
      </c>
      <c r="F334" s="134" t="s">
        <v>3165</v>
      </c>
      <c r="G334" s="134" t="s">
        <v>3007</v>
      </c>
      <c r="H334" s="123">
        <v>11446</v>
      </c>
    </row>
    <row r="335" spans="1:8" ht="31.5" x14ac:dyDescent="0.25">
      <c r="A335" s="134" t="s">
        <v>12919</v>
      </c>
      <c r="B335" s="134" t="s">
        <v>12938</v>
      </c>
      <c r="C335" s="134" t="s">
        <v>12937</v>
      </c>
      <c r="D335" s="134" t="s">
        <v>3487</v>
      </c>
      <c r="E335" s="139">
        <v>7.22</v>
      </c>
      <c r="F335" s="134" t="s">
        <v>3486</v>
      </c>
      <c r="G335" s="134" t="s">
        <v>3007</v>
      </c>
      <c r="H335" s="123">
        <v>11447</v>
      </c>
    </row>
    <row r="336" spans="1:8" ht="31.5" x14ac:dyDescent="0.25">
      <c r="A336" s="134" t="s">
        <v>12919</v>
      </c>
      <c r="B336" s="134" t="s">
        <v>12936</v>
      </c>
      <c r="C336" s="134" t="s">
        <v>12935</v>
      </c>
      <c r="D336" s="134" t="s">
        <v>3127</v>
      </c>
      <c r="E336" s="139">
        <v>13.32</v>
      </c>
      <c r="F336" s="134" t="s">
        <v>3126</v>
      </c>
      <c r="G336" s="134" t="s">
        <v>3007</v>
      </c>
      <c r="H336" s="123">
        <v>11448</v>
      </c>
    </row>
    <row r="337" spans="1:8" ht="31.5" x14ac:dyDescent="0.25">
      <c r="A337" s="134" t="s">
        <v>12919</v>
      </c>
      <c r="B337" s="134" t="s">
        <v>12934</v>
      </c>
      <c r="C337" s="134" t="s">
        <v>12933</v>
      </c>
      <c r="D337" s="134" t="s">
        <v>3696</v>
      </c>
      <c r="E337" s="139">
        <v>10.43</v>
      </c>
      <c r="F337" s="134" t="s">
        <v>3695</v>
      </c>
      <c r="G337" s="134" t="s">
        <v>3007</v>
      </c>
      <c r="H337" s="123">
        <v>11449</v>
      </c>
    </row>
    <row r="338" spans="1:8" ht="31.5" x14ac:dyDescent="0.25">
      <c r="A338" s="134" t="s">
        <v>12919</v>
      </c>
      <c r="B338" s="134" t="s">
        <v>12932</v>
      </c>
      <c r="C338" s="134" t="s">
        <v>12931</v>
      </c>
      <c r="D338" s="134" t="s">
        <v>8211</v>
      </c>
      <c r="E338" s="139">
        <v>8.56</v>
      </c>
      <c r="F338" s="134" t="s">
        <v>8210</v>
      </c>
      <c r="G338" s="134" t="s">
        <v>3007</v>
      </c>
      <c r="H338" s="123">
        <v>11450</v>
      </c>
    </row>
    <row r="339" spans="1:8" ht="31.5" x14ac:dyDescent="0.25">
      <c r="A339" s="134" t="s">
        <v>12919</v>
      </c>
      <c r="B339" s="134" t="s">
        <v>12930</v>
      </c>
      <c r="C339" s="134" t="s">
        <v>12929</v>
      </c>
      <c r="D339" s="134" t="s">
        <v>3094</v>
      </c>
      <c r="E339" s="139">
        <v>13.6</v>
      </c>
      <c r="F339" s="134" t="s">
        <v>3093</v>
      </c>
      <c r="G339" s="134" t="s">
        <v>3007</v>
      </c>
      <c r="H339" s="123">
        <v>11451</v>
      </c>
    </row>
    <row r="340" spans="1:8" ht="31.5" x14ac:dyDescent="0.25">
      <c r="A340" s="134" t="s">
        <v>12919</v>
      </c>
      <c r="B340" s="134" t="s">
        <v>12928</v>
      </c>
      <c r="C340" s="134" t="s">
        <v>12927</v>
      </c>
      <c r="D340" s="134" t="s">
        <v>3325</v>
      </c>
      <c r="E340" s="139">
        <v>8.3800000000000008</v>
      </c>
      <c r="F340" s="134" t="s">
        <v>3324</v>
      </c>
      <c r="G340" s="134" t="s">
        <v>3007</v>
      </c>
      <c r="H340" s="123">
        <v>11452</v>
      </c>
    </row>
    <row r="341" spans="1:8" ht="31.5" x14ac:dyDescent="0.25">
      <c r="A341" s="134" t="s">
        <v>12919</v>
      </c>
      <c r="B341" s="134" t="s">
        <v>10096</v>
      </c>
      <c r="C341" s="134" t="s">
        <v>12926</v>
      </c>
      <c r="D341" s="134" t="s">
        <v>4811</v>
      </c>
      <c r="E341" s="139">
        <v>39.86</v>
      </c>
      <c r="F341" s="134" t="s">
        <v>4810</v>
      </c>
      <c r="G341" s="134" t="s">
        <v>3007</v>
      </c>
      <c r="H341" s="123">
        <v>11453</v>
      </c>
    </row>
    <row r="342" spans="1:8" ht="31.5" x14ac:dyDescent="0.25">
      <c r="A342" s="134" t="s">
        <v>12919</v>
      </c>
      <c r="B342" s="134" t="s">
        <v>12925</v>
      </c>
      <c r="C342" s="134" t="s">
        <v>12924</v>
      </c>
      <c r="D342" s="134" t="s">
        <v>8299</v>
      </c>
      <c r="E342" s="139">
        <v>33.520000000000003</v>
      </c>
      <c r="F342" s="134" t="s">
        <v>8298</v>
      </c>
      <c r="G342" s="134" t="s">
        <v>3007</v>
      </c>
      <c r="H342" s="123">
        <v>11454</v>
      </c>
    </row>
    <row r="343" spans="1:8" ht="31.5" x14ac:dyDescent="0.25">
      <c r="A343" s="134" t="s">
        <v>12919</v>
      </c>
      <c r="B343" s="134" t="s">
        <v>12923</v>
      </c>
      <c r="C343" s="134" t="s">
        <v>12922</v>
      </c>
      <c r="D343" s="134" t="s">
        <v>4285</v>
      </c>
      <c r="E343" s="139">
        <v>14.37</v>
      </c>
      <c r="F343" s="134" t="s">
        <v>4284</v>
      </c>
      <c r="G343" s="134" t="s">
        <v>3007</v>
      </c>
      <c r="H343" s="123">
        <v>11455</v>
      </c>
    </row>
    <row r="344" spans="1:8" ht="31.5" x14ac:dyDescent="0.25">
      <c r="A344" s="134" t="s">
        <v>12919</v>
      </c>
      <c r="B344" s="134" t="s">
        <v>12921</v>
      </c>
      <c r="C344" s="134" t="s">
        <v>12920</v>
      </c>
      <c r="D344" s="134" t="s">
        <v>4469</v>
      </c>
      <c r="E344" s="139">
        <v>6.98</v>
      </c>
      <c r="F344" s="134" t="s">
        <v>4468</v>
      </c>
      <c r="G344" s="134" t="s">
        <v>3007</v>
      </c>
      <c r="H344" s="123">
        <v>11456</v>
      </c>
    </row>
    <row r="345" spans="1:8" ht="31.5" x14ac:dyDescent="0.25">
      <c r="A345" s="134" t="s">
        <v>12919</v>
      </c>
      <c r="B345" s="134" t="s">
        <v>12918</v>
      </c>
      <c r="C345" s="134" t="s">
        <v>12917</v>
      </c>
      <c r="D345" s="134" t="s">
        <v>3195</v>
      </c>
      <c r="E345" s="139">
        <v>6.45</v>
      </c>
      <c r="F345" s="134" t="s">
        <v>3194</v>
      </c>
      <c r="G345" s="134" t="s">
        <v>3007</v>
      </c>
      <c r="H345" s="123">
        <v>11457</v>
      </c>
    </row>
    <row r="346" spans="1:8" s="200" customFormat="1" x14ac:dyDescent="0.25">
      <c r="A346" s="198"/>
      <c r="B346" s="198"/>
      <c r="C346" s="198" t="s">
        <v>5691</v>
      </c>
      <c r="D346" s="198" t="s">
        <v>14413</v>
      </c>
      <c r="E346" s="199">
        <f>SUM(E270:E345)</f>
        <v>588.98000000000013</v>
      </c>
      <c r="F346" s="198"/>
      <c r="G346" s="198"/>
      <c r="H346" s="172"/>
    </row>
    <row r="347" spans="1:8" s="200" customFormat="1" x14ac:dyDescent="0.25">
      <c r="A347" s="198"/>
      <c r="B347" s="198"/>
      <c r="C347" s="198"/>
      <c r="D347" s="198"/>
      <c r="E347" s="199"/>
      <c r="F347" s="198"/>
      <c r="G347" s="198"/>
      <c r="H347" s="172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74" fitToHeight="5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D2AB1-9BB0-4405-8394-F6B3BFF993F2}">
  <sheetPr>
    <pageSetUpPr fitToPage="1"/>
  </sheetPr>
  <dimension ref="A1:L128"/>
  <sheetViews>
    <sheetView topLeftCell="A106" zoomScaleNormal="100" workbookViewId="0">
      <selection activeCell="H126" sqref="H126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8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8" x14ac:dyDescent="0.2">
      <c r="A2" s="1"/>
      <c r="B2" s="2"/>
      <c r="C2" s="3"/>
      <c r="D2" s="3"/>
      <c r="E2" s="3"/>
      <c r="F2" s="4"/>
      <c r="G2" s="3"/>
      <c r="H2" s="5"/>
    </row>
    <row r="3" spans="1:8" x14ac:dyDescent="0.2">
      <c r="A3" s="1"/>
      <c r="B3" s="2"/>
      <c r="C3" s="3"/>
      <c r="D3" s="3"/>
      <c r="E3" s="3"/>
      <c r="F3" s="4"/>
      <c r="G3" s="3"/>
      <c r="H3" s="5"/>
    </row>
    <row r="4" spans="1:8" x14ac:dyDescent="0.2">
      <c r="A4" s="1" t="s">
        <v>1</v>
      </c>
      <c r="B4" s="1"/>
      <c r="D4" s="6"/>
      <c r="E4" s="6"/>
      <c r="G4" s="6"/>
    </row>
    <row r="5" spans="1:8" x14ac:dyDescent="0.2">
      <c r="A5" s="8"/>
      <c r="B5" s="2"/>
      <c r="C5" s="3"/>
      <c r="D5" s="3"/>
      <c r="E5" s="3"/>
      <c r="F5" s="4"/>
      <c r="G5" s="3"/>
      <c r="H5" s="5"/>
    </row>
    <row r="6" spans="1:8" x14ac:dyDescent="0.2">
      <c r="A6" s="8"/>
      <c r="B6" s="2"/>
      <c r="C6" s="3"/>
      <c r="D6" s="3"/>
      <c r="E6" s="3"/>
      <c r="F6" s="4"/>
      <c r="G6" s="3"/>
      <c r="H6" s="5"/>
    </row>
    <row r="7" spans="1:8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8" x14ac:dyDescent="0.2">
      <c r="A8" s="8"/>
      <c r="B8" s="2"/>
      <c r="C8" s="3"/>
      <c r="D8" s="3"/>
      <c r="E8" s="3"/>
      <c r="F8" s="4"/>
      <c r="G8" s="3"/>
      <c r="H8" s="5"/>
    </row>
    <row r="9" spans="1:8" ht="13.5" customHeight="1" x14ac:dyDescent="0.2">
      <c r="A9" s="10" t="s">
        <v>23821</v>
      </c>
      <c r="B9" s="10"/>
      <c r="C9" s="11"/>
      <c r="D9" s="3"/>
      <c r="E9" s="3"/>
      <c r="F9" s="4"/>
      <c r="G9" s="12" t="s">
        <v>4</v>
      </c>
      <c r="H9" s="13">
        <v>111749.51</v>
      </c>
    </row>
    <row r="10" spans="1:8" x14ac:dyDescent="0.2">
      <c r="A10" s="3"/>
      <c r="B10" s="9"/>
      <c r="C10" s="3"/>
      <c r="D10" s="3"/>
      <c r="E10" s="3"/>
      <c r="F10" s="4"/>
      <c r="G10" s="3"/>
      <c r="H10" s="5"/>
    </row>
    <row r="11" spans="1:8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8" ht="12.75" customHeight="1" x14ac:dyDescent="0.2">
      <c r="A12" s="14"/>
      <c r="B12" s="18" t="s">
        <v>19988</v>
      </c>
      <c r="C12" s="3"/>
      <c r="D12" s="16"/>
      <c r="E12" s="16"/>
      <c r="F12" s="17"/>
      <c r="G12" s="3"/>
      <c r="H12" s="5"/>
    </row>
    <row r="13" spans="1:8" x14ac:dyDescent="0.2">
      <c r="A13" s="14"/>
      <c r="B13" s="9"/>
      <c r="C13" s="3"/>
      <c r="D13" s="16"/>
      <c r="E13" s="16"/>
      <c r="F13" s="17"/>
      <c r="G13" s="3"/>
      <c r="H13" s="5"/>
    </row>
    <row r="14" spans="1:8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8" x14ac:dyDescent="0.2">
      <c r="A15" s="23"/>
      <c r="B15" s="24"/>
      <c r="C15" s="34"/>
      <c r="D15" s="35"/>
      <c r="E15" s="26"/>
      <c r="F15" s="36"/>
      <c r="G15" s="3"/>
      <c r="H15" s="5"/>
    </row>
    <row r="16" spans="1:8" x14ac:dyDescent="0.2">
      <c r="A16" s="37"/>
      <c r="B16" s="38"/>
      <c r="C16" s="39"/>
      <c r="D16" s="40"/>
      <c r="E16" s="22"/>
      <c r="F16" s="41"/>
      <c r="G16" s="3"/>
      <c r="H16" s="13">
        <f>SUM(F15:F15)</f>
        <v>0</v>
      </c>
    </row>
    <row r="17" spans="1:9" x14ac:dyDescent="0.2">
      <c r="A17" s="19"/>
      <c r="B17" s="42"/>
      <c r="C17" s="3"/>
      <c r="D17" s="22"/>
      <c r="E17" s="22"/>
      <c r="F17" s="43"/>
      <c r="G17" s="12"/>
      <c r="H17" s="5"/>
    </row>
    <row r="18" spans="1:9" x14ac:dyDescent="0.2">
      <c r="A18" s="3"/>
      <c r="B18" s="44" t="s">
        <v>5</v>
      </c>
      <c r="C18" s="3"/>
      <c r="D18" s="16"/>
      <c r="E18" s="16"/>
      <c r="F18" s="22" t="s">
        <v>11</v>
      </c>
      <c r="G18" s="3"/>
      <c r="H18" s="5"/>
    </row>
    <row r="19" spans="1:9" ht="13.5" customHeight="1" x14ac:dyDescent="0.2">
      <c r="A19" s="21" t="s">
        <v>7</v>
      </c>
      <c r="B19" s="18" t="s">
        <v>14</v>
      </c>
      <c r="C19" s="3"/>
      <c r="D19" s="16"/>
      <c r="E19" s="16"/>
      <c r="F19" s="43"/>
      <c r="G19" s="3"/>
      <c r="H19" s="5"/>
    </row>
    <row r="20" spans="1:9" ht="13.5" customHeight="1" x14ac:dyDescent="0.2">
      <c r="A20" s="54"/>
      <c r="B20" s="55"/>
      <c r="D20" s="51"/>
      <c r="E20" s="51"/>
      <c r="F20" s="56"/>
      <c r="H20" s="57"/>
    </row>
    <row r="21" spans="1:9" x14ac:dyDescent="0.2">
      <c r="A21" s="58"/>
      <c r="D21" s="51"/>
      <c r="E21" s="51"/>
      <c r="F21" s="57"/>
      <c r="H21" s="60">
        <f>SUM(F20:F20)</f>
        <v>0</v>
      </c>
    </row>
    <row r="22" spans="1:9" s="64" customFormat="1" x14ac:dyDescent="0.2">
      <c r="A22" s="61"/>
      <c r="B22" s="62" t="s">
        <v>29</v>
      </c>
      <c r="C22" s="63"/>
      <c r="D22" s="63"/>
      <c r="E22" s="63"/>
      <c r="G22" s="65"/>
    </row>
    <row r="23" spans="1:9" s="64" customFormat="1" x14ac:dyDescent="0.2">
      <c r="A23" s="21" t="s">
        <v>7</v>
      </c>
      <c r="B23" s="62" t="s">
        <v>30</v>
      </c>
      <c r="C23" s="63"/>
      <c r="D23" s="63"/>
      <c r="E23" s="63"/>
      <c r="F23" s="22" t="s">
        <v>11</v>
      </c>
      <c r="G23" s="65"/>
    </row>
    <row r="24" spans="1:9" s="69" customFormat="1" x14ac:dyDescent="0.2">
      <c r="A24" s="45"/>
      <c r="B24" s="66"/>
      <c r="C24" s="67"/>
      <c r="D24" s="68"/>
      <c r="E24" s="51"/>
      <c r="F24" s="32"/>
      <c r="G24" s="3"/>
      <c r="I24" s="33"/>
    </row>
    <row r="25" spans="1:9" x14ac:dyDescent="0.2">
      <c r="A25" s="45"/>
      <c r="B25" s="66"/>
      <c r="D25" s="51"/>
      <c r="E25" s="51"/>
      <c r="F25" s="56"/>
      <c r="G25" s="3"/>
      <c r="H25" s="5"/>
    </row>
    <row r="26" spans="1:9" x14ac:dyDescent="0.2">
      <c r="A26" s="75"/>
      <c r="B26" s="2"/>
      <c r="C26" s="3"/>
      <c r="D26" s="16"/>
      <c r="E26" s="16"/>
      <c r="F26" s="76"/>
      <c r="G26" s="3"/>
      <c r="H26" s="60">
        <f>SUM(F24:F25)</f>
        <v>0</v>
      </c>
    </row>
    <row r="27" spans="1:9" x14ac:dyDescent="0.2">
      <c r="C27" s="3"/>
      <c r="D27" s="16"/>
      <c r="E27" s="16"/>
      <c r="F27" s="76"/>
      <c r="G27" s="3"/>
      <c r="H27" s="5"/>
    </row>
    <row r="28" spans="1:9" x14ac:dyDescent="0.2">
      <c r="B28" s="62" t="s">
        <v>29</v>
      </c>
      <c r="C28" s="3"/>
      <c r="D28" s="16"/>
      <c r="E28" s="16"/>
      <c r="F28" s="22" t="s">
        <v>11</v>
      </c>
      <c r="G28" s="3"/>
      <c r="H28" s="5"/>
    </row>
    <row r="29" spans="1:9" x14ac:dyDescent="0.2">
      <c r="A29" s="21" t="s">
        <v>7</v>
      </c>
      <c r="B29" s="18" t="s">
        <v>44</v>
      </c>
      <c r="C29" s="3"/>
      <c r="D29" s="16"/>
      <c r="E29" s="16"/>
      <c r="F29" s="12"/>
      <c r="G29" s="3"/>
      <c r="H29" s="5"/>
    </row>
    <row r="30" spans="1:9" ht="15" x14ac:dyDescent="0.2">
      <c r="A30" s="150">
        <v>43902</v>
      </c>
      <c r="B30" s="113" t="s">
        <v>16923</v>
      </c>
      <c r="C30" s="148" t="s">
        <v>16924</v>
      </c>
      <c r="D30" s="68"/>
      <c r="E30" s="25"/>
      <c r="F30" s="160">
        <v>8.3800000000000008</v>
      </c>
      <c r="G30" s="3"/>
      <c r="I30" s="33"/>
    </row>
    <row r="31" spans="1:9" ht="15" x14ac:dyDescent="0.2">
      <c r="A31" s="150">
        <v>43902</v>
      </c>
      <c r="B31" s="113" t="s">
        <v>16921</v>
      </c>
      <c r="C31" s="148" t="s">
        <v>16922</v>
      </c>
      <c r="D31" s="68"/>
      <c r="E31" s="25"/>
      <c r="F31" s="160">
        <v>15.32</v>
      </c>
      <c r="G31" s="3"/>
      <c r="I31" s="33"/>
    </row>
    <row r="32" spans="1:9" ht="15" x14ac:dyDescent="0.2">
      <c r="A32" s="150">
        <v>43902</v>
      </c>
      <c r="B32" s="113" t="s">
        <v>16919</v>
      </c>
      <c r="C32" s="148" t="s">
        <v>16920</v>
      </c>
      <c r="D32" s="68"/>
      <c r="E32" s="25"/>
      <c r="F32" s="160">
        <v>15.3</v>
      </c>
      <c r="G32" s="3"/>
      <c r="I32" s="33"/>
    </row>
    <row r="33" spans="1:9" ht="15" x14ac:dyDescent="0.2">
      <c r="A33" s="150">
        <v>43902</v>
      </c>
      <c r="B33" s="113" t="s">
        <v>16917</v>
      </c>
      <c r="C33" s="148" t="s">
        <v>16918</v>
      </c>
      <c r="D33" s="68"/>
      <c r="E33" s="25"/>
      <c r="F33" s="160">
        <v>1</v>
      </c>
      <c r="G33" s="3"/>
      <c r="I33" s="33"/>
    </row>
    <row r="34" spans="1:9" ht="15" x14ac:dyDescent="0.2">
      <c r="A34" s="150">
        <v>43902</v>
      </c>
      <c r="B34" s="113" t="s">
        <v>16915</v>
      </c>
      <c r="C34" s="148" t="s">
        <v>16916</v>
      </c>
      <c r="D34" s="68"/>
      <c r="E34" s="25"/>
      <c r="F34" s="160">
        <v>30.16</v>
      </c>
      <c r="G34" s="3"/>
      <c r="I34" s="33"/>
    </row>
    <row r="35" spans="1:9" ht="19.5" x14ac:dyDescent="0.2">
      <c r="A35" s="150">
        <v>43902</v>
      </c>
      <c r="B35" s="113" t="s">
        <v>16913</v>
      </c>
      <c r="C35" s="148" t="s">
        <v>16914</v>
      </c>
      <c r="D35" s="68"/>
      <c r="E35" s="25"/>
      <c r="F35" s="160">
        <v>9.82</v>
      </c>
      <c r="G35" s="3"/>
      <c r="I35" s="33"/>
    </row>
    <row r="36" spans="1:9" ht="19.5" x14ac:dyDescent="0.2">
      <c r="A36" s="150">
        <v>43903</v>
      </c>
      <c r="B36" s="113" t="s">
        <v>16785</v>
      </c>
      <c r="C36" s="148" t="s">
        <v>16786</v>
      </c>
      <c r="D36" s="68"/>
      <c r="E36" s="25"/>
      <c r="F36" s="160">
        <v>47.67</v>
      </c>
      <c r="G36" s="3"/>
      <c r="I36" s="33"/>
    </row>
    <row r="37" spans="1:9" ht="15" x14ac:dyDescent="0.2">
      <c r="A37" s="150">
        <v>43903</v>
      </c>
      <c r="B37" s="113" t="s">
        <v>16783</v>
      </c>
      <c r="C37" s="148" t="s">
        <v>16784</v>
      </c>
      <c r="D37" s="68"/>
      <c r="E37" s="25"/>
      <c r="F37" s="160">
        <v>44.13</v>
      </c>
      <c r="G37" s="3"/>
      <c r="I37" s="33"/>
    </row>
    <row r="38" spans="1:9" ht="15" x14ac:dyDescent="0.2">
      <c r="A38" s="150">
        <v>43903</v>
      </c>
      <c r="B38" s="113" t="s">
        <v>16777</v>
      </c>
      <c r="C38" s="148" t="s">
        <v>16778</v>
      </c>
      <c r="D38" s="68"/>
      <c r="E38" s="25"/>
      <c r="F38" s="160">
        <v>15.3</v>
      </c>
      <c r="G38" s="3"/>
      <c r="I38" s="33"/>
    </row>
    <row r="39" spans="1:9" ht="15" x14ac:dyDescent="0.2">
      <c r="A39" s="150">
        <v>43903</v>
      </c>
      <c r="B39" s="113" t="s">
        <v>16775</v>
      </c>
      <c r="C39" s="148" t="s">
        <v>16776</v>
      </c>
      <c r="D39" s="68"/>
      <c r="E39" s="25"/>
      <c r="F39" s="160">
        <v>75.319999999999993</v>
      </c>
      <c r="G39" s="3"/>
      <c r="I39" s="33"/>
    </row>
    <row r="40" spans="1:9" ht="15" x14ac:dyDescent="0.2">
      <c r="A40" s="150">
        <v>44099</v>
      </c>
      <c r="B40" s="341" t="s">
        <v>24080</v>
      </c>
      <c r="C40" s="148" t="s">
        <v>24081</v>
      </c>
      <c r="D40" s="68"/>
      <c r="E40" s="25"/>
      <c r="F40" s="258">
        <v>6.56</v>
      </c>
      <c r="G40" s="3"/>
      <c r="I40" s="33"/>
    </row>
    <row r="41" spans="1:9" ht="15" x14ac:dyDescent="0.2">
      <c r="A41" s="150">
        <v>44099</v>
      </c>
      <c r="B41" s="341" t="s">
        <v>24078</v>
      </c>
      <c r="C41" s="148" t="s">
        <v>24079</v>
      </c>
      <c r="D41" s="68"/>
      <c r="E41" s="25"/>
      <c r="F41" s="258">
        <v>2.54</v>
      </c>
      <c r="G41" s="3"/>
      <c r="I41" s="33"/>
    </row>
    <row r="42" spans="1:9" ht="19.5" x14ac:dyDescent="0.2">
      <c r="A42" s="150">
        <v>44099</v>
      </c>
      <c r="B42" s="341" t="s">
        <v>24076</v>
      </c>
      <c r="C42" s="148" t="s">
        <v>24077</v>
      </c>
      <c r="D42" s="68"/>
      <c r="E42" s="25"/>
      <c r="F42" s="258">
        <v>10.68</v>
      </c>
      <c r="G42" s="3"/>
      <c r="I42" s="33"/>
    </row>
    <row r="43" spans="1:9" ht="15" x14ac:dyDescent="0.2">
      <c r="A43" s="150">
        <v>44099</v>
      </c>
      <c r="B43" s="341" t="s">
        <v>24074</v>
      </c>
      <c r="C43" s="148" t="s">
        <v>24075</v>
      </c>
      <c r="D43" s="68"/>
      <c r="E43" s="25"/>
      <c r="F43" s="258">
        <v>0.83</v>
      </c>
      <c r="G43" s="3"/>
      <c r="I43" s="33"/>
    </row>
    <row r="44" spans="1:9" ht="15" x14ac:dyDescent="0.2">
      <c r="A44" s="150">
        <v>44099</v>
      </c>
      <c r="B44" s="341" t="s">
        <v>24072</v>
      </c>
      <c r="C44" s="148" t="s">
        <v>24073</v>
      </c>
      <c r="D44" s="68"/>
      <c r="E44" s="25"/>
      <c r="F44" s="258">
        <v>6.11</v>
      </c>
      <c r="G44" s="3"/>
      <c r="I44" s="33"/>
    </row>
    <row r="45" spans="1:9" ht="15" x14ac:dyDescent="0.2">
      <c r="A45" s="150">
        <v>44099</v>
      </c>
      <c r="B45" s="341" t="s">
        <v>24070</v>
      </c>
      <c r="C45" s="148" t="s">
        <v>24071</v>
      </c>
      <c r="D45" s="68"/>
      <c r="E45" s="25"/>
      <c r="F45" s="258">
        <v>5.69</v>
      </c>
      <c r="G45" s="3"/>
      <c r="I45" s="33"/>
    </row>
    <row r="46" spans="1:9" ht="15" x14ac:dyDescent="0.2">
      <c r="A46" s="150">
        <v>44099</v>
      </c>
      <c r="B46" s="341" t="s">
        <v>24068</v>
      </c>
      <c r="C46" s="148" t="s">
        <v>24069</v>
      </c>
      <c r="D46" s="68"/>
      <c r="E46" s="25"/>
      <c r="F46" s="258">
        <v>5.33</v>
      </c>
      <c r="G46" s="3"/>
      <c r="I46" s="33"/>
    </row>
    <row r="47" spans="1:9" ht="19.5" x14ac:dyDescent="0.2">
      <c r="A47" s="150">
        <v>44099</v>
      </c>
      <c r="B47" s="341" t="s">
        <v>24066</v>
      </c>
      <c r="C47" s="148" t="s">
        <v>24067</v>
      </c>
      <c r="D47" s="68"/>
      <c r="E47" s="25"/>
      <c r="F47" s="258">
        <v>10.96</v>
      </c>
      <c r="G47" s="3"/>
      <c r="I47" s="33"/>
    </row>
    <row r="48" spans="1:9" ht="15" x14ac:dyDescent="0.2">
      <c r="A48" s="150">
        <v>44099</v>
      </c>
      <c r="B48" s="341" t="s">
        <v>24064</v>
      </c>
      <c r="C48" s="148" t="s">
        <v>24065</v>
      </c>
      <c r="D48" s="68"/>
      <c r="E48" s="25"/>
      <c r="F48" s="258">
        <v>5.84</v>
      </c>
      <c r="G48" s="3"/>
      <c r="I48" s="33"/>
    </row>
    <row r="49" spans="1:9" ht="19.5" x14ac:dyDescent="0.2">
      <c r="A49" s="150">
        <v>44099</v>
      </c>
      <c r="B49" s="341" t="s">
        <v>24062</v>
      </c>
      <c r="C49" s="148" t="s">
        <v>24063</v>
      </c>
      <c r="D49" s="68"/>
      <c r="E49" s="25"/>
      <c r="F49" s="258">
        <v>17.190000000000001</v>
      </c>
      <c r="G49" s="3"/>
      <c r="I49" s="33"/>
    </row>
    <row r="50" spans="1:9" ht="15" x14ac:dyDescent="0.2">
      <c r="A50" s="150">
        <v>44099</v>
      </c>
      <c r="B50" s="341" t="s">
        <v>24060</v>
      </c>
      <c r="C50" s="148" t="s">
        <v>24061</v>
      </c>
      <c r="D50" s="68"/>
      <c r="E50" s="25"/>
      <c r="F50" s="258">
        <v>3.97</v>
      </c>
      <c r="G50" s="3"/>
      <c r="I50" s="33"/>
    </row>
    <row r="51" spans="1:9" ht="19.5" x14ac:dyDescent="0.2">
      <c r="A51" s="150">
        <v>44099</v>
      </c>
      <c r="B51" s="341" t="s">
        <v>24058</v>
      </c>
      <c r="C51" s="148" t="s">
        <v>24059</v>
      </c>
      <c r="D51" s="68"/>
      <c r="E51" s="25"/>
      <c r="F51" s="258">
        <v>5.04</v>
      </c>
      <c r="G51" s="3"/>
      <c r="I51" s="33"/>
    </row>
    <row r="52" spans="1:9" ht="15" x14ac:dyDescent="0.2">
      <c r="A52" s="150">
        <v>44099</v>
      </c>
      <c r="B52" s="341" t="s">
        <v>24056</v>
      </c>
      <c r="C52" s="148" t="s">
        <v>24057</v>
      </c>
      <c r="D52" s="68"/>
      <c r="E52" s="25"/>
      <c r="F52" s="258">
        <v>3.58</v>
      </c>
      <c r="G52" s="3"/>
      <c r="I52" s="33"/>
    </row>
    <row r="53" spans="1:9" ht="15" x14ac:dyDescent="0.2">
      <c r="A53" s="150">
        <v>44099</v>
      </c>
      <c r="B53" s="341" t="s">
        <v>24054</v>
      </c>
      <c r="C53" s="148" t="s">
        <v>24055</v>
      </c>
      <c r="D53" s="68"/>
      <c r="E53" s="25"/>
      <c r="F53" s="258">
        <v>5.04</v>
      </c>
      <c r="G53" s="3"/>
      <c r="I53" s="33"/>
    </row>
    <row r="54" spans="1:9" ht="15" x14ac:dyDescent="0.2">
      <c r="A54" s="150">
        <v>44099</v>
      </c>
      <c r="B54" s="341" t="s">
        <v>24052</v>
      </c>
      <c r="C54" s="148" t="s">
        <v>24053</v>
      </c>
      <c r="D54" s="68"/>
      <c r="E54" s="25"/>
      <c r="F54" s="258">
        <v>3.52</v>
      </c>
      <c r="G54" s="3"/>
      <c r="I54" s="33"/>
    </row>
    <row r="55" spans="1:9" ht="15" x14ac:dyDescent="0.2">
      <c r="A55" s="150">
        <v>44099</v>
      </c>
      <c r="B55" s="341" t="s">
        <v>24050</v>
      </c>
      <c r="C55" s="148" t="s">
        <v>24051</v>
      </c>
      <c r="D55" s="68"/>
      <c r="E55" s="25"/>
      <c r="F55" s="258">
        <v>5.85</v>
      </c>
      <c r="G55" s="3"/>
      <c r="I55" s="33"/>
    </row>
    <row r="56" spans="1:9" ht="15" x14ac:dyDescent="0.2">
      <c r="A56" s="150">
        <v>44099</v>
      </c>
      <c r="B56" s="341" t="s">
        <v>24048</v>
      </c>
      <c r="C56" s="148" t="s">
        <v>24049</v>
      </c>
      <c r="D56" s="68"/>
      <c r="E56" s="25"/>
      <c r="F56" s="258">
        <v>3.8</v>
      </c>
      <c r="G56" s="3"/>
      <c r="I56" s="33"/>
    </row>
    <row r="57" spans="1:9" ht="19.5" x14ac:dyDescent="0.2">
      <c r="A57" s="150">
        <v>44099</v>
      </c>
      <c r="B57" s="341" t="s">
        <v>24046</v>
      </c>
      <c r="C57" s="148" t="s">
        <v>24047</v>
      </c>
      <c r="D57" s="68"/>
      <c r="E57" s="25"/>
      <c r="F57" s="258">
        <v>9.82</v>
      </c>
      <c r="G57" s="3"/>
      <c r="I57" s="33"/>
    </row>
    <row r="58" spans="1:9" ht="15" x14ac:dyDescent="0.2">
      <c r="A58" s="150">
        <v>44099</v>
      </c>
      <c r="B58" s="341" t="s">
        <v>24044</v>
      </c>
      <c r="C58" s="148" t="s">
        <v>24045</v>
      </c>
      <c r="D58" s="68"/>
      <c r="E58" s="25"/>
      <c r="F58" s="258">
        <v>9.64</v>
      </c>
      <c r="G58" s="3"/>
      <c r="I58" s="33"/>
    </row>
    <row r="59" spans="1:9" ht="15" x14ac:dyDescent="0.2">
      <c r="A59" s="150">
        <v>44099</v>
      </c>
      <c r="B59" s="341" t="s">
        <v>24042</v>
      </c>
      <c r="C59" s="148" t="s">
        <v>24043</v>
      </c>
      <c r="D59" s="68"/>
      <c r="E59" s="25"/>
      <c r="F59" s="258">
        <v>7.73</v>
      </c>
      <c r="G59" s="3"/>
      <c r="I59" s="33"/>
    </row>
    <row r="60" spans="1:9" ht="15" x14ac:dyDescent="0.2">
      <c r="A60" s="150">
        <v>44100</v>
      </c>
      <c r="B60" s="341" t="s">
        <v>24016</v>
      </c>
      <c r="C60" s="148" t="s">
        <v>24017</v>
      </c>
      <c r="D60" s="68"/>
      <c r="E60" s="25"/>
      <c r="F60" s="258">
        <v>1.93</v>
      </c>
      <c r="G60" s="3"/>
      <c r="I60" s="33"/>
    </row>
    <row r="61" spans="1:9" ht="15" x14ac:dyDescent="0.2">
      <c r="A61" s="150">
        <v>44100</v>
      </c>
      <c r="B61" s="341" t="s">
        <v>24014</v>
      </c>
      <c r="C61" s="148" t="s">
        <v>24015</v>
      </c>
      <c r="D61" s="68"/>
      <c r="E61" s="25"/>
      <c r="F61" s="258">
        <v>1.68</v>
      </c>
      <c r="G61" s="3"/>
      <c r="I61" s="33"/>
    </row>
    <row r="62" spans="1:9" ht="15" x14ac:dyDescent="0.2">
      <c r="A62" s="150">
        <v>44100</v>
      </c>
      <c r="B62" s="341" t="s">
        <v>24012</v>
      </c>
      <c r="C62" s="148" t="s">
        <v>24013</v>
      </c>
      <c r="D62" s="68"/>
      <c r="E62" s="25"/>
      <c r="F62" s="258">
        <v>8.3800000000000008</v>
      </c>
      <c r="G62" s="3"/>
      <c r="I62" s="33"/>
    </row>
    <row r="63" spans="1:9" ht="19.5" x14ac:dyDescent="0.2">
      <c r="A63" s="150">
        <v>44100</v>
      </c>
      <c r="B63" s="341" t="s">
        <v>24010</v>
      </c>
      <c r="C63" s="148" t="s">
        <v>24011</v>
      </c>
      <c r="D63" s="68"/>
      <c r="E63" s="25"/>
      <c r="F63" s="258">
        <v>14.42</v>
      </c>
      <c r="G63" s="3"/>
      <c r="I63" s="33"/>
    </row>
    <row r="64" spans="1:9" ht="15" x14ac:dyDescent="0.2">
      <c r="A64" s="150">
        <v>44100</v>
      </c>
      <c r="B64" s="341" t="s">
        <v>24008</v>
      </c>
      <c r="C64" s="148" t="s">
        <v>24009</v>
      </c>
      <c r="D64" s="68"/>
      <c r="E64" s="25"/>
      <c r="F64" s="258">
        <v>1.98</v>
      </c>
      <c r="G64" s="3"/>
      <c r="I64" s="33"/>
    </row>
    <row r="65" spans="1:9" ht="15" x14ac:dyDescent="0.2">
      <c r="A65" s="150">
        <v>44100</v>
      </c>
      <c r="B65" s="341" t="s">
        <v>24006</v>
      </c>
      <c r="C65" s="148" t="s">
        <v>24007</v>
      </c>
      <c r="D65" s="68"/>
      <c r="E65" s="25"/>
      <c r="F65" s="258">
        <v>5.34</v>
      </c>
      <c r="G65" s="3"/>
      <c r="I65" s="33"/>
    </row>
    <row r="66" spans="1:9" ht="19.5" x14ac:dyDescent="0.2">
      <c r="A66" s="150">
        <v>44100</v>
      </c>
      <c r="B66" s="341" t="s">
        <v>24004</v>
      </c>
      <c r="C66" s="148" t="s">
        <v>24005</v>
      </c>
      <c r="D66" s="68"/>
      <c r="E66" s="25"/>
      <c r="F66" s="258">
        <v>39.64</v>
      </c>
      <c r="G66" s="3"/>
      <c r="I66" s="33"/>
    </row>
    <row r="67" spans="1:9" ht="15" x14ac:dyDescent="0.2">
      <c r="A67" s="150">
        <v>44101</v>
      </c>
      <c r="B67" s="341" t="s">
        <v>24000</v>
      </c>
      <c r="C67" s="148" t="s">
        <v>24001</v>
      </c>
      <c r="D67" s="68"/>
      <c r="E67" s="25"/>
      <c r="F67" s="258">
        <v>1.98</v>
      </c>
      <c r="G67" s="3"/>
      <c r="I67" s="33"/>
    </row>
    <row r="68" spans="1:9" ht="15" x14ac:dyDescent="0.2">
      <c r="A68" s="150">
        <v>44101</v>
      </c>
      <c r="B68" s="341" t="s">
        <v>23998</v>
      </c>
      <c r="C68" s="148" t="s">
        <v>23999</v>
      </c>
      <c r="D68" s="68"/>
      <c r="E68" s="25"/>
      <c r="F68" s="258">
        <v>3.36</v>
      </c>
      <c r="G68" s="3"/>
      <c r="I68" s="33"/>
    </row>
    <row r="69" spans="1:9" ht="15" x14ac:dyDescent="0.2">
      <c r="A69" s="150">
        <v>44101</v>
      </c>
      <c r="B69" s="341" t="s">
        <v>23996</v>
      </c>
      <c r="C69" s="148" t="s">
        <v>23997</v>
      </c>
      <c r="D69" s="68"/>
      <c r="E69" s="25"/>
      <c r="F69" s="258">
        <v>8.82</v>
      </c>
      <c r="G69" s="3"/>
      <c r="I69" s="33"/>
    </row>
    <row r="70" spans="1:9" ht="15" x14ac:dyDescent="0.2">
      <c r="A70" s="150">
        <v>44102</v>
      </c>
      <c r="B70" s="341" t="s">
        <v>23984</v>
      </c>
      <c r="C70" s="148" t="s">
        <v>23985</v>
      </c>
      <c r="D70" s="68"/>
      <c r="E70" s="25"/>
      <c r="F70" s="258">
        <v>1.68</v>
      </c>
      <c r="G70" s="3"/>
      <c r="I70" s="33"/>
    </row>
    <row r="71" spans="1:9" ht="15" x14ac:dyDescent="0.2">
      <c r="A71" s="150">
        <v>44102</v>
      </c>
      <c r="B71" s="341" t="s">
        <v>23982</v>
      </c>
      <c r="C71" s="148" t="s">
        <v>23983</v>
      </c>
      <c r="D71" s="68"/>
      <c r="E71" s="25"/>
      <c r="F71" s="258">
        <v>3.74</v>
      </c>
      <c r="G71" s="3"/>
      <c r="I71" s="33"/>
    </row>
    <row r="72" spans="1:9" ht="15" x14ac:dyDescent="0.2">
      <c r="A72" s="150">
        <v>44102</v>
      </c>
      <c r="B72" s="341" t="s">
        <v>23980</v>
      </c>
      <c r="C72" s="148" t="s">
        <v>23981</v>
      </c>
      <c r="D72" s="68"/>
      <c r="E72" s="25"/>
      <c r="F72" s="258">
        <v>2.83</v>
      </c>
      <c r="G72" s="3"/>
      <c r="I72" s="33"/>
    </row>
    <row r="73" spans="1:9" ht="15" x14ac:dyDescent="0.2">
      <c r="A73" s="150">
        <v>44102</v>
      </c>
      <c r="B73" s="341" t="s">
        <v>23978</v>
      </c>
      <c r="C73" s="148" t="s">
        <v>23979</v>
      </c>
      <c r="D73" s="68"/>
      <c r="E73" s="25"/>
      <c r="F73" s="258">
        <v>7.9</v>
      </c>
      <c r="G73" s="3"/>
      <c r="I73" s="33"/>
    </row>
    <row r="74" spans="1:9" ht="19.5" x14ac:dyDescent="0.2">
      <c r="A74" s="150">
        <v>44102</v>
      </c>
      <c r="B74" s="341" t="s">
        <v>23976</v>
      </c>
      <c r="C74" s="148" t="s">
        <v>23977</v>
      </c>
      <c r="D74" s="68"/>
      <c r="E74" s="25"/>
      <c r="F74" s="258">
        <v>5.5</v>
      </c>
      <c r="G74" s="3"/>
      <c r="I74" s="33"/>
    </row>
    <row r="75" spans="1:9" ht="15" x14ac:dyDescent="0.2">
      <c r="A75" s="150">
        <v>44102</v>
      </c>
      <c r="B75" s="341" t="s">
        <v>23974</v>
      </c>
      <c r="C75" s="148" t="s">
        <v>23975</v>
      </c>
      <c r="D75" s="68"/>
      <c r="E75" s="25"/>
      <c r="F75" s="258">
        <v>3.36</v>
      </c>
      <c r="G75" s="3"/>
      <c r="I75" s="33"/>
    </row>
    <row r="76" spans="1:9" ht="15" x14ac:dyDescent="0.2">
      <c r="A76" s="150">
        <v>44102</v>
      </c>
      <c r="B76" s="341" t="s">
        <v>23972</v>
      </c>
      <c r="C76" s="148" t="s">
        <v>23973</v>
      </c>
      <c r="D76" s="68"/>
      <c r="E76" s="25"/>
      <c r="F76" s="258">
        <v>3.66</v>
      </c>
      <c r="G76" s="3"/>
      <c r="I76" s="33"/>
    </row>
    <row r="77" spans="1:9" ht="15" x14ac:dyDescent="0.2">
      <c r="A77" s="150">
        <v>44102</v>
      </c>
      <c r="B77" s="341" t="s">
        <v>23970</v>
      </c>
      <c r="C77" s="148" t="s">
        <v>23971</v>
      </c>
      <c r="D77" s="68"/>
      <c r="E77" s="25"/>
      <c r="F77" s="258">
        <v>4.8600000000000003</v>
      </c>
      <c r="G77" s="3"/>
      <c r="I77" s="33"/>
    </row>
    <row r="78" spans="1:9" ht="15" x14ac:dyDescent="0.2">
      <c r="A78" s="150">
        <v>44102</v>
      </c>
      <c r="B78" s="341" t="s">
        <v>23968</v>
      </c>
      <c r="C78" s="148" t="s">
        <v>23969</v>
      </c>
      <c r="D78" s="68"/>
      <c r="E78" s="25"/>
      <c r="F78" s="258">
        <v>1.96</v>
      </c>
      <c r="G78" s="3"/>
      <c r="I78" s="33"/>
    </row>
    <row r="79" spans="1:9" ht="15" x14ac:dyDescent="0.2">
      <c r="A79" s="150">
        <v>44102</v>
      </c>
      <c r="B79" s="341" t="s">
        <v>23966</v>
      </c>
      <c r="C79" s="148" t="s">
        <v>23967</v>
      </c>
      <c r="D79" s="68"/>
      <c r="E79" s="25"/>
      <c r="F79" s="258">
        <v>5.64</v>
      </c>
      <c r="G79" s="3"/>
      <c r="I79" s="33"/>
    </row>
    <row r="80" spans="1:9" ht="19.5" x14ac:dyDescent="0.2">
      <c r="A80" s="150">
        <v>44103</v>
      </c>
      <c r="B80" s="341" t="s">
        <v>23940</v>
      </c>
      <c r="C80" s="148" t="s">
        <v>23941</v>
      </c>
      <c r="D80" s="68"/>
      <c r="E80" s="25"/>
      <c r="F80" s="258">
        <v>1.68</v>
      </c>
      <c r="G80" s="3"/>
      <c r="I80" s="33"/>
    </row>
    <row r="81" spans="1:9" ht="15" x14ac:dyDescent="0.2">
      <c r="A81" s="150">
        <v>44103</v>
      </c>
      <c r="B81" s="341" t="s">
        <v>23936</v>
      </c>
      <c r="C81" s="148" t="s">
        <v>23937</v>
      </c>
      <c r="D81" s="68"/>
      <c r="E81" s="25"/>
      <c r="F81" s="258">
        <v>1.68</v>
      </c>
      <c r="G81" s="3"/>
      <c r="I81" s="33"/>
    </row>
    <row r="82" spans="1:9" ht="15" x14ac:dyDescent="0.2">
      <c r="A82" s="150">
        <v>44103</v>
      </c>
      <c r="B82" s="341" t="s">
        <v>23934</v>
      </c>
      <c r="C82" s="148" t="s">
        <v>23935</v>
      </c>
      <c r="D82" s="68"/>
      <c r="E82" s="25"/>
      <c r="F82" s="258">
        <v>9.19</v>
      </c>
      <c r="G82" s="3"/>
      <c r="I82" s="33"/>
    </row>
    <row r="83" spans="1:9" ht="15" x14ac:dyDescent="0.2">
      <c r="A83" s="150">
        <v>44103</v>
      </c>
      <c r="B83" s="341" t="s">
        <v>23932</v>
      </c>
      <c r="C83" s="148" t="s">
        <v>23933</v>
      </c>
      <c r="D83" s="68"/>
      <c r="E83" s="25"/>
      <c r="F83" s="258">
        <v>6.94</v>
      </c>
      <c r="G83" s="3"/>
      <c r="I83" s="33"/>
    </row>
    <row r="84" spans="1:9" ht="15" x14ac:dyDescent="0.2">
      <c r="A84" s="150">
        <v>44103</v>
      </c>
      <c r="B84" s="341" t="s">
        <v>23930</v>
      </c>
      <c r="C84" s="148" t="s">
        <v>23931</v>
      </c>
      <c r="D84" s="68"/>
      <c r="E84" s="25"/>
      <c r="F84" s="258">
        <v>16.760000000000002</v>
      </c>
      <c r="G84" s="3"/>
      <c r="I84" s="33"/>
    </row>
    <row r="85" spans="1:9" ht="15" x14ac:dyDescent="0.2">
      <c r="A85" s="150">
        <v>44103</v>
      </c>
      <c r="B85" s="341" t="s">
        <v>23928</v>
      </c>
      <c r="C85" s="148" t="s">
        <v>23929</v>
      </c>
      <c r="D85" s="68"/>
      <c r="E85" s="25"/>
      <c r="F85" s="258">
        <v>1.93</v>
      </c>
      <c r="G85" s="3"/>
      <c r="I85" s="33"/>
    </row>
    <row r="86" spans="1:9" ht="19.5" x14ac:dyDescent="0.2">
      <c r="A86" s="150">
        <v>44103</v>
      </c>
      <c r="B86" s="341" t="s">
        <v>23926</v>
      </c>
      <c r="C86" s="148" t="s">
        <v>23927</v>
      </c>
      <c r="D86" s="68"/>
      <c r="E86" s="25"/>
      <c r="F86" s="258">
        <v>20.059999999999999</v>
      </c>
      <c r="G86" s="3"/>
      <c r="I86" s="33"/>
    </row>
    <row r="87" spans="1:9" ht="19.5" x14ac:dyDescent="0.2">
      <c r="A87" s="150">
        <v>44103</v>
      </c>
      <c r="B87" s="341" t="s">
        <v>23924</v>
      </c>
      <c r="C87" s="148" t="s">
        <v>23925</v>
      </c>
      <c r="D87" s="68"/>
      <c r="E87" s="25"/>
      <c r="F87" s="258">
        <v>12.48</v>
      </c>
      <c r="G87" s="3"/>
      <c r="I87" s="33"/>
    </row>
    <row r="88" spans="1:9" ht="19.5" x14ac:dyDescent="0.2">
      <c r="A88" s="150">
        <v>44103</v>
      </c>
      <c r="B88" s="341" t="s">
        <v>23922</v>
      </c>
      <c r="C88" s="148" t="s">
        <v>23923</v>
      </c>
      <c r="D88" s="68"/>
      <c r="E88" s="25"/>
      <c r="F88" s="258">
        <v>10.67</v>
      </c>
      <c r="G88" s="3"/>
      <c r="I88" s="33"/>
    </row>
    <row r="89" spans="1:9" ht="15" x14ac:dyDescent="0.2">
      <c r="A89" s="150">
        <v>44103</v>
      </c>
      <c r="B89" s="341" t="s">
        <v>23920</v>
      </c>
      <c r="C89" s="148" t="s">
        <v>23921</v>
      </c>
      <c r="D89" s="68"/>
      <c r="E89" s="25"/>
      <c r="F89" s="258">
        <v>5</v>
      </c>
      <c r="G89" s="3"/>
      <c r="I89" s="33"/>
    </row>
    <row r="90" spans="1:9" ht="19.5" x14ac:dyDescent="0.2">
      <c r="A90" s="150">
        <v>44103</v>
      </c>
      <c r="B90" s="341" t="s">
        <v>23918</v>
      </c>
      <c r="C90" s="148" t="s">
        <v>23919</v>
      </c>
      <c r="D90" s="68"/>
      <c r="E90" s="25"/>
      <c r="F90" s="258">
        <v>25.14</v>
      </c>
      <c r="G90" s="3"/>
      <c r="I90" s="33"/>
    </row>
    <row r="91" spans="1:9" ht="15" x14ac:dyDescent="0.2">
      <c r="A91" s="150">
        <v>44103</v>
      </c>
      <c r="B91" s="341" t="s">
        <v>23916</v>
      </c>
      <c r="C91" s="148" t="s">
        <v>23917</v>
      </c>
      <c r="D91" s="68"/>
      <c r="E91" s="25"/>
      <c r="F91" s="258">
        <v>4.1900000000000004</v>
      </c>
      <c r="G91" s="3"/>
      <c r="I91" s="33"/>
    </row>
    <row r="92" spans="1:9" ht="15" x14ac:dyDescent="0.2">
      <c r="A92" s="150">
        <v>44103</v>
      </c>
      <c r="B92" s="341" t="s">
        <v>23914</v>
      </c>
      <c r="C92" s="148" t="s">
        <v>23915</v>
      </c>
      <c r="D92" s="68"/>
      <c r="E92" s="25"/>
      <c r="F92" s="258">
        <v>2.52</v>
      </c>
      <c r="G92" s="3"/>
      <c r="I92" s="33"/>
    </row>
    <row r="93" spans="1:9" ht="15" x14ac:dyDescent="0.2">
      <c r="A93" s="150">
        <v>44103</v>
      </c>
      <c r="B93" s="341" t="s">
        <v>23912</v>
      </c>
      <c r="C93" s="148" t="s">
        <v>23913</v>
      </c>
      <c r="D93" s="68"/>
      <c r="E93" s="25"/>
      <c r="F93" s="258">
        <v>3.15</v>
      </c>
      <c r="G93" s="3"/>
      <c r="I93" s="33"/>
    </row>
    <row r="94" spans="1:9" ht="15" x14ac:dyDescent="0.2">
      <c r="A94" s="150">
        <v>44103</v>
      </c>
      <c r="B94" s="341" t="s">
        <v>23910</v>
      </c>
      <c r="C94" s="148" t="s">
        <v>23911</v>
      </c>
      <c r="D94" s="68"/>
      <c r="E94" s="25"/>
      <c r="F94" s="258">
        <v>7.32</v>
      </c>
      <c r="G94" s="3"/>
      <c r="I94" s="33"/>
    </row>
    <row r="95" spans="1:9" ht="15" x14ac:dyDescent="0.2">
      <c r="A95" s="150">
        <v>44104</v>
      </c>
      <c r="B95" s="341" t="s">
        <v>23886</v>
      </c>
      <c r="C95" s="148" t="s">
        <v>23887</v>
      </c>
      <c r="D95" s="68"/>
      <c r="E95" s="25"/>
      <c r="F95" s="258">
        <v>7.94</v>
      </c>
      <c r="G95" s="3"/>
      <c r="I95" s="33"/>
    </row>
    <row r="96" spans="1:9" ht="15" x14ac:dyDescent="0.2">
      <c r="A96" s="150">
        <v>44104</v>
      </c>
      <c r="B96" s="341" t="s">
        <v>23884</v>
      </c>
      <c r="C96" s="148" t="s">
        <v>23885</v>
      </c>
      <c r="D96" s="68"/>
      <c r="E96" s="25"/>
      <c r="F96" s="258">
        <v>2.5099999999999998</v>
      </c>
      <c r="G96" s="3"/>
      <c r="I96" s="33"/>
    </row>
    <row r="97" spans="1:9" ht="15" x14ac:dyDescent="0.2">
      <c r="A97" s="150">
        <v>44104</v>
      </c>
      <c r="B97" s="341" t="s">
        <v>23882</v>
      </c>
      <c r="C97" s="148" t="s">
        <v>23883</v>
      </c>
      <c r="D97" s="68"/>
      <c r="E97" s="25"/>
      <c r="F97" s="258">
        <v>6.59</v>
      </c>
      <c r="G97" s="3"/>
      <c r="I97" s="33"/>
    </row>
    <row r="98" spans="1:9" ht="15" x14ac:dyDescent="0.2">
      <c r="A98" s="150">
        <v>44104</v>
      </c>
      <c r="B98" s="341" t="s">
        <v>23880</v>
      </c>
      <c r="C98" s="148" t="s">
        <v>23881</v>
      </c>
      <c r="D98" s="68"/>
      <c r="E98" s="25"/>
      <c r="F98" s="258">
        <v>1.68</v>
      </c>
      <c r="G98" s="3"/>
      <c r="I98" s="33"/>
    </row>
    <row r="99" spans="1:9" ht="19.5" x14ac:dyDescent="0.2">
      <c r="A99" s="150">
        <v>44104</v>
      </c>
      <c r="B99" s="341" t="s">
        <v>23878</v>
      </c>
      <c r="C99" s="148" t="s">
        <v>23879</v>
      </c>
      <c r="D99" s="68"/>
      <c r="E99" s="25"/>
      <c r="F99" s="258">
        <v>5.87</v>
      </c>
      <c r="G99" s="3"/>
      <c r="I99" s="33"/>
    </row>
    <row r="100" spans="1:9" ht="15" x14ac:dyDescent="0.2">
      <c r="A100" s="150">
        <v>44104</v>
      </c>
      <c r="B100" s="341" t="s">
        <v>23876</v>
      </c>
      <c r="C100" s="148" t="s">
        <v>23877</v>
      </c>
      <c r="D100" s="68"/>
      <c r="E100" s="25"/>
      <c r="F100" s="258">
        <v>2.46</v>
      </c>
      <c r="G100" s="3"/>
      <c r="I100" s="33"/>
    </row>
    <row r="101" spans="1:9" ht="15" x14ac:dyDescent="0.2">
      <c r="A101" s="150">
        <v>44104</v>
      </c>
      <c r="B101" s="341" t="s">
        <v>23874</v>
      </c>
      <c r="C101" s="148" t="s">
        <v>23875</v>
      </c>
      <c r="D101" s="68"/>
      <c r="E101" s="25"/>
      <c r="F101" s="258">
        <v>1.95</v>
      </c>
      <c r="G101" s="3"/>
      <c r="I101" s="33"/>
    </row>
    <row r="102" spans="1:9" ht="15" x14ac:dyDescent="0.2">
      <c r="A102" s="150">
        <v>44104</v>
      </c>
      <c r="B102" s="341" t="s">
        <v>23872</v>
      </c>
      <c r="C102" s="148" t="s">
        <v>23873</v>
      </c>
      <c r="D102" s="68"/>
      <c r="E102" s="25"/>
      <c r="F102" s="258">
        <v>3.36</v>
      </c>
      <c r="G102" s="3"/>
      <c r="I102" s="33"/>
    </row>
    <row r="103" spans="1:9" ht="15" x14ac:dyDescent="0.2">
      <c r="A103" s="150">
        <v>44104</v>
      </c>
      <c r="B103" s="341" t="s">
        <v>23870</v>
      </c>
      <c r="C103" s="148" t="s">
        <v>23871</v>
      </c>
      <c r="D103" s="68"/>
      <c r="E103" s="25"/>
      <c r="F103" s="258">
        <v>1.68</v>
      </c>
      <c r="G103" s="3"/>
      <c r="I103" s="33"/>
    </row>
    <row r="104" spans="1:9" ht="15" x14ac:dyDescent="0.2">
      <c r="A104" s="150">
        <v>44104</v>
      </c>
      <c r="B104" s="341" t="s">
        <v>23868</v>
      </c>
      <c r="C104" s="148" t="s">
        <v>23869</v>
      </c>
      <c r="D104" s="68"/>
      <c r="E104" s="25"/>
      <c r="F104" s="258">
        <v>5.16</v>
      </c>
      <c r="G104" s="3"/>
      <c r="I104" s="33"/>
    </row>
    <row r="105" spans="1:9" ht="15" x14ac:dyDescent="0.2">
      <c r="A105" s="150">
        <v>44104</v>
      </c>
      <c r="B105" s="341" t="s">
        <v>23866</v>
      </c>
      <c r="C105" s="148" t="s">
        <v>23867</v>
      </c>
      <c r="D105" s="68"/>
      <c r="E105" s="25"/>
      <c r="F105" s="258">
        <v>7.22</v>
      </c>
      <c r="G105" s="3"/>
      <c r="I105" s="33"/>
    </row>
    <row r="106" spans="1:9" ht="15" x14ac:dyDescent="0.2">
      <c r="A106" s="150">
        <v>44104</v>
      </c>
      <c r="B106" s="341" t="s">
        <v>23864</v>
      </c>
      <c r="C106" s="148" t="s">
        <v>23865</v>
      </c>
      <c r="D106" s="68"/>
      <c r="E106" s="25"/>
      <c r="F106" s="258">
        <v>13.32</v>
      </c>
      <c r="G106" s="3"/>
      <c r="I106" s="33"/>
    </row>
    <row r="107" spans="1:9" ht="15" x14ac:dyDescent="0.2">
      <c r="A107" s="150">
        <v>44104</v>
      </c>
      <c r="B107" s="341" t="s">
        <v>23862</v>
      </c>
      <c r="C107" s="148" t="s">
        <v>23863</v>
      </c>
      <c r="D107" s="68"/>
      <c r="E107" s="25"/>
      <c r="F107" s="258">
        <v>10.43</v>
      </c>
      <c r="G107" s="3"/>
      <c r="I107" s="33"/>
    </row>
    <row r="108" spans="1:9" ht="15" x14ac:dyDescent="0.2">
      <c r="A108" s="150">
        <v>44104</v>
      </c>
      <c r="B108" s="341" t="s">
        <v>23860</v>
      </c>
      <c r="C108" s="148" t="s">
        <v>23861</v>
      </c>
      <c r="D108" s="68"/>
      <c r="E108" s="25"/>
      <c r="F108" s="258">
        <v>8.56</v>
      </c>
      <c r="G108" s="3"/>
      <c r="I108" s="33"/>
    </row>
    <row r="109" spans="1:9" ht="19.5" x14ac:dyDescent="0.2">
      <c r="A109" s="150">
        <v>44104</v>
      </c>
      <c r="B109" s="341" t="s">
        <v>23858</v>
      </c>
      <c r="C109" s="148" t="s">
        <v>23859</v>
      </c>
      <c r="D109" s="68"/>
      <c r="E109" s="25"/>
      <c r="F109" s="258">
        <v>13.6</v>
      </c>
      <c r="G109" s="3"/>
      <c r="I109" s="33"/>
    </row>
    <row r="110" spans="1:9" ht="15" x14ac:dyDescent="0.2">
      <c r="A110" s="150">
        <v>44104</v>
      </c>
      <c r="B110" s="341" t="s">
        <v>23856</v>
      </c>
      <c r="C110" s="148" t="s">
        <v>23857</v>
      </c>
      <c r="D110" s="68"/>
      <c r="E110" s="25"/>
      <c r="F110" s="258">
        <v>8.3800000000000008</v>
      </c>
      <c r="G110" s="3"/>
      <c r="I110" s="33"/>
    </row>
    <row r="111" spans="1:9" ht="19.5" x14ac:dyDescent="0.2">
      <c r="A111" s="150">
        <v>44104</v>
      </c>
      <c r="B111" s="341" t="s">
        <v>23854</v>
      </c>
      <c r="C111" s="148" t="s">
        <v>23855</v>
      </c>
      <c r="D111" s="68"/>
      <c r="E111" s="25"/>
      <c r="F111" s="258">
        <v>39.86</v>
      </c>
      <c r="G111" s="3"/>
      <c r="I111" s="33"/>
    </row>
    <row r="112" spans="1:9" ht="19.5" x14ac:dyDescent="0.2">
      <c r="A112" s="150">
        <v>44104</v>
      </c>
      <c r="B112" s="341" t="s">
        <v>23852</v>
      </c>
      <c r="C112" s="148" t="s">
        <v>23853</v>
      </c>
      <c r="D112" s="68"/>
      <c r="E112" s="25"/>
      <c r="F112" s="258">
        <v>33.520000000000003</v>
      </c>
      <c r="G112" s="3"/>
      <c r="I112" s="33"/>
    </row>
    <row r="113" spans="1:12" ht="19.5" x14ac:dyDescent="0.2">
      <c r="A113" s="150">
        <v>44104</v>
      </c>
      <c r="B113" s="341" t="s">
        <v>23850</v>
      </c>
      <c r="C113" s="148" t="s">
        <v>23851</v>
      </c>
      <c r="D113" s="68"/>
      <c r="E113" s="25"/>
      <c r="F113" s="258">
        <v>14.37</v>
      </c>
      <c r="G113" s="3"/>
      <c r="I113" s="33"/>
    </row>
    <row r="114" spans="1:12" ht="19.5" x14ac:dyDescent="0.2">
      <c r="A114" s="150">
        <v>44104</v>
      </c>
      <c r="B114" s="341" t="s">
        <v>23848</v>
      </c>
      <c r="C114" s="148" t="s">
        <v>23849</v>
      </c>
      <c r="D114" s="68"/>
      <c r="E114" s="25"/>
      <c r="F114" s="258">
        <v>6.98</v>
      </c>
      <c r="G114" s="3"/>
      <c r="I114" s="33"/>
    </row>
    <row r="115" spans="1:12" ht="15" x14ac:dyDescent="0.2">
      <c r="A115" s="150">
        <v>44104</v>
      </c>
      <c r="B115" s="341" t="s">
        <v>23846</v>
      </c>
      <c r="C115" s="148" t="s">
        <v>23847</v>
      </c>
      <c r="D115" s="68"/>
      <c r="E115" s="25"/>
      <c r="F115" s="258">
        <v>6.45</v>
      </c>
      <c r="G115" s="3"/>
      <c r="I115" s="33"/>
    </row>
    <row r="116" spans="1:12" ht="12.75" x14ac:dyDescent="0.2">
      <c r="A116" s="37"/>
      <c r="B116" s="91"/>
      <c r="C116" s="39"/>
      <c r="D116" s="16"/>
      <c r="E116" s="16"/>
      <c r="F116" s="92"/>
      <c r="G116" s="3"/>
      <c r="H116" s="301">
        <f>SUM(F30:F116)</f>
        <v>851.38000000000011</v>
      </c>
    </row>
    <row r="117" spans="1:12" x14ac:dyDescent="0.2">
      <c r="A117" s="3"/>
      <c r="B117" s="2"/>
      <c r="C117" s="3"/>
      <c r="D117" s="3"/>
      <c r="E117" s="3"/>
      <c r="F117" s="5"/>
      <c r="G117" s="3"/>
      <c r="H117" s="5"/>
    </row>
    <row r="118" spans="1:12" s="99" customFormat="1" ht="20.25" customHeight="1" thickBot="1" x14ac:dyDescent="0.3">
      <c r="A118" s="93"/>
      <c r="B118" s="94" t="s">
        <v>23820</v>
      </c>
      <c r="C118" s="95"/>
      <c r="D118" s="93"/>
      <c r="E118" s="93"/>
      <c r="F118" s="96"/>
      <c r="G118" s="97" t="s">
        <v>4</v>
      </c>
      <c r="H118" s="302">
        <f>+H9-H16-H21+H26+H116</f>
        <v>112600.89</v>
      </c>
      <c r="I118" s="303"/>
      <c r="J118" s="303"/>
    </row>
    <row r="119" spans="1:12" ht="13.5" thickTop="1" x14ac:dyDescent="0.2">
      <c r="A119" s="3"/>
      <c r="B119" s="2"/>
      <c r="C119" s="3"/>
      <c r="D119" s="3"/>
      <c r="E119" s="3"/>
      <c r="F119" s="5"/>
      <c r="G119" s="3"/>
      <c r="H119" s="304"/>
      <c r="I119" s="305"/>
      <c r="J119" s="306">
        <f>+'BP SEP-20'!I608</f>
        <v>114421.93</v>
      </c>
    </row>
    <row r="120" spans="1:12" ht="12.75" x14ac:dyDescent="0.2">
      <c r="A120" s="3"/>
      <c r="B120" s="2"/>
      <c r="C120" s="3"/>
      <c r="D120" s="3"/>
      <c r="E120" s="3"/>
      <c r="F120" s="5"/>
      <c r="G120" s="3"/>
      <c r="H120" s="305"/>
      <c r="I120" s="305"/>
      <c r="J120" s="304"/>
    </row>
    <row r="121" spans="1:12" ht="12.75" x14ac:dyDescent="0.2">
      <c r="A121" s="3"/>
      <c r="B121" s="2"/>
      <c r="C121" s="3"/>
      <c r="D121" s="3"/>
      <c r="E121" s="3"/>
      <c r="G121" s="3"/>
      <c r="H121" s="305"/>
      <c r="I121" s="305"/>
      <c r="J121" s="304"/>
    </row>
    <row r="122" spans="1:12" ht="23.25" customHeight="1" thickBot="1" x14ac:dyDescent="0.25">
      <c r="A122" s="3"/>
      <c r="C122" s="100"/>
      <c r="D122" s="101"/>
      <c r="E122" s="3"/>
      <c r="F122" s="102"/>
      <c r="G122" s="3"/>
      <c r="H122" s="304"/>
      <c r="I122" s="305"/>
      <c r="J122" s="302">
        <f>+H118-J119</f>
        <v>-1821.0399999999936</v>
      </c>
      <c r="L122" s="57"/>
    </row>
    <row r="123" spans="1:12" ht="26.25" customHeight="1" thickTop="1" x14ac:dyDescent="0.2">
      <c r="A123" s="3"/>
      <c r="C123" s="378" t="s">
        <v>314</v>
      </c>
      <c r="D123" s="378"/>
      <c r="E123" s="3"/>
      <c r="F123" s="378" t="s">
        <v>315</v>
      </c>
      <c r="G123" s="378"/>
      <c r="H123" s="304"/>
      <c r="I123" s="305"/>
      <c r="J123" s="305"/>
    </row>
    <row r="124" spans="1:12" ht="23.25" customHeight="1" thickBot="1" x14ac:dyDescent="0.25">
      <c r="H124" s="305"/>
      <c r="I124" s="305"/>
      <c r="J124" s="302">
        <f>+H118-J122</f>
        <v>114421.93</v>
      </c>
    </row>
    <row r="125" spans="1:12" ht="13.5" thickTop="1" x14ac:dyDescent="0.2">
      <c r="H125" s="305"/>
      <c r="I125" s="305"/>
      <c r="J125" s="305"/>
      <c r="L125" s="57"/>
    </row>
    <row r="127" spans="1:12" x14ac:dyDescent="0.2">
      <c r="L127" s="57"/>
    </row>
    <row r="128" spans="1:12" x14ac:dyDescent="0.2">
      <c r="A128" s="6"/>
      <c r="B128" s="6"/>
      <c r="C128" s="6"/>
      <c r="D128" s="6"/>
      <c r="E128" s="6"/>
      <c r="G128" s="6"/>
      <c r="J128" s="57"/>
    </row>
  </sheetData>
  <mergeCells count="2">
    <mergeCell ref="C123:D123"/>
    <mergeCell ref="F123:G123"/>
  </mergeCells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B150-FA73-45DE-A0AB-89DDA3C2103D}">
  <sheetPr>
    <pageSetUpPr fitToPage="1"/>
  </sheetPr>
  <dimension ref="A2:I648"/>
  <sheetViews>
    <sheetView topLeftCell="A16" workbookViewId="0">
      <pane xSplit="5" ySplit="2" topLeftCell="F451" activePane="bottomRight" state="frozen"/>
      <selection activeCell="A16" sqref="A16"/>
      <selection pane="topRight" activeCell="F16" sqref="F16"/>
      <selection pane="bottomLeft" activeCell="A18" sqref="A18"/>
      <selection pane="bottomRight" activeCell="D377" sqref="D377"/>
    </sheetView>
  </sheetViews>
  <sheetFormatPr baseColWidth="10" defaultColWidth="11.5703125" defaultRowHeight="15.75" x14ac:dyDescent="0.2"/>
  <cols>
    <col min="1" max="1" width="11.5703125" style="103"/>
    <col min="2" max="4" width="11.5703125" style="323"/>
    <col min="5" max="5" width="59.28515625" style="111" customWidth="1"/>
    <col min="6" max="6" width="7.28515625" style="257" customWidth="1"/>
    <col min="7" max="7" width="12.42578125" style="103" bestFit="1" customWidth="1"/>
    <col min="8" max="9" width="15.28515625" style="103" bestFit="1" customWidth="1"/>
    <col min="10" max="16384" width="11.5703125" style="103"/>
  </cols>
  <sheetData>
    <row r="2" spans="1:9" ht="19.5" x14ac:dyDescent="0.2">
      <c r="E2" s="110" t="s">
        <v>2771</v>
      </c>
      <c r="H2" s="104" t="s">
        <v>2770</v>
      </c>
      <c r="I2" s="312">
        <v>1</v>
      </c>
    </row>
    <row r="3" spans="1:9" x14ac:dyDescent="0.2">
      <c r="H3" s="104" t="s">
        <v>2769</v>
      </c>
      <c r="I3" s="311">
        <v>44172</v>
      </c>
    </row>
    <row r="5" spans="1:9" x14ac:dyDescent="0.2">
      <c r="A5" s="112" t="s">
        <v>2768</v>
      </c>
      <c r="B5" s="146" t="s">
        <v>26194</v>
      </c>
      <c r="C5" s="146" t="s">
        <v>2767</v>
      </c>
      <c r="D5" s="146" t="s">
        <v>26194</v>
      </c>
      <c r="E5" s="103"/>
      <c r="H5" s="309">
        <v>0.38630787037037034</v>
      </c>
    </row>
    <row r="7" spans="1:9" x14ac:dyDescent="0.2">
      <c r="H7" s="104" t="s">
        <v>2765</v>
      </c>
      <c r="I7" s="106" t="s">
        <v>2764</v>
      </c>
    </row>
    <row r="8" spans="1:9" x14ac:dyDescent="0.2">
      <c r="B8" s="147"/>
      <c r="C8" s="147" t="s">
        <v>2763</v>
      </c>
      <c r="D8" s="322" t="s">
        <v>2762</v>
      </c>
      <c r="G8" s="308" t="s">
        <v>2760</v>
      </c>
      <c r="H8" s="307" t="s">
        <v>2759</v>
      </c>
    </row>
    <row r="9" spans="1:9" x14ac:dyDescent="0.2">
      <c r="G9" s="308" t="s">
        <v>2761</v>
      </c>
      <c r="H9" s="307" t="s">
        <v>2759</v>
      </c>
    </row>
    <row r="11" spans="1:9" x14ac:dyDescent="0.2">
      <c r="A11" s="108" t="s">
        <v>2758</v>
      </c>
      <c r="B11" s="109"/>
      <c r="C11" s="109" t="s">
        <v>2757</v>
      </c>
      <c r="D11" s="109" t="s">
        <v>2756</v>
      </c>
      <c r="E11" s="109" t="s">
        <v>2755</v>
      </c>
      <c r="G11" s="104" t="s">
        <v>322</v>
      </c>
      <c r="H11" s="104" t="s">
        <v>321</v>
      </c>
      <c r="I11" s="104" t="s">
        <v>2754</v>
      </c>
    </row>
    <row r="14" spans="1:9" x14ac:dyDescent="0.2">
      <c r="A14" s="108" t="s">
        <v>2753</v>
      </c>
      <c r="B14" s="108" t="s">
        <v>2752</v>
      </c>
    </row>
    <row r="15" spans="1:9" x14ac:dyDescent="0.2">
      <c r="B15" s="108"/>
    </row>
    <row r="16" spans="1:9" x14ac:dyDescent="0.2">
      <c r="A16" s="107" t="s">
        <v>2751</v>
      </c>
      <c r="B16" s="108" t="s">
        <v>2750</v>
      </c>
      <c r="H16" s="104" t="s">
        <v>323</v>
      </c>
      <c r="I16" s="160">
        <v>114421.93</v>
      </c>
    </row>
    <row r="17" spans="2:9" x14ac:dyDescent="0.2">
      <c r="I17" s="344"/>
    </row>
    <row r="18" spans="2:9" x14ac:dyDescent="0.25">
      <c r="B18" s="148"/>
      <c r="C18" s="148" t="s">
        <v>26193</v>
      </c>
      <c r="D18" s="150">
        <v>44105</v>
      </c>
      <c r="E18" s="113" t="s">
        <v>26192</v>
      </c>
      <c r="F18" s="257" t="s">
        <v>14408</v>
      </c>
      <c r="G18" s="258">
        <v>5.35</v>
      </c>
      <c r="H18" s="152"/>
      <c r="I18" s="160">
        <f>+I16+G18-H18</f>
        <v>114427.28</v>
      </c>
    </row>
    <row r="19" spans="2:9" x14ac:dyDescent="0.25">
      <c r="B19" s="148"/>
      <c r="C19" s="148" t="s">
        <v>26191</v>
      </c>
      <c r="D19" s="150">
        <v>44105</v>
      </c>
      <c r="E19" s="113" t="s">
        <v>26190</v>
      </c>
      <c r="F19" s="257" t="s">
        <v>14408</v>
      </c>
      <c r="G19" s="258">
        <v>8.5399999999999991</v>
      </c>
      <c r="H19" s="152"/>
      <c r="I19" s="160">
        <f>+I18+G19-H19</f>
        <v>114435.81999999999</v>
      </c>
    </row>
    <row r="20" spans="2:9" x14ac:dyDescent="0.25">
      <c r="B20" s="148"/>
      <c r="C20" s="148" t="s">
        <v>26189</v>
      </c>
      <c r="D20" s="150">
        <v>44105</v>
      </c>
      <c r="E20" s="113" t="s">
        <v>26188</v>
      </c>
      <c r="F20" s="257" t="s">
        <v>14408</v>
      </c>
      <c r="G20" s="258">
        <v>3.18</v>
      </c>
      <c r="H20" s="152"/>
      <c r="I20" s="160">
        <f t="shared" ref="I20:I83" si="0">+I19+G20-H20</f>
        <v>114438.99999999999</v>
      </c>
    </row>
    <row r="21" spans="2:9" x14ac:dyDescent="0.25">
      <c r="B21" s="148"/>
      <c r="C21" s="148" t="s">
        <v>26187</v>
      </c>
      <c r="D21" s="150">
        <v>44105</v>
      </c>
      <c r="E21" s="113" t="s">
        <v>26186</v>
      </c>
      <c r="F21" s="257" t="s">
        <v>14408</v>
      </c>
      <c r="G21" s="258">
        <v>2.62</v>
      </c>
      <c r="H21" s="152"/>
      <c r="I21" s="160">
        <f t="shared" si="0"/>
        <v>114441.61999999998</v>
      </c>
    </row>
    <row r="22" spans="2:9" x14ac:dyDescent="0.25">
      <c r="B22" s="148"/>
      <c r="C22" s="148" t="s">
        <v>26185</v>
      </c>
      <c r="D22" s="150">
        <v>44105</v>
      </c>
      <c r="E22" s="113" t="s">
        <v>26184</v>
      </c>
      <c r="F22" s="257" t="s">
        <v>14408</v>
      </c>
      <c r="G22" s="258">
        <v>10.84</v>
      </c>
      <c r="H22" s="152"/>
      <c r="I22" s="160">
        <f t="shared" si="0"/>
        <v>114452.45999999998</v>
      </c>
    </row>
    <row r="23" spans="2:9" ht="19.5" x14ac:dyDescent="0.25">
      <c r="B23" s="148"/>
      <c r="C23" s="148" t="s">
        <v>26183</v>
      </c>
      <c r="D23" s="150">
        <v>44105</v>
      </c>
      <c r="E23" s="113" t="s">
        <v>26182</v>
      </c>
      <c r="F23" s="257" t="s">
        <v>14408</v>
      </c>
      <c r="G23" s="258">
        <v>22.39</v>
      </c>
      <c r="H23" s="152"/>
      <c r="I23" s="160">
        <f t="shared" si="0"/>
        <v>114474.84999999998</v>
      </c>
    </row>
    <row r="24" spans="2:9" x14ac:dyDescent="0.25">
      <c r="B24" s="148"/>
      <c r="C24" s="148" t="s">
        <v>26181</v>
      </c>
      <c r="D24" s="150">
        <v>44105</v>
      </c>
      <c r="E24" s="113" t="s">
        <v>26180</v>
      </c>
      <c r="F24" s="257" t="s">
        <v>14408</v>
      </c>
      <c r="G24" s="258">
        <v>1.7</v>
      </c>
      <c r="H24" s="152"/>
      <c r="I24" s="160">
        <f t="shared" si="0"/>
        <v>114476.54999999997</v>
      </c>
    </row>
    <row r="25" spans="2:9" x14ac:dyDescent="0.25">
      <c r="B25" s="148"/>
      <c r="C25" s="148" t="s">
        <v>26179</v>
      </c>
      <c r="D25" s="150">
        <v>44105</v>
      </c>
      <c r="E25" s="113" t="s">
        <v>26178</v>
      </c>
      <c r="F25" s="257" t="s">
        <v>14408</v>
      </c>
      <c r="G25" s="258">
        <v>1.68</v>
      </c>
      <c r="H25" s="152"/>
      <c r="I25" s="160">
        <f t="shared" si="0"/>
        <v>114478.22999999997</v>
      </c>
    </row>
    <row r="26" spans="2:9" x14ac:dyDescent="0.25">
      <c r="B26" s="148"/>
      <c r="C26" s="148" t="s">
        <v>26177</v>
      </c>
      <c r="D26" s="150">
        <v>44105</v>
      </c>
      <c r="E26" s="113" t="s">
        <v>26176</v>
      </c>
      <c r="F26" s="257" t="s">
        <v>14408</v>
      </c>
      <c r="G26" s="258">
        <v>4.4800000000000004</v>
      </c>
      <c r="H26" s="152"/>
      <c r="I26" s="160">
        <f t="shared" si="0"/>
        <v>114482.70999999996</v>
      </c>
    </row>
    <row r="27" spans="2:9" x14ac:dyDescent="0.25">
      <c r="B27" s="148"/>
      <c r="C27" s="148" t="s">
        <v>26175</v>
      </c>
      <c r="D27" s="150">
        <v>44105</v>
      </c>
      <c r="E27" s="113" t="s">
        <v>26174</v>
      </c>
      <c r="F27" s="257" t="s">
        <v>14408</v>
      </c>
      <c r="G27" s="258">
        <v>1.81</v>
      </c>
      <c r="H27" s="152"/>
      <c r="I27" s="160">
        <f t="shared" si="0"/>
        <v>114484.51999999996</v>
      </c>
    </row>
    <row r="28" spans="2:9" x14ac:dyDescent="0.25">
      <c r="B28" s="148"/>
      <c r="C28" s="148" t="s">
        <v>26173</v>
      </c>
      <c r="D28" s="150">
        <v>44105</v>
      </c>
      <c r="E28" s="113" t="s">
        <v>26172</v>
      </c>
      <c r="F28" s="257" t="s">
        <v>14408</v>
      </c>
      <c r="G28" s="258">
        <v>2.12</v>
      </c>
      <c r="H28" s="152"/>
      <c r="I28" s="160">
        <f t="shared" si="0"/>
        <v>114486.63999999996</v>
      </c>
    </row>
    <row r="29" spans="2:9" x14ac:dyDescent="0.25">
      <c r="B29" s="148"/>
      <c r="C29" s="148" t="s">
        <v>26171</v>
      </c>
      <c r="D29" s="150">
        <v>44105</v>
      </c>
      <c r="E29" s="113" t="s">
        <v>26170</v>
      </c>
      <c r="F29" s="257" t="s">
        <v>14408</v>
      </c>
      <c r="G29" s="258">
        <v>7.6</v>
      </c>
      <c r="H29" s="152"/>
      <c r="I29" s="160">
        <f t="shared" si="0"/>
        <v>114494.23999999996</v>
      </c>
    </row>
    <row r="30" spans="2:9" ht="19.5" x14ac:dyDescent="0.25">
      <c r="B30" s="148"/>
      <c r="C30" s="148" t="s">
        <v>26169</v>
      </c>
      <c r="D30" s="150">
        <v>44105</v>
      </c>
      <c r="E30" s="113" t="s">
        <v>26168</v>
      </c>
      <c r="F30" s="257" t="s">
        <v>14408</v>
      </c>
      <c r="G30" s="258">
        <v>3.36</v>
      </c>
      <c r="H30" s="152"/>
      <c r="I30" s="160">
        <f t="shared" si="0"/>
        <v>114497.59999999996</v>
      </c>
    </row>
    <row r="31" spans="2:9" x14ac:dyDescent="0.25">
      <c r="B31" s="148"/>
      <c r="C31" s="148" t="s">
        <v>26167</v>
      </c>
      <c r="D31" s="150">
        <v>44105</v>
      </c>
      <c r="E31" s="113" t="s">
        <v>26166</v>
      </c>
      <c r="F31" s="257" t="s">
        <v>14408</v>
      </c>
      <c r="G31" s="258">
        <v>3.61</v>
      </c>
      <c r="H31" s="152"/>
      <c r="I31" s="160">
        <f t="shared" si="0"/>
        <v>114501.20999999996</v>
      </c>
    </row>
    <row r="32" spans="2:9" x14ac:dyDescent="0.25">
      <c r="B32" s="148"/>
      <c r="C32" s="148" t="s">
        <v>26165</v>
      </c>
      <c r="D32" s="150">
        <v>44105</v>
      </c>
      <c r="E32" s="113" t="s">
        <v>26164</v>
      </c>
      <c r="F32" s="257" t="s">
        <v>14408</v>
      </c>
      <c r="G32" s="258">
        <v>4.21</v>
      </c>
      <c r="H32" s="152"/>
      <c r="I32" s="160">
        <f t="shared" si="0"/>
        <v>114505.41999999997</v>
      </c>
    </row>
    <row r="33" spans="2:9" x14ac:dyDescent="0.25">
      <c r="B33" s="148"/>
      <c r="C33" s="148" t="s">
        <v>26163</v>
      </c>
      <c r="D33" s="150">
        <v>44105</v>
      </c>
      <c r="E33" s="113" t="s">
        <v>26162</v>
      </c>
      <c r="F33" s="257" t="s">
        <v>14408</v>
      </c>
      <c r="G33" s="258">
        <v>8.3800000000000008</v>
      </c>
      <c r="H33" s="152"/>
      <c r="I33" s="160">
        <f t="shared" si="0"/>
        <v>114513.79999999997</v>
      </c>
    </row>
    <row r="34" spans="2:9" x14ac:dyDescent="0.25">
      <c r="B34" s="148"/>
      <c r="C34" s="148" t="s">
        <v>26161</v>
      </c>
      <c r="D34" s="150">
        <v>44105</v>
      </c>
      <c r="E34" s="113" t="s">
        <v>26160</v>
      </c>
      <c r="F34" s="257" t="s">
        <v>14408</v>
      </c>
      <c r="G34" s="258">
        <v>3.36</v>
      </c>
      <c r="H34" s="152"/>
      <c r="I34" s="160">
        <f t="shared" si="0"/>
        <v>114517.15999999997</v>
      </c>
    </row>
    <row r="35" spans="2:9" ht="19.5" x14ac:dyDescent="0.25">
      <c r="B35" s="148"/>
      <c r="C35" s="148" t="s">
        <v>26159</v>
      </c>
      <c r="D35" s="150">
        <v>44105</v>
      </c>
      <c r="E35" s="113" t="s">
        <v>26158</v>
      </c>
      <c r="F35" s="257" t="s">
        <v>14408</v>
      </c>
      <c r="G35" s="258">
        <v>29.23</v>
      </c>
      <c r="H35" s="152"/>
      <c r="I35" s="160">
        <f t="shared" si="0"/>
        <v>114546.38999999997</v>
      </c>
    </row>
    <row r="36" spans="2:9" x14ac:dyDescent="0.25">
      <c r="B36" s="148"/>
      <c r="C36" s="148" t="s">
        <v>26157</v>
      </c>
      <c r="D36" s="150">
        <v>44105</v>
      </c>
      <c r="E36" s="113" t="s">
        <v>26156</v>
      </c>
      <c r="F36" s="257" t="s">
        <v>14408</v>
      </c>
      <c r="G36" s="258">
        <v>1.68</v>
      </c>
      <c r="H36" s="152"/>
      <c r="I36" s="160">
        <f t="shared" si="0"/>
        <v>114548.06999999996</v>
      </c>
    </row>
    <row r="37" spans="2:9" x14ac:dyDescent="0.25">
      <c r="B37" s="148"/>
      <c r="C37" s="148" t="s">
        <v>26155</v>
      </c>
      <c r="D37" s="150">
        <v>44105</v>
      </c>
      <c r="E37" s="113" t="s">
        <v>26154</v>
      </c>
      <c r="F37" s="257">
        <v>1</v>
      </c>
      <c r="G37" s="255">
        <v>2.4500000000000002</v>
      </c>
      <c r="H37" s="152"/>
      <c r="I37" s="160">
        <f t="shared" si="0"/>
        <v>114550.51999999996</v>
      </c>
    </row>
    <row r="38" spans="2:9" x14ac:dyDescent="0.25">
      <c r="B38" s="148"/>
      <c r="C38" s="148" t="s">
        <v>26153</v>
      </c>
      <c r="D38" s="150">
        <v>44105</v>
      </c>
      <c r="E38" s="113" t="s">
        <v>26152</v>
      </c>
      <c r="F38" s="257">
        <v>1</v>
      </c>
      <c r="G38" s="255">
        <v>6.94</v>
      </c>
      <c r="H38" s="152"/>
      <c r="I38" s="160">
        <f t="shared" si="0"/>
        <v>114557.45999999996</v>
      </c>
    </row>
    <row r="39" spans="2:9" x14ac:dyDescent="0.25">
      <c r="B39" s="148"/>
      <c r="C39" s="148" t="s">
        <v>26151</v>
      </c>
      <c r="D39" s="150">
        <v>44105</v>
      </c>
      <c r="E39" s="113" t="s">
        <v>26150</v>
      </c>
      <c r="F39" s="257">
        <v>1</v>
      </c>
      <c r="G39" s="255">
        <v>8.8000000000000007</v>
      </c>
      <c r="H39" s="152"/>
      <c r="I39" s="160">
        <f t="shared" si="0"/>
        <v>114566.25999999997</v>
      </c>
    </row>
    <row r="40" spans="2:9" x14ac:dyDescent="0.25">
      <c r="B40" s="148"/>
      <c r="C40" s="148" t="s">
        <v>26149</v>
      </c>
      <c r="D40" s="150">
        <v>44105</v>
      </c>
      <c r="E40" s="113" t="s">
        <v>26148</v>
      </c>
      <c r="F40" s="257">
        <v>1</v>
      </c>
      <c r="G40" s="255">
        <v>1.78</v>
      </c>
      <c r="H40" s="152"/>
      <c r="I40" s="160">
        <f t="shared" si="0"/>
        <v>114568.03999999996</v>
      </c>
    </row>
    <row r="41" spans="2:9" ht="19.5" x14ac:dyDescent="0.25">
      <c r="B41" s="148"/>
      <c r="C41" s="148" t="s">
        <v>26147</v>
      </c>
      <c r="D41" s="150">
        <v>44105</v>
      </c>
      <c r="E41" s="113" t="s">
        <v>26146</v>
      </c>
      <c r="F41" s="257" t="s">
        <v>14436</v>
      </c>
      <c r="G41" s="160">
        <v>131.78</v>
      </c>
      <c r="H41" s="152"/>
      <c r="I41" s="160">
        <f t="shared" si="0"/>
        <v>114699.81999999996</v>
      </c>
    </row>
    <row r="42" spans="2:9" x14ac:dyDescent="0.25">
      <c r="B42" s="148"/>
      <c r="C42" s="148" t="s">
        <v>26145</v>
      </c>
      <c r="D42" s="150">
        <v>44105</v>
      </c>
      <c r="E42" s="113" t="s">
        <v>26144</v>
      </c>
      <c r="G42" s="160">
        <v>1.68</v>
      </c>
      <c r="H42" s="152"/>
      <c r="I42" s="160">
        <f t="shared" si="0"/>
        <v>114701.49999999996</v>
      </c>
    </row>
    <row r="43" spans="2:9" ht="19.5" x14ac:dyDescent="0.25">
      <c r="B43" s="148"/>
      <c r="C43" s="148" t="s">
        <v>26143</v>
      </c>
      <c r="D43" s="150">
        <v>44106</v>
      </c>
      <c r="E43" s="113" t="s">
        <v>26142</v>
      </c>
      <c r="F43" s="257" t="s">
        <v>14408</v>
      </c>
      <c r="G43" s="258">
        <v>2.5099999999999998</v>
      </c>
      <c r="H43" s="152"/>
      <c r="I43" s="160">
        <f t="shared" si="0"/>
        <v>114704.00999999995</v>
      </c>
    </row>
    <row r="44" spans="2:9" x14ac:dyDescent="0.25">
      <c r="B44" s="148"/>
      <c r="C44" s="148" t="s">
        <v>26141</v>
      </c>
      <c r="D44" s="150">
        <v>44106</v>
      </c>
      <c r="E44" s="113" t="s">
        <v>26140</v>
      </c>
      <c r="F44" s="257">
        <v>2</v>
      </c>
      <c r="G44" s="255">
        <v>1.99</v>
      </c>
      <c r="H44" s="152"/>
      <c r="I44" s="160">
        <f t="shared" si="0"/>
        <v>114705.99999999996</v>
      </c>
    </row>
    <row r="45" spans="2:9" x14ac:dyDescent="0.25">
      <c r="B45" s="148"/>
      <c r="C45" s="148" t="s">
        <v>26139</v>
      </c>
      <c r="D45" s="150">
        <v>44106</v>
      </c>
      <c r="E45" s="113" t="s">
        <v>26138</v>
      </c>
      <c r="F45" s="257">
        <v>2</v>
      </c>
      <c r="G45" s="255">
        <v>1.9</v>
      </c>
      <c r="H45" s="152"/>
      <c r="I45" s="160">
        <f t="shared" si="0"/>
        <v>114707.89999999995</v>
      </c>
    </row>
    <row r="46" spans="2:9" x14ac:dyDescent="0.25">
      <c r="B46" s="148"/>
      <c r="C46" s="148" t="s">
        <v>26137</v>
      </c>
      <c r="D46" s="150">
        <v>44106</v>
      </c>
      <c r="E46" s="113" t="s">
        <v>26136</v>
      </c>
      <c r="F46" s="257">
        <v>2</v>
      </c>
      <c r="G46" s="255">
        <v>9.15</v>
      </c>
      <c r="H46" s="152"/>
      <c r="I46" s="160">
        <f t="shared" si="0"/>
        <v>114717.04999999994</v>
      </c>
    </row>
    <row r="47" spans="2:9" x14ac:dyDescent="0.25">
      <c r="B47" s="148"/>
      <c r="C47" s="148" t="s">
        <v>26135</v>
      </c>
      <c r="D47" s="150">
        <v>44106</v>
      </c>
      <c r="E47" s="113" t="s">
        <v>26134</v>
      </c>
      <c r="F47" s="257">
        <v>2</v>
      </c>
      <c r="G47" s="255">
        <v>1.77</v>
      </c>
      <c r="H47" s="152"/>
      <c r="I47" s="160">
        <f t="shared" si="0"/>
        <v>114718.81999999995</v>
      </c>
    </row>
    <row r="48" spans="2:9" x14ac:dyDescent="0.25">
      <c r="B48" s="148"/>
      <c r="C48" s="148" t="s">
        <v>26133</v>
      </c>
      <c r="D48" s="150">
        <v>44106</v>
      </c>
      <c r="E48" s="113" t="s">
        <v>26132</v>
      </c>
      <c r="F48" s="257">
        <v>2</v>
      </c>
      <c r="G48" s="255">
        <v>3.36</v>
      </c>
      <c r="H48" s="152"/>
      <c r="I48" s="160">
        <f t="shared" si="0"/>
        <v>114722.17999999995</v>
      </c>
    </row>
    <row r="49" spans="2:9" x14ac:dyDescent="0.25">
      <c r="B49" s="148"/>
      <c r="C49" s="148" t="s">
        <v>26131</v>
      </c>
      <c r="D49" s="150">
        <v>44106</v>
      </c>
      <c r="E49" s="113" t="s">
        <v>26130</v>
      </c>
      <c r="F49" s="257">
        <v>2</v>
      </c>
      <c r="G49" s="255">
        <v>8.3800000000000008</v>
      </c>
      <c r="H49" s="152"/>
      <c r="I49" s="160">
        <f t="shared" si="0"/>
        <v>114730.55999999995</v>
      </c>
    </row>
    <row r="50" spans="2:9" x14ac:dyDescent="0.25">
      <c r="B50" s="148"/>
      <c r="C50" s="148" t="s">
        <v>26129</v>
      </c>
      <c r="D50" s="150">
        <v>44106</v>
      </c>
      <c r="E50" s="113" t="s">
        <v>26128</v>
      </c>
      <c r="F50" s="257">
        <v>2</v>
      </c>
      <c r="G50" s="255">
        <v>4.1900000000000004</v>
      </c>
      <c r="H50" s="152"/>
      <c r="I50" s="160">
        <f t="shared" si="0"/>
        <v>114734.74999999996</v>
      </c>
    </row>
    <row r="51" spans="2:9" x14ac:dyDescent="0.25">
      <c r="B51" s="148"/>
      <c r="C51" s="148" t="s">
        <v>26127</v>
      </c>
      <c r="D51" s="150">
        <v>44106</v>
      </c>
      <c r="E51" s="113" t="s">
        <v>26126</v>
      </c>
      <c r="F51" s="257">
        <v>2</v>
      </c>
      <c r="G51" s="255">
        <v>4.1900000000000004</v>
      </c>
      <c r="H51" s="152"/>
      <c r="I51" s="160">
        <f t="shared" si="0"/>
        <v>114738.93999999996</v>
      </c>
    </row>
    <row r="52" spans="2:9" x14ac:dyDescent="0.25">
      <c r="B52" s="148"/>
      <c r="C52" s="148" t="s">
        <v>26125</v>
      </c>
      <c r="D52" s="150">
        <v>44106</v>
      </c>
      <c r="E52" s="113" t="s">
        <v>26124</v>
      </c>
      <c r="F52" s="257">
        <v>2</v>
      </c>
      <c r="G52" s="255">
        <v>7.82</v>
      </c>
      <c r="H52" s="152"/>
      <c r="I52" s="160">
        <f t="shared" si="0"/>
        <v>114746.75999999997</v>
      </c>
    </row>
    <row r="53" spans="2:9" x14ac:dyDescent="0.25">
      <c r="B53" s="148"/>
      <c r="C53" s="148" t="s">
        <v>26123</v>
      </c>
      <c r="D53" s="150">
        <v>44106</v>
      </c>
      <c r="E53" s="113" t="s">
        <v>26122</v>
      </c>
      <c r="F53" s="257">
        <v>2</v>
      </c>
      <c r="G53" s="255">
        <v>12.3</v>
      </c>
      <c r="H53" s="152"/>
      <c r="I53" s="160">
        <f t="shared" si="0"/>
        <v>114759.05999999997</v>
      </c>
    </row>
    <row r="54" spans="2:9" x14ac:dyDescent="0.25">
      <c r="B54" s="148"/>
      <c r="C54" s="148" t="s">
        <v>26121</v>
      </c>
      <c r="D54" s="150">
        <v>44106</v>
      </c>
      <c r="E54" s="113" t="s">
        <v>26120</v>
      </c>
      <c r="F54" s="257">
        <v>2</v>
      </c>
      <c r="G54" s="255">
        <v>12.14</v>
      </c>
      <c r="H54" s="152"/>
      <c r="I54" s="160">
        <f t="shared" si="0"/>
        <v>114771.19999999997</v>
      </c>
    </row>
    <row r="55" spans="2:9" x14ac:dyDescent="0.25">
      <c r="B55" s="148"/>
      <c r="C55" s="148" t="s">
        <v>26119</v>
      </c>
      <c r="D55" s="150">
        <v>44106</v>
      </c>
      <c r="E55" s="113" t="s">
        <v>26118</v>
      </c>
      <c r="F55" s="257">
        <v>2</v>
      </c>
      <c r="G55" s="255">
        <v>4.1900000000000004</v>
      </c>
      <c r="H55" s="152"/>
      <c r="I55" s="160">
        <f t="shared" si="0"/>
        <v>114775.38999999997</v>
      </c>
    </row>
    <row r="56" spans="2:9" x14ac:dyDescent="0.25">
      <c r="B56" s="148"/>
      <c r="C56" s="148" t="s">
        <v>26117</v>
      </c>
      <c r="D56" s="150">
        <v>44106</v>
      </c>
      <c r="E56" s="113" t="s">
        <v>26116</v>
      </c>
      <c r="F56" s="257">
        <v>2</v>
      </c>
      <c r="G56" s="255">
        <v>7.82</v>
      </c>
      <c r="H56" s="152"/>
      <c r="I56" s="160">
        <f t="shared" si="0"/>
        <v>114783.20999999998</v>
      </c>
    </row>
    <row r="57" spans="2:9" x14ac:dyDescent="0.25">
      <c r="B57" s="148"/>
      <c r="C57" s="148" t="s">
        <v>26115</v>
      </c>
      <c r="D57" s="150">
        <v>44106</v>
      </c>
      <c r="E57" s="113" t="s">
        <v>26114</v>
      </c>
      <c r="F57" s="257">
        <v>2</v>
      </c>
      <c r="G57" s="255">
        <v>1.68</v>
      </c>
      <c r="H57" s="152"/>
      <c r="I57" s="160">
        <f t="shared" si="0"/>
        <v>114784.88999999997</v>
      </c>
    </row>
    <row r="58" spans="2:9" x14ac:dyDescent="0.25">
      <c r="B58" s="148"/>
      <c r="C58" s="148" t="s">
        <v>26113</v>
      </c>
      <c r="D58" s="150">
        <v>44106</v>
      </c>
      <c r="E58" s="113" t="s">
        <v>26112</v>
      </c>
      <c r="F58" s="257">
        <v>2</v>
      </c>
      <c r="G58" s="255">
        <v>1.68</v>
      </c>
      <c r="H58" s="152"/>
      <c r="I58" s="160">
        <f t="shared" si="0"/>
        <v>114786.56999999996</v>
      </c>
    </row>
    <row r="59" spans="2:9" x14ac:dyDescent="0.25">
      <c r="B59" s="148"/>
      <c r="C59" s="148" t="s">
        <v>26111</v>
      </c>
      <c r="D59" s="150">
        <v>44106</v>
      </c>
      <c r="E59" s="113" t="s">
        <v>26110</v>
      </c>
      <c r="F59" s="257">
        <v>2</v>
      </c>
      <c r="G59" s="255">
        <v>1.87</v>
      </c>
      <c r="H59" s="152"/>
      <c r="I59" s="160">
        <f t="shared" si="0"/>
        <v>114788.43999999996</v>
      </c>
    </row>
    <row r="60" spans="2:9" x14ac:dyDescent="0.25">
      <c r="B60" s="148"/>
      <c r="C60" s="148" t="s">
        <v>26109</v>
      </c>
      <c r="D60" s="150">
        <v>44106</v>
      </c>
      <c r="E60" s="113" t="s">
        <v>26108</v>
      </c>
      <c r="F60" s="257">
        <v>2</v>
      </c>
      <c r="G60" s="255">
        <v>17.899999999999999</v>
      </c>
      <c r="H60" s="152"/>
      <c r="I60" s="160">
        <f t="shared" si="0"/>
        <v>114806.33999999995</v>
      </c>
    </row>
    <row r="61" spans="2:9" x14ac:dyDescent="0.25">
      <c r="B61" s="148"/>
      <c r="C61" s="148" t="s">
        <v>26107</v>
      </c>
      <c r="D61" s="150">
        <v>44106</v>
      </c>
      <c r="E61" s="113" t="s">
        <v>26106</v>
      </c>
      <c r="F61" s="257">
        <v>2</v>
      </c>
      <c r="G61" s="255">
        <v>8.4</v>
      </c>
      <c r="H61" s="152"/>
      <c r="I61" s="160">
        <f t="shared" si="0"/>
        <v>114814.73999999995</v>
      </c>
    </row>
    <row r="62" spans="2:9" x14ac:dyDescent="0.25">
      <c r="B62" s="148"/>
      <c r="C62" s="148" t="s">
        <v>26105</v>
      </c>
      <c r="D62" s="150">
        <v>44106</v>
      </c>
      <c r="E62" s="113" t="s">
        <v>26104</v>
      </c>
      <c r="F62" s="257">
        <v>2</v>
      </c>
      <c r="G62" s="255">
        <v>8.3800000000000008</v>
      </c>
      <c r="H62" s="152"/>
      <c r="I62" s="160">
        <f t="shared" si="0"/>
        <v>114823.11999999995</v>
      </c>
    </row>
    <row r="63" spans="2:9" x14ac:dyDescent="0.25">
      <c r="B63" s="148"/>
      <c r="C63" s="148" t="s">
        <v>26103</v>
      </c>
      <c r="D63" s="150">
        <v>44106</v>
      </c>
      <c r="E63" s="113" t="s">
        <v>26102</v>
      </c>
      <c r="F63" s="257">
        <v>2</v>
      </c>
      <c r="G63" s="255">
        <v>6.94</v>
      </c>
      <c r="H63" s="152"/>
      <c r="I63" s="160">
        <f t="shared" si="0"/>
        <v>114830.05999999995</v>
      </c>
    </row>
    <row r="64" spans="2:9" x14ac:dyDescent="0.25">
      <c r="B64" s="148"/>
      <c r="C64" s="148" t="s">
        <v>26101</v>
      </c>
      <c r="D64" s="150">
        <v>44106</v>
      </c>
      <c r="E64" s="113" t="s">
        <v>26100</v>
      </c>
      <c r="F64" s="257">
        <v>2</v>
      </c>
      <c r="G64" s="255">
        <v>1.96</v>
      </c>
      <c r="H64" s="152"/>
      <c r="I64" s="160">
        <f t="shared" si="0"/>
        <v>114832.01999999996</v>
      </c>
    </row>
    <row r="65" spans="2:9" x14ac:dyDescent="0.25">
      <c r="B65" s="148"/>
      <c r="C65" s="148" t="s">
        <v>26099</v>
      </c>
      <c r="D65" s="150">
        <v>44106</v>
      </c>
      <c r="E65" s="113" t="s">
        <v>26098</v>
      </c>
      <c r="F65" s="257">
        <v>2</v>
      </c>
      <c r="G65" s="255">
        <v>3.38</v>
      </c>
      <c r="H65" s="152"/>
      <c r="I65" s="160">
        <f t="shared" si="0"/>
        <v>114835.39999999997</v>
      </c>
    </row>
    <row r="66" spans="2:9" x14ac:dyDescent="0.25">
      <c r="B66" s="148"/>
      <c r="C66" s="148" t="s">
        <v>26097</v>
      </c>
      <c r="D66" s="150">
        <v>44106</v>
      </c>
      <c r="E66" s="113" t="s">
        <v>26096</v>
      </c>
      <c r="F66" s="257">
        <v>2</v>
      </c>
      <c r="G66" s="255">
        <v>1.68</v>
      </c>
      <c r="H66" s="152"/>
      <c r="I66" s="160">
        <f t="shared" si="0"/>
        <v>114837.07999999996</v>
      </c>
    </row>
    <row r="67" spans="2:9" x14ac:dyDescent="0.25">
      <c r="B67" s="148"/>
      <c r="C67" s="148" t="s">
        <v>26095</v>
      </c>
      <c r="D67" s="150">
        <v>44106</v>
      </c>
      <c r="E67" s="113" t="s">
        <v>26094</v>
      </c>
      <c r="F67" s="257">
        <v>2</v>
      </c>
      <c r="G67" s="255">
        <v>7.02</v>
      </c>
      <c r="H67" s="152"/>
      <c r="I67" s="160">
        <f t="shared" si="0"/>
        <v>114844.09999999996</v>
      </c>
    </row>
    <row r="68" spans="2:9" x14ac:dyDescent="0.25">
      <c r="B68" s="148"/>
      <c r="C68" s="148" t="s">
        <v>26093</v>
      </c>
      <c r="D68" s="150">
        <v>44106</v>
      </c>
      <c r="E68" s="113" t="s">
        <v>26092</v>
      </c>
      <c r="F68" s="257">
        <v>2</v>
      </c>
      <c r="G68" s="255">
        <v>4.32</v>
      </c>
      <c r="H68" s="152"/>
      <c r="I68" s="160">
        <f t="shared" si="0"/>
        <v>114848.41999999997</v>
      </c>
    </row>
    <row r="69" spans="2:9" x14ac:dyDescent="0.25">
      <c r="B69" s="148"/>
      <c r="C69" s="148" t="s">
        <v>26091</v>
      </c>
      <c r="D69" s="150">
        <v>44106</v>
      </c>
      <c r="E69" s="113" t="s">
        <v>26090</v>
      </c>
      <c r="F69" s="257">
        <v>2</v>
      </c>
      <c r="G69" s="255">
        <v>2.31</v>
      </c>
      <c r="H69" s="152"/>
      <c r="I69" s="160">
        <f t="shared" si="0"/>
        <v>114850.72999999997</v>
      </c>
    </row>
    <row r="70" spans="2:9" x14ac:dyDescent="0.25">
      <c r="B70" s="148"/>
      <c r="C70" s="148" t="s">
        <v>26089</v>
      </c>
      <c r="D70" s="150">
        <v>44106</v>
      </c>
      <c r="E70" s="113" t="s">
        <v>26088</v>
      </c>
      <c r="F70" s="257">
        <v>2</v>
      </c>
      <c r="G70" s="255">
        <v>15.3</v>
      </c>
      <c r="H70" s="152"/>
      <c r="I70" s="160">
        <f t="shared" si="0"/>
        <v>114866.02999999997</v>
      </c>
    </row>
    <row r="71" spans="2:9" x14ac:dyDescent="0.25">
      <c r="B71" s="148"/>
      <c r="C71" s="148" t="s">
        <v>26087</v>
      </c>
      <c r="D71" s="150">
        <v>44106</v>
      </c>
      <c r="E71" s="113" t="s">
        <v>26086</v>
      </c>
      <c r="F71" s="257">
        <v>2</v>
      </c>
      <c r="G71" s="255">
        <v>2.2799999999999998</v>
      </c>
      <c r="H71" s="152"/>
      <c r="I71" s="160">
        <f t="shared" si="0"/>
        <v>114868.30999999997</v>
      </c>
    </row>
    <row r="72" spans="2:9" x14ac:dyDescent="0.25">
      <c r="B72" s="148"/>
      <c r="C72" s="148" t="s">
        <v>26085</v>
      </c>
      <c r="D72" s="150">
        <v>44106</v>
      </c>
      <c r="E72" s="113" t="s">
        <v>26084</v>
      </c>
      <c r="F72" s="257">
        <v>2</v>
      </c>
      <c r="G72" s="255">
        <v>26.84</v>
      </c>
      <c r="H72" s="152"/>
      <c r="I72" s="160">
        <f t="shared" si="0"/>
        <v>114895.14999999997</v>
      </c>
    </row>
    <row r="73" spans="2:9" x14ac:dyDescent="0.25">
      <c r="B73" s="148"/>
      <c r="C73" s="148" t="s">
        <v>26083</v>
      </c>
      <c r="D73" s="150">
        <v>44106</v>
      </c>
      <c r="E73" s="113" t="s">
        <v>26082</v>
      </c>
      <c r="F73" s="257">
        <v>2</v>
      </c>
      <c r="G73" s="255">
        <v>1.68</v>
      </c>
      <c r="H73" s="152"/>
      <c r="I73" s="160">
        <f t="shared" si="0"/>
        <v>114896.82999999996</v>
      </c>
    </row>
    <row r="74" spans="2:9" x14ac:dyDescent="0.25">
      <c r="B74" s="148"/>
      <c r="C74" s="148" t="s">
        <v>26081</v>
      </c>
      <c r="D74" s="150">
        <v>44106</v>
      </c>
      <c r="E74" s="113" t="s">
        <v>26080</v>
      </c>
      <c r="F74" s="257">
        <v>2</v>
      </c>
      <c r="G74" s="255">
        <v>15.3</v>
      </c>
      <c r="H74" s="152"/>
      <c r="I74" s="160">
        <f t="shared" si="0"/>
        <v>114912.12999999996</v>
      </c>
    </row>
    <row r="75" spans="2:9" x14ac:dyDescent="0.25">
      <c r="B75" s="148"/>
      <c r="C75" s="148" t="s">
        <v>26079</v>
      </c>
      <c r="D75" s="150">
        <v>44106</v>
      </c>
      <c r="E75" s="113" t="s">
        <v>26078</v>
      </c>
      <c r="F75" s="257">
        <v>2</v>
      </c>
      <c r="G75" s="255">
        <v>30.6</v>
      </c>
      <c r="H75" s="152"/>
      <c r="I75" s="160">
        <f t="shared" si="0"/>
        <v>114942.72999999997</v>
      </c>
    </row>
    <row r="76" spans="2:9" x14ac:dyDescent="0.25">
      <c r="B76" s="148"/>
      <c r="C76" s="148" t="s">
        <v>26077</v>
      </c>
      <c r="D76" s="150">
        <v>44106</v>
      </c>
      <c r="E76" s="113" t="s">
        <v>26076</v>
      </c>
      <c r="F76" s="257">
        <v>2</v>
      </c>
      <c r="G76" s="255">
        <v>8.3800000000000008</v>
      </c>
      <c r="H76" s="152"/>
      <c r="I76" s="160">
        <f t="shared" si="0"/>
        <v>114951.10999999997</v>
      </c>
    </row>
    <row r="77" spans="2:9" x14ac:dyDescent="0.25">
      <c r="B77" s="148"/>
      <c r="C77" s="148" t="s">
        <v>26075</v>
      </c>
      <c r="D77" s="150">
        <v>44106</v>
      </c>
      <c r="E77" s="113" t="s">
        <v>26074</v>
      </c>
      <c r="F77" s="257">
        <v>2</v>
      </c>
      <c r="G77" s="255">
        <v>8.3800000000000008</v>
      </c>
      <c r="H77" s="152"/>
      <c r="I77" s="160">
        <f t="shared" si="0"/>
        <v>114959.48999999998</v>
      </c>
    </row>
    <row r="78" spans="2:9" x14ac:dyDescent="0.25">
      <c r="B78" s="148"/>
      <c r="C78" s="148" t="s">
        <v>26073</v>
      </c>
      <c r="D78" s="150">
        <v>44106</v>
      </c>
      <c r="E78" s="113" t="s">
        <v>26072</v>
      </c>
      <c r="F78" s="257">
        <v>2</v>
      </c>
      <c r="G78" s="255">
        <v>8.3800000000000008</v>
      </c>
      <c r="H78" s="152"/>
      <c r="I78" s="160">
        <f t="shared" si="0"/>
        <v>114967.86999999998</v>
      </c>
    </row>
    <row r="79" spans="2:9" x14ac:dyDescent="0.25">
      <c r="B79" s="148"/>
      <c r="C79" s="148" t="s">
        <v>26071</v>
      </c>
      <c r="D79" s="150">
        <v>44106</v>
      </c>
      <c r="E79" s="113" t="s">
        <v>26070</v>
      </c>
      <c r="F79" s="257">
        <v>2</v>
      </c>
      <c r="G79" s="255">
        <v>1.68</v>
      </c>
      <c r="H79" s="152"/>
      <c r="I79" s="160">
        <f t="shared" si="0"/>
        <v>114969.54999999997</v>
      </c>
    </row>
    <row r="80" spans="2:9" x14ac:dyDescent="0.25">
      <c r="B80" s="148"/>
      <c r="C80" s="148" t="s">
        <v>26069</v>
      </c>
      <c r="D80" s="150">
        <v>44106</v>
      </c>
      <c r="E80" s="113" t="s">
        <v>26068</v>
      </c>
      <c r="F80" s="257">
        <v>2</v>
      </c>
      <c r="G80" s="255">
        <v>2.2999999999999998</v>
      </c>
      <c r="H80" s="152"/>
      <c r="I80" s="160">
        <f t="shared" si="0"/>
        <v>114971.84999999998</v>
      </c>
    </row>
    <row r="81" spans="2:9" x14ac:dyDescent="0.25">
      <c r="B81" s="148"/>
      <c r="C81" s="148" t="s">
        <v>26067</v>
      </c>
      <c r="D81" s="150">
        <v>44106</v>
      </c>
      <c r="E81" s="113" t="s">
        <v>26066</v>
      </c>
      <c r="F81" s="257">
        <v>2</v>
      </c>
      <c r="G81" s="255">
        <v>10.89</v>
      </c>
      <c r="H81" s="152"/>
      <c r="I81" s="160">
        <f t="shared" si="0"/>
        <v>114982.73999999998</v>
      </c>
    </row>
    <row r="82" spans="2:9" x14ac:dyDescent="0.25">
      <c r="B82" s="148"/>
      <c r="C82" s="148" t="s">
        <v>26065</v>
      </c>
      <c r="D82" s="150">
        <v>44106</v>
      </c>
      <c r="E82" s="113" t="s">
        <v>26064</v>
      </c>
      <c r="F82" s="257">
        <v>2</v>
      </c>
      <c r="G82" s="255">
        <v>8.3800000000000008</v>
      </c>
      <c r="H82" s="152"/>
      <c r="I82" s="160">
        <f t="shared" si="0"/>
        <v>114991.11999999998</v>
      </c>
    </row>
    <row r="83" spans="2:9" x14ac:dyDescent="0.25">
      <c r="B83" s="148"/>
      <c r="C83" s="148" t="s">
        <v>26063</v>
      </c>
      <c r="D83" s="150">
        <v>44106</v>
      </c>
      <c r="E83" s="113" t="s">
        <v>26062</v>
      </c>
      <c r="F83" s="257">
        <v>2</v>
      </c>
      <c r="G83" s="255">
        <v>8.01</v>
      </c>
      <c r="H83" s="152"/>
      <c r="I83" s="160">
        <f t="shared" si="0"/>
        <v>114999.12999999998</v>
      </c>
    </row>
    <row r="84" spans="2:9" x14ac:dyDescent="0.25">
      <c r="B84" s="148"/>
      <c r="C84" s="148" t="s">
        <v>26061</v>
      </c>
      <c r="D84" s="150">
        <v>44106</v>
      </c>
      <c r="E84" s="113" t="s">
        <v>26060</v>
      </c>
      <c r="F84" s="257">
        <v>2</v>
      </c>
      <c r="G84" s="255">
        <v>6.19</v>
      </c>
      <c r="H84" s="152"/>
      <c r="I84" s="160">
        <f t="shared" ref="I84:I147" si="1">+I83+G84-H84</f>
        <v>115005.31999999998</v>
      </c>
    </row>
    <row r="85" spans="2:9" x14ac:dyDescent="0.25">
      <c r="B85" s="148"/>
      <c r="C85" s="148" t="s">
        <v>26059</v>
      </c>
      <c r="D85" s="150">
        <v>44106</v>
      </c>
      <c r="E85" s="113" t="s">
        <v>26058</v>
      </c>
      <c r="F85" s="257">
        <v>2</v>
      </c>
      <c r="G85" s="255">
        <v>3.24</v>
      </c>
      <c r="H85" s="152"/>
      <c r="I85" s="160">
        <f t="shared" si="1"/>
        <v>115008.55999999998</v>
      </c>
    </row>
    <row r="86" spans="2:9" x14ac:dyDescent="0.25">
      <c r="B86" s="148"/>
      <c r="C86" s="148" t="s">
        <v>26057</v>
      </c>
      <c r="D86" s="150">
        <v>44106</v>
      </c>
      <c r="E86" s="113" t="s">
        <v>26056</v>
      </c>
      <c r="F86" s="257">
        <v>2</v>
      </c>
      <c r="G86" s="255">
        <v>6.94</v>
      </c>
      <c r="H86" s="152"/>
      <c r="I86" s="160">
        <f t="shared" si="1"/>
        <v>115015.49999999999</v>
      </c>
    </row>
    <row r="87" spans="2:9" x14ac:dyDescent="0.25">
      <c r="B87" s="148"/>
      <c r="C87" s="148" t="s">
        <v>26055</v>
      </c>
      <c r="D87" s="150">
        <v>44106</v>
      </c>
      <c r="E87" s="113" t="s">
        <v>26054</v>
      </c>
      <c r="F87" s="257">
        <v>2</v>
      </c>
      <c r="G87" s="255">
        <v>1.68</v>
      </c>
      <c r="H87" s="152"/>
      <c r="I87" s="160">
        <f t="shared" si="1"/>
        <v>115017.17999999998</v>
      </c>
    </row>
    <row r="88" spans="2:9" x14ac:dyDescent="0.25">
      <c r="B88" s="148"/>
      <c r="C88" s="148" t="s">
        <v>26053</v>
      </c>
      <c r="D88" s="150">
        <v>44106</v>
      </c>
      <c r="E88" s="113" t="s">
        <v>26052</v>
      </c>
      <c r="F88" s="257">
        <v>2</v>
      </c>
      <c r="G88" s="255">
        <v>1.99</v>
      </c>
      <c r="H88" s="152"/>
      <c r="I88" s="160">
        <f t="shared" si="1"/>
        <v>115019.16999999998</v>
      </c>
    </row>
    <row r="89" spans="2:9" ht="19.5" x14ac:dyDescent="0.25">
      <c r="B89" s="148"/>
      <c r="C89" s="148" t="s">
        <v>26051</v>
      </c>
      <c r="D89" s="150">
        <v>44106</v>
      </c>
      <c r="E89" s="113" t="s">
        <v>26050</v>
      </c>
      <c r="F89" s="257" t="s">
        <v>14408</v>
      </c>
      <c r="G89" s="258">
        <v>8.91</v>
      </c>
      <c r="H89" s="152"/>
      <c r="I89" s="160">
        <f t="shared" si="1"/>
        <v>115028.07999999999</v>
      </c>
    </row>
    <row r="90" spans="2:9" x14ac:dyDescent="0.25">
      <c r="B90" s="148"/>
      <c r="C90" s="148" t="s">
        <v>26049</v>
      </c>
      <c r="D90" s="150">
        <v>44106</v>
      </c>
      <c r="E90" s="113" t="s">
        <v>26048</v>
      </c>
      <c r="F90" s="257" t="s">
        <v>14408</v>
      </c>
      <c r="G90" s="258">
        <v>1.68</v>
      </c>
      <c r="H90" s="152"/>
      <c r="I90" s="160">
        <f t="shared" si="1"/>
        <v>115029.75999999998</v>
      </c>
    </row>
    <row r="91" spans="2:9" x14ac:dyDescent="0.25">
      <c r="B91" s="148"/>
      <c r="C91" s="148" t="s">
        <v>26047</v>
      </c>
      <c r="D91" s="150">
        <v>44106</v>
      </c>
      <c r="E91" s="113" t="s">
        <v>26046</v>
      </c>
      <c r="F91" s="257" t="s">
        <v>14408</v>
      </c>
      <c r="G91" s="258">
        <v>16.760000000000002</v>
      </c>
      <c r="H91" s="152"/>
      <c r="I91" s="160">
        <f t="shared" si="1"/>
        <v>115046.51999999997</v>
      </c>
    </row>
    <row r="92" spans="2:9" x14ac:dyDescent="0.25">
      <c r="B92" s="148"/>
      <c r="C92" s="148" t="s">
        <v>26045</v>
      </c>
      <c r="D92" s="150">
        <v>44106</v>
      </c>
      <c r="E92" s="113" t="s">
        <v>26044</v>
      </c>
      <c r="F92" s="257" t="s">
        <v>14408</v>
      </c>
      <c r="G92" s="258">
        <v>1.68</v>
      </c>
      <c r="H92" s="152"/>
      <c r="I92" s="160">
        <f t="shared" si="1"/>
        <v>115048.19999999997</v>
      </c>
    </row>
    <row r="93" spans="2:9" ht="19.5" x14ac:dyDescent="0.25">
      <c r="B93" s="148"/>
      <c r="C93" s="148" t="s">
        <v>26043</v>
      </c>
      <c r="D93" s="150">
        <v>44106</v>
      </c>
      <c r="E93" s="113" t="s">
        <v>26042</v>
      </c>
      <c r="F93" s="257" t="s">
        <v>14408</v>
      </c>
      <c r="G93" s="258">
        <v>11.48</v>
      </c>
      <c r="H93" s="152"/>
      <c r="I93" s="160">
        <f t="shared" si="1"/>
        <v>115059.67999999996</v>
      </c>
    </row>
    <row r="94" spans="2:9" x14ac:dyDescent="0.25">
      <c r="B94" s="148"/>
      <c r="C94" s="148" t="s">
        <v>26041</v>
      </c>
      <c r="D94" s="150">
        <v>44106</v>
      </c>
      <c r="E94" s="113" t="s">
        <v>26040</v>
      </c>
      <c r="F94" s="257" t="s">
        <v>14408</v>
      </c>
      <c r="G94" s="258">
        <v>4.38</v>
      </c>
      <c r="H94" s="152"/>
      <c r="I94" s="160">
        <f t="shared" si="1"/>
        <v>115064.05999999997</v>
      </c>
    </row>
    <row r="95" spans="2:9" x14ac:dyDescent="0.25">
      <c r="B95" s="148"/>
      <c r="C95" s="148" t="s">
        <v>26039</v>
      </c>
      <c r="D95" s="150">
        <v>44106</v>
      </c>
      <c r="E95" s="113" t="s">
        <v>26038</v>
      </c>
      <c r="F95" s="257" t="s">
        <v>14408</v>
      </c>
      <c r="G95" s="258">
        <v>1.75</v>
      </c>
      <c r="H95" s="152"/>
      <c r="I95" s="160">
        <f t="shared" si="1"/>
        <v>115065.80999999997</v>
      </c>
    </row>
    <row r="96" spans="2:9" x14ac:dyDescent="0.25">
      <c r="B96" s="148"/>
      <c r="C96" s="148" t="s">
        <v>26037</v>
      </c>
      <c r="D96" s="150">
        <v>44106</v>
      </c>
      <c r="E96" s="113" t="s">
        <v>26036</v>
      </c>
      <c r="F96" s="257" t="s">
        <v>14408</v>
      </c>
      <c r="G96" s="258">
        <v>3.34</v>
      </c>
      <c r="H96" s="152"/>
      <c r="I96" s="160">
        <f t="shared" si="1"/>
        <v>115069.14999999997</v>
      </c>
    </row>
    <row r="97" spans="2:9" x14ac:dyDescent="0.25">
      <c r="B97" s="148"/>
      <c r="C97" s="148" t="s">
        <v>26035</v>
      </c>
      <c r="D97" s="150">
        <v>44106</v>
      </c>
      <c r="E97" s="113" t="s">
        <v>26034</v>
      </c>
      <c r="F97" s="257" t="s">
        <v>14408</v>
      </c>
      <c r="G97" s="258">
        <v>1.79</v>
      </c>
      <c r="H97" s="152"/>
      <c r="I97" s="160">
        <f t="shared" si="1"/>
        <v>115070.93999999996</v>
      </c>
    </row>
    <row r="98" spans="2:9" x14ac:dyDescent="0.25">
      <c r="B98" s="148"/>
      <c r="C98" s="148" t="s">
        <v>26033</v>
      </c>
      <c r="D98" s="150">
        <v>44106</v>
      </c>
      <c r="E98" s="113" t="s">
        <v>26032</v>
      </c>
      <c r="F98" s="257" t="s">
        <v>14408</v>
      </c>
      <c r="G98" s="258">
        <v>4.09</v>
      </c>
      <c r="H98" s="152"/>
      <c r="I98" s="160">
        <f t="shared" si="1"/>
        <v>115075.02999999996</v>
      </c>
    </row>
    <row r="99" spans="2:9" x14ac:dyDescent="0.25">
      <c r="B99" s="148"/>
      <c r="C99" s="148" t="s">
        <v>26031</v>
      </c>
      <c r="D99" s="150">
        <v>44106</v>
      </c>
      <c r="E99" s="113" t="s">
        <v>26030</v>
      </c>
      <c r="F99" s="257" t="s">
        <v>14408</v>
      </c>
      <c r="G99" s="258">
        <v>2.0299999999999998</v>
      </c>
      <c r="H99" s="152"/>
      <c r="I99" s="160">
        <f t="shared" si="1"/>
        <v>115077.05999999995</v>
      </c>
    </row>
    <row r="100" spans="2:9" x14ac:dyDescent="0.25">
      <c r="B100" s="148"/>
      <c r="C100" s="148" t="s">
        <v>26029</v>
      </c>
      <c r="D100" s="150">
        <v>44106</v>
      </c>
      <c r="E100" s="113" t="s">
        <v>26028</v>
      </c>
      <c r="F100" s="257" t="s">
        <v>14408</v>
      </c>
      <c r="G100" s="258">
        <v>10.34</v>
      </c>
      <c r="H100" s="152"/>
      <c r="I100" s="160">
        <f t="shared" si="1"/>
        <v>115087.39999999995</v>
      </c>
    </row>
    <row r="101" spans="2:9" x14ac:dyDescent="0.25">
      <c r="B101" s="148"/>
      <c r="C101" s="148" t="s">
        <v>26027</v>
      </c>
      <c r="D101" s="150">
        <v>44106</v>
      </c>
      <c r="E101" s="113" t="s">
        <v>26026</v>
      </c>
      <c r="F101" s="257">
        <v>5</v>
      </c>
      <c r="G101" s="255">
        <v>4.07</v>
      </c>
      <c r="H101" s="152"/>
      <c r="I101" s="160">
        <f t="shared" si="1"/>
        <v>115091.46999999996</v>
      </c>
    </row>
    <row r="102" spans="2:9" x14ac:dyDescent="0.25">
      <c r="B102" s="148"/>
      <c r="C102" s="148" t="s">
        <v>26025</v>
      </c>
      <c r="D102" s="150">
        <v>44106</v>
      </c>
      <c r="E102" s="113" t="s">
        <v>26024</v>
      </c>
      <c r="F102" s="257">
        <v>4</v>
      </c>
      <c r="G102" s="255">
        <v>1.68</v>
      </c>
      <c r="H102" s="152"/>
      <c r="I102" s="160">
        <f t="shared" si="1"/>
        <v>115093.14999999995</v>
      </c>
    </row>
    <row r="103" spans="2:9" x14ac:dyDescent="0.25">
      <c r="B103" s="148"/>
      <c r="C103" s="148" t="s">
        <v>26023</v>
      </c>
      <c r="D103" s="150">
        <v>44106</v>
      </c>
      <c r="E103" s="113" t="s">
        <v>26022</v>
      </c>
      <c r="F103" s="257">
        <v>3</v>
      </c>
      <c r="G103" s="160">
        <v>4.92</v>
      </c>
      <c r="H103" s="152"/>
      <c r="I103" s="160">
        <f t="shared" si="1"/>
        <v>115098.06999999995</v>
      </c>
    </row>
    <row r="104" spans="2:9" x14ac:dyDescent="0.25">
      <c r="B104" s="148"/>
      <c r="C104" s="148" t="s">
        <v>26021</v>
      </c>
      <c r="D104" s="150">
        <v>44106</v>
      </c>
      <c r="E104" s="113" t="s">
        <v>26020</v>
      </c>
      <c r="F104" s="257">
        <v>4</v>
      </c>
      <c r="G104" s="255">
        <v>5.15</v>
      </c>
      <c r="H104" s="152"/>
      <c r="I104" s="160">
        <f t="shared" si="1"/>
        <v>115103.21999999994</v>
      </c>
    </row>
    <row r="105" spans="2:9" x14ac:dyDescent="0.25">
      <c r="B105" s="148"/>
      <c r="C105" s="148" t="s">
        <v>26019</v>
      </c>
      <c r="D105" s="150">
        <v>44106</v>
      </c>
      <c r="E105" s="113" t="s">
        <v>26018</v>
      </c>
      <c r="G105" s="160">
        <v>2.11</v>
      </c>
      <c r="H105" s="152"/>
      <c r="I105" s="160">
        <f t="shared" si="1"/>
        <v>115105.32999999994</v>
      </c>
    </row>
    <row r="106" spans="2:9" x14ac:dyDescent="0.25">
      <c r="B106" s="148"/>
      <c r="C106" s="148" t="s">
        <v>26017</v>
      </c>
      <c r="D106" s="150">
        <v>44106</v>
      </c>
      <c r="E106" s="113" t="s">
        <v>26016</v>
      </c>
      <c r="F106" s="257">
        <v>6</v>
      </c>
      <c r="G106" s="255">
        <v>1.68</v>
      </c>
      <c r="H106" s="152"/>
      <c r="I106" s="160">
        <f t="shared" si="1"/>
        <v>115107.00999999994</v>
      </c>
    </row>
    <row r="107" spans="2:9" x14ac:dyDescent="0.25">
      <c r="B107" s="148"/>
      <c r="C107" s="148" t="s">
        <v>26015</v>
      </c>
      <c r="D107" s="150">
        <v>44106</v>
      </c>
      <c r="E107" s="113" t="s">
        <v>26014</v>
      </c>
      <c r="F107" s="257" t="s">
        <v>14436</v>
      </c>
      <c r="G107" s="160">
        <v>15</v>
      </c>
      <c r="H107" s="152"/>
      <c r="I107" s="160">
        <f t="shared" si="1"/>
        <v>115122.00999999994</v>
      </c>
    </row>
    <row r="108" spans="2:9" ht="19.5" x14ac:dyDescent="0.25">
      <c r="B108" s="148"/>
      <c r="C108" s="148" t="s">
        <v>26013</v>
      </c>
      <c r="D108" s="150">
        <v>44106</v>
      </c>
      <c r="E108" s="113" t="s">
        <v>26012</v>
      </c>
      <c r="F108" s="257" t="s">
        <v>14436</v>
      </c>
      <c r="G108" s="160">
        <v>5.16</v>
      </c>
      <c r="H108" s="152"/>
      <c r="I108" s="160">
        <f t="shared" si="1"/>
        <v>115127.16999999994</v>
      </c>
    </row>
    <row r="109" spans="2:9" x14ac:dyDescent="0.25">
      <c r="B109" s="148"/>
      <c r="C109" s="148" t="s">
        <v>26011</v>
      </c>
      <c r="D109" s="150">
        <v>44106</v>
      </c>
      <c r="E109" s="113" t="s">
        <v>26010</v>
      </c>
      <c r="F109" s="257" t="s">
        <v>14436</v>
      </c>
      <c r="G109" s="160">
        <v>1</v>
      </c>
      <c r="H109" s="152"/>
      <c r="I109" s="160">
        <f t="shared" si="1"/>
        <v>115128.16999999994</v>
      </c>
    </row>
    <row r="110" spans="2:9" x14ac:dyDescent="0.25">
      <c r="B110" s="148"/>
      <c r="C110" s="148" t="s">
        <v>26009</v>
      </c>
      <c r="D110" s="150">
        <v>44106</v>
      </c>
      <c r="E110" s="113" t="s">
        <v>26008</v>
      </c>
      <c r="F110" s="257" t="s">
        <v>14436</v>
      </c>
      <c r="G110" s="160">
        <v>3</v>
      </c>
      <c r="H110" s="152"/>
      <c r="I110" s="160">
        <f t="shared" si="1"/>
        <v>115131.16999999994</v>
      </c>
    </row>
    <row r="111" spans="2:9" x14ac:dyDescent="0.25">
      <c r="B111" s="148"/>
      <c r="C111" s="148" t="s">
        <v>25993</v>
      </c>
      <c r="D111" s="150">
        <v>44107</v>
      </c>
      <c r="E111" s="113" t="s">
        <v>25992</v>
      </c>
      <c r="F111" s="257" t="s">
        <v>14408</v>
      </c>
      <c r="G111" s="258">
        <v>13.56</v>
      </c>
      <c r="H111" s="152"/>
      <c r="I111" s="160">
        <f t="shared" si="1"/>
        <v>115144.72999999994</v>
      </c>
    </row>
    <row r="112" spans="2:9" x14ac:dyDescent="0.25">
      <c r="B112" s="148"/>
      <c r="C112" s="148" t="s">
        <v>25991</v>
      </c>
      <c r="D112" s="150">
        <v>44107</v>
      </c>
      <c r="E112" s="113" t="s">
        <v>25990</v>
      </c>
      <c r="F112" s="257" t="s">
        <v>14408</v>
      </c>
      <c r="G112" s="258">
        <v>8.66</v>
      </c>
      <c r="H112" s="152"/>
      <c r="I112" s="160">
        <f t="shared" si="1"/>
        <v>115153.38999999994</v>
      </c>
    </row>
    <row r="113" spans="2:9" x14ac:dyDescent="0.25">
      <c r="B113" s="148"/>
      <c r="C113" s="148" t="s">
        <v>25989</v>
      </c>
      <c r="D113" s="150">
        <v>44107</v>
      </c>
      <c r="E113" s="113" t="s">
        <v>25988</v>
      </c>
      <c r="F113" s="257" t="s">
        <v>14408</v>
      </c>
      <c r="G113" s="258">
        <v>21.54</v>
      </c>
      <c r="H113" s="152"/>
      <c r="I113" s="160">
        <f t="shared" si="1"/>
        <v>115174.92999999993</v>
      </c>
    </row>
    <row r="114" spans="2:9" x14ac:dyDescent="0.25">
      <c r="B114" s="148"/>
      <c r="C114" s="148" t="s">
        <v>25987</v>
      </c>
      <c r="D114" s="150">
        <v>44107</v>
      </c>
      <c r="E114" s="113" t="s">
        <v>25986</v>
      </c>
      <c r="F114" s="257" t="s">
        <v>14408</v>
      </c>
      <c r="G114" s="258">
        <v>1.71</v>
      </c>
      <c r="H114" s="152"/>
      <c r="I114" s="160">
        <f t="shared" si="1"/>
        <v>115176.63999999994</v>
      </c>
    </row>
    <row r="115" spans="2:9" x14ac:dyDescent="0.25">
      <c r="B115" s="148"/>
      <c r="C115" s="148" t="s">
        <v>25985</v>
      </c>
      <c r="D115" s="150">
        <v>44107</v>
      </c>
      <c r="E115" s="113" t="s">
        <v>25984</v>
      </c>
      <c r="F115" s="257" t="s">
        <v>14408</v>
      </c>
      <c r="G115" s="258">
        <v>7.0000000000000007E-2</v>
      </c>
      <c r="H115" s="152"/>
      <c r="I115" s="160">
        <f t="shared" si="1"/>
        <v>115176.70999999995</v>
      </c>
    </row>
    <row r="116" spans="2:9" x14ac:dyDescent="0.25">
      <c r="B116" s="148"/>
      <c r="C116" s="148" t="s">
        <v>25983</v>
      </c>
      <c r="D116" s="150">
        <v>44107</v>
      </c>
      <c r="E116" s="113" t="s">
        <v>25982</v>
      </c>
      <c r="F116" s="257" t="s">
        <v>14408</v>
      </c>
      <c r="G116" s="258">
        <v>1.68</v>
      </c>
      <c r="H116" s="152"/>
      <c r="I116" s="160">
        <f t="shared" si="1"/>
        <v>115178.38999999994</v>
      </c>
    </row>
    <row r="117" spans="2:9" x14ac:dyDescent="0.25">
      <c r="B117" s="148"/>
      <c r="C117" s="148" t="s">
        <v>25981</v>
      </c>
      <c r="D117" s="150">
        <v>44107</v>
      </c>
      <c r="E117" s="113" t="s">
        <v>25980</v>
      </c>
      <c r="F117" s="257" t="s">
        <v>14408</v>
      </c>
      <c r="G117" s="258">
        <v>1.68</v>
      </c>
      <c r="H117" s="152"/>
      <c r="I117" s="160">
        <f t="shared" si="1"/>
        <v>115180.06999999993</v>
      </c>
    </row>
    <row r="118" spans="2:9" x14ac:dyDescent="0.25">
      <c r="B118" s="148"/>
      <c r="C118" s="148" t="s">
        <v>25979</v>
      </c>
      <c r="D118" s="150">
        <v>44107</v>
      </c>
      <c r="E118" s="113" t="s">
        <v>25978</v>
      </c>
      <c r="F118" s="257" t="s">
        <v>14408</v>
      </c>
      <c r="G118" s="258">
        <v>14.5</v>
      </c>
      <c r="H118" s="152"/>
      <c r="I118" s="160">
        <f t="shared" si="1"/>
        <v>115194.56999999993</v>
      </c>
    </row>
    <row r="119" spans="2:9" x14ac:dyDescent="0.25">
      <c r="B119" s="148"/>
      <c r="C119" s="148" t="s">
        <v>25977</v>
      </c>
      <c r="D119" s="150">
        <v>44107</v>
      </c>
      <c r="E119" s="113" t="s">
        <v>25976</v>
      </c>
      <c r="F119" s="257" t="s">
        <v>14408</v>
      </c>
      <c r="G119" s="258">
        <v>10.18</v>
      </c>
      <c r="H119" s="152"/>
      <c r="I119" s="160">
        <f t="shared" si="1"/>
        <v>115204.74999999993</v>
      </c>
    </row>
    <row r="120" spans="2:9" x14ac:dyDescent="0.25">
      <c r="B120" s="148"/>
      <c r="C120" s="148" t="s">
        <v>25975</v>
      </c>
      <c r="D120" s="150">
        <v>44107</v>
      </c>
      <c r="E120" s="113" t="s">
        <v>25974</v>
      </c>
      <c r="F120" s="257" t="s">
        <v>14408</v>
      </c>
      <c r="G120" s="258">
        <v>13.11</v>
      </c>
      <c r="H120" s="152"/>
      <c r="I120" s="160">
        <f t="shared" si="1"/>
        <v>115217.85999999993</v>
      </c>
    </row>
    <row r="121" spans="2:9" x14ac:dyDescent="0.25">
      <c r="B121" s="148"/>
      <c r="C121" s="148" t="s">
        <v>25973</v>
      </c>
      <c r="D121" s="150">
        <v>44107</v>
      </c>
      <c r="E121" s="113" t="s">
        <v>25972</v>
      </c>
      <c r="F121" s="257" t="s">
        <v>14408</v>
      </c>
      <c r="G121" s="258">
        <v>1.69</v>
      </c>
      <c r="H121" s="152"/>
      <c r="I121" s="160">
        <f t="shared" si="1"/>
        <v>115219.54999999993</v>
      </c>
    </row>
    <row r="122" spans="2:9" x14ac:dyDescent="0.25">
      <c r="B122" s="148"/>
      <c r="C122" s="148" t="s">
        <v>25971</v>
      </c>
      <c r="D122" s="150">
        <v>44107</v>
      </c>
      <c r="E122" s="113" t="s">
        <v>25970</v>
      </c>
      <c r="F122" s="257" t="s">
        <v>14408</v>
      </c>
      <c r="G122" s="258">
        <v>3.01</v>
      </c>
      <c r="H122" s="152"/>
      <c r="I122" s="160">
        <f t="shared" si="1"/>
        <v>115222.55999999992</v>
      </c>
    </row>
    <row r="123" spans="2:9" x14ac:dyDescent="0.25">
      <c r="B123" s="148"/>
      <c r="C123" s="148" t="s">
        <v>25969</v>
      </c>
      <c r="D123" s="150">
        <v>44107</v>
      </c>
      <c r="E123" s="113" t="s">
        <v>25968</v>
      </c>
      <c r="F123" s="257" t="s">
        <v>14408</v>
      </c>
      <c r="G123" s="258">
        <v>11.72</v>
      </c>
      <c r="H123" s="152"/>
      <c r="I123" s="160">
        <f t="shared" si="1"/>
        <v>115234.27999999993</v>
      </c>
    </row>
    <row r="124" spans="2:9" ht="19.5" x14ac:dyDescent="0.25">
      <c r="B124" s="148"/>
      <c r="C124" s="148" t="s">
        <v>25967</v>
      </c>
      <c r="D124" s="150">
        <v>44108</v>
      </c>
      <c r="E124" s="113" t="s">
        <v>25966</v>
      </c>
      <c r="F124" s="257" t="s">
        <v>14408</v>
      </c>
      <c r="G124" s="258">
        <v>21.39</v>
      </c>
      <c r="H124" s="152"/>
      <c r="I124" s="160">
        <f t="shared" si="1"/>
        <v>115255.66999999993</v>
      </c>
    </row>
    <row r="125" spans="2:9" x14ac:dyDescent="0.25">
      <c r="B125" s="148"/>
      <c r="C125" s="148" t="s">
        <v>25965</v>
      </c>
      <c r="D125" s="150">
        <v>44108</v>
      </c>
      <c r="E125" s="113" t="s">
        <v>25964</v>
      </c>
      <c r="F125" s="257" t="s">
        <v>14408</v>
      </c>
      <c r="G125" s="258">
        <v>4.13</v>
      </c>
      <c r="H125" s="152"/>
      <c r="I125" s="160">
        <f t="shared" si="1"/>
        <v>115259.79999999993</v>
      </c>
    </row>
    <row r="126" spans="2:9" ht="19.5" x14ac:dyDescent="0.25">
      <c r="B126" s="148"/>
      <c r="C126" s="148" t="s">
        <v>26007</v>
      </c>
      <c r="D126" s="150">
        <v>44106</v>
      </c>
      <c r="E126" s="113" t="s">
        <v>26006</v>
      </c>
      <c r="F126" s="257" t="s">
        <v>14436</v>
      </c>
      <c r="G126" s="160">
        <v>5543.96</v>
      </c>
      <c r="H126" s="152"/>
      <c r="I126" s="160">
        <f t="shared" si="1"/>
        <v>120803.75999999994</v>
      </c>
    </row>
    <row r="127" spans="2:9" x14ac:dyDescent="0.25">
      <c r="B127" s="148"/>
      <c r="C127" s="148" t="s">
        <v>26005</v>
      </c>
      <c r="D127" s="150">
        <v>44106</v>
      </c>
      <c r="E127" s="113" t="s">
        <v>26004</v>
      </c>
      <c r="F127" s="257" t="s">
        <v>18712</v>
      </c>
      <c r="G127" s="160">
        <v>2.0699999999999998</v>
      </c>
      <c r="H127" s="152"/>
      <c r="I127" s="160">
        <f t="shared" si="1"/>
        <v>120805.82999999994</v>
      </c>
    </row>
    <row r="128" spans="2:9" x14ac:dyDescent="0.25">
      <c r="B128" s="148"/>
      <c r="C128" s="148" t="s">
        <v>25963</v>
      </c>
      <c r="D128" s="150">
        <v>44108</v>
      </c>
      <c r="E128" s="113" t="s">
        <v>25962</v>
      </c>
      <c r="F128" s="257" t="s">
        <v>14436</v>
      </c>
      <c r="G128" s="160">
        <v>7.26</v>
      </c>
      <c r="H128" s="152"/>
      <c r="I128" s="160">
        <f t="shared" si="1"/>
        <v>120813.08999999994</v>
      </c>
    </row>
    <row r="129" spans="2:9" x14ac:dyDescent="0.25">
      <c r="B129" s="148"/>
      <c r="C129" s="148" t="s">
        <v>26003</v>
      </c>
      <c r="D129" s="150">
        <v>44106</v>
      </c>
      <c r="E129" s="113" t="s">
        <v>26002</v>
      </c>
      <c r="F129" s="257">
        <v>2</v>
      </c>
      <c r="G129" s="255">
        <v>1.89</v>
      </c>
      <c r="H129" s="152"/>
      <c r="I129" s="160">
        <f t="shared" si="1"/>
        <v>120814.97999999994</v>
      </c>
    </row>
    <row r="130" spans="2:9" x14ac:dyDescent="0.25">
      <c r="B130" s="148"/>
      <c r="C130" s="148" t="s">
        <v>26001</v>
      </c>
      <c r="D130" s="150">
        <v>44106</v>
      </c>
      <c r="E130" s="113" t="s">
        <v>26000</v>
      </c>
      <c r="F130" s="257">
        <v>2</v>
      </c>
      <c r="G130" s="255">
        <v>15.3</v>
      </c>
      <c r="H130" s="152"/>
      <c r="I130" s="160">
        <f t="shared" si="1"/>
        <v>120830.27999999994</v>
      </c>
    </row>
    <row r="131" spans="2:9" x14ac:dyDescent="0.25">
      <c r="B131" s="148"/>
      <c r="C131" s="148" t="s">
        <v>25999</v>
      </c>
      <c r="D131" s="150">
        <v>44106</v>
      </c>
      <c r="E131" s="113" t="s">
        <v>25998</v>
      </c>
      <c r="F131" s="257">
        <v>2</v>
      </c>
      <c r="G131" s="255">
        <v>15.3</v>
      </c>
      <c r="H131" s="152"/>
      <c r="I131" s="160">
        <f t="shared" si="1"/>
        <v>120845.57999999994</v>
      </c>
    </row>
    <row r="132" spans="2:9" x14ac:dyDescent="0.25">
      <c r="B132" s="148"/>
      <c r="C132" s="148" t="s">
        <v>25997</v>
      </c>
      <c r="D132" s="150">
        <v>44106</v>
      </c>
      <c r="E132" s="113" t="s">
        <v>25996</v>
      </c>
      <c r="F132" s="257">
        <v>2</v>
      </c>
      <c r="G132" s="255">
        <v>3.6</v>
      </c>
      <c r="H132" s="152"/>
      <c r="I132" s="160">
        <f t="shared" si="1"/>
        <v>120849.17999999995</v>
      </c>
    </row>
    <row r="133" spans="2:9" x14ac:dyDescent="0.25">
      <c r="B133" s="148"/>
      <c r="C133" s="148" t="s">
        <v>25995</v>
      </c>
      <c r="D133" s="150">
        <v>44106</v>
      </c>
      <c r="E133" s="113" t="s">
        <v>25994</v>
      </c>
      <c r="F133" s="257">
        <v>2</v>
      </c>
      <c r="G133" s="255">
        <v>3.88</v>
      </c>
      <c r="H133" s="152"/>
      <c r="I133" s="160">
        <f t="shared" si="1"/>
        <v>120853.05999999995</v>
      </c>
    </row>
    <row r="134" spans="2:9" ht="19.5" x14ac:dyDescent="0.25">
      <c r="B134" s="148"/>
      <c r="C134" s="148" t="s">
        <v>25961</v>
      </c>
      <c r="D134" s="150">
        <v>44109</v>
      </c>
      <c r="E134" s="113" t="s">
        <v>25960</v>
      </c>
      <c r="F134" s="257" t="s">
        <v>18712</v>
      </c>
      <c r="G134" s="160">
        <v>3.74</v>
      </c>
      <c r="H134" s="152"/>
      <c r="I134" s="160">
        <f t="shared" si="1"/>
        <v>120856.79999999996</v>
      </c>
    </row>
    <row r="135" spans="2:9" x14ac:dyDescent="0.25">
      <c r="B135" s="148"/>
      <c r="C135" s="148" t="s">
        <v>25959</v>
      </c>
      <c r="D135" s="150">
        <v>44109</v>
      </c>
      <c r="E135" s="113" t="s">
        <v>25958</v>
      </c>
      <c r="F135" s="257" t="s">
        <v>14408</v>
      </c>
      <c r="G135" s="258">
        <v>4.49</v>
      </c>
      <c r="H135" s="152"/>
      <c r="I135" s="160">
        <f t="shared" si="1"/>
        <v>120861.28999999996</v>
      </c>
    </row>
    <row r="136" spans="2:9" x14ac:dyDescent="0.25">
      <c r="B136" s="148"/>
      <c r="C136" s="148" t="s">
        <v>25957</v>
      </c>
      <c r="D136" s="150">
        <v>44109</v>
      </c>
      <c r="E136" s="113" t="s">
        <v>25956</v>
      </c>
      <c r="F136" s="257" t="s">
        <v>14408</v>
      </c>
      <c r="G136" s="258">
        <v>3.73</v>
      </c>
      <c r="H136" s="152"/>
      <c r="I136" s="160">
        <f t="shared" si="1"/>
        <v>120865.01999999996</v>
      </c>
    </row>
    <row r="137" spans="2:9" ht="19.5" x14ac:dyDescent="0.25">
      <c r="B137" s="148"/>
      <c r="C137" s="148" t="s">
        <v>25955</v>
      </c>
      <c r="D137" s="150">
        <v>44109</v>
      </c>
      <c r="E137" s="113" t="s">
        <v>25954</v>
      </c>
      <c r="F137" s="257" t="s">
        <v>14408</v>
      </c>
      <c r="G137" s="258">
        <v>13.14</v>
      </c>
      <c r="H137" s="152"/>
      <c r="I137" s="160">
        <f t="shared" si="1"/>
        <v>120878.15999999996</v>
      </c>
    </row>
    <row r="138" spans="2:9" ht="19.5" x14ac:dyDescent="0.25">
      <c r="B138" s="148"/>
      <c r="C138" s="148" t="s">
        <v>25953</v>
      </c>
      <c r="D138" s="150">
        <v>44109</v>
      </c>
      <c r="E138" s="113" t="s">
        <v>25952</v>
      </c>
      <c r="F138" s="257" t="s">
        <v>14408</v>
      </c>
      <c r="G138" s="258">
        <v>13.03</v>
      </c>
      <c r="H138" s="152"/>
      <c r="I138" s="160">
        <f t="shared" si="1"/>
        <v>120891.18999999996</v>
      </c>
    </row>
    <row r="139" spans="2:9" ht="19.5" x14ac:dyDescent="0.25">
      <c r="B139" s="148"/>
      <c r="C139" s="148" t="s">
        <v>25951</v>
      </c>
      <c r="D139" s="150">
        <v>44109</v>
      </c>
      <c r="E139" s="113" t="s">
        <v>25950</v>
      </c>
      <c r="F139" s="257" t="s">
        <v>14408</v>
      </c>
      <c r="G139" s="258">
        <v>17.89</v>
      </c>
      <c r="H139" s="152"/>
      <c r="I139" s="160">
        <f t="shared" si="1"/>
        <v>120909.07999999996</v>
      </c>
    </row>
    <row r="140" spans="2:9" x14ac:dyDescent="0.25">
      <c r="B140" s="148"/>
      <c r="C140" s="148" t="s">
        <v>25949</v>
      </c>
      <c r="D140" s="150">
        <v>44109</v>
      </c>
      <c r="E140" s="113" t="s">
        <v>25948</v>
      </c>
      <c r="F140" s="257" t="s">
        <v>14408</v>
      </c>
      <c r="G140" s="258">
        <v>2.63</v>
      </c>
      <c r="H140" s="152"/>
      <c r="I140" s="160">
        <f t="shared" si="1"/>
        <v>120911.70999999996</v>
      </c>
    </row>
    <row r="141" spans="2:9" x14ac:dyDescent="0.25">
      <c r="B141" s="148"/>
      <c r="C141" s="148" t="s">
        <v>25947</v>
      </c>
      <c r="D141" s="150">
        <v>44109</v>
      </c>
      <c r="E141" s="113" t="s">
        <v>25946</v>
      </c>
      <c r="F141" s="257" t="s">
        <v>14408</v>
      </c>
      <c r="G141" s="258">
        <v>8.09</v>
      </c>
      <c r="H141" s="152"/>
      <c r="I141" s="160">
        <f t="shared" si="1"/>
        <v>120919.79999999996</v>
      </c>
    </row>
    <row r="142" spans="2:9" x14ac:dyDescent="0.25">
      <c r="B142" s="148"/>
      <c r="C142" s="148" t="s">
        <v>25945</v>
      </c>
      <c r="D142" s="150">
        <v>44109</v>
      </c>
      <c r="E142" s="113" t="s">
        <v>25944</v>
      </c>
      <c r="F142" s="257" t="s">
        <v>14408</v>
      </c>
      <c r="G142" s="258">
        <v>3.23</v>
      </c>
      <c r="H142" s="152"/>
      <c r="I142" s="160">
        <f t="shared" si="1"/>
        <v>120923.02999999996</v>
      </c>
    </row>
    <row r="143" spans="2:9" x14ac:dyDescent="0.25">
      <c r="B143" s="148"/>
      <c r="C143" s="148" t="s">
        <v>25943</v>
      </c>
      <c r="D143" s="150">
        <v>44109</v>
      </c>
      <c r="E143" s="113" t="s">
        <v>25942</v>
      </c>
      <c r="F143" s="257" t="s">
        <v>14408</v>
      </c>
      <c r="G143" s="258">
        <v>0.69</v>
      </c>
      <c r="H143" s="152"/>
      <c r="I143" s="160">
        <f t="shared" si="1"/>
        <v>120923.71999999996</v>
      </c>
    </row>
    <row r="144" spans="2:9" x14ac:dyDescent="0.25">
      <c r="B144" s="148"/>
      <c r="C144" s="148" t="s">
        <v>25941</v>
      </c>
      <c r="D144" s="150">
        <v>44109</v>
      </c>
      <c r="E144" s="113" t="s">
        <v>25940</v>
      </c>
      <c r="F144" s="257" t="s">
        <v>14408</v>
      </c>
      <c r="G144" s="258">
        <v>8.3800000000000008</v>
      </c>
      <c r="H144" s="152"/>
      <c r="I144" s="160">
        <f t="shared" si="1"/>
        <v>120932.09999999996</v>
      </c>
    </row>
    <row r="145" spans="2:9" x14ac:dyDescent="0.25">
      <c r="B145" s="148"/>
      <c r="C145" s="148" t="s">
        <v>25939</v>
      </c>
      <c r="D145" s="150">
        <v>44109</v>
      </c>
      <c r="E145" s="113" t="s">
        <v>25938</v>
      </c>
      <c r="F145" s="257" t="s">
        <v>14408</v>
      </c>
      <c r="G145" s="258">
        <v>10.57</v>
      </c>
      <c r="H145" s="152"/>
      <c r="I145" s="160">
        <f t="shared" si="1"/>
        <v>120942.66999999997</v>
      </c>
    </row>
    <row r="146" spans="2:9" x14ac:dyDescent="0.25">
      <c r="B146" s="148"/>
      <c r="C146" s="148" t="s">
        <v>25937</v>
      </c>
      <c r="D146" s="150">
        <v>44109</v>
      </c>
      <c r="E146" s="113" t="s">
        <v>25936</v>
      </c>
      <c r="F146" s="257" t="s">
        <v>14408</v>
      </c>
      <c r="G146" s="258">
        <v>24.81</v>
      </c>
      <c r="H146" s="152"/>
      <c r="I146" s="160">
        <f t="shared" si="1"/>
        <v>120967.47999999997</v>
      </c>
    </row>
    <row r="147" spans="2:9" x14ac:dyDescent="0.25">
      <c r="B147" s="148"/>
      <c r="C147" s="148" t="s">
        <v>25935</v>
      </c>
      <c r="D147" s="150">
        <v>44109</v>
      </c>
      <c r="E147" s="113" t="s">
        <v>25934</v>
      </c>
      <c r="F147" s="257" t="s">
        <v>14408</v>
      </c>
      <c r="G147" s="258">
        <v>2.89</v>
      </c>
      <c r="H147" s="152"/>
      <c r="I147" s="160">
        <f t="shared" si="1"/>
        <v>120970.36999999997</v>
      </c>
    </row>
    <row r="148" spans="2:9" x14ac:dyDescent="0.25">
      <c r="B148" s="148"/>
      <c r="C148" s="148" t="s">
        <v>25933</v>
      </c>
      <c r="D148" s="150">
        <v>44109</v>
      </c>
      <c r="E148" s="113" t="s">
        <v>25932</v>
      </c>
      <c r="F148" s="257" t="s">
        <v>14408</v>
      </c>
      <c r="G148" s="258">
        <v>5.89</v>
      </c>
      <c r="H148" s="152"/>
      <c r="I148" s="160">
        <f t="shared" ref="I148:I211" si="2">+I147+G148-H148</f>
        <v>120976.25999999997</v>
      </c>
    </row>
    <row r="149" spans="2:9" x14ac:dyDescent="0.25">
      <c r="B149" s="148"/>
      <c r="C149" s="148" t="s">
        <v>25931</v>
      </c>
      <c r="D149" s="150">
        <v>44109</v>
      </c>
      <c r="E149" s="113" t="s">
        <v>25930</v>
      </c>
      <c r="F149" s="257" t="s">
        <v>14408</v>
      </c>
      <c r="G149" s="258">
        <v>2.83</v>
      </c>
      <c r="H149" s="152"/>
      <c r="I149" s="160">
        <f t="shared" si="2"/>
        <v>120979.08999999997</v>
      </c>
    </row>
    <row r="150" spans="2:9" x14ac:dyDescent="0.25">
      <c r="B150" s="148"/>
      <c r="C150" s="148" t="s">
        <v>25929</v>
      </c>
      <c r="D150" s="150">
        <v>44109</v>
      </c>
      <c r="E150" s="113" t="s">
        <v>25928</v>
      </c>
      <c r="F150" s="257" t="s">
        <v>14408</v>
      </c>
      <c r="G150" s="258">
        <v>8.2100000000000009</v>
      </c>
      <c r="H150" s="152"/>
      <c r="I150" s="160">
        <f t="shared" si="2"/>
        <v>120987.29999999997</v>
      </c>
    </row>
    <row r="151" spans="2:9" x14ac:dyDescent="0.25">
      <c r="B151" s="148"/>
      <c r="C151" s="148" t="s">
        <v>25927</v>
      </c>
      <c r="D151" s="150">
        <v>44109</v>
      </c>
      <c r="E151" s="113" t="s">
        <v>25926</v>
      </c>
      <c r="F151" s="257" t="s">
        <v>14408</v>
      </c>
      <c r="G151" s="258">
        <v>7</v>
      </c>
      <c r="H151" s="152"/>
      <c r="I151" s="160">
        <f t="shared" si="2"/>
        <v>120994.29999999997</v>
      </c>
    </row>
    <row r="152" spans="2:9" x14ac:dyDescent="0.25">
      <c r="B152" s="148"/>
      <c r="C152" s="148" t="s">
        <v>25925</v>
      </c>
      <c r="D152" s="150">
        <v>44109</v>
      </c>
      <c r="E152" s="113" t="s">
        <v>25924</v>
      </c>
      <c r="F152" s="257" t="s">
        <v>14408</v>
      </c>
      <c r="G152" s="258">
        <v>5</v>
      </c>
      <c r="H152" s="152"/>
      <c r="I152" s="160">
        <f t="shared" si="2"/>
        <v>120999.29999999997</v>
      </c>
    </row>
    <row r="153" spans="2:9" x14ac:dyDescent="0.25">
      <c r="B153" s="148"/>
      <c r="C153" s="148" t="s">
        <v>25923</v>
      </c>
      <c r="D153" s="150">
        <v>44109</v>
      </c>
      <c r="E153" s="113" t="s">
        <v>25922</v>
      </c>
      <c r="F153" s="257" t="s">
        <v>14408</v>
      </c>
      <c r="G153" s="258">
        <v>3.11</v>
      </c>
      <c r="H153" s="152"/>
      <c r="I153" s="160">
        <f t="shared" si="2"/>
        <v>121002.40999999997</v>
      </c>
    </row>
    <row r="154" spans="2:9" x14ac:dyDescent="0.25">
      <c r="B154" s="148"/>
      <c r="C154" s="148" t="s">
        <v>25921</v>
      </c>
      <c r="D154" s="150">
        <v>44109</v>
      </c>
      <c r="E154" s="113" t="s">
        <v>25920</v>
      </c>
      <c r="F154" s="257" t="s">
        <v>14408</v>
      </c>
      <c r="G154" s="258">
        <v>4.55</v>
      </c>
      <c r="H154" s="152"/>
      <c r="I154" s="160">
        <f t="shared" si="2"/>
        <v>121006.95999999998</v>
      </c>
    </row>
    <row r="155" spans="2:9" x14ac:dyDescent="0.25">
      <c r="B155" s="148"/>
      <c r="C155" s="148" t="s">
        <v>25919</v>
      </c>
      <c r="D155" s="150">
        <v>44109</v>
      </c>
      <c r="E155" s="113" t="s">
        <v>25918</v>
      </c>
      <c r="F155" s="257" t="s">
        <v>14408</v>
      </c>
      <c r="G155" s="258">
        <v>1.68</v>
      </c>
      <c r="H155" s="152"/>
      <c r="I155" s="160">
        <f t="shared" si="2"/>
        <v>121008.63999999997</v>
      </c>
    </row>
    <row r="156" spans="2:9" x14ac:dyDescent="0.25">
      <c r="B156" s="148"/>
      <c r="C156" s="148" t="s">
        <v>25917</v>
      </c>
      <c r="D156" s="150">
        <v>44109</v>
      </c>
      <c r="E156" s="113" t="s">
        <v>25916</v>
      </c>
      <c r="F156" s="257" t="s">
        <v>14408</v>
      </c>
      <c r="G156" s="258">
        <v>1.85</v>
      </c>
      <c r="H156" s="152"/>
      <c r="I156" s="160">
        <f t="shared" si="2"/>
        <v>121010.48999999998</v>
      </c>
    </row>
    <row r="157" spans="2:9" x14ac:dyDescent="0.25">
      <c r="B157" s="148"/>
      <c r="C157" s="148" t="s">
        <v>25915</v>
      </c>
      <c r="D157" s="150">
        <v>44109</v>
      </c>
      <c r="E157" s="113" t="s">
        <v>25914</v>
      </c>
      <c r="F157" s="257">
        <v>8</v>
      </c>
      <c r="G157" s="255">
        <v>4.95</v>
      </c>
      <c r="H157" s="152"/>
      <c r="I157" s="160">
        <f t="shared" si="2"/>
        <v>121015.43999999997</v>
      </c>
    </row>
    <row r="158" spans="2:9" x14ac:dyDescent="0.25">
      <c r="B158" s="148"/>
      <c r="C158" s="148" t="s">
        <v>25913</v>
      </c>
      <c r="D158" s="150">
        <v>44109</v>
      </c>
      <c r="E158" s="113" t="s">
        <v>25912</v>
      </c>
      <c r="F158" s="257">
        <v>8</v>
      </c>
      <c r="G158" s="255">
        <v>9.61</v>
      </c>
      <c r="H158" s="152"/>
      <c r="I158" s="160">
        <f t="shared" si="2"/>
        <v>121025.04999999997</v>
      </c>
    </row>
    <row r="159" spans="2:9" x14ac:dyDescent="0.25">
      <c r="B159" s="148"/>
      <c r="C159" s="148" t="s">
        <v>25911</v>
      </c>
      <c r="D159" s="150">
        <v>44109</v>
      </c>
      <c r="E159" s="113" t="s">
        <v>25910</v>
      </c>
      <c r="F159" s="257">
        <v>8</v>
      </c>
      <c r="G159" s="255">
        <v>7.82</v>
      </c>
      <c r="H159" s="152"/>
      <c r="I159" s="160">
        <f t="shared" si="2"/>
        <v>121032.86999999998</v>
      </c>
    </row>
    <row r="160" spans="2:9" x14ac:dyDescent="0.25">
      <c r="B160" s="148"/>
      <c r="C160" s="148" t="s">
        <v>25909</v>
      </c>
      <c r="D160" s="150">
        <v>44109</v>
      </c>
      <c r="E160" s="113" t="s">
        <v>25908</v>
      </c>
      <c r="F160" s="257">
        <v>8</v>
      </c>
      <c r="G160" s="255">
        <v>5.12</v>
      </c>
      <c r="H160" s="152"/>
      <c r="I160" s="160">
        <f t="shared" si="2"/>
        <v>121037.98999999998</v>
      </c>
    </row>
    <row r="161" spans="2:9" x14ac:dyDescent="0.25">
      <c r="B161" s="148"/>
      <c r="C161" s="148" t="s">
        <v>25907</v>
      </c>
      <c r="D161" s="150">
        <v>44109</v>
      </c>
      <c r="E161" s="113" t="s">
        <v>25906</v>
      </c>
      <c r="F161" s="257">
        <v>8</v>
      </c>
      <c r="G161" s="255">
        <v>2.0299999999999998</v>
      </c>
      <c r="H161" s="152"/>
      <c r="I161" s="160">
        <f t="shared" si="2"/>
        <v>121040.01999999997</v>
      </c>
    </row>
    <row r="162" spans="2:9" x14ac:dyDescent="0.25">
      <c r="B162" s="148"/>
      <c r="C162" s="148" t="s">
        <v>25905</v>
      </c>
      <c r="D162" s="150">
        <v>44109</v>
      </c>
      <c r="E162" s="113" t="s">
        <v>25904</v>
      </c>
      <c r="F162" s="257">
        <v>8</v>
      </c>
      <c r="G162" s="255">
        <v>2.97</v>
      </c>
      <c r="H162" s="152"/>
      <c r="I162" s="160">
        <f t="shared" si="2"/>
        <v>121042.98999999998</v>
      </c>
    </row>
    <row r="163" spans="2:9" x14ac:dyDescent="0.25">
      <c r="B163" s="148"/>
      <c r="C163" s="148" t="s">
        <v>25903</v>
      </c>
      <c r="D163" s="150">
        <v>44109</v>
      </c>
      <c r="E163" s="113" t="s">
        <v>25902</v>
      </c>
      <c r="F163" s="257">
        <v>8</v>
      </c>
      <c r="G163" s="255">
        <v>3.85</v>
      </c>
      <c r="H163" s="152"/>
      <c r="I163" s="160">
        <f t="shared" si="2"/>
        <v>121046.83999999998</v>
      </c>
    </row>
    <row r="164" spans="2:9" x14ac:dyDescent="0.25">
      <c r="B164" s="148"/>
      <c r="C164" s="148" t="s">
        <v>25901</v>
      </c>
      <c r="D164" s="150">
        <v>44109</v>
      </c>
      <c r="E164" s="113" t="s">
        <v>25900</v>
      </c>
      <c r="F164" s="257">
        <v>8</v>
      </c>
      <c r="G164" s="255">
        <v>2</v>
      </c>
      <c r="H164" s="152"/>
      <c r="I164" s="160">
        <f t="shared" si="2"/>
        <v>121048.83999999998</v>
      </c>
    </row>
    <row r="165" spans="2:9" x14ac:dyDescent="0.25">
      <c r="B165" s="148"/>
      <c r="C165" s="148" t="s">
        <v>25899</v>
      </c>
      <c r="D165" s="150">
        <v>44109</v>
      </c>
      <c r="E165" s="113" t="s">
        <v>25898</v>
      </c>
      <c r="F165" s="257" t="s">
        <v>14436</v>
      </c>
      <c r="G165" s="160">
        <v>26.78</v>
      </c>
      <c r="H165" s="152"/>
      <c r="I165" s="160">
        <f t="shared" si="2"/>
        <v>121075.61999999998</v>
      </c>
    </row>
    <row r="166" spans="2:9" x14ac:dyDescent="0.25">
      <c r="B166" s="148"/>
      <c r="C166" s="148" t="s">
        <v>25897</v>
      </c>
      <c r="D166" s="150">
        <v>44109</v>
      </c>
      <c r="E166" s="113" t="s">
        <v>25896</v>
      </c>
      <c r="F166" s="257" t="s">
        <v>14436</v>
      </c>
      <c r="G166" s="160">
        <v>25.14</v>
      </c>
      <c r="H166" s="152"/>
      <c r="I166" s="160">
        <f t="shared" si="2"/>
        <v>121100.75999999998</v>
      </c>
    </row>
    <row r="167" spans="2:9" ht="19.5" x14ac:dyDescent="0.25">
      <c r="B167" s="148"/>
      <c r="C167" s="148" t="s">
        <v>25895</v>
      </c>
      <c r="D167" s="150">
        <v>44109</v>
      </c>
      <c r="E167" s="113" t="s">
        <v>25894</v>
      </c>
      <c r="F167" s="257" t="s">
        <v>18712</v>
      </c>
      <c r="G167" s="160">
        <v>50.61</v>
      </c>
      <c r="H167" s="152"/>
      <c r="I167" s="160">
        <f t="shared" si="2"/>
        <v>121151.36999999998</v>
      </c>
    </row>
    <row r="168" spans="2:9" x14ac:dyDescent="0.25">
      <c r="B168" s="148"/>
      <c r="C168" s="148" t="s">
        <v>25893</v>
      </c>
      <c r="D168" s="150">
        <v>44109</v>
      </c>
      <c r="E168" s="113" t="s">
        <v>25892</v>
      </c>
      <c r="F168" s="257" t="s">
        <v>14436</v>
      </c>
      <c r="G168" s="160">
        <v>821.17</v>
      </c>
      <c r="H168" s="152"/>
      <c r="I168" s="160">
        <f t="shared" si="2"/>
        <v>121972.53999999998</v>
      </c>
    </row>
    <row r="169" spans="2:9" x14ac:dyDescent="0.25">
      <c r="B169" s="148"/>
      <c r="C169" s="148" t="s">
        <v>25891</v>
      </c>
      <c r="D169" s="150">
        <v>44109</v>
      </c>
      <c r="E169" s="113" t="s">
        <v>25890</v>
      </c>
      <c r="F169" s="257" t="s">
        <v>14408</v>
      </c>
      <c r="G169" s="258">
        <v>3.75</v>
      </c>
      <c r="H169" s="152"/>
      <c r="I169" s="160">
        <f t="shared" si="2"/>
        <v>121976.28999999998</v>
      </c>
    </row>
    <row r="170" spans="2:9" x14ac:dyDescent="0.25">
      <c r="B170" s="148"/>
      <c r="C170" s="148" t="s">
        <v>25889</v>
      </c>
      <c r="D170" s="150">
        <v>44109</v>
      </c>
      <c r="E170" s="113" t="s">
        <v>25888</v>
      </c>
      <c r="F170" s="257">
        <v>8</v>
      </c>
      <c r="G170" s="255">
        <v>4.5</v>
      </c>
      <c r="H170" s="152"/>
      <c r="I170" s="160">
        <f t="shared" si="2"/>
        <v>121980.78999999998</v>
      </c>
    </row>
    <row r="171" spans="2:9" ht="19.5" x14ac:dyDescent="0.25">
      <c r="B171" s="148"/>
      <c r="C171" s="148" t="s">
        <v>25887</v>
      </c>
      <c r="D171" s="150">
        <v>44109</v>
      </c>
      <c r="E171" s="113" t="s">
        <v>25886</v>
      </c>
      <c r="F171" s="257" t="s">
        <v>14408</v>
      </c>
      <c r="G171" s="258">
        <v>27.6</v>
      </c>
      <c r="H171" s="152"/>
      <c r="I171" s="160">
        <f t="shared" si="2"/>
        <v>122008.38999999998</v>
      </c>
    </row>
    <row r="172" spans="2:9" x14ac:dyDescent="0.25">
      <c r="B172" s="148"/>
      <c r="C172" s="148" t="s">
        <v>25885</v>
      </c>
      <c r="D172" s="150">
        <v>44110</v>
      </c>
      <c r="E172" s="113" t="s">
        <v>25884</v>
      </c>
      <c r="F172" s="257" t="s">
        <v>14436</v>
      </c>
      <c r="G172" s="160">
        <v>8.86</v>
      </c>
      <c r="H172" s="152"/>
      <c r="I172" s="160">
        <f t="shared" si="2"/>
        <v>122017.24999999999</v>
      </c>
    </row>
    <row r="173" spans="2:9" ht="19.5" x14ac:dyDescent="0.25">
      <c r="B173" s="148"/>
      <c r="C173" s="148" t="s">
        <v>25883</v>
      </c>
      <c r="D173" s="150">
        <v>44110</v>
      </c>
      <c r="E173" s="113" t="s">
        <v>25882</v>
      </c>
      <c r="F173" s="257" t="s">
        <v>18712</v>
      </c>
      <c r="G173" s="160">
        <v>30.6</v>
      </c>
      <c r="H173" s="152"/>
      <c r="I173" s="160">
        <f t="shared" si="2"/>
        <v>122047.84999999999</v>
      </c>
    </row>
    <row r="174" spans="2:9" x14ac:dyDescent="0.25">
      <c r="B174" s="148"/>
      <c r="C174" s="148" t="s">
        <v>25881</v>
      </c>
      <c r="D174" s="150">
        <v>44110</v>
      </c>
      <c r="E174" s="113" t="s">
        <v>25880</v>
      </c>
      <c r="F174" s="257">
        <v>9</v>
      </c>
      <c r="G174" s="255">
        <v>13.44</v>
      </c>
      <c r="H174" s="152"/>
      <c r="I174" s="160">
        <f t="shared" si="2"/>
        <v>122061.29</v>
      </c>
    </row>
    <row r="175" spans="2:9" x14ac:dyDescent="0.25">
      <c r="B175" s="148"/>
      <c r="C175" s="148" t="s">
        <v>25879</v>
      </c>
      <c r="D175" s="150">
        <v>44110</v>
      </c>
      <c r="E175" s="113" t="s">
        <v>25878</v>
      </c>
      <c r="F175" s="257">
        <v>9</v>
      </c>
      <c r="G175" s="255">
        <v>8.3800000000000008</v>
      </c>
      <c r="H175" s="152"/>
      <c r="I175" s="160">
        <f t="shared" si="2"/>
        <v>122069.67</v>
      </c>
    </row>
    <row r="176" spans="2:9" x14ac:dyDescent="0.25">
      <c r="B176" s="148"/>
      <c r="C176" s="148" t="s">
        <v>25877</v>
      </c>
      <c r="D176" s="150">
        <v>44110</v>
      </c>
      <c r="E176" s="113" t="s">
        <v>25876</v>
      </c>
      <c r="F176" s="257" t="s">
        <v>14408</v>
      </c>
      <c r="G176" s="255">
        <v>11.04</v>
      </c>
      <c r="H176" s="152"/>
      <c r="I176" s="160">
        <f t="shared" si="2"/>
        <v>122080.70999999999</v>
      </c>
    </row>
    <row r="177" spans="2:9" x14ac:dyDescent="0.25">
      <c r="B177" s="148"/>
      <c r="C177" s="148" t="s">
        <v>25875</v>
      </c>
      <c r="D177" s="150">
        <v>44110</v>
      </c>
      <c r="E177" s="113" t="s">
        <v>25874</v>
      </c>
      <c r="F177" s="257" t="s">
        <v>14408</v>
      </c>
      <c r="G177" s="258">
        <v>5.41</v>
      </c>
      <c r="H177" s="152"/>
      <c r="I177" s="160">
        <f t="shared" si="2"/>
        <v>122086.12</v>
      </c>
    </row>
    <row r="178" spans="2:9" x14ac:dyDescent="0.25">
      <c r="B178" s="148"/>
      <c r="C178" s="148" t="s">
        <v>25873</v>
      </c>
      <c r="D178" s="150">
        <v>44110</v>
      </c>
      <c r="E178" s="113" t="s">
        <v>25872</v>
      </c>
      <c r="F178" s="257" t="s">
        <v>14408</v>
      </c>
      <c r="G178" s="258">
        <v>10.33</v>
      </c>
      <c r="H178" s="152"/>
      <c r="I178" s="160">
        <f t="shared" si="2"/>
        <v>122096.45</v>
      </c>
    </row>
    <row r="179" spans="2:9" x14ac:dyDescent="0.25">
      <c r="B179" s="148"/>
      <c r="C179" s="148" t="s">
        <v>25871</v>
      </c>
      <c r="D179" s="150">
        <v>44110</v>
      </c>
      <c r="E179" s="113" t="s">
        <v>25870</v>
      </c>
      <c r="F179" s="257" t="s">
        <v>14408</v>
      </c>
      <c r="G179" s="258">
        <v>1.81</v>
      </c>
      <c r="H179" s="152"/>
      <c r="I179" s="160">
        <f t="shared" si="2"/>
        <v>122098.26</v>
      </c>
    </row>
    <row r="180" spans="2:9" x14ac:dyDescent="0.25">
      <c r="B180" s="148"/>
      <c r="C180" s="148" t="s">
        <v>25869</v>
      </c>
      <c r="D180" s="150">
        <v>44110</v>
      </c>
      <c r="E180" s="113" t="s">
        <v>25868</v>
      </c>
      <c r="F180" s="257" t="s">
        <v>14408</v>
      </c>
      <c r="G180" s="258">
        <v>1.03</v>
      </c>
      <c r="H180" s="152"/>
      <c r="I180" s="160">
        <f t="shared" si="2"/>
        <v>122099.29</v>
      </c>
    </row>
    <row r="181" spans="2:9" x14ac:dyDescent="0.25">
      <c r="B181" s="148"/>
      <c r="C181" s="148" t="s">
        <v>25867</v>
      </c>
      <c r="D181" s="150">
        <v>44110</v>
      </c>
      <c r="E181" s="113" t="s">
        <v>25866</v>
      </c>
      <c r="F181" s="257" t="s">
        <v>14408</v>
      </c>
      <c r="G181" s="258">
        <v>1.68</v>
      </c>
      <c r="H181" s="152"/>
      <c r="I181" s="160">
        <f t="shared" si="2"/>
        <v>122100.96999999999</v>
      </c>
    </row>
    <row r="182" spans="2:9" x14ac:dyDescent="0.25">
      <c r="B182" s="148"/>
      <c r="C182" s="148" t="s">
        <v>25865</v>
      </c>
      <c r="D182" s="150">
        <v>44110</v>
      </c>
      <c r="E182" s="113" t="s">
        <v>25864</v>
      </c>
      <c r="F182" s="257" t="s">
        <v>14408</v>
      </c>
      <c r="G182" s="258">
        <v>1.69</v>
      </c>
      <c r="H182" s="152"/>
      <c r="I182" s="160">
        <f t="shared" si="2"/>
        <v>122102.65999999999</v>
      </c>
    </row>
    <row r="183" spans="2:9" x14ac:dyDescent="0.25">
      <c r="B183" s="148"/>
      <c r="C183" s="148" t="s">
        <v>25863</v>
      </c>
      <c r="D183" s="150">
        <v>44110</v>
      </c>
      <c r="E183" s="113" t="s">
        <v>25862</v>
      </c>
      <c r="F183" s="257" t="s">
        <v>14408</v>
      </c>
      <c r="G183" s="258">
        <v>7.73</v>
      </c>
      <c r="H183" s="152"/>
      <c r="I183" s="160">
        <f t="shared" si="2"/>
        <v>122110.38999999998</v>
      </c>
    </row>
    <row r="184" spans="2:9" ht="19.5" x14ac:dyDescent="0.25">
      <c r="B184" s="148"/>
      <c r="C184" s="148" t="s">
        <v>25861</v>
      </c>
      <c r="D184" s="150">
        <v>44110</v>
      </c>
      <c r="E184" s="113" t="s">
        <v>25860</v>
      </c>
      <c r="F184" s="257" t="s">
        <v>14408</v>
      </c>
      <c r="G184" s="258">
        <v>46.8</v>
      </c>
      <c r="H184" s="152"/>
      <c r="I184" s="160">
        <f t="shared" si="2"/>
        <v>122157.18999999999</v>
      </c>
    </row>
    <row r="185" spans="2:9" x14ac:dyDescent="0.25">
      <c r="B185" s="148"/>
      <c r="C185" s="148" t="s">
        <v>25859</v>
      </c>
      <c r="D185" s="150">
        <v>44110</v>
      </c>
      <c r="E185" s="113" t="s">
        <v>25858</v>
      </c>
      <c r="F185" s="257" t="s">
        <v>14408</v>
      </c>
      <c r="G185" s="258">
        <v>2.4900000000000002</v>
      </c>
      <c r="H185" s="152"/>
      <c r="I185" s="160">
        <f t="shared" si="2"/>
        <v>122159.67999999999</v>
      </c>
    </row>
    <row r="186" spans="2:9" x14ac:dyDescent="0.25">
      <c r="B186" s="148"/>
      <c r="C186" s="148" t="s">
        <v>25857</v>
      </c>
      <c r="D186" s="150">
        <v>44110</v>
      </c>
      <c r="E186" s="113" t="s">
        <v>25856</v>
      </c>
      <c r="F186" s="257" t="s">
        <v>14408</v>
      </c>
      <c r="G186" s="258">
        <v>7.6</v>
      </c>
      <c r="H186" s="152"/>
      <c r="I186" s="160">
        <f t="shared" si="2"/>
        <v>122167.28</v>
      </c>
    </row>
    <row r="187" spans="2:9" x14ac:dyDescent="0.25">
      <c r="B187" s="148"/>
      <c r="C187" s="148" t="s">
        <v>25855</v>
      </c>
      <c r="D187" s="150">
        <v>44110</v>
      </c>
      <c r="E187" s="113" t="s">
        <v>25854</v>
      </c>
      <c r="F187" s="257" t="s">
        <v>14408</v>
      </c>
      <c r="G187" s="258">
        <v>1.85</v>
      </c>
      <c r="H187" s="152"/>
      <c r="I187" s="160">
        <f t="shared" si="2"/>
        <v>122169.13</v>
      </c>
    </row>
    <row r="188" spans="2:9" x14ac:dyDescent="0.25">
      <c r="B188" s="148"/>
      <c r="C188" s="148" t="s">
        <v>25853</v>
      </c>
      <c r="D188" s="150">
        <v>44110</v>
      </c>
      <c r="E188" s="113" t="s">
        <v>25852</v>
      </c>
      <c r="F188" s="257" t="s">
        <v>14408</v>
      </c>
      <c r="G188" s="258">
        <v>17.48</v>
      </c>
      <c r="H188" s="152"/>
      <c r="I188" s="160">
        <f t="shared" si="2"/>
        <v>122186.61</v>
      </c>
    </row>
    <row r="189" spans="2:9" x14ac:dyDescent="0.25">
      <c r="B189" s="148"/>
      <c r="C189" s="148" t="s">
        <v>25851</v>
      </c>
      <c r="D189" s="150">
        <v>44110</v>
      </c>
      <c r="E189" s="113" t="s">
        <v>25850</v>
      </c>
      <c r="F189" s="257" t="s">
        <v>14408</v>
      </c>
      <c r="G189" s="258">
        <v>0.86</v>
      </c>
      <c r="H189" s="152"/>
      <c r="I189" s="160">
        <f t="shared" si="2"/>
        <v>122187.47</v>
      </c>
    </row>
    <row r="190" spans="2:9" x14ac:dyDescent="0.25">
      <c r="B190" s="148"/>
      <c r="C190" s="148" t="s">
        <v>25849</v>
      </c>
      <c r="D190" s="150">
        <v>44110</v>
      </c>
      <c r="E190" s="113" t="s">
        <v>25848</v>
      </c>
      <c r="F190" s="257" t="s">
        <v>14408</v>
      </c>
      <c r="G190" s="258">
        <v>3.83</v>
      </c>
      <c r="H190" s="152"/>
      <c r="I190" s="160">
        <f t="shared" si="2"/>
        <v>122191.3</v>
      </c>
    </row>
    <row r="191" spans="2:9" x14ac:dyDescent="0.25">
      <c r="B191" s="148"/>
      <c r="C191" s="148" t="s">
        <v>25847</v>
      </c>
      <c r="D191" s="150">
        <v>44110</v>
      </c>
      <c r="E191" s="113" t="s">
        <v>25846</v>
      </c>
      <c r="F191" s="257" t="s">
        <v>14408</v>
      </c>
      <c r="G191" s="258">
        <v>3.06</v>
      </c>
      <c r="H191" s="152"/>
      <c r="I191" s="160">
        <f t="shared" si="2"/>
        <v>122194.36</v>
      </c>
    </row>
    <row r="192" spans="2:9" x14ac:dyDescent="0.25">
      <c r="B192" s="148"/>
      <c r="C192" s="148" t="s">
        <v>25845</v>
      </c>
      <c r="D192" s="150">
        <v>44110</v>
      </c>
      <c r="E192" s="113" t="s">
        <v>25844</v>
      </c>
      <c r="F192" s="257" t="s">
        <v>14408</v>
      </c>
      <c r="G192" s="258">
        <v>5.3</v>
      </c>
      <c r="H192" s="152"/>
      <c r="I192" s="160">
        <f t="shared" si="2"/>
        <v>122199.66</v>
      </c>
    </row>
    <row r="193" spans="2:9" ht="19.5" x14ac:dyDescent="0.25">
      <c r="B193" s="148"/>
      <c r="C193" s="148" t="s">
        <v>25843</v>
      </c>
      <c r="D193" s="150">
        <v>44110</v>
      </c>
      <c r="E193" s="113" t="s">
        <v>25842</v>
      </c>
      <c r="F193" s="257" t="s">
        <v>14408</v>
      </c>
      <c r="G193" s="258">
        <v>16.940000000000001</v>
      </c>
      <c r="H193" s="152"/>
      <c r="I193" s="160">
        <f t="shared" si="2"/>
        <v>122216.6</v>
      </c>
    </row>
    <row r="194" spans="2:9" ht="19.5" x14ac:dyDescent="0.25">
      <c r="B194" s="148"/>
      <c r="C194" s="148" t="s">
        <v>25841</v>
      </c>
      <c r="D194" s="150">
        <v>44110</v>
      </c>
      <c r="E194" s="113" t="s">
        <v>25840</v>
      </c>
      <c r="F194" s="257" t="s">
        <v>14408</v>
      </c>
      <c r="G194" s="258">
        <v>14.26</v>
      </c>
      <c r="H194" s="152"/>
      <c r="I194" s="160">
        <f t="shared" si="2"/>
        <v>122230.86</v>
      </c>
    </row>
    <row r="195" spans="2:9" x14ac:dyDescent="0.25">
      <c r="B195" s="148"/>
      <c r="C195" s="148" t="s">
        <v>25839</v>
      </c>
      <c r="D195" s="150">
        <v>44110</v>
      </c>
      <c r="E195" s="113" t="s">
        <v>25838</v>
      </c>
      <c r="F195" s="257" t="s">
        <v>14408</v>
      </c>
      <c r="G195" s="258">
        <v>3.88</v>
      </c>
      <c r="H195" s="152"/>
      <c r="I195" s="160">
        <f t="shared" si="2"/>
        <v>122234.74</v>
      </c>
    </row>
    <row r="196" spans="2:9" x14ac:dyDescent="0.25">
      <c r="B196" s="148"/>
      <c r="C196" s="148" t="s">
        <v>25837</v>
      </c>
      <c r="D196" s="150">
        <v>44110</v>
      </c>
      <c r="E196" s="113" t="s">
        <v>25836</v>
      </c>
      <c r="F196" s="257" t="s">
        <v>14408</v>
      </c>
      <c r="G196" s="258">
        <v>3.05</v>
      </c>
      <c r="H196" s="152"/>
      <c r="I196" s="160">
        <f t="shared" si="2"/>
        <v>122237.79000000001</v>
      </c>
    </row>
    <row r="197" spans="2:9" x14ac:dyDescent="0.25">
      <c r="B197" s="148"/>
      <c r="C197" s="148" t="s">
        <v>25835</v>
      </c>
      <c r="D197" s="150">
        <v>44110</v>
      </c>
      <c r="E197" s="113" t="s">
        <v>25834</v>
      </c>
      <c r="F197" s="257" t="s">
        <v>14408</v>
      </c>
      <c r="G197" s="258">
        <v>5.42</v>
      </c>
      <c r="H197" s="152"/>
      <c r="I197" s="160">
        <f t="shared" si="2"/>
        <v>122243.21</v>
      </c>
    </row>
    <row r="198" spans="2:9" x14ac:dyDescent="0.25">
      <c r="B198" s="148"/>
      <c r="C198" s="148" t="s">
        <v>25833</v>
      </c>
      <c r="D198" s="150">
        <v>44110</v>
      </c>
      <c r="E198" s="113" t="s">
        <v>25832</v>
      </c>
      <c r="F198" s="257" t="s">
        <v>14408</v>
      </c>
      <c r="G198" s="258">
        <v>3.91</v>
      </c>
      <c r="H198" s="152"/>
      <c r="I198" s="160">
        <f t="shared" si="2"/>
        <v>122247.12000000001</v>
      </c>
    </row>
    <row r="199" spans="2:9" x14ac:dyDescent="0.25">
      <c r="B199" s="148"/>
      <c r="C199" s="148" t="s">
        <v>25831</v>
      </c>
      <c r="D199" s="150">
        <v>44110</v>
      </c>
      <c r="E199" s="113" t="s">
        <v>25830</v>
      </c>
      <c r="F199" s="257" t="s">
        <v>14408</v>
      </c>
      <c r="G199" s="258">
        <v>5.51</v>
      </c>
      <c r="H199" s="152"/>
      <c r="I199" s="160">
        <f t="shared" si="2"/>
        <v>122252.63</v>
      </c>
    </row>
    <row r="200" spans="2:9" x14ac:dyDescent="0.25">
      <c r="B200" s="148"/>
      <c r="C200" s="148" t="s">
        <v>25829</v>
      </c>
      <c r="D200" s="150">
        <v>44110</v>
      </c>
      <c r="E200" s="113" t="s">
        <v>25828</v>
      </c>
      <c r="F200" s="257" t="s">
        <v>14408</v>
      </c>
      <c r="G200" s="258">
        <v>1.68</v>
      </c>
      <c r="H200" s="152"/>
      <c r="I200" s="160">
        <f t="shared" si="2"/>
        <v>122254.31</v>
      </c>
    </row>
    <row r="201" spans="2:9" x14ac:dyDescent="0.25">
      <c r="B201" s="148"/>
      <c r="C201" s="148" t="s">
        <v>25827</v>
      </c>
      <c r="D201" s="150">
        <v>44110</v>
      </c>
      <c r="E201" s="113" t="s">
        <v>25826</v>
      </c>
      <c r="F201" s="257" t="s">
        <v>14408</v>
      </c>
      <c r="G201" s="258">
        <v>7.25</v>
      </c>
      <c r="H201" s="152"/>
      <c r="I201" s="160">
        <f t="shared" si="2"/>
        <v>122261.56</v>
      </c>
    </row>
    <row r="202" spans="2:9" ht="19.5" x14ac:dyDescent="0.25">
      <c r="B202" s="148"/>
      <c r="C202" s="148" t="s">
        <v>25825</v>
      </c>
      <c r="D202" s="150">
        <v>44110</v>
      </c>
      <c r="E202" s="113" t="s">
        <v>25824</v>
      </c>
      <c r="F202" s="257" t="s">
        <v>14408</v>
      </c>
      <c r="G202" s="258">
        <v>23.93</v>
      </c>
      <c r="H202" s="152"/>
      <c r="I202" s="160">
        <f t="shared" si="2"/>
        <v>122285.48999999999</v>
      </c>
    </row>
    <row r="203" spans="2:9" ht="19.5" x14ac:dyDescent="0.25">
      <c r="B203" s="148"/>
      <c r="C203" s="148" t="s">
        <v>25823</v>
      </c>
      <c r="D203" s="150">
        <v>44110</v>
      </c>
      <c r="E203" s="113" t="s">
        <v>25822</v>
      </c>
      <c r="F203" s="257">
        <v>9</v>
      </c>
      <c r="G203" s="255">
        <v>112.65</v>
      </c>
      <c r="H203" s="152"/>
      <c r="I203" s="160">
        <f t="shared" si="2"/>
        <v>122398.13999999998</v>
      </c>
    </row>
    <row r="204" spans="2:9" x14ac:dyDescent="0.25">
      <c r="B204" s="148"/>
      <c r="C204" s="148" t="s">
        <v>25821</v>
      </c>
      <c r="D204" s="150">
        <v>44110</v>
      </c>
      <c r="E204" s="113" t="s">
        <v>25820</v>
      </c>
      <c r="F204" s="257">
        <v>9</v>
      </c>
      <c r="G204" s="255">
        <v>15.3</v>
      </c>
      <c r="H204" s="152"/>
      <c r="I204" s="160">
        <f t="shared" si="2"/>
        <v>122413.43999999999</v>
      </c>
    </row>
    <row r="205" spans="2:9" x14ac:dyDescent="0.25">
      <c r="B205" s="148"/>
      <c r="C205" s="148" t="s">
        <v>25819</v>
      </c>
      <c r="D205" s="150">
        <v>44110</v>
      </c>
      <c r="E205" s="113" t="s">
        <v>25818</v>
      </c>
      <c r="F205" s="257">
        <v>9</v>
      </c>
      <c r="G205" s="255">
        <v>3</v>
      </c>
      <c r="H205" s="152"/>
      <c r="I205" s="160">
        <f t="shared" si="2"/>
        <v>122416.43999999999</v>
      </c>
    </row>
    <row r="206" spans="2:9" ht="19.5" x14ac:dyDescent="0.25">
      <c r="B206" s="148"/>
      <c r="C206" s="148" t="s">
        <v>25817</v>
      </c>
      <c r="D206" s="150">
        <v>44110</v>
      </c>
      <c r="E206" s="113" t="s">
        <v>25816</v>
      </c>
      <c r="F206" s="257" t="s">
        <v>18712</v>
      </c>
      <c r="G206" s="160">
        <v>107.1</v>
      </c>
      <c r="H206" s="152"/>
      <c r="I206" s="160">
        <f t="shared" si="2"/>
        <v>122523.54</v>
      </c>
    </row>
    <row r="207" spans="2:9" ht="19.5" x14ac:dyDescent="0.25">
      <c r="B207" s="148"/>
      <c r="C207" s="148" t="s">
        <v>25815</v>
      </c>
      <c r="D207" s="150">
        <v>44111</v>
      </c>
      <c r="E207" s="113" t="s">
        <v>25814</v>
      </c>
      <c r="F207" s="257" t="s">
        <v>14408</v>
      </c>
      <c r="G207" s="258">
        <v>4.4800000000000004</v>
      </c>
      <c r="H207" s="152"/>
      <c r="I207" s="160">
        <f t="shared" si="2"/>
        <v>122528.01999999999</v>
      </c>
    </row>
    <row r="208" spans="2:9" ht="19.5" x14ac:dyDescent="0.25">
      <c r="B208" s="148"/>
      <c r="C208" s="148" t="s">
        <v>25813</v>
      </c>
      <c r="D208" s="150">
        <v>44111</v>
      </c>
      <c r="E208" s="113" t="s">
        <v>25812</v>
      </c>
      <c r="F208" s="257" t="s">
        <v>14436</v>
      </c>
      <c r="G208" s="160">
        <v>3.94</v>
      </c>
      <c r="H208" s="152"/>
      <c r="I208" s="160">
        <f t="shared" si="2"/>
        <v>122531.95999999999</v>
      </c>
    </row>
    <row r="209" spans="2:9" x14ac:dyDescent="0.25">
      <c r="B209" s="148"/>
      <c r="C209" s="148" t="s">
        <v>25811</v>
      </c>
      <c r="D209" s="150">
        <v>44111</v>
      </c>
      <c r="E209" s="113" t="s">
        <v>25810</v>
      </c>
      <c r="F209" s="257" t="s">
        <v>14408</v>
      </c>
      <c r="G209" s="258">
        <v>2.97</v>
      </c>
      <c r="H209" s="152"/>
      <c r="I209" s="160">
        <f t="shared" si="2"/>
        <v>122534.93</v>
      </c>
    </row>
    <row r="210" spans="2:9" ht="19.5" x14ac:dyDescent="0.25">
      <c r="B210" s="148"/>
      <c r="C210" s="148" t="s">
        <v>25809</v>
      </c>
      <c r="D210" s="150">
        <v>44111</v>
      </c>
      <c r="E210" s="113" t="s">
        <v>25808</v>
      </c>
      <c r="F210" s="257" t="s">
        <v>14408</v>
      </c>
      <c r="G210" s="258">
        <v>25.76</v>
      </c>
      <c r="H210" s="152"/>
      <c r="I210" s="160">
        <f t="shared" si="2"/>
        <v>122560.68999999999</v>
      </c>
    </row>
    <row r="211" spans="2:9" x14ac:dyDescent="0.25">
      <c r="B211" s="148"/>
      <c r="C211" s="148" t="s">
        <v>25807</v>
      </c>
      <c r="D211" s="150">
        <v>44111</v>
      </c>
      <c r="E211" s="113" t="s">
        <v>25806</v>
      </c>
      <c r="F211" s="257" t="s">
        <v>14408</v>
      </c>
      <c r="G211" s="258">
        <v>6.76</v>
      </c>
      <c r="H211" s="152"/>
      <c r="I211" s="160">
        <f t="shared" si="2"/>
        <v>122567.44999999998</v>
      </c>
    </row>
    <row r="212" spans="2:9" x14ac:dyDescent="0.25">
      <c r="B212" s="148"/>
      <c r="C212" s="148" t="s">
        <v>25805</v>
      </c>
      <c r="D212" s="150">
        <v>44111</v>
      </c>
      <c r="E212" s="113" t="s">
        <v>25804</v>
      </c>
      <c r="F212" s="257" t="s">
        <v>14408</v>
      </c>
      <c r="G212" s="258">
        <v>2.2000000000000002</v>
      </c>
      <c r="H212" s="152"/>
      <c r="I212" s="160">
        <f t="shared" ref="I212:I275" si="3">+I211+G212-H212</f>
        <v>122569.64999999998</v>
      </c>
    </row>
    <row r="213" spans="2:9" x14ac:dyDescent="0.25">
      <c r="B213" s="148"/>
      <c r="C213" s="148" t="s">
        <v>25803</v>
      </c>
      <c r="D213" s="150">
        <v>44111</v>
      </c>
      <c r="E213" s="113" t="s">
        <v>25802</v>
      </c>
      <c r="F213" s="257" t="s">
        <v>14408</v>
      </c>
      <c r="G213" s="258">
        <v>17.7</v>
      </c>
      <c r="H213" s="152"/>
      <c r="I213" s="160">
        <f t="shared" si="3"/>
        <v>122587.34999999998</v>
      </c>
    </row>
    <row r="214" spans="2:9" x14ac:dyDescent="0.25">
      <c r="B214" s="148"/>
      <c r="C214" s="148" t="s">
        <v>25801</v>
      </c>
      <c r="D214" s="150">
        <v>44111</v>
      </c>
      <c r="E214" s="113" t="s">
        <v>25800</v>
      </c>
      <c r="F214" s="257" t="s">
        <v>14408</v>
      </c>
      <c r="G214" s="258">
        <v>5.58</v>
      </c>
      <c r="H214" s="152"/>
      <c r="I214" s="160">
        <f t="shared" si="3"/>
        <v>122592.92999999998</v>
      </c>
    </row>
    <row r="215" spans="2:9" x14ac:dyDescent="0.25">
      <c r="B215" s="148"/>
      <c r="C215" s="148" t="s">
        <v>25799</v>
      </c>
      <c r="D215" s="150">
        <v>44111</v>
      </c>
      <c r="E215" s="113" t="s">
        <v>25798</v>
      </c>
      <c r="F215" s="257" t="s">
        <v>14408</v>
      </c>
      <c r="G215" s="258">
        <v>8.4600000000000009</v>
      </c>
      <c r="H215" s="152"/>
      <c r="I215" s="160">
        <f t="shared" si="3"/>
        <v>122601.38999999998</v>
      </c>
    </row>
    <row r="216" spans="2:9" ht="19.5" x14ac:dyDescent="0.25">
      <c r="B216" s="148"/>
      <c r="C216" s="148" t="s">
        <v>25797</v>
      </c>
      <c r="D216" s="150">
        <v>44111</v>
      </c>
      <c r="E216" s="113" t="s">
        <v>25796</v>
      </c>
      <c r="F216" s="257" t="s">
        <v>14408</v>
      </c>
      <c r="G216" s="258">
        <v>67.239999999999995</v>
      </c>
      <c r="H216" s="152"/>
      <c r="I216" s="160">
        <f t="shared" si="3"/>
        <v>122668.62999999999</v>
      </c>
    </row>
    <row r="217" spans="2:9" x14ac:dyDescent="0.25">
      <c r="B217" s="148"/>
      <c r="C217" s="148" t="s">
        <v>25795</v>
      </c>
      <c r="D217" s="150">
        <v>44111</v>
      </c>
      <c r="E217" s="113" t="s">
        <v>25794</v>
      </c>
      <c r="F217" s="257" t="s">
        <v>14408</v>
      </c>
      <c r="G217" s="258">
        <v>9.32</v>
      </c>
      <c r="H217" s="152"/>
      <c r="I217" s="160">
        <f t="shared" si="3"/>
        <v>122677.95</v>
      </c>
    </row>
    <row r="218" spans="2:9" ht="19.5" x14ac:dyDescent="0.25">
      <c r="B218" s="148"/>
      <c r="C218" s="148" t="s">
        <v>25793</v>
      </c>
      <c r="D218" s="150">
        <v>44111</v>
      </c>
      <c r="E218" s="113" t="s">
        <v>25792</v>
      </c>
      <c r="F218" s="257" t="s">
        <v>14408</v>
      </c>
      <c r="G218" s="258">
        <v>15.69</v>
      </c>
      <c r="H218" s="152"/>
      <c r="I218" s="160">
        <f t="shared" si="3"/>
        <v>122693.64</v>
      </c>
    </row>
    <row r="219" spans="2:9" x14ac:dyDescent="0.25">
      <c r="B219" s="148"/>
      <c r="C219" s="148" t="s">
        <v>25791</v>
      </c>
      <c r="D219" s="150">
        <v>44111</v>
      </c>
      <c r="E219" s="113" t="s">
        <v>25790</v>
      </c>
      <c r="F219" s="257" t="s">
        <v>14408</v>
      </c>
      <c r="G219" s="258">
        <v>2.72</v>
      </c>
      <c r="H219" s="152"/>
      <c r="I219" s="160">
        <f t="shared" si="3"/>
        <v>122696.36</v>
      </c>
    </row>
    <row r="220" spans="2:9" x14ac:dyDescent="0.25">
      <c r="B220" s="148"/>
      <c r="C220" s="148" t="s">
        <v>25789</v>
      </c>
      <c r="D220" s="150">
        <v>44111</v>
      </c>
      <c r="E220" s="113" t="s">
        <v>25788</v>
      </c>
      <c r="F220" s="257" t="s">
        <v>14408</v>
      </c>
      <c r="G220" s="258">
        <v>7.93</v>
      </c>
      <c r="H220" s="152"/>
      <c r="I220" s="160">
        <f t="shared" si="3"/>
        <v>122704.29</v>
      </c>
    </row>
    <row r="221" spans="2:9" x14ac:dyDescent="0.25">
      <c r="B221" s="148"/>
      <c r="C221" s="148" t="s">
        <v>25787</v>
      </c>
      <c r="D221" s="150">
        <v>44111</v>
      </c>
      <c r="E221" s="113" t="s">
        <v>25786</v>
      </c>
      <c r="F221" s="257" t="s">
        <v>14408</v>
      </c>
      <c r="G221" s="258">
        <v>1.69</v>
      </c>
      <c r="H221" s="152"/>
      <c r="I221" s="160">
        <f t="shared" si="3"/>
        <v>122705.98</v>
      </c>
    </row>
    <row r="222" spans="2:9" x14ac:dyDescent="0.25">
      <c r="B222" s="148"/>
      <c r="C222" s="148" t="s">
        <v>25785</v>
      </c>
      <c r="D222" s="150">
        <v>44111</v>
      </c>
      <c r="E222" s="113" t="s">
        <v>25784</v>
      </c>
      <c r="F222" s="257" t="s">
        <v>14408</v>
      </c>
      <c r="G222" s="258">
        <v>19.61</v>
      </c>
      <c r="H222" s="152"/>
      <c r="I222" s="160">
        <f t="shared" si="3"/>
        <v>122725.59</v>
      </c>
    </row>
    <row r="223" spans="2:9" x14ac:dyDescent="0.25">
      <c r="B223" s="148"/>
      <c r="C223" s="148" t="s">
        <v>25783</v>
      </c>
      <c r="D223" s="150">
        <v>44111</v>
      </c>
      <c r="E223" s="113" t="s">
        <v>25782</v>
      </c>
      <c r="F223" s="257" t="s">
        <v>14408</v>
      </c>
      <c r="G223" s="258">
        <v>6.98</v>
      </c>
      <c r="H223" s="152"/>
      <c r="I223" s="160">
        <f t="shared" si="3"/>
        <v>122732.56999999999</v>
      </c>
    </row>
    <row r="224" spans="2:9" ht="19.5" x14ac:dyDescent="0.25">
      <c r="B224" s="148"/>
      <c r="C224" s="148" t="s">
        <v>25781</v>
      </c>
      <c r="D224" s="150">
        <v>44111</v>
      </c>
      <c r="E224" s="113" t="s">
        <v>25780</v>
      </c>
      <c r="F224" s="257" t="s">
        <v>14408</v>
      </c>
      <c r="G224" s="258">
        <v>15.46</v>
      </c>
      <c r="H224" s="152"/>
      <c r="I224" s="160">
        <f t="shared" si="3"/>
        <v>122748.03</v>
      </c>
    </row>
    <row r="225" spans="2:9" ht="19.5" x14ac:dyDescent="0.25">
      <c r="B225" s="148"/>
      <c r="C225" s="148" t="s">
        <v>25779</v>
      </c>
      <c r="D225" s="150">
        <v>44111</v>
      </c>
      <c r="E225" s="113" t="s">
        <v>25778</v>
      </c>
      <c r="F225" s="257" t="s">
        <v>14408</v>
      </c>
      <c r="G225" s="258">
        <v>6.72</v>
      </c>
      <c r="H225" s="152"/>
      <c r="I225" s="160">
        <f t="shared" si="3"/>
        <v>122754.75</v>
      </c>
    </row>
    <row r="226" spans="2:9" x14ac:dyDescent="0.25">
      <c r="B226" s="148"/>
      <c r="C226" s="148" t="s">
        <v>25777</v>
      </c>
      <c r="D226" s="150">
        <v>44111</v>
      </c>
      <c r="E226" s="113" t="s">
        <v>25776</v>
      </c>
      <c r="F226" s="257" t="s">
        <v>14408</v>
      </c>
      <c r="G226" s="258">
        <v>1.95</v>
      </c>
      <c r="H226" s="152"/>
      <c r="I226" s="160">
        <f t="shared" si="3"/>
        <v>122756.7</v>
      </c>
    </row>
    <row r="227" spans="2:9" x14ac:dyDescent="0.25">
      <c r="B227" s="148"/>
      <c r="C227" s="148" t="s">
        <v>25775</v>
      </c>
      <c r="D227" s="150">
        <v>44111</v>
      </c>
      <c r="E227" s="113" t="s">
        <v>25774</v>
      </c>
      <c r="F227" s="257">
        <v>10</v>
      </c>
      <c r="G227" s="255">
        <v>4.1900000000000004</v>
      </c>
      <c r="H227" s="152"/>
      <c r="I227" s="160">
        <f t="shared" si="3"/>
        <v>122760.89</v>
      </c>
    </row>
    <row r="228" spans="2:9" x14ac:dyDescent="0.25">
      <c r="B228" s="148"/>
      <c r="C228" s="148" t="s">
        <v>25773</v>
      </c>
      <c r="D228" s="150">
        <v>44111</v>
      </c>
      <c r="E228" s="113" t="s">
        <v>25772</v>
      </c>
      <c r="F228" s="257">
        <v>10</v>
      </c>
      <c r="G228" s="255">
        <v>5.07</v>
      </c>
      <c r="H228" s="152"/>
      <c r="I228" s="160">
        <f t="shared" si="3"/>
        <v>122765.96</v>
      </c>
    </row>
    <row r="229" spans="2:9" x14ac:dyDescent="0.25">
      <c r="B229" s="148"/>
      <c r="C229" s="148" t="s">
        <v>25771</v>
      </c>
      <c r="D229" s="150">
        <v>44111</v>
      </c>
      <c r="E229" s="113" t="s">
        <v>25770</v>
      </c>
      <c r="F229" s="257" t="s">
        <v>14436</v>
      </c>
      <c r="G229" s="160">
        <v>7.86</v>
      </c>
      <c r="H229" s="152"/>
      <c r="I229" s="160">
        <f t="shared" si="3"/>
        <v>122773.82</v>
      </c>
    </row>
    <row r="230" spans="2:9" ht="19.5" x14ac:dyDescent="0.25">
      <c r="B230" s="148"/>
      <c r="C230" s="148" t="s">
        <v>25769</v>
      </c>
      <c r="D230" s="150">
        <v>44111</v>
      </c>
      <c r="E230" s="113" t="s">
        <v>25768</v>
      </c>
      <c r="F230" s="257" t="s">
        <v>14436</v>
      </c>
      <c r="G230" s="160">
        <v>27</v>
      </c>
      <c r="H230" s="152"/>
      <c r="I230" s="160">
        <f t="shared" si="3"/>
        <v>122800.82</v>
      </c>
    </row>
    <row r="231" spans="2:9" x14ac:dyDescent="0.25">
      <c r="B231" s="148"/>
      <c r="C231" s="148" t="s">
        <v>25767</v>
      </c>
      <c r="D231" s="150">
        <v>44111</v>
      </c>
      <c r="E231" s="113" t="s">
        <v>25766</v>
      </c>
      <c r="F231" s="257" t="s">
        <v>14408</v>
      </c>
      <c r="G231" s="258">
        <v>69.430000000000007</v>
      </c>
      <c r="H231" s="152"/>
      <c r="I231" s="160">
        <f t="shared" si="3"/>
        <v>122870.25</v>
      </c>
    </row>
    <row r="232" spans="2:9" x14ac:dyDescent="0.25">
      <c r="B232" s="148"/>
      <c r="C232" s="148" t="s">
        <v>25765</v>
      </c>
      <c r="D232" s="150">
        <v>44111</v>
      </c>
      <c r="E232" s="113" t="s">
        <v>25764</v>
      </c>
      <c r="F232" s="257" t="s">
        <v>14408</v>
      </c>
      <c r="G232" s="258">
        <v>10.210000000000001</v>
      </c>
      <c r="H232" s="152"/>
      <c r="I232" s="160">
        <f t="shared" si="3"/>
        <v>122880.46</v>
      </c>
    </row>
    <row r="233" spans="2:9" x14ac:dyDescent="0.25">
      <c r="B233" s="148"/>
      <c r="C233" s="148" t="s">
        <v>25763</v>
      </c>
      <c r="D233" s="150">
        <v>44111</v>
      </c>
      <c r="E233" s="113" t="s">
        <v>25762</v>
      </c>
      <c r="F233" s="257" t="s">
        <v>14436</v>
      </c>
      <c r="G233" s="160">
        <v>22.12</v>
      </c>
      <c r="H233" s="152"/>
      <c r="I233" s="160">
        <f t="shared" si="3"/>
        <v>122902.58</v>
      </c>
    </row>
    <row r="234" spans="2:9" x14ac:dyDescent="0.25">
      <c r="B234" s="148"/>
      <c r="C234" s="148" t="s">
        <v>25761</v>
      </c>
      <c r="D234" s="150">
        <v>44111</v>
      </c>
      <c r="E234" s="113" t="s">
        <v>25760</v>
      </c>
      <c r="F234" s="257" t="s">
        <v>14436</v>
      </c>
      <c r="G234" s="160">
        <v>12.68</v>
      </c>
      <c r="H234" s="152"/>
      <c r="I234" s="160">
        <f t="shared" si="3"/>
        <v>122915.26</v>
      </c>
    </row>
    <row r="235" spans="2:9" ht="29.25" x14ac:dyDescent="0.25">
      <c r="B235" s="148"/>
      <c r="C235" s="148" t="s">
        <v>1924</v>
      </c>
      <c r="D235" s="150">
        <v>44111</v>
      </c>
      <c r="E235" s="113" t="s">
        <v>25759</v>
      </c>
      <c r="F235" s="257" t="s">
        <v>14439</v>
      </c>
      <c r="G235" s="160">
        <v>371.64</v>
      </c>
      <c r="H235" s="152"/>
      <c r="I235" s="160">
        <f t="shared" si="3"/>
        <v>123286.9</v>
      </c>
    </row>
    <row r="236" spans="2:9" ht="39" x14ac:dyDescent="0.25">
      <c r="B236" s="148"/>
      <c r="C236" s="148" t="s">
        <v>17562</v>
      </c>
      <c r="D236" s="150">
        <v>44111</v>
      </c>
      <c r="E236" s="113" t="s">
        <v>25758</v>
      </c>
      <c r="F236" s="257" t="s">
        <v>14439</v>
      </c>
      <c r="G236" s="160">
        <v>53.15</v>
      </c>
      <c r="H236" s="152"/>
      <c r="I236" s="160">
        <f t="shared" si="3"/>
        <v>123340.04999999999</v>
      </c>
    </row>
    <row r="237" spans="2:9" ht="19.5" x14ac:dyDescent="0.25">
      <c r="B237" s="148"/>
      <c r="C237" s="148" t="s">
        <v>25757</v>
      </c>
      <c r="D237" s="150">
        <v>44112</v>
      </c>
      <c r="E237" s="113" t="s">
        <v>25756</v>
      </c>
      <c r="F237" s="257" t="s">
        <v>14436</v>
      </c>
      <c r="G237" s="160">
        <v>1.94</v>
      </c>
      <c r="H237" s="152"/>
      <c r="I237" s="160">
        <f t="shared" si="3"/>
        <v>123341.98999999999</v>
      </c>
    </row>
    <row r="238" spans="2:9" x14ac:dyDescent="0.25">
      <c r="B238" s="148"/>
      <c r="C238" s="148" t="s">
        <v>25755</v>
      </c>
      <c r="D238" s="150">
        <v>44112</v>
      </c>
      <c r="E238" s="113" t="s">
        <v>25754</v>
      </c>
      <c r="F238" s="257" t="s">
        <v>14409</v>
      </c>
      <c r="G238" s="258">
        <v>6.94</v>
      </c>
      <c r="H238" s="152"/>
      <c r="I238" s="160">
        <f t="shared" si="3"/>
        <v>123348.93</v>
      </c>
    </row>
    <row r="239" spans="2:9" x14ac:dyDescent="0.25">
      <c r="B239" s="148"/>
      <c r="C239" s="148" t="s">
        <v>25753</v>
      </c>
      <c r="D239" s="150">
        <v>44112</v>
      </c>
      <c r="E239" s="113" t="s">
        <v>25752</v>
      </c>
      <c r="F239" s="257" t="s">
        <v>14409</v>
      </c>
      <c r="G239" s="258">
        <v>5.13</v>
      </c>
      <c r="H239" s="152"/>
      <c r="I239" s="160">
        <f t="shared" si="3"/>
        <v>123354.06</v>
      </c>
    </row>
    <row r="240" spans="2:9" x14ac:dyDescent="0.25">
      <c r="B240" s="148"/>
      <c r="C240" s="148" t="s">
        <v>25751</v>
      </c>
      <c r="D240" s="150">
        <v>44112</v>
      </c>
      <c r="E240" s="113" t="s">
        <v>25750</v>
      </c>
      <c r="F240" s="257" t="s">
        <v>14409</v>
      </c>
      <c r="G240" s="258">
        <v>3.74</v>
      </c>
      <c r="H240" s="152"/>
      <c r="I240" s="160">
        <f t="shared" si="3"/>
        <v>123357.8</v>
      </c>
    </row>
    <row r="241" spans="2:9" ht="19.5" x14ac:dyDescent="0.25">
      <c r="B241" s="148"/>
      <c r="C241" s="148" t="s">
        <v>25749</v>
      </c>
      <c r="D241" s="150">
        <v>44112</v>
      </c>
      <c r="E241" s="113" t="s">
        <v>25748</v>
      </c>
      <c r="F241" s="257" t="s">
        <v>14409</v>
      </c>
      <c r="G241" s="258">
        <v>7.49</v>
      </c>
      <c r="H241" s="152"/>
      <c r="I241" s="160">
        <f t="shared" si="3"/>
        <v>123365.29000000001</v>
      </c>
    </row>
    <row r="242" spans="2:9" x14ac:dyDescent="0.25">
      <c r="B242" s="148"/>
      <c r="C242" s="148" t="s">
        <v>25747</v>
      </c>
      <c r="D242" s="150">
        <v>44112</v>
      </c>
      <c r="E242" s="113" t="s">
        <v>25746</v>
      </c>
      <c r="F242" s="257" t="s">
        <v>14409</v>
      </c>
      <c r="G242" s="258">
        <v>11.91</v>
      </c>
      <c r="H242" s="152"/>
      <c r="I242" s="160">
        <f t="shared" si="3"/>
        <v>123377.20000000001</v>
      </c>
    </row>
    <row r="243" spans="2:9" x14ac:dyDescent="0.25">
      <c r="B243" s="148"/>
      <c r="C243" s="148" t="s">
        <v>25745</v>
      </c>
      <c r="D243" s="150">
        <v>44112</v>
      </c>
      <c r="E243" s="113" t="s">
        <v>25744</v>
      </c>
      <c r="F243" s="257" t="s">
        <v>14409</v>
      </c>
      <c r="G243" s="258">
        <v>2.98</v>
      </c>
      <c r="H243" s="152"/>
      <c r="I243" s="160">
        <f t="shared" si="3"/>
        <v>123380.18000000001</v>
      </c>
    </row>
    <row r="244" spans="2:9" x14ac:dyDescent="0.25">
      <c r="B244" s="148"/>
      <c r="C244" s="148" t="s">
        <v>25743</v>
      </c>
      <c r="D244" s="150">
        <v>44112</v>
      </c>
      <c r="E244" s="113" t="s">
        <v>25742</v>
      </c>
      <c r="F244" s="257" t="s">
        <v>14409</v>
      </c>
      <c r="G244" s="258">
        <v>18.29</v>
      </c>
      <c r="H244" s="152"/>
      <c r="I244" s="160">
        <f t="shared" si="3"/>
        <v>123398.47</v>
      </c>
    </row>
    <row r="245" spans="2:9" x14ac:dyDescent="0.25">
      <c r="B245" s="148"/>
      <c r="C245" s="148" t="s">
        <v>25741</v>
      </c>
      <c r="D245" s="150">
        <v>44112</v>
      </c>
      <c r="E245" s="113" t="s">
        <v>25740</v>
      </c>
      <c r="F245" s="257" t="s">
        <v>14409</v>
      </c>
      <c r="G245" s="258">
        <v>2.4900000000000002</v>
      </c>
      <c r="H245" s="152"/>
      <c r="I245" s="160">
        <f t="shared" si="3"/>
        <v>123400.96000000001</v>
      </c>
    </row>
    <row r="246" spans="2:9" ht="19.5" x14ac:dyDescent="0.25">
      <c r="B246" s="148"/>
      <c r="C246" s="148" t="s">
        <v>25739</v>
      </c>
      <c r="D246" s="150">
        <v>44112</v>
      </c>
      <c r="E246" s="113" t="s">
        <v>25738</v>
      </c>
      <c r="F246" s="257" t="s">
        <v>14409</v>
      </c>
      <c r="G246" s="258">
        <v>12.13</v>
      </c>
      <c r="H246" s="152"/>
      <c r="I246" s="160">
        <f t="shared" si="3"/>
        <v>123413.09000000001</v>
      </c>
    </row>
    <row r="247" spans="2:9" x14ac:dyDescent="0.25">
      <c r="B247" s="148"/>
      <c r="C247" s="148" t="s">
        <v>25737</v>
      </c>
      <c r="D247" s="150">
        <v>44112</v>
      </c>
      <c r="E247" s="113" t="s">
        <v>25736</v>
      </c>
      <c r="F247" s="257">
        <v>11</v>
      </c>
      <c r="G247" s="255">
        <v>8.3800000000000008</v>
      </c>
      <c r="H247" s="152"/>
      <c r="I247" s="160">
        <f t="shared" si="3"/>
        <v>123421.47000000002</v>
      </c>
    </row>
    <row r="248" spans="2:9" x14ac:dyDescent="0.25">
      <c r="B248" s="148"/>
      <c r="C248" s="148" t="s">
        <v>25735</v>
      </c>
      <c r="D248" s="150">
        <v>44112</v>
      </c>
      <c r="E248" s="113" t="s">
        <v>25734</v>
      </c>
      <c r="F248" s="257">
        <v>11</v>
      </c>
      <c r="G248" s="255">
        <v>2.68</v>
      </c>
      <c r="H248" s="152"/>
      <c r="I248" s="160">
        <f t="shared" si="3"/>
        <v>123424.15000000001</v>
      </c>
    </row>
    <row r="249" spans="2:9" x14ac:dyDescent="0.25">
      <c r="B249" s="148"/>
      <c r="C249" s="148" t="s">
        <v>25733</v>
      </c>
      <c r="D249" s="150">
        <v>44112</v>
      </c>
      <c r="E249" s="113" t="s">
        <v>25732</v>
      </c>
      <c r="F249" s="257" t="s">
        <v>14436</v>
      </c>
      <c r="G249" s="160">
        <v>1.68</v>
      </c>
      <c r="H249" s="152"/>
      <c r="I249" s="160">
        <f t="shared" si="3"/>
        <v>123425.83</v>
      </c>
    </row>
    <row r="250" spans="2:9" x14ac:dyDescent="0.25">
      <c r="B250" s="148"/>
      <c r="C250" s="148" t="s">
        <v>25731</v>
      </c>
      <c r="D250" s="150">
        <v>44112</v>
      </c>
      <c r="E250" s="113" t="s">
        <v>25730</v>
      </c>
      <c r="F250" s="257">
        <v>11</v>
      </c>
      <c r="G250" s="255">
        <v>15.64</v>
      </c>
      <c r="H250" s="152"/>
      <c r="I250" s="160">
        <f t="shared" si="3"/>
        <v>123441.47</v>
      </c>
    </row>
    <row r="251" spans="2:9" x14ac:dyDescent="0.25">
      <c r="B251" s="148"/>
      <c r="C251" s="148" t="s">
        <v>25715</v>
      </c>
      <c r="D251" s="150">
        <v>44113</v>
      </c>
      <c r="E251" s="113" t="s">
        <v>25714</v>
      </c>
      <c r="F251" s="257" t="s">
        <v>14409</v>
      </c>
      <c r="G251" s="258">
        <v>3.43</v>
      </c>
      <c r="H251" s="152"/>
      <c r="I251" s="160">
        <f t="shared" si="3"/>
        <v>123444.9</v>
      </c>
    </row>
    <row r="252" spans="2:9" x14ac:dyDescent="0.25">
      <c r="B252" s="148"/>
      <c r="C252" s="148" t="s">
        <v>25713</v>
      </c>
      <c r="D252" s="150">
        <v>44113</v>
      </c>
      <c r="E252" s="113" t="s">
        <v>25712</v>
      </c>
      <c r="F252" s="257" t="s">
        <v>14409</v>
      </c>
      <c r="G252" s="258">
        <v>2.54</v>
      </c>
      <c r="H252" s="152"/>
      <c r="I252" s="160">
        <f t="shared" si="3"/>
        <v>123447.43999999999</v>
      </c>
    </row>
    <row r="253" spans="2:9" x14ac:dyDescent="0.25">
      <c r="B253" s="148"/>
      <c r="C253" s="148" t="s">
        <v>25711</v>
      </c>
      <c r="D253" s="150">
        <v>44113</v>
      </c>
      <c r="E253" s="113" t="s">
        <v>25710</v>
      </c>
      <c r="F253" s="257" t="s">
        <v>14409</v>
      </c>
      <c r="G253" s="258">
        <v>1.94</v>
      </c>
      <c r="H253" s="152"/>
      <c r="I253" s="160">
        <f t="shared" si="3"/>
        <v>123449.37999999999</v>
      </c>
    </row>
    <row r="254" spans="2:9" x14ac:dyDescent="0.25">
      <c r="B254" s="148"/>
      <c r="C254" s="148" t="s">
        <v>25709</v>
      </c>
      <c r="D254" s="150">
        <v>44113</v>
      </c>
      <c r="E254" s="113" t="s">
        <v>25708</v>
      </c>
      <c r="F254" s="257" t="s">
        <v>14409</v>
      </c>
      <c r="G254" s="258">
        <v>1.98</v>
      </c>
      <c r="H254" s="152"/>
      <c r="I254" s="160">
        <f t="shared" si="3"/>
        <v>123451.35999999999</v>
      </c>
    </row>
    <row r="255" spans="2:9" x14ac:dyDescent="0.25">
      <c r="B255" s="148"/>
      <c r="C255" s="148" t="s">
        <v>25707</v>
      </c>
      <c r="D255" s="150">
        <v>44113</v>
      </c>
      <c r="E255" s="113" t="s">
        <v>25706</v>
      </c>
      <c r="F255" s="257" t="s">
        <v>14409</v>
      </c>
      <c r="G255" s="258">
        <v>7.96</v>
      </c>
      <c r="H255" s="152"/>
      <c r="I255" s="160">
        <f t="shared" si="3"/>
        <v>123459.31999999999</v>
      </c>
    </row>
    <row r="256" spans="2:9" x14ac:dyDescent="0.25">
      <c r="B256" s="148"/>
      <c r="C256" s="148" t="s">
        <v>25705</v>
      </c>
      <c r="D256" s="150">
        <v>44113</v>
      </c>
      <c r="E256" s="113" t="s">
        <v>25704</v>
      </c>
      <c r="F256" s="257" t="s">
        <v>14409</v>
      </c>
      <c r="G256" s="258">
        <v>12.3</v>
      </c>
      <c r="H256" s="152"/>
      <c r="I256" s="160">
        <f t="shared" si="3"/>
        <v>123471.62</v>
      </c>
    </row>
    <row r="257" spans="2:9" ht="19.5" x14ac:dyDescent="0.25">
      <c r="B257" s="148"/>
      <c r="C257" s="148" t="s">
        <v>25703</v>
      </c>
      <c r="D257" s="150">
        <v>44113</v>
      </c>
      <c r="E257" s="113" t="s">
        <v>25702</v>
      </c>
      <c r="F257" s="257" t="s">
        <v>14409</v>
      </c>
      <c r="G257" s="258">
        <v>15.63</v>
      </c>
      <c r="H257" s="152"/>
      <c r="I257" s="160">
        <f t="shared" si="3"/>
        <v>123487.25</v>
      </c>
    </row>
    <row r="258" spans="2:9" x14ac:dyDescent="0.25">
      <c r="B258" s="148"/>
      <c r="C258" s="148" t="s">
        <v>25699</v>
      </c>
      <c r="D258" s="150">
        <v>44114</v>
      </c>
      <c r="E258" s="113" t="s">
        <v>25698</v>
      </c>
      <c r="F258" s="257" t="s">
        <v>14409</v>
      </c>
      <c r="G258" s="258">
        <v>11</v>
      </c>
      <c r="H258" s="152"/>
      <c r="I258" s="160">
        <f t="shared" si="3"/>
        <v>123498.25</v>
      </c>
    </row>
    <row r="259" spans="2:9" x14ac:dyDescent="0.25">
      <c r="B259" s="148"/>
      <c r="C259" s="148" t="s">
        <v>25697</v>
      </c>
      <c r="D259" s="150">
        <v>44114</v>
      </c>
      <c r="E259" s="113" t="s">
        <v>25696</v>
      </c>
      <c r="F259" s="257" t="s">
        <v>14409</v>
      </c>
      <c r="G259" s="258">
        <v>2.62</v>
      </c>
      <c r="H259" s="152"/>
      <c r="I259" s="160">
        <f t="shared" si="3"/>
        <v>123500.87</v>
      </c>
    </row>
    <row r="260" spans="2:9" ht="19.5" x14ac:dyDescent="0.25">
      <c r="B260" s="148"/>
      <c r="C260" s="148" t="s">
        <v>25695</v>
      </c>
      <c r="D260" s="150">
        <v>44114</v>
      </c>
      <c r="E260" s="113" t="s">
        <v>25694</v>
      </c>
      <c r="F260" s="257" t="s">
        <v>14409</v>
      </c>
      <c r="G260" s="258">
        <v>25.98</v>
      </c>
      <c r="H260" s="152"/>
      <c r="I260" s="160">
        <f t="shared" si="3"/>
        <v>123526.84999999999</v>
      </c>
    </row>
    <row r="261" spans="2:9" ht="19.5" x14ac:dyDescent="0.25">
      <c r="B261" s="148"/>
      <c r="C261" s="148" t="s">
        <v>25693</v>
      </c>
      <c r="D261" s="150">
        <v>44114</v>
      </c>
      <c r="E261" s="113" t="s">
        <v>25692</v>
      </c>
      <c r="F261" s="257" t="s">
        <v>14409</v>
      </c>
      <c r="G261" s="258">
        <v>15.22</v>
      </c>
      <c r="H261" s="152"/>
      <c r="I261" s="160">
        <f t="shared" si="3"/>
        <v>123542.06999999999</v>
      </c>
    </row>
    <row r="262" spans="2:9" x14ac:dyDescent="0.25">
      <c r="B262" s="148"/>
      <c r="C262" s="148" t="s">
        <v>25691</v>
      </c>
      <c r="D262" s="150">
        <v>44114</v>
      </c>
      <c r="E262" s="113" t="s">
        <v>25690</v>
      </c>
      <c r="F262" s="257" t="s">
        <v>14409</v>
      </c>
      <c r="G262" s="258">
        <v>3.18</v>
      </c>
      <c r="H262" s="152"/>
      <c r="I262" s="160">
        <f t="shared" si="3"/>
        <v>123545.24999999999</v>
      </c>
    </row>
    <row r="263" spans="2:9" x14ac:dyDescent="0.25">
      <c r="B263" s="148"/>
      <c r="C263" s="148" t="s">
        <v>25689</v>
      </c>
      <c r="D263" s="150">
        <v>44115</v>
      </c>
      <c r="E263" s="113" t="s">
        <v>25688</v>
      </c>
      <c r="F263" s="257" t="s">
        <v>14409</v>
      </c>
      <c r="G263" s="258">
        <v>1.69</v>
      </c>
      <c r="H263" s="152"/>
      <c r="I263" s="160">
        <f t="shared" si="3"/>
        <v>123546.93999999999</v>
      </c>
    </row>
    <row r="264" spans="2:9" x14ac:dyDescent="0.25">
      <c r="B264" s="148"/>
      <c r="C264" s="148" t="s">
        <v>25687</v>
      </c>
      <c r="D264" s="150">
        <v>44115</v>
      </c>
      <c r="E264" s="113" t="s">
        <v>25686</v>
      </c>
      <c r="F264" s="257" t="s">
        <v>14409</v>
      </c>
      <c r="G264" s="258">
        <v>5.2</v>
      </c>
      <c r="H264" s="152"/>
      <c r="I264" s="160">
        <f t="shared" si="3"/>
        <v>123552.13999999998</v>
      </c>
    </row>
    <row r="265" spans="2:9" x14ac:dyDescent="0.25">
      <c r="B265" s="148"/>
      <c r="C265" s="148" t="s">
        <v>25685</v>
      </c>
      <c r="D265" s="150">
        <v>44115</v>
      </c>
      <c r="E265" s="113" t="s">
        <v>25684</v>
      </c>
      <c r="F265" s="257" t="s">
        <v>14409</v>
      </c>
      <c r="G265" s="258">
        <v>6.15</v>
      </c>
      <c r="H265" s="152"/>
      <c r="I265" s="160">
        <f t="shared" si="3"/>
        <v>123558.28999999998</v>
      </c>
    </row>
    <row r="266" spans="2:9" x14ac:dyDescent="0.25">
      <c r="B266" s="148"/>
      <c r="C266" s="148" t="s">
        <v>25683</v>
      </c>
      <c r="D266" s="150">
        <v>44115</v>
      </c>
      <c r="E266" s="113" t="s">
        <v>25682</v>
      </c>
      <c r="F266" s="257" t="s">
        <v>14409</v>
      </c>
      <c r="G266" s="258">
        <v>7.28</v>
      </c>
      <c r="H266" s="152"/>
      <c r="I266" s="160">
        <f t="shared" si="3"/>
        <v>123565.56999999998</v>
      </c>
    </row>
    <row r="267" spans="2:9" ht="19.5" x14ac:dyDescent="0.25">
      <c r="B267" s="148"/>
      <c r="C267" s="148" t="s">
        <v>25681</v>
      </c>
      <c r="D267" s="150">
        <v>44116</v>
      </c>
      <c r="E267" s="113" t="s">
        <v>25680</v>
      </c>
      <c r="F267" s="257" t="s">
        <v>14409</v>
      </c>
      <c r="G267" s="258">
        <v>13.93</v>
      </c>
      <c r="H267" s="152"/>
      <c r="I267" s="160">
        <f t="shared" si="3"/>
        <v>123579.49999999997</v>
      </c>
    </row>
    <row r="268" spans="2:9" ht="19.5" x14ac:dyDescent="0.25">
      <c r="B268" s="148"/>
      <c r="C268" s="148" t="s">
        <v>25679</v>
      </c>
      <c r="D268" s="150">
        <v>44116</v>
      </c>
      <c r="E268" s="113" t="s">
        <v>25678</v>
      </c>
      <c r="F268" s="257" t="s">
        <v>14409</v>
      </c>
      <c r="G268" s="258">
        <v>69.349999999999994</v>
      </c>
      <c r="H268" s="152"/>
      <c r="I268" s="160">
        <f t="shared" si="3"/>
        <v>123648.84999999998</v>
      </c>
    </row>
    <row r="269" spans="2:9" x14ac:dyDescent="0.25">
      <c r="B269" s="148"/>
      <c r="C269" s="148" t="s">
        <v>25677</v>
      </c>
      <c r="D269" s="150">
        <v>44116</v>
      </c>
      <c r="E269" s="113" t="s">
        <v>25676</v>
      </c>
      <c r="F269" s="257" t="s">
        <v>14409</v>
      </c>
      <c r="G269" s="258">
        <v>2.7</v>
      </c>
      <c r="H269" s="152"/>
      <c r="I269" s="160">
        <f t="shared" si="3"/>
        <v>123651.54999999997</v>
      </c>
    </row>
    <row r="270" spans="2:9" ht="19.5" x14ac:dyDescent="0.25">
      <c r="B270" s="148"/>
      <c r="C270" s="148" t="s">
        <v>25675</v>
      </c>
      <c r="D270" s="150">
        <v>44116</v>
      </c>
      <c r="E270" s="113" t="s">
        <v>25674</v>
      </c>
      <c r="F270" s="257" t="s">
        <v>14409</v>
      </c>
      <c r="G270" s="258">
        <v>23.92</v>
      </c>
      <c r="H270" s="152"/>
      <c r="I270" s="160">
        <f t="shared" si="3"/>
        <v>123675.46999999997</v>
      </c>
    </row>
    <row r="271" spans="2:9" x14ac:dyDescent="0.25">
      <c r="B271" s="148"/>
      <c r="C271" s="148" t="s">
        <v>25673</v>
      </c>
      <c r="D271" s="150">
        <v>44116</v>
      </c>
      <c r="E271" s="113" t="s">
        <v>25672</v>
      </c>
      <c r="F271" s="257" t="s">
        <v>14409</v>
      </c>
      <c r="G271" s="258">
        <v>53.1</v>
      </c>
      <c r="H271" s="152"/>
      <c r="I271" s="160">
        <f t="shared" si="3"/>
        <v>123728.56999999998</v>
      </c>
    </row>
    <row r="272" spans="2:9" ht="19.5" x14ac:dyDescent="0.25">
      <c r="B272" s="148"/>
      <c r="C272" s="148" t="s">
        <v>25671</v>
      </c>
      <c r="D272" s="150">
        <v>44116</v>
      </c>
      <c r="E272" s="113" t="s">
        <v>25670</v>
      </c>
      <c r="F272" s="257" t="s">
        <v>14409</v>
      </c>
      <c r="G272" s="258">
        <v>77.61</v>
      </c>
      <c r="H272" s="152"/>
      <c r="I272" s="160">
        <f t="shared" si="3"/>
        <v>123806.17999999998</v>
      </c>
    </row>
    <row r="273" spans="2:9" x14ac:dyDescent="0.25">
      <c r="B273" s="148"/>
      <c r="C273" s="148" t="s">
        <v>25669</v>
      </c>
      <c r="D273" s="150">
        <v>44116</v>
      </c>
      <c r="E273" s="113" t="s">
        <v>25668</v>
      </c>
      <c r="F273" s="257" t="s">
        <v>14409</v>
      </c>
      <c r="G273" s="258">
        <v>7.65</v>
      </c>
      <c r="H273" s="152"/>
      <c r="I273" s="160">
        <f t="shared" si="3"/>
        <v>123813.82999999997</v>
      </c>
    </row>
    <row r="274" spans="2:9" x14ac:dyDescent="0.25">
      <c r="B274" s="148"/>
      <c r="C274" s="148" t="s">
        <v>25667</v>
      </c>
      <c r="D274" s="150">
        <v>44116</v>
      </c>
      <c r="E274" s="113" t="s">
        <v>25666</v>
      </c>
      <c r="F274" s="257" t="s">
        <v>14409</v>
      </c>
      <c r="G274" s="258">
        <v>1.87</v>
      </c>
      <c r="H274" s="152"/>
      <c r="I274" s="160">
        <f t="shared" si="3"/>
        <v>123815.69999999997</v>
      </c>
    </row>
    <row r="275" spans="2:9" x14ac:dyDescent="0.25">
      <c r="B275" s="148"/>
      <c r="C275" s="148" t="s">
        <v>25665</v>
      </c>
      <c r="D275" s="150">
        <v>44116</v>
      </c>
      <c r="E275" s="113" t="s">
        <v>25664</v>
      </c>
      <c r="F275" s="257" t="s">
        <v>14409</v>
      </c>
      <c r="G275" s="258">
        <v>1.68</v>
      </c>
      <c r="H275" s="152"/>
      <c r="I275" s="160">
        <f t="shared" si="3"/>
        <v>123817.37999999996</v>
      </c>
    </row>
    <row r="276" spans="2:9" x14ac:dyDescent="0.25">
      <c r="B276" s="148"/>
      <c r="C276" s="148" t="s">
        <v>25663</v>
      </c>
      <c r="D276" s="150">
        <v>44116</v>
      </c>
      <c r="E276" s="113" t="s">
        <v>25662</v>
      </c>
      <c r="F276" s="257" t="s">
        <v>14409</v>
      </c>
      <c r="G276" s="258">
        <v>6.58</v>
      </c>
      <c r="H276" s="152"/>
      <c r="I276" s="160">
        <f t="shared" ref="I276:I339" si="4">+I275+G276-H276</f>
        <v>123823.95999999996</v>
      </c>
    </row>
    <row r="277" spans="2:9" x14ac:dyDescent="0.25">
      <c r="B277" s="148"/>
      <c r="C277" s="148" t="s">
        <v>25661</v>
      </c>
      <c r="D277" s="150">
        <v>44116</v>
      </c>
      <c r="E277" s="113" t="s">
        <v>25660</v>
      </c>
      <c r="F277" s="257" t="s">
        <v>14409</v>
      </c>
      <c r="G277" s="258">
        <v>3.05</v>
      </c>
      <c r="H277" s="152"/>
      <c r="I277" s="160">
        <f t="shared" si="4"/>
        <v>123827.00999999997</v>
      </c>
    </row>
    <row r="278" spans="2:9" x14ac:dyDescent="0.25">
      <c r="B278" s="148"/>
      <c r="C278" s="148" t="s">
        <v>25659</v>
      </c>
      <c r="D278" s="150">
        <v>44116</v>
      </c>
      <c r="E278" s="113" t="s">
        <v>25658</v>
      </c>
      <c r="F278" s="257" t="s">
        <v>14409</v>
      </c>
      <c r="G278" s="258">
        <v>5.67</v>
      </c>
      <c r="H278" s="152"/>
      <c r="I278" s="160">
        <f t="shared" si="4"/>
        <v>123832.67999999996</v>
      </c>
    </row>
    <row r="279" spans="2:9" x14ac:dyDescent="0.25">
      <c r="B279" s="148"/>
      <c r="C279" s="148" t="s">
        <v>25657</v>
      </c>
      <c r="D279" s="150">
        <v>44116</v>
      </c>
      <c r="E279" s="113" t="s">
        <v>25656</v>
      </c>
      <c r="F279" s="257" t="s">
        <v>14409</v>
      </c>
      <c r="G279" s="258">
        <v>1.68</v>
      </c>
      <c r="H279" s="152"/>
      <c r="I279" s="160">
        <f t="shared" si="4"/>
        <v>123834.35999999996</v>
      </c>
    </row>
    <row r="280" spans="2:9" x14ac:dyDescent="0.25">
      <c r="B280" s="148"/>
      <c r="C280" s="148" t="s">
        <v>25655</v>
      </c>
      <c r="D280" s="150">
        <v>44116</v>
      </c>
      <c r="E280" s="113" t="s">
        <v>25654</v>
      </c>
      <c r="F280" s="257">
        <v>12</v>
      </c>
      <c r="G280" s="255">
        <v>4.83</v>
      </c>
      <c r="H280" s="152"/>
      <c r="I280" s="160">
        <f t="shared" si="4"/>
        <v>123839.18999999996</v>
      </c>
    </row>
    <row r="281" spans="2:9" x14ac:dyDescent="0.25">
      <c r="B281" s="148"/>
      <c r="C281" s="148" t="s">
        <v>25653</v>
      </c>
      <c r="D281" s="150">
        <v>44116</v>
      </c>
      <c r="E281" s="113" t="s">
        <v>25652</v>
      </c>
      <c r="F281" s="257">
        <v>12</v>
      </c>
      <c r="G281" s="255">
        <v>13.33</v>
      </c>
      <c r="H281" s="152"/>
      <c r="I281" s="160">
        <f t="shared" si="4"/>
        <v>123852.51999999996</v>
      </c>
    </row>
    <row r="282" spans="2:9" x14ac:dyDescent="0.25">
      <c r="B282" s="148"/>
      <c r="C282" s="148" t="s">
        <v>25651</v>
      </c>
      <c r="D282" s="150">
        <v>44116</v>
      </c>
      <c r="E282" s="113" t="s">
        <v>25650</v>
      </c>
      <c r="F282" s="257">
        <v>12</v>
      </c>
      <c r="G282" s="255">
        <v>6.06</v>
      </c>
      <c r="H282" s="152"/>
      <c r="I282" s="160">
        <f t="shared" si="4"/>
        <v>123858.57999999996</v>
      </c>
    </row>
    <row r="283" spans="2:9" ht="19.5" x14ac:dyDescent="0.25">
      <c r="B283" s="148"/>
      <c r="C283" s="148" t="s">
        <v>25649</v>
      </c>
      <c r="D283" s="150">
        <v>44116</v>
      </c>
      <c r="E283" s="113" t="s">
        <v>25648</v>
      </c>
      <c r="F283" s="257">
        <v>12</v>
      </c>
      <c r="G283" s="255">
        <v>2</v>
      </c>
      <c r="H283" s="152"/>
      <c r="I283" s="160">
        <f t="shared" si="4"/>
        <v>123860.57999999996</v>
      </c>
    </row>
    <row r="284" spans="2:9" ht="19.5" x14ac:dyDescent="0.25">
      <c r="B284" s="148"/>
      <c r="C284" s="148" t="s">
        <v>25647</v>
      </c>
      <c r="D284" s="150">
        <v>44116</v>
      </c>
      <c r="E284" s="113" t="s">
        <v>25646</v>
      </c>
      <c r="F284" s="257">
        <v>12</v>
      </c>
      <c r="G284" s="255">
        <v>23.83</v>
      </c>
      <c r="H284" s="152"/>
      <c r="I284" s="160">
        <f t="shared" si="4"/>
        <v>123884.40999999996</v>
      </c>
    </row>
    <row r="285" spans="2:9" x14ac:dyDescent="0.25">
      <c r="B285" s="148"/>
      <c r="C285" s="148" t="s">
        <v>25645</v>
      </c>
      <c r="D285" s="150">
        <v>44116</v>
      </c>
      <c r="E285" s="113" t="s">
        <v>25644</v>
      </c>
      <c r="F285" s="257">
        <v>12</v>
      </c>
      <c r="G285" s="255">
        <v>15.34</v>
      </c>
      <c r="H285" s="152"/>
      <c r="I285" s="160">
        <f t="shared" si="4"/>
        <v>123899.74999999996</v>
      </c>
    </row>
    <row r="286" spans="2:9" x14ac:dyDescent="0.25">
      <c r="B286" s="148"/>
      <c r="C286" s="148" t="s">
        <v>25643</v>
      </c>
      <c r="D286" s="150">
        <v>44116</v>
      </c>
      <c r="E286" s="113" t="s">
        <v>25642</v>
      </c>
      <c r="F286" s="257">
        <v>12</v>
      </c>
      <c r="G286" s="255">
        <v>2.14</v>
      </c>
      <c r="H286" s="152"/>
      <c r="I286" s="160">
        <f t="shared" si="4"/>
        <v>123901.88999999996</v>
      </c>
    </row>
    <row r="287" spans="2:9" x14ac:dyDescent="0.25">
      <c r="B287" s="148"/>
      <c r="C287" s="148" t="s">
        <v>25641</v>
      </c>
      <c r="D287" s="150">
        <v>44116</v>
      </c>
      <c r="E287" s="113" t="s">
        <v>25640</v>
      </c>
      <c r="F287" s="257">
        <v>12</v>
      </c>
      <c r="G287" s="255">
        <v>15.08</v>
      </c>
      <c r="H287" s="152"/>
      <c r="I287" s="160">
        <f t="shared" si="4"/>
        <v>123916.96999999996</v>
      </c>
    </row>
    <row r="288" spans="2:9" x14ac:dyDescent="0.25">
      <c r="B288" s="148"/>
      <c r="C288" s="148" t="s">
        <v>25639</v>
      </c>
      <c r="D288" s="150">
        <v>44116</v>
      </c>
      <c r="E288" s="113" t="s">
        <v>25638</v>
      </c>
      <c r="F288" s="257">
        <v>12</v>
      </c>
      <c r="G288" s="255">
        <v>8.3800000000000008</v>
      </c>
      <c r="H288" s="152"/>
      <c r="I288" s="160">
        <f t="shared" si="4"/>
        <v>123925.34999999996</v>
      </c>
    </row>
    <row r="289" spans="2:9" x14ac:dyDescent="0.25">
      <c r="B289" s="148"/>
      <c r="C289" s="148" t="s">
        <v>25637</v>
      </c>
      <c r="D289" s="150">
        <v>44116</v>
      </c>
      <c r="E289" s="113" t="s">
        <v>25636</v>
      </c>
      <c r="F289" s="257">
        <v>12</v>
      </c>
      <c r="G289" s="255">
        <v>2.13</v>
      </c>
      <c r="H289" s="152"/>
      <c r="I289" s="160">
        <f t="shared" si="4"/>
        <v>123927.47999999997</v>
      </c>
    </row>
    <row r="290" spans="2:9" ht="19.5" x14ac:dyDescent="0.25">
      <c r="B290" s="148"/>
      <c r="C290" s="148" t="s">
        <v>25729</v>
      </c>
      <c r="D290" s="150">
        <v>44112</v>
      </c>
      <c r="E290" s="113" t="s">
        <v>25728</v>
      </c>
      <c r="F290" s="257" t="s">
        <v>14436</v>
      </c>
      <c r="G290" s="160">
        <v>33.520000000000003</v>
      </c>
      <c r="H290" s="152"/>
      <c r="I290" s="160">
        <f t="shared" si="4"/>
        <v>123960.99999999997</v>
      </c>
    </row>
    <row r="291" spans="2:9" x14ac:dyDescent="0.25">
      <c r="B291" s="148"/>
      <c r="C291" s="148" t="s">
        <v>25727</v>
      </c>
      <c r="D291" s="150">
        <v>44112</v>
      </c>
      <c r="E291" s="113" t="s">
        <v>25726</v>
      </c>
      <c r="F291" s="257" t="s">
        <v>14436</v>
      </c>
      <c r="G291" s="160">
        <v>189.09</v>
      </c>
      <c r="H291" s="152"/>
      <c r="I291" s="160">
        <f t="shared" si="4"/>
        <v>124150.08999999997</v>
      </c>
    </row>
    <row r="292" spans="2:9" x14ac:dyDescent="0.25">
      <c r="B292" s="148"/>
      <c r="C292" s="148" t="s">
        <v>25725</v>
      </c>
      <c r="D292" s="150">
        <v>44112</v>
      </c>
      <c r="E292" s="113" t="s">
        <v>25724</v>
      </c>
      <c r="F292" s="257" t="s">
        <v>14436</v>
      </c>
      <c r="G292" s="160">
        <v>2.5</v>
      </c>
      <c r="H292" s="152"/>
      <c r="I292" s="160">
        <f t="shared" si="4"/>
        <v>124152.58999999997</v>
      </c>
    </row>
    <row r="293" spans="2:9" x14ac:dyDescent="0.25">
      <c r="B293" s="148"/>
      <c r="C293" s="148" t="s">
        <v>25701</v>
      </c>
      <c r="D293" s="150">
        <v>44113</v>
      </c>
      <c r="E293" s="113" t="s">
        <v>25700</v>
      </c>
      <c r="F293" s="257">
        <v>11</v>
      </c>
      <c r="G293" s="255">
        <v>1.68</v>
      </c>
      <c r="H293" s="152"/>
      <c r="I293" s="160">
        <f t="shared" si="4"/>
        <v>124154.26999999996</v>
      </c>
    </row>
    <row r="294" spans="2:9" ht="19.5" x14ac:dyDescent="0.25">
      <c r="B294" s="148"/>
      <c r="C294" s="148" t="s">
        <v>25635</v>
      </c>
      <c r="D294" s="150">
        <v>44116</v>
      </c>
      <c r="E294" s="113" t="s">
        <v>25634</v>
      </c>
      <c r="F294" s="257" t="s">
        <v>14436</v>
      </c>
      <c r="G294" s="160">
        <v>12.63</v>
      </c>
      <c r="H294" s="152"/>
      <c r="I294" s="160">
        <f t="shared" si="4"/>
        <v>124166.89999999997</v>
      </c>
    </row>
    <row r="295" spans="2:9" ht="19.5" x14ac:dyDescent="0.25">
      <c r="B295" s="148"/>
      <c r="C295" s="148" t="s">
        <v>25723</v>
      </c>
      <c r="D295" s="150">
        <v>44112</v>
      </c>
      <c r="E295" s="113" t="s">
        <v>25722</v>
      </c>
      <c r="F295" s="257" t="s">
        <v>14409</v>
      </c>
      <c r="G295" s="160">
        <v>3.16</v>
      </c>
      <c r="H295" s="152"/>
      <c r="I295" s="160">
        <f t="shared" si="4"/>
        <v>124170.05999999997</v>
      </c>
    </row>
    <row r="296" spans="2:9" x14ac:dyDescent="0.25">
      <c r="B296" s="148"/>
      <c r="C296" s="148" t="s">
        <v>25721</v>
      </c>
      <c r="D296" s="150">
        <v>44112</v>
      </c>
      <c r="E296" s="113" t="s">
        <v>25720</v>
      </c>
      <c r="F296" s="257" t="s">
        <v>14436</v>
      </c>
      <c r="G296" s="160">
        <v>3.08</v>
      </c>
      <c r="H296" s="152"/>
      <c r="I296" s="160">
        <f t="shared" si="4"/>
        <v>124173.13999999997</v>
      </c>
    </row>
    <row r="297" spans="2:9" x14ac:dyDescent="0.25">
      <c r="B297" s="148"/>
      <c r="C297" s="148" t="s">
        <v>25719</v>
      </c>
      <c r="D297" s="150">
        <v>44112</v>
      </c>
      <c r="E297" s="113" t="s">
        <v>25718</v>
      </c>
      <c r="F297" s="257" t="s">
        <v>14409</v>
      </c>
      <c r="G297" s="160">
        <v>1.88</v>
      </c>
      <c r="H297" s="152"/>
      <c r="I297" s="160">
        <f t="shared" si="4"/>
        <v>124175.01999999997</v>
      </c>
    </row>
    <row r="298" spans="2:9" ht="19.5" x14ac:dyDescent="0.25">
      <c r="B298" s="148"/>
      <c r="C298" s="148" t="s">
        <v>25717</v>
      </c>
      <c r="D298" s="150">
        <v>44112</v>
      </c>
      <c r="E298" s="113" t="s">
        <v>25716</v>
      </c>
      <c r="F298" s="257">
        <v>11</v>
      </c>
      <c r="G298" s="255">
        <v>10.38</v>
      </c>
      <c r="H298" s="152"/>
      <c r="I298" s="160">
        <f t="shared" si="4"/>
        <v>124185.39999999998</v>
      </c>
    </row>
    <row r="299" spans="2:9" ht="19.5" x14ac:dyDescent="0.25">
      <c r="B299" s="148"/>
      <c r="C299" s="148" t="s">
        <v>1742</v>
      </c>
      <c r="D299" s="150">
        <v>44116</v>
      </c>
      <c r="E299" s="113" t="s">
        <v>25633</v>
      </c>
      <c r="F299" s="257" t="s">
        <v>14433</v>
      </c>
      <c r="G299" s="152"/>
      <c r="H299" s="161">
        <v>1766</v>
      </c>
      <c r="I299" s="160">
        <f t="shared" si="4"/>
        <v>122419.39999999998</v>
      </c>
    </row>
    <row r="300" spans="2:9" x14ac:dyDescent="0.25">
      <c r="B300" s="148"/>
      <c r="C300" s="148" t="s">
        <v>20572</v>
      </c>
      <c r="D300" s="150">
        <v>44116</v>
      </c>
      <c r="E300" s="113" t="s">
        <v>25632</v>
      </c>
      <c r="F300" s="257" t="s">
        <v>14433</v>
      </c>
      <c r="G300" s="152"/>
      <c r="H300" s="161">
        <v>13.52</v>
      </c>
      <c r="I300" s="160">
        <f t="shared" si="4"/>
        <v>122405.87999999998</v>
      </c>
    </row>
    <row r="301" spans="2:9" x14ac:dyDescent="0.25">
      <c r="B301" s="148"/>
      <c r="C301" s="148" t="s">
        <v>16372</v>
      </c>
      <c r="D301" s="150">
        <v>44116</v>
      </c>
      <c r="E301" s="113" t="s">
        <v>25631</v>
      </c>
      <c r="F301" s="257" t="s">
        <v>14433</v>
      </c>
      <c r="G301" s="152"/>
      <c r="H301" s="161">
        <v>15.48</v>
      </c>
      <c r="I301" s="160">
        <f t="shared" si="4"/>
        <v>122390.39999999998</v>
      </c>
    </row>
    <row r="302" spans="2:9" x14ac:dyDescent="0.25">
      <c r="B302" s="148"/>
      <c r="C302" s="148" t="s">
        <v>25630</v>
      </c>
      <c r="D302" s="150">
        <v>44117</v>
      </c>
      <c r="E302" s="113" t="s">
        <v>25629</v>
      </c>
      <c r="F302" s="257" t="s">
        <v>14409</v>
      </c>
      <c r="G302" s="258">
        <v>6.8</v>
      </c>
      <c r="H302" s="152"/>
      <c r="I302" s="160">
        <f t="shared" si="4"/>
        <v>122397.19999999998</v>
      </c>
    </row>
    <row r="303" spans="2:9" x14ac:dyDescent="0.25">
      <c r="B303" s="148"/>
      <c r="C303" s="148" t="s">
        <v>25628</v>
      </c>
      <c r="D303" s="150">
        <v>44117</v>
      </c>
      <c r="E303" s="113" t="s">
        <v>25627</v>
      </c>
      <c r="F303" s="257" t="s">
        <v>14409</v>
      </c>
      <c r="G303" s="258">
        <v>2.64</v>
      </c>
      <c r="H303" s="152"/>
      <c r="I303" s="160">
        <f t="shared" si="4"/>
        <v>122399.83999999998</v>
      </c>
    </row>
    <row r="304" spans="2:9" x14ac:dyDescent="0.25">
      <c r="B304" s="148"/>
      <c r="C304" s="148" t="s">
        <v>25626</v>
      </c>
      <c r="D304" s="150">
        <v>44117</v>
      </c>
      <c r="E304" s="113" t="s">
        <v>25625</v>
      </c>
      <c r="F304" s="257" t="s">
        <v>14409</v>
      </c>
      <c r="G304" s="258">
        <v>7.83</v>
      </c>
      <c r="H304" s="152"/>
      <c r="I304" s="160">
        <f t="shared" si="4"/>
        <v>122407.66999999998</v>
      </c>
    </row>
    <row r="305" spans="2:9" x14ac:dyDescent="0.25">
      <c r="B305" s="148"/>
      <c r="C305" s="148" t="s">
        <v>25624</v>
      </c>
      <c r="D305" s="150">
        <v>44117</v>
      </c>
      <c r="E305" s="113" t="s">
        <v>25623</v>
      </c>
      <c r="F305" s="257" t="s">
        <v>14409</v>
      </c>
      <c r="G305" s="258">
        <v>5.57</v>
      </c>
      <c r="H305" s="152"/>
      <c r="I305" s="160">
        <f t="shared" si="4"/>
        <v>122413.23999999999</v>
      </c>
    </row>
    <row r="306" spans="2:9" x14ac:dyDescent="0.25">
      <c r="B306" s="148"/>
      <c r="C306" s="148" t="s">
        <v>25622</v>
      </c>
      <c r="D306" s="150">
        <v>44117</v>
      </c>
      <c r="E306" s="113" t="s">
        <v>25621</v>
      </c>
      <c r="F306" s="257" t="s">
        <v>14409</v>
      </c>
      <c r="G306" s="258">
        <v>1.68</v>
      </c>
      <c r="H306" s="152"/>
      <c r="I306" s="160">
        <f t="shared" si="4"/>
        <v>122414.91999999998</v>
      </c>
    </row>
    <row r="307" spans="2:9" x14ac:dyDescent="0.25">
      <c r="B307" s="148"/>
      <c r="C307" s="148" t="s">
        <v>25620</v>
      </c>
      <c r="D307" s="150">
        <v>44117</v>
      </c>
      <c r="E307" s="113" t="s">
        <v>25619</v>
      </c>
      <c r="F307" s="257" t="s">
        <v>14409</v>
      </c>
      <c r="G307" s="258">
        <v>15.99</v>
      </c>
      <c r="H307" s="152"/>
      <c r="I307" s="160">
        <f t="shared" si="4"/>
        <v>122430.90999999999</v>
      </c>
    </row>
    <row r="308" spans="2:9" x14ac:dyDescent="0.25">
      <c r="B308" s="148"/>
      <c r="C308" s="148" t="s">
        <v>25618</v>
      </c>
      <c r="D308" s="150">
        <v>44117</v>
      </c>
      <c r="E308" s="113" t="s">
        <v>25617</v>
      </c>
      <c r="F308" s="257" t="s">
        <v>14409</v>
      </c>
      <c r="G308" s="258">
        <v>2.4300000000000002</v>
      </c>
      <c r="H308" s="152"/>
      <c r="I308" s="160">
        <f t="shared" si="4"/>
        <v>122433.33999999998</v>
      </c>
    </row>
    <row r="309" spans="2:9" x14ac:dyDescent="0.25">
      <c r="B309" s="148"/>
      <c r="C309" s="148" t="s">
        <v>25616</v>
      </c>
      <c r="D309" s="150">
        <v>44117</v>
      </c>
      <c r="E309" s="113" t="s">
        <v>25615</v>
      </c>
      <c r="F309" s="257" t="s">
        <v>14409</v>
      </c>
      <c r="G309" s="258">
        <v>3.68</v>
      </c>
      <c r="H309" s="152"/>
      <c r="I309" s="160">
        <f t="shared" si="4"/>
        <v>122437.01999999997</v>
      </c>
    </row>
    <row r="310" spans="2:9" x14ac:dyDescent="0.25">
      <c r="B310" s="148"/>
      <c r="C310" s="148" t="s">
        <v>25614</v>
      </c>
      <c r="D310" s="150">
        <v>44117</v>
      </c>
      <c r="E310" s="113" t="s">
        <v>25613</v>
      </c>
      <c r="F310" s="257" t="s">
        <v>14409</v>
      </c>
      <c r="G310" s="258">
        <v>10.8</v>
      </c>
      <c r="H310" s="152"/>
      <c r="I310" s="160">
        <f t="shared" si="4"/>
        <v>122447.81999999998</v>
      </c>
    </row>
    <row r="311" spans="2:9" x14ac:dyDescent="0.25">
      <c r="B311" s="148"/>
      <c r="C311" s="148" t="s">
        <v>25612</v>
      </c>
      <c r="D311" s="150">
        <v>44117</v>
      </c>
      <c r="E311" s="113" t="s">
        <v>25611</v>
      </c>
      <c r="F311" s="257" t="s">
        <v>14409</v>
      </c>
      <c r="G311" s="258">
        <v>8.2899999999999991</v>
      </c>
      <c r="H311" s="152"/>
      <c r="I311" s="160">
        <f t="shared" si="4"/>
        <v>122456.10999999997</v>
      </c>
    </row>
    <row r="312" spans="2:9" x14ac:dyDescent="0.25">
      <c r="B312" s="148"/>
      <c r="C312" s="148" t="s">
        <v>25610</v>
      </c>
      <c r="D312" s="150">
        <v>44117</v>
      </c>
      <c r="E312" s="113" t="s">
        <v>25609</v>
      </c>
      <c r="F312" s="257">
        <v>13</v>
      </c>
      <c r="G312" s="255">
        <v>7.29</v>
      </c>
      <c r="H312" s="152"/>
      <c r="I312" s="160">
        <f t="shared" si="4"/>
        <v>122463.39999999997</v>
      </c>
    </row>
    <row r="313" spans="2:9" x14ac:dyDescent="0.25">
      <c r="B313" s="148"/>
      <c r="C313" s="148" t="s">
        <v>25608</v>
      </c>
      <c r="D313" s="150">
        <v>44117</v>
      </c>
      <c r="E313" s="113" t="s">
        <v>25607</v>
      </c>
      <c r="F313" s="257">
        <v>13</v>
      </c>
      <c r="G313" s="255">
        <v>8.3800000000000008</v>
      </c>
      <c r="H313" s="152"/>
      <c r="I313" s="160">
        <f t="shared" si="4"/>
        <v>122471.77999999997</v>
      </c>
    </row>
    <row r="314" spans="2:9" x14ac:dyDescent="0.25">
      <c r="B314" s="148"/>
      <c r="C314" s="148" t="s">
        <v>25606</v>
      </c>
      <c r="D314" s="150">
        <v>44117</v>
      </c>
      <c r="E314" s="113" t="s">
        <v>25605</v>
      </c>
      <c r="F314" s="257">
        <v>13</v>
      </c>
      <c r="G314" s="255">
        <v>1.94</v>
      </c>
      <c r="H314" s="152"/>
      <c r="I314" s="160">
        <f t="shared" si="4"/>
        <v>122473.71999999997</v>
      </c>
    </row>
    <row r="315" spans="2:9" x14ac:dyDescent="0.25">
      <c r="B315" s="148"/>
      <c r="C315" s="148" t="s">
        <v>25604</v>
      </c>
      <c r="D315" s="150">
        <v>44117</v>
      </c>
      <c r="E315" s="113" t="s">
        <v>25603</v>
      </c>
      <c r="F315" s="257">
        <v>13</v>
      </c>
      <c r="G315" s="255">
        <v>12.88</v>
      </c>
      <c r="H315" s="152"/>
      <c r="I315" s="160">
        <f t="shared" si="4"/>
        <v>122486.59999999998</v>
      </c>
    </row>
    <row r="316" spans="2:9" x14ac:dyDescent="0.25">
      <c r="B316" s="148"/>
      <c r="C316" s="148" t="s">
        <v>25602</v>
      </c>
      <c r="D316" s="150">
        <v>44117</v>
      </c>
      <c r="E316" s="113" t="s">
        <v>25601</v>
      </c>
      <c r="F316" s="257">
        <v>13</v>
      </c>
      <c r="G316" s="255">
        <v>5.42</v>
      </c>
      <c r="H316" s="152"/>
      <c r="I316" s="160">
        <f t="shared" si="4"/>
        <v>122492.01999999997</v>
      </c>
    </row>
    <row r="317" spans="2:9" x14ac:dyDescent="0.25">
      <c r="B317" s="148"/>
      <c r="C317" s="148" t="s">
        <v>25600</v>
      </c>
      <c r="D317" s="150">
        <v>44117</v>
      </c>
      <c r="E317" s="113" t="s">
        <v>25599</v>
      </c>
      <c r="F317" s="257" t="s">
        <v>14436</v>
      </c>
      <c r="G317" s="160">
        <v>4.38</v>
      </c>
      <c r="H317" s="152"/>
      <c r="I317" s="160">
        <f t="shared" si="4"/>
        <v>122496.39999999998</v>
      </c>
    </row>
    <row r="318" spans="2:9" x14ac:dyDescent="0.25">
      <c r="B318" s="148"/>
      <c r="C318" s="148" t="s">
        <v>1432</v>
      </c>
      <c r="D318" s="150">
        <v>44117</v>
      </c>
      <c r="E318" s="113" t="s">
        <v>25598</v>
      </c>
      <c r="F318" s="257" t="s">
        <v>14433</v>
      </c>
      <c r="G318" s="152"/>
      <c r="H318" s="161">
        <v>1634.38</v>
      </c>
      <c r="I318" s="160">
        <f t="shared" si="4"/>
        <v>120862.01999999997</v>
      </c>
    </row>
    <row r="319" spans="2:9" ht="19.5" x14ac:dyDescent="0.25">
      <c r="B319" s="148"/>
      <c r="C319" s="148" t="s">
        <v>1430</v>
      </c>
      <c r="D319" s="150">
        <v>44117</v>
      </c>
      <c r="E319" s="113" t="s">
        <v>25597</v>
      </c>
      <c r="F319" s="257" t="s">
        <v>14433</v>
      </c>
      <c r="G319" s="152"/>
      <c r="H319" s="161">
        <v>594.77</v>
      </c>
      <c r="I319" s="160">
        <f t="shared" si="4"/>
        <v>120267.24999999997</v>
      </c>
    </row>
    <row r="320" spans="2:9" ht="19.5" x14ac:dyDescent="0.25">
      <c r="B320" s="148"/>
      <c r="C320" s="148" t="s">
        <v>1428</v>
      </c>
      <c r="D320" s="150">
        <v>44117</v>
      </c>
      <c r="E320" s="113" t="s">
        <v>25596</v>
      </c>
      <c r="F320" s="257" t="s">
        <v>14433</v>
      </c>
      <c r="G320" s="152"/>
      <c r="H320" s="161">
        <v>80.739999999999995</v>
      </c>
      <c r="I320" s="160">
        <f t="shared" si="4"/>
        <v>120186.50999999997</v>
      </c>
    </row>
    <row r="321" spans="2:9" x14ac:dyDescent="0.25">
      <c r="B321" s="148"/>
      <c r="C321" s="148" t="s">
        <v>15202</v>
      </c>
      <c r="D321" s="150">
        <v>44117</v>
      </c>
      <c r="E321" s="113" t="s">
        <v>25595</v>
      </c>
      <c r="F321" s="257" t="s">
        <v>14433</v>
      </c>
      <c r="G321" s="152"/>
      <c r="H321" s="161">
        <v>21.9</v>
      </c>
      <c r="I321" s="160">
        <f t="shared" si="4"/>
        <v>120164.60999999997</v>
      </c>
    </row>
    <row r="322" spans="2:9" x14ac:dyDescent="0.25">
      <c r="B322" s="148"/>
      <c r="C322" s="148" t="s">
        <v>15200</v>
      </c>
      <c r="D322" s="150">
        <v>44117</v>
      </c>
      <c r="E322" s="113" t="s">
        <v>25594</v>
      </c>
      <c r="F322" s="257" t="s">
        <v>14433</v>
      </c>
      <c r="G322" s="152"/>
      <c r="H322" s="161">
        <v>116.99</v>
      </c>
      <c r="I322" s="160">
        <f t="shared" si="4"/>
        <v>120047.61999999997</v>
      </c>
    </row>
    <row r="323" spans="2:9" ht="19.5" x14ac:dyDescent="0.25">
      <c r="B323" s="148"/>
      <c r="C323" s="148" t="s">
        <v>14518</v>
      </c>
      <c r="D323" s="150">
        <v>44117</v>
      </c>
      <c r="E323" s="113" t="s">
        <v>25593</v>
      </c>
      <c r="F323" s="257" t="s">
        <v>14433</v>
      </c>
      <c r="G323" s="152"/>
      <c r="H323" s="161">
        <v>88</v>
      </c>
      <c r="I323" s="160">
        <f t="shared" si="4"/>
        <v>119959.61999999997</v>
      </c>
    </row>
    <row r="324" spans="2:9" ht="19.5" x14ac:dyDescent="0.25">
      <c r="B324" s="148"/>
      <c r="C324" s="148" t="s">
        <v>18388</v>
      </c>
      <c r="D324" s="150">
        <v>44117</v>
      </c>
      <c r="E324" s="113" t="s">
        <v>25592</v>
      </c>
      <c r="F324" s="257" t="s">
        <v>14433</v>
      </c>
      <c r="G324" s="152"/>
      <c r="H324" s="161">
        <v>665.76</v>
      </c>
      <c r="I324" s="160">
        <f t="shared" si="4"/>
        <v>119293.85999999997</v>
      </c>
    </row>
    <row r="325" spans="2:9" ht="19.5" x14ac:dyDescent="0.25">
      <c r="B325" s="148"/>
      <c r="C325" s="148" t="s">
        <v>25591</v>
      </c>
      <c r="D325" s="150">
        <v>44118</v>
      </c>
      <c r="E325" s="113" t="s">
        <v>25590</v>
      </c>
      <c r="F325" s="257" t="s">
        <v>14409</v>
      </c>
      <c r="G325" s="258">
        <v>5.12</v>
      </c>
      <c r="H325" s="152"/>
      <c r="I325" s="160">
        <f t="shared" si="4"/>
        <v>119298.97999999997</v>
      </c>
    </row>
    <row r="326" spans="2:9" x14ac:dyDescent="0.25">
      <c r="B326" s="148"/>
      <c r="C326" s="148" t="s">
        <v>25589</v>
      </c>
      <c r="D326" s="150">
        <v>44118</v>
      </c>
      <c r="E326" s="113" t="s">
        <v>25588</v>
      </c>
      <c r="F326" s="257" t="s">
        <v>14436</v>
      </c>
      <c r="G326" s="160">
        <v>1.68</v>
      </c>
      <c r="H326" s="152"/>
      <c r="I326" s="160">
        <f t="shared" si="4"/>
        <v>119300.65999999996</v>
      </c>
    </row>
    <row r="327" spans="2:9" x14ac:dyDescent="0.25">
      <c r="B327" s="148"/>
      <c r="C327" s="148" t="s">
        <v>25587</v>
      </c>
      <c r="D327" s="150">
        <v>44118</v>
      </c>
      <c r="E327" s="113" t="s">
        <v>25586</v>
      </c>
      <c r="F327" s="257" t="s">
        <v>14436</v>
      </c>
      <c r="G327" s="160">
        <v>1.68</v>
      </c>
      <c r="H327" s="152"/>
      <c r="I327" s="160">
        <f t="shared" si="4"/>
        <v>119302.33999999995</v>
      </c>
    </row>
    <row r="328" spans="2:9" x14ac:dyDescent="0.25">
      <c r="B328" s="148"/>
      <c r="C328" s="148" t="s">
        <v>25585</v>
      </c>
      <c r="D328" s="150">
        <v>44118</v>
      </c>
      <c r="E328" s="113" t="s">
        <v>25584</v>
      </c>
      <c r="F328" s="257">
        <v>14</v>
      </c>
      <c r="G328" s="255">
        <v>3.82</v>
      </c>
      <c r="H328" s="152"/>
      <c r="I328" s="160">
        <f t="shared" si="4"/>
        <v>119306.15999999996</v>
      </c>
    </row>
    <row r="329" spans="2:9" x14ac:dyDescent="0.25">
      <c r="B329" s="148"/>
      <c r="C329" s="148" t="s">
        <v>25583</v>
      </c>
      <c r="D329" s="150">
        <v>44118</v>
      </c>
      <c r="E329" s="113" t="s">
        <v>25582</v>
      </c>
      <c r="F329" s="257">
        <v>14</v>
      </c>
      <c r="G329" s="255">
        <v>8.3800000000000008</v>
      </c>
      <c r="H329" s="152"/>
      <c r="I329" s="160">
        <f t="shared" si="4"/>
        <v>119314.53999999996</v>
      </c>
    </row>
    <row r="330" spans="2:9" x14ac:dyDescent="0.25">
      <c r="B330" s="148"/>
      <c r="C330" s="148" t="s">
        <v>25581</v>
      </c>
      <c r="D330" s="150">
        <v>44118</v>
      </c>
      <c r="E330" s="113" t="s">
        <v>25580</v>
      </c>
      <c r="F330" s="257" t="s">
        <v>14409</v>
      </c>
      <c r="G330" s="258">
        <v>1.68</v>
      </c>
      <c r="H330" s="152"/>
      <c r="I330" s="160">
        <f t="shared" si="4"/>
        <v>119316.21999999996</v>
      </c>
    </row>
    <row r="331" spans="2:9" x14ac:dyDescent="0.25">
      <c r="B331" s="148"/>
      <c r="C331" s="148" t="s">
        <v>25579</v>
      </c>
      <c r="D331" s="150">
        <v>44118</v>
      </c>
      <c r="E331" s="113" t="s">
        <v>25578</v>
      </c>
      <c r="F331" s="257" t="s">
        <v>14409</v>
      </c>
      <c r="G331" s="258">
        <v>5.18</v>
      </c>
      <c r="H331" s="152"/>
      <c r="I331" s="160">
        <f t="shared" si="4"/>
        <v>119321.39999999995</v>
      </c>
    </row>
    <row r="332" spans="2:9" ht="19.5" x14ac:dyDescent="0.25">
      <c r="B332" s="148"/>
      <c r="C332" s="148" t="s">
        <v>25577</v>
      </c>
      <c r="D332" s="150">
        <v>44118</v>
      </c>
      <c r="E332" s="113" t="s">
        <v>25576</v>
      </c>
      <c r="F332" s="257" t="s">
        <v>14409</v>
      </c>
      <c r="G332" s="258">
        <v>50.21</v>
      </c>
      <c r="H332" s="152"/>
      <c r="I332" s="160">
        <f t="shared" si="4"/>
        <v>119371.60999999996</v>
      </c>
    </row>
    <row r="333" spans="2:9" x14ac:dyDescent="0.25">
      <c r="B333" s="148"/>
      <c r="C333" s="148" t="s">
        <v>25575</v>
      </c>
      <c r="D333" s="150">
        <v>44118</v>
      </c>
      <c r="E333" s="113" t="s">
        <v>25574</v>
      </c>
      <c r="F333" s="257" t="s">
        <v>14409</v>
      </c>
      <c r="G333" s="258">
        <v>9</v>
      </c>
      <c r="H333" s="152"/>
      <c r="I333" s="160">
        <f t="shared" si="4"/>
        <v>119380.60999999996</v>
      </c>
    </row>
    <row r="334" spans="2:9" x14ac:dyDescent="0.25">
      <c r="B334" s="148"/>
      <c r="C334" s="148" t="s">
        <v>25573</v>
      </c>
      <c r="D334" s="150">
        <v>44118</v>
      </c>
      <c r="E334" s="113" t="s">
        <v>25572</v>
      </c>
      <c r="F334" s="257" t="s">
        <v>14409</v>
      </c>
      <c r="G334" s="258">
        <v>16.760000000000002</v>
      </c>
      <c r="H334" s="152"/>
      <c r="I334" s="160">
        <f t="shared" si="4"/>
        <v>119397.36999999995</v>
      </c>
    </row>
    <row r="335" spans="2:9" ht="19.5" x14ac:dyDescent="0.25">
      <c r="B335" s="148"/>
      <c r="C335" s="148" t="s">
        <v>25571</v>
      </c>
      <c r="D335" s="150">
        <v>44119</v>
      </c>
      <c r="E335" s="113" t="s">
        <v>25570</v>
      </c>
      <c r="F335" s="257" t="s">
        <v>14409</v>
      </c>
      <c r="G335" s="258">
        <v>8.3800000000000008</v>
      </c>
      <c r="H335" s="152"/>
      <c r="I335" s="160">
        <f t="shared" si="4"/>
        <v>119405.74999999996</v>
      </c>
    </row>
    <row r="336" spans="2:9" x14ac:dyDescent="0.25">
      <c r="B336" s="148"/>
      <c r="C336" s="148" t="s">
        <v>25569</v>
      </c>
      <c r="D336" s="150">
        <v>44119</v>
      </c>
      <c r="E336" s="113" t="s">
        <v>25568</v>
      </c>
      <c r="F336" s="257">
        <v>15</v>
      </c>
      <c r="G336" s="255">
        <v>4.9800000000000004</v>
      </c>
      <c r="H336" s="152"/>
      <c r="I336" s="160">
        <f t="shared" si="4"/>
        <v>119410.72999999995</v>
      </c>
    </row>
    <row r="337" spans="2:9" x14ac:dyDescent="0.25">
      <c r="B337" s="148"/>
      <c r="C337" s="148" t="s">
        <v>25567</v>
      </c>
      <c r="D337" s="150">
        <v>44119</v>
      </c>
      <c r="E337" s="113" t="s">
        <v>25566</v>
      </c>
      <c r="F337" s="257">
        <v>15</v>
      </c>
      <c r="G337" s="255">
        <v>9.98</v>
      </c>
      <c r="H337" s="152"/>
      <c r="I337" s="160">
        <f t="shared" si="4"/>
        <v>119420.70999999995</v>
      </c>
    </row>
    <row r="338" spans="2:9" x14ac:dyDescent="0.25">
      <c r="B338" s="148"/>
      <c r="C338" s="148" t="s">
        <v>25565</v>
      </c>
      <c r="D338" s="150">
        <v>44119</v>
      </c>
      <c r="E338" s="113" t="s">
        <v>25564</v>
      </c>
      <c r="F338" s="257">
        <v>15</v>
      </c>
      <c r="G338" s="255">
        <v>12.3</v>
      </c>
      <c r="H338" s="152"/>
      <c r="I338" s="160">
        <f t="shared" si="4"/>
        <v>119433.00999999995</v>
      </c>
    </row>
    <row r="339" spans="2:9" x14ac:dyDescent="0.25">
      <c r="B339" s="148"/>
      <c r="C339" s="148" t="s">
        <v>25563</v>
      </c>
      <c r="D339" s="150">
        <v>44119</v>
      </c>
      <c r="E339" s="113" t="s">
        <v>25562</v>
      </c>
      <c r="F339" s="257">
        <v>15</v>
      </c>
      <c r="G339" s="255">
        <v>3.36</v>
      </c>
      <c r="H339" s="152"/>
      <c r="I339" s="160">
        <f t="shared" si="4"/>
        <v>119436.36999999995</v>
      </c>
    </row>
    <row r="340" spans="2:9" x14ac:dyDescent="0.25">
      <c r="B340" s="148"/>
      <c r="C340" s="148" t="s">
        <v>25561</v>
      </c>
      <c r="D340" s="150">
        <v>44119</v>
      </c>
      <c r="E340" s="113" t="s">
        <v>25560</v>
      </c>
      <c r="F340" s="257" t="s">
        <v>14409</v>
      </c>
      <c r="G340" s="258">
        <v>1.68</v>
      </c>
      <c r="H340" s="152"/>
      <c r="I340" s="160">
        <f t="shared" ref="I340:I403" si="5">+I339+G340-H340</f>
        <v>119438.04999999994</v>
      </c>
    </row>
    <row r="341" spans="2:9" x14ac:dyDescent="0.25">
      <c r="B341" s="148"/>
      <c r="C341" s="148" t="s">
        <v>25559</v>
      </c>
      <c r="D341" s="150">
        <v>44119</v>
      </c>
      <c r="E341" s="113" t="s">
        <v>25558</v>
      </c>
      <c r="F341" s="257" t="s">
        <v>14409</v>
      </c>
      <c r="G341" s="258">
        <v>12.3</v>
      </c>
      <c r="H341" s="152"/>
      <c r="I341" s="160">
        <f t="shared" si="5"/>
        <v>119450.34999999995</v>
      </c>
    </row>
    <row r="342" spans="2:9" x14ac:dyDescent="0.25">
      <c r="B342" s="148"/>
      <c r="C342" s="148" t="s">
        <v>25557</v>
      </c>
      <c r="D342" s="150">
        <v>44119</v>
      </c>
      <c r="E342" s="113" t="s">
        <v>25556</v>
      </c>
      <c r="F342" s="257" t="s">
        <v>14409</v>
      </c>
      <c r="G342" s="258">
        <v>5.1100000000000003</v>
      </c>
      <c r="H342" s="152"/>
      <c r="I342" s="160">
        <f t="shared" si="5"/>
        <v>119455.45999999995</v>
      </c>
    </row>
    <row r="343" spans="2:9" ht="19.5" x14ac:dyDescent="0.25">
      <c r="B343" s="148"/>
      <c r="C343" s="148" t="s">
        <v>25555</v>
      </c>
      <c r="D343" s="150">
        <v>44119</v>
      </c>
      <c r="E343" s="113" t="s">
        <v>25554</v>
      </c>
      <c r="F343" s="257" t="s">
        <v>14409</v>
      </c>
      <c r="G343" s="258">
        <v>12.23</v>
      </c>
      <c r="H343" s="152"/>
      <c r="I343" s="160">
        <f t="shared" si="5"/>
        <v>119467.68999999994</v>
      </c>
    </row>
    <row r="344" spans="2:9" x14ac:dyDescent="0.25">
      <c r="B344" s="148"/>
      <c r="C344" s="148" t="s">
        <v>25553</v>
      </c>
      <c r="D344" s="150">
        <v>44119</v>
      </c>
      <c r="E344" s="113" t="s">
        <v>25552</v>
      </c>
      <c r="F344" s="257" t="s">
        <v>14409</v>
      </c>
      <c r="G344" s="258">
        <v>13.86</v>
      </c>
      <c r="H344" s="152"/>
      <c r="I344" s="160">
        <f t="shared" si="5"/>
        <v>119481.54999999994</v>
      </c>
    </row>
    <row r="345" spans="2:9" x14ac:dyDescent="0.25">
      <c r="B345" s="148"/>
      <c r="C345" s="148" t="s">
        <v>25551</v>
      </c>
      <c r="D345" s="150">
        <v>44119</v>
      </c>
      <c r="E345" s="113" t="s">
        <v>25550</v>
      </c>
      <c r="F345" s="257" t="s">
        <v>14409</v>
      </c>
      <c r="G345" s="258">
        <v>6.28</v>
      </c>
      <c r="H345" s="152"/>
      <c r="I345" s="160">
        <f t="shared" si="5"/>
        <v>119487.82999999994</v>
      </c>
    </row>
    <row r="346" spans="2:9" x14ac:dyDescent="0.25">
      <c r="B346" s="148"/>
      <c r="C346" s="148" t="s">
        <v>25549</v>
      </c>
      <c r="D346" s="150">
        <v>44119</v>
      </c>
      <c r="E346" s="113" t="s">
        <v>25548</v>
      </c>
      <c r="F346" s="257" t="s">
        <v>14409</v>
      </c>
      <c r="G346" s="258">
        <v>2.42</v>
      </c>
      <c r="H346" s="152"/>
      <c r="I346" s="160">
        <f t="shared" si="5"/>
        <v>119490.24999999994</v>
      </c>
    </row>
    <row r="347" spans="2:9" x14ac:dyDescent="0.25">
      <c r="B347" s="148"/>
      <c r="C347" s="148" t="s">
        <v>25547</v>
      </c>
      <c r="D347" s="150">
        <v>44119</v>
      </c>
      <c r="E347" s="113" t="s">
        <v>25546</v>
      </c>
      <c r="F347" s="257" t="s">
        <v>14409</v>
      </c>
      <c r="G347" s="258">
        <v>1.68</v>
      </c>
      <c r="H347" s="152"/>
      <c r="I347" s="160">
        <f t="shared" si="5"/>
        <v>119491.92999999993</v>
      </c>
    </row>
    <row r="348" spans="2:9" ht="19.5" x14ac:dyDescent="0.25">
      <c r="B348" s="148"/>
      <c r="C348" s="148" t="s">
        <v>25545</v>
      </c>
      <c r="D348" s="150">
        <v>44119</v>
      </c>
      <c r="E348" s="113" t="s">
        <v>25544</v>
      </c>
      <c r="F348" s="257" t="s">
        <v>14409</v>
      </c>
      <c r="G348" s="258">
        <v>5.39</v>
      </c>
      <c r="H348" s="152"/>
      <c r="I348" s="160">
        <f t="shared" si="5"/>
        <v>119497.31999999993</v>
      </c>
    </row>
    <row r="349" spans="2:9" x14ac:dyDescent="0.25">
      <c r="B349" s="148"/>
      <c r="C349" s="148" t="s">
        <v>25543</v>
      </c>
      <c r="D349" s="150">
        <v>44119</v>
      </c>
      <c r="E349" s="113" t="s">
        <v>25542</v>
      </c>
      <c r="F349" s="257" t="s">
        <v>14409</v>
      </c>
      <c r="G349" s="258">
        <v>4.3600000000000003</v>
      </c>
      <c r="H349" s="152"/>
      <c r="I349" s="160">
        <f t="shared" si="5"/>
        <v>119501.67999999993</v>
      </c>
    </row>
    <row r="350" spans="2:9" x14ac:dyDescent="0.25">
      <c r="B350" s="148"/>
      <c r="C350" s="148" t="s">
        <v>25541</v>
      </c>
      <c r="D350" s="150">
        <v>44119</v>
      </c>
      <c r="E350" s="113" t="s">
        <v>25540</v>
      </c>
      <c r="F350" s="257" t="s">
        <v>14409</v>
      </c>
      <c r="G350" s="258">
        <v>6.38</v>
      </c>
      <c r="H350" s="152"/>
      <c r="I350" s="160">
        <f t="shared" si="5"/>
        <v>119508.05999999994</v>
      </c>
    </row>
    <row r="351" spans="2:9" x14ac:dyDescent="0.25">
      <c r="B351" s="148"/>
      <c r="C351" s="148" t="s">
        <v>25539</v>
      </c>
      <c r="D351" s="150">
        <v>44119</v>
      </c>
      <c r="E351" s="113" t="s">
        <v>25538</v>
      </c>
      <c r="F351" s="257" t="s">
        <v>14409</v>
      </c>
      <c r="G351" s="258">
        <v>7.97</v>
      </c>
      <c r="H351" s="152"/>
      <c r="I351" s="160">
        <f t="shared" si="5"/>
        <v>119516.02999999994</v>
      </c>
    </row>
    <row r="352" spans="2:9" x14ac:dyDescent="0.25">
      <c r="B352" s="148"/>
      <c r="C352" s="148" t="s">
        <v>25537</v>
      </c>
      <c r="D352" s="150">
        <v>44119</v>
      </c>
      <c r="E352" s="113" t="s">
        <v>25536</v>
      </c>
      <c r="F352" s="257" t="s">
        <v>14409</v>
      </c>
      <c r="G352" s="258">
        <v>0.13</v>
      </c>
      <c r="H352" s="152"/>
      <c r="I352" s="160">
        <f t="shared" si="5"/>
        <v>119516.15999999995</v>
      </c>
    </row>
    <row r="353" spans="2:9" x14ac:dyDescent="0.25">
      <c r="B353" s="148"/>
      <c r="C353" s="148" t="s">
        <v>25535</v>
      </c>
      <c r="D353" s="150">
        <v>44119</v>
      </c>
      <c r="E353" s="113" t="s">
        <v>25534</v>
      </c>
      <c r="F353" s="257" t="s">
        <v>14409</v>
      </c>
      <c r="G353" s="258">
        <v>2.46</v>
      </c>
      <c r="H353" s="152"/>
      <c r="I353" s="160">
        <f t="shared" si="5"/>
        <v>119518.61999999995</v>
      </c>
    </row>
    <row r="354" spans="2:9" x14ac:dyDescent="0.25">
      <c r="B354" s="148"/>
      <c r="C354" s="148" t="s">
        <v>25533</v>
      </c>
      <c r="D354" s="150">
        <v>44119</v>
      </c>
      <c r="E354" s="113" t="s">
        <v>25532</v>
      </c>
      <c r="F354" s="257" t="s">
        <v>14409</v>
      </c>
      <c r="G354" s="258">
        <v>5.93</v>
      </c>
      <c r="H354" s="152"/>
      <c r="I354" s="160">
        <f t="shared" si="5"/>
        <v>119524.54999999994</v>
      </c>
    </row>
    <row r="355" spans="2:9" ht="19.5" x14ac:dyDescent="0.25">
      <c r="B355" s="148"/>
      <c r="C355" s="148" t="s">
        <v>25531</v>
      </c>
      <c r="D355" s="150">
        <v>44119</v>
      </c>
      <c r="E355" s="113" t="s">
        <v>25530</v>
      </c>
      <c r="F355" s="257" t="s">
        <v>14409</v>
      </c>
      <c r="G355" s="258">
        <v>8.98</v>
      </c>
      <c r="H355" s="152"/>
      <c r="I355" s="160">
        <f t="shared" si="5"/>
        <v>119533.52999999994</v>
      </c>
    </row>
    <row r="356" spans="2:9" x14ac:dyDescent="0.25">
      <c r="B356" s="148"/>
      <c r="C356" s="148" t="s">
        <v>25529</v>
      </c>
      <c r="D356" s="150">
        <v>44119</v>
      </c>
      <c r="E356" s="113" t="s">
        <v>25528</v>
      </c>
      <c r="F356" s="257" t="s">
        <v>18712</v>
      </c>
      <c r="G356" s="160">
        <v>1.57</v>
      </c>
      <c r="H356" s="152"/>
      <c r="I356" s="160">
        <f t="shared" si="5"/>
        <v>119535.09999999995</v>
      </c>
    </row>
    <row r="357" spans="2:9" x14ac:dyDescent="0.25">
      <c r="B357" s="148"/>
      <c r="C357" s="148" t="s">
        <v>407</v>
      </c>
      <c r="D357" s="150">
        <v>44119</v>
      </c>
      <c r="E357" s="113" t="s">
        <v>25527</v>
      </c>
      <c r="F357" s="257" t="s">
        <v>14433</v>
      </c>
      <c r="G357" s="152"/>
      <c r="H357" s="161">
        <v>2800</v>
      </c>
      <c r="I357" s="160">
        <f t="shared" si="5"/>
        <v>116735.09999999995</v>
      </c>
    </row>
    <row r="358" spans="2:9" x14ac:dyDescent="0.25">
      <c r="B358" s="148"/>
      <c r="C358" s="148" t="s">
        <v>25526</v>
      </c>
      <c r="D358" s="150">
        <v>44120</v>
      </c>
      <c r="E358" s="113" t="s">
        <v>25525</v>
      </c>
      <c r="F358" s="257" t="s">
        <v>14412</v>
      </c>
      <c r="G358" s="258">
        <v>4.51</v>
      </c>
      <c r="H358" s="152"/>
      <c r="I358" s="160">
        <f t="shared" si="5"/>
        <v>116739.60999999994</v>
      </c>
    </row>
    <row r="359" spans="2:9" x14ac:dyDescent="0.25">
      <c r="B359" s="148"/>
      <c r="C359" s="148" t="s">
        <v>25524</v>
      </c>
      <c r="D359" s="150">
        <v>44120</v>
      </c>
      <c r="E359" s="113" t="s">
        <v>25523</v>
      </c>
      <c r="F359" s="257" t="s">
        <v>14412</v>
      </c>
      <c r="G359" s="258">
        <v>5.98</v>
      </c>
      <c r="H359" s="152"/>
      <c r="I359" s="160">
        <f t="shared" si="5"/>
        <v>116745.58999999994</v>
      </c>
    </row>
    <row r="360" spans="2:9" x14ac:dyDescent="0.25">
      <c r="B360" s="148"/>
      <c r="C360" s="148" t="s">
        <v>25522</v>
      </c>
      <c r="D360" s="150">
        <v>44120</v>
      </c>
      <c r="E360" s="113" t="s">
        <v>25521</v>
      </c>
      <c r="F360" s="257" t="s">
        <v>14412</v>
      </c>
      <c r="G360" s="258">
        <v>2.12</v>
      </c>
      <c r="H360" s="152"/>
      <c r="I360" s="160">
        <f t="shared" si="5"/>
        <v>116747.70999999993</v>
      </c>
    </row>
    <row r="361" spans="2:9" ht="19.5" x14ac:dyDescent="0.25">
      <c r="B361" s="148"/>
      <c r="C361" s="148" t="s">
        <v>25520</v>
      </c>
      <c r="D361" s="150">
        <v>44120</v>
      </c>
      <c r="E361" s="113" t="s">
        <v>25519</v>
      </c>
      <c r="F361" s="257" t="s">
        <v>14412</v>
      </c>
      <c r="G361" s="258">
        <v>45.22</v>
      </c>
      <c r="H361" s="152"/>
      <c r="I361" s="160">
        <f t="shared" si="5"/>
        <v>116792.92999999993</v>
      </c>
    </row>
    <row r="362" spans="2:9" x14ac:dyDescent="0.25">
      <c r="B362" s="148"/>
      <c r="C362" s="148" t="s">
        <v>25518</v>
      </c>
      <c r="D362" s="150">
        <v>44120</v>
      </c>
      <c r="E362" s="113" t="s">
        <v>25517</v>
      </c>
      <c r="F362" s="257" t="s">
        <v>14412</v>
      </c>
      <c r="G362" s="258">
        <v>11.73</v>
      </c>
      <c r="H362" s="152"/>
      <c r="I362" s="160">
        <f t="shared" si="5"/>
        <v>116804.65999999993</v>
      </c>
    </row>
    <row r="363" spans="2:9" x14ac:dyDescent="0.25">
      <c r="B363" s="148"/>
      <c r="C363" s="148" t="s">
        <v>25516</v>
      </c>
      <c r="D363" s="150">
        <v>44120</v>
      </c>
      <c r="E363" s="113" t="s">
        <v>25515</v>
      </c>
      <c r="F363" s="257" t="s">
        <v>14412</v>
      </c>
      <c r="G363" s="258">
        <v>5.91</v>
      </c>
      <c r="H363" s="152"/>
      <c r="I363" s="160">
        <f t="shared" si="5"/>
        <v>116810.56999999993</v>
      </c>
    </row>
    <row r="364" spans="2:9" x14ac:dyDescent="0.25">
      <c r="B364" s="148"/>
      <c r="C364" s="148" t="s">
        <v>25514</v>
      </c>
      <c r="D364" s="150">
        <v>44120</v>
      </c>
      <c r="E364" s="113" t="s">
        <v>25513</v>
      </c>
      <c r="F364" s="257" t="s">
        <v>14412</v>
      </c>
      <c r="G364" s="258">
        <v>6.69</v>
      </c>
      <c r="H364" s="152"/>
      <c r="I364" s="160">
        <f t="shared" si="5"/>
        <v>116817.25999999994</v>
      </c>
    </row>
    <row r="365" spans="2:9" x14ac:dyDescent="0.25">
      <c r="B365" s="148"/>
      <c r="C365" s="148" t="s">
        <v>25512</v>
      </c>
      <c r="D365" s="150">
        <v>44120</v>
      </c>
      <c r="E365" s="113" t="s">
        <v>25511</v>
      </c>
      <c r="F365" s="257" t="s">
        <v>14412</v>
      </c>
      <c r="G365" s="258">
        <v>6.1</v>
      </c>
      <c r="H365" s="152"/>
      <c r="I365" s="160">
        <f t="shared" si="5"/>
        <v>116823.35999999994</v>
      </c>
    </row>
    <row r="366" spans="2:9" x14ac:dyDescent="0.25">
      <c r="B366" s="148"/>
      <c r="C366" s="148" t="s">
        <v>25510</v>
      </c>
      <c r="D366" s="150">
        <v>44120</v>
      </c>
      <c r="E366" s="113" t="s">
        <v>25509</v>
      </c>
      <c r="F366" s="257" t="s">
        <v>14412</v>
      </c>
      <c r="G366" s="258">
        <v>6.72</v>
      </c>
      <c r="H366" s="152"/>
      <c r="I366" s="160">
        <f t="shared" si="5"/>
        <v>116830.07999999994</v>
      </c>
    </row>
    <row r="367" spans="2:9" x14ac:dyDescent="0.25">
      <c r="B367" s="148"/>
      <c r="C367" s="148" t="s">
        <v>25508</v>
      </c>
      <c r="D367" s="150">
        <v>44120</v>
      </c>
      <c r="E367" s="113" t="s">
        <v>25507</v>
      </c>
      <c r="F367" s="257" t="s">
        <v>14412</v>
      </c>
      <c r="G367" s="258">
        <v>4.67</v>
      </c>
      <c r="H367" s="152"/>
      <c r="I367" s="160">
        <f t="shared" si="5"/>
        <v>116834.74999999994</v>
      </c>
    </row>
    <row r="368" spans="2:9" ht="19.5" x14ac:dyDescent="0.25">
      <c r="B368" s="148"/>
      <c r="C368" s="148" t="s">
        <v>25506</v>
      </c>
      <c r="D368" s="150">
        <v>44120</v>
      </c>
      <c r="E368" s="113" t="s">
        <v>25505</v>
      </c>
      <c r="F368" s="257" t="s">
        <v>14412</v>
      </c>
      <c r="G368" s="258">
        <v>20.03</v>
      </c>
      <c r="H368" s="152"/>
      <c r="I368" s="160">
        <f t="shared" si="5"/>
        <v>116854.77999999994</v>
      </c>
    </row>
    <row r="369" spans="2:9" x14ac:dyDescent="0.25">
      <c r="B369" s="148"/>
      <c r="C369" s="148" t="s">
        <v>25504</v>
      </c>
      <c r="D369" s="150">
        <v>44120</v>
      </c>
      <c r="E369" s="113" t="s">
        <v>25503</v>
      </c>
      <c r="F369" s="257" t="s">
        <v>14412</v>
      </c>
      <c r="G369" s="258">
        <v>8.3800000000000008</v>
      </c>
      <c r="H369" s="152"/>
      <c r="I369" s="160">
        <f t="shared" si="5"/>
        <v>116863.15999999995</v>
      </c>
    </row>
    <row r="370" spans="2:9" x14ac:dyDescent="0.25">
      <c r="B370" s="148"/>
      <c r="C370" s="148" t="s">
        <v>25502</v>
      </c>
      <c r="D370" s="150">
        <v>44120</v>
      </c>
      <c r="E370" s="113" t="s">
        <v>25501</v>
      </c>
      <c r="F370" s="257" t="s">
        <v>14412</v>
      </c>
      <c r="G370" s="258">
        <v>9.26</v>
      </c>
      <c r="H370" s="152"/>
      <c r="I370" s="160">
        <f t="shared" si="5"/>
        <v>116872.41999999994</v>
      </c>
    </row>
    <row r="371" spans="2:9" x14ac:dyDescent="0.25">
      <c r="B371" s="148"/>
      <c r="C371" s="148" t="s">
        <v>25500</v>
      </c>
      <c r="D371" s="150">
        <v>44120</v>
      </c>
      <c r="E371" s="113" t="s">
        <v>25499</v>
      </c>
      <c r="F371" s="257" t="s">
        <v>14412</v>
      </c>
      <c r="G371" s="258">
        <v>1.68</v>
      </c>
      <c r="H371" s="152"/>
      <c r="I371" s="160">
        <f t="shared" si="5"/>
        <v>116874.09999999993</v>
      </c>
    </row>
    <row r="372" spans="2:9" x14ac:dyDescent="0.25">
      <c r="B372" s="148"/>
      <c r="C372" s="148" t="s">
        <v>25498</v>
      </c>
      <c r="D372" s="150">
        <v>44120</v>
      </c>
      <c r="E372" s="113" t="s">
        <v>25497</v>
      </c>
      <c r="F372" s="257">
        <v>16</v>
      </c>
      <c r="G372" s="255">
        <v>53.7</v>
      </c>
      <c r="H372" s="152"/>
      <c r="I372" s="160">
        <f t="shared" si="5"/>
        <v>116927.79999999993</v>
      </c>
    </row>
    <row r="373" spans="2:9" x14ac:dyDescent="0.25">
      <c r="B373" s="148"/>
      <c r="C373" s="148" t="s">
        <v>25496</v>
      </c>
      <c r="D373" s="150">
        <v>44120</v>
      </c>
      <c r="E373" s="113" t="s">
        <v>25495</v>
      </c>
      <c r="F373" s="257">
        <v>16</v>
      </c>
      <c r="G373" s="255">
        <v>10.11</v>
      </c>
      <c r="H373" s="152"/>
      <c r="I373" s="160">
        <f t="shared" si="5"/>
        <v>116937.90999999993</v>
      </c>
    </row>
    <row r="374" spans="2:9" x14ac:dyDescent="0.25">
      <c r="B374" s="148"/>
      <c r="C374" s="148" t="s">
        <v>25494</v>
      </c>
      <c r="D374" s="150">
        <v>44120</v>
      </c>
      <c r="E374" s="113" t="s">
        <v>25493</v>
      </c>
      <c r="F374" s="257" t="s">
        <v>14436</v>
      </c>
      <c r="G374" s="160">
        <v>92.48</v>
      </c>
      <c r="H374" s="152"/>
      <c r="I374" s="160">
        <f t="shared" si="5"/>
        <v>117030.38999999993</v>
      </c>
    </row>
    <row r="375" spans="2:9" x14ac:dyDescent="0.25">
      <c r="B375" s="148"/>
      <c r="C375" s="148" t="s">
        <v>25492</v>
      </c>
      <c r="D375" s="150">
        <v>44120</v>
      </c>
      <c r="E375" s="113" t="s">
        <v>25491</v>
      </c>
      <c r="F375" s="257" t="s">
        <v>14436</v>
      </c>
      <c r="G375" s="160">
        <v>27.65</v>
      </c>
      <c r="H375" s="152"/>
      <c r="I375" s="160">
        <f t="shared" si="5"/>
        <v>117058.03999999992</v>
      </c>
    </row>
    <row r="376" spans="2:9" s="329" customFormat="1" x14ac:dyDescent="0.25">
      <c r="B376" s="324"/>
      <c r="C376" s="324" t="s">
        <v>19346</v>
      </c>
      <c r="D376" s="325">
        <v>44120</v>
      </c>
      <c r="E376" s="326" t="s">
        <v>25490</v>
      </c>
      <c r="F376" s="327" t="s">
        <v>14433</v>
      </c>
      <c r="G376" s="328"/>
      <c r="H376" s="353">
        <v>521.77</v>
      </c>
      <c r="I376" s="270">
        <f t="shared" si="5"/>
        <v>116536.26999999992</v>
      </c>
    </row>
    <row r="377" spans="2:9" ht="19.5" x14ac:dyDescent="0.25">
      <c r="B377" s="148"/>
      <c r="C377" s="148" t="s">
        <v>18390</v>
      </c>
      <c r="D377" s="150">
        <v>44120</v>
      </c>
      <c r="E377" s="113" t="s">
        <v>25489</v>
      </c>
      <c r="F377" s="257" t="s">
        <v>14433</v>
      </c>
      <c r="G377" s="152"/>
      <c r="H377" s="161">
        <v>1800</v>
      </c>
      <c r="I377" s="160">
        <f t="shared" si="5"/>
        <v>114736.26999999992</v>
      </c>
    </row>
    <row r="378" spans="2:9" x14ac:dyDescent="0.25">
      <c r="B378" s="148"/>
      <c r="C378" s="148" t="s">
        <v>25488</v>
      </c>
      <c r="D378" s="150">
        <v>44121</v>
      </c>
      <c r="E378" s="113" t="s">
        <v>25487</v>
      </c>
      <c r="F378" s="257" t="s">
        <v>14412</v>
      </c>
      <c r="G378" s="258">
        <v>1.68</v>
      </c>
      <c r="H378" s="152"/>
      <c r="I378" s="160">
        <f t="shared" si="5"/>
        <v>114737.94999999991</v>
      </c>
    </row>
    <row r="379" spans="2:9" x14ac:dyDescent="0.25">
      <c r="B379" s="148"/>
      <c r="C379" s="148" t="s">
        <v>25486</v>
      </c>
      <c r="D379" s="150">
        <v>44121</v>
      </c>
      <c r="E379" s="113" t="s">
        <v>25485</v>
      </c>
      <c r="F379" s="257" t="s">
        <v>14412</v>
      </c>
      <c r="G379" s="258">
        <v>5.32</v>
      </c>
      <c r="H379" s="152"/>
      <c r="I379" s="160">
        <f t="shared" si="5"/>
        <v>114743.26999999992</v>
      </c>
    </row>
    <row r="380" spans="2:9" x14ac:dyDescent="0.25">
      <c r="B380" s="148"/>
      <c r="C380" s="148" t="s">
        <v>25484</v>
      </c>
      <c r="D380" s="150">
        <v>44121</v>
      </c>
      <c r="E380" s="113" t="s">
        <v>25483</v>
      </c>
      <c r="F380" s="257" t="s">
        <v>14412</v>
      </c>
      <c r="G380" s="258">
        <v>1.68</v>
      </c>
      <c r="H380" s="152"/>
      <c r="I380" s="160">
        <f t="shared" si="5"/>
        <v>114744.94999999991</v>
      </c>
    </row>
    <row r="381" spans="2:9" x14ac:dyDescent="0.25">
      <c r="B381" s="148"/>
      <c r="C381" s="148" t="s">
        <v>25482</v>
      </c>
      <c r="D381" s="150">
        <v>44121</v>
      </c>
      <c r="E381" s="113" t="s">
        <v>25481</v>
      </c>
      <c r="F381" s="257" t="s">
        <v>14412</v>
      </c>
      <c r="G381" s="258">
        <v>3.47</v>
      </c>
      <c r="H381" s="152"/>
      <c r="I381" s="160">
        <f t="shared" si="5"/>
        <v>114748.41999999991</v>
      </c>
    </row>
    <row r="382" spans="2:9" x14ac:dyDescent="0.25">
      <c r="B382" s="148"/>
      <c r="C382" s="148" t="s">
        <v>25480</v>
      </c>
      <c r="D382" s="150">
        <v>44121</v>
      </c>
      <c r="E382" s="113" t="s">
        <v>25479</v>
      </c>
      <c r="F382" s="257" t="s">
        <v>14412</v>
      </c>
      <c r="G382" s="258">
        <v>26.96</v>
      </c>
      <c r="H382" s="152"/>
      <c r="I382" s="160">
        <f t="shared" si="5"/>
        <v>114775.37999999992</v>
      </c>
    </row>
    <row r="383" spans="2:9" x14ac:dyDescent="0.25">
      <c r="B383" s="148"/>
      <c r="C383" s="148" t="s">
        <v>25478</v>
      </c>
      <c r="D383" s="150">
        <v>44121</v>
      </c>
      <c r="E383" s="113" t="s">
        <v>25477</v>
      </c>
      <c r="F383" s="257" t="s">
        <v>14412</v>
      </c>
      <c r="G383" s="258">
        <v>3.58</v>
      </c>
      <c r="H383" s="152"/>
      <c r="I383" s="160">
        <f t="shared" si="5"/>
        <v>114778.95999999992</v>
      </c>
    </row>
    <row r="384" spans="2:9" x14ac:dyDescent="0.25">
      <c r="B384" s="148"/>
      <c r="C384" s="148" t="s">
        <v>25476</v>
      </c>
      <c r="D384" s="150">
        <v>44121</v>
      </c>
      <c r="E384" s="113" t="s">
        <v>25475</v>
      </c>
      <c r="F384" s="257" t="s">
        <v>14412</v>
      </c>
      <c r="G384" s="258">
        <v>8.3800000000000008</v>
      </c>
      <c r="H384" s="152"/>
      <c r="I384" s="160">
        <f t="shared" si="5"/>
        <v>114787.33999999992</v>
      </c>
    </row>
    <row r="385" spans="2:9" x14ac:dyDescent="0.25">
      <c r="B385" s="148"/>
      <c r="C385" s="148" t="s">
        <v>25474</v>
      </c>
      <c r="D385" s="150">
        <v>44121</v>
      </c>
      <c r="E385" s="113" t="s">
        <v>25473</v>
      </c>
      <c r="F385" s="257" t="s">
        <v>14412</v>
      </c>
      <c r="G385" s="258">
        <v>3.28</v>
      </c>
      <c r="H385" s="152"/>
      <c r="I385" s="160">
        <f t="shared" si="5"/>
        <v>114790.61999999992</v>
      </c>
    </row>
    <row r="386" spans="2:9" x14ac:dyDescent="0.25">
      <c r="B386" s="148"/>
      <c r="C386" s="148" t="s">
        <v>25472</v>
      </c>
      <c r="D386" s="150">
        <v>44121</v>
      </c>
      <c r="E386" s="113" t="s">
        <v>25471</v>
      </c>
      <c r="F386" s="257" t="s">
        <v>14412</v>
      </c>
      <c r="G386" s="258">
        <v>2.4300000000000002</v>
      </c>
      <c r="H386" s="152"/>
      <c r="I386" s="160">
        <f t="shared" si="5"/>
        <v>114793.04999999992</v>
      </c>
    </row>
    <row r="387" spans="2:9" x14ac:dyDescent="0.25">
      <c r="B387" s="148"/>
      <c r="C387" s="148" t="s">
        <v>25470</v>
      </c>
      <c r="D387" s="150">
        <v>44121</v>
      </c>
      <c r="E387" s="113" t="s">
        <v>25469</v>
      </c>
      <c r="F387" s="257" t="s">
        <v>18712</v>
      </c>
      <c r="G387" s="160">
        <v>5.94</v>
      </c>
      <c r="H387" s="152"/>
      <c r="I387" s="160">
        <f t="shared" si="5"/>
        <v>114798.98999999992</v>
      </c>
    </row>
    <row r="388" spans="2:9" x14ac:dyDescent="0.25">
      <c r="B388" s="148"/>
      <c r="C388" s="148" t="s">
        <v>25468</v>
      </c>
      <c r="D388" s="150">
        <v>44122</v>
      </c>
      <c r="E388" s="113" t="s">
        <v>25467</v>
      </c>
      <c r="F388" s="257" t="s">
        <v>14412</v>
      </c>
      <c r="G388" s="258">
        <v>1.68</v>
      </c>
      <c r="H388" s="152"/>
      <c r="I388" s="160">
        <f t="shared" si="5"/>
        <v>114800.66999999991</v>
      </c>
    </row>
    <row r="389" spans="2:9" x14ac:dyDescent="0.25">
      <c r="B389" s="148"/>
      <c r="C389" s="148" t="s">
        <v>25466</v>
      </c>
      <c r="D389" s="150">
        <v>44123</v>
      </c>
      <c r="E389" s="113" t="s">
        <v>25465</v>
      </c>
      <c r="F389" s="257">
        <v>17</v>
      </c>
      <c r="G389" s="255">
        <v>8.3800000000000008</v>
      </c>
      <c r="H389" s="152"/>
      <c r="I389" s="160">
        <f t="shared" si="5"/>
        <v>114809.04999999992</v>
      </c>
    </row>
    <row r="390" spans="2:9" x14ac:dyDescent="0.25">
      <c r="B390" s="148"/>
      <c r="C390" s="148" t="s">
        <v>25464</v>
      </c>
      <c r="D390" s="150">
        <v>44123</v>
      </c>
      <c r="E390" s="113" t="s">
        <v>25463</v>
      </c>
      <c r="F390" s="257">
        <v>17</v>
      </c>
      <c r="G390" s="255">
        <v>4.1900000000000004</v>
      </c>
      <c r="H390" s="152"/>
      <c r="I390" s="160">
        <f t="shared" si="5"/>
        <v>114813.23999999992</v>
      </c>
    </row>
    <row r="391" spans="2:9" x14ac:dyDescent="0.25">
      <c r="B391" s="148"/>
      <c r="C391" s="148" t="s">
        <v>25462</v>
      </c>
      <c r="D391" s="150">
        <v>44123</v>
      </c>
      <c r="E391" s="113" t="s">
        <v>25461</v>
      </c>
      <c r="F391" s="257">
        <v>17</v>
      </c>
      <c r="G391" s="255">
        <v>1.68</v>
      </c>
      <c r="H391" s="152"/>
      <c r="I391" s="160">
        <f t="shared" si="5"/>
        <v>114814.91999999991</v>
      </c>
    </row>
    <row r="392" spans="2:9" ht="19.5" x14ac:dyDescent="0.25">
      <c r="B392" s="148"/>
      <c r="C392" s="148" t="s">
        <v>25460</v>
      </c>
      <c r="D392" s="150">
        <v>44123</v>
      </c>
      <c r="E392" s="113" t="s">
        <v>25459</v>
      </c>
      <c r="F392" s="257">
        <v>17</v>
      </c>
      <c r="G392" s="255">
        <v>23.46</v>
      </c>
      <c r="H392" s="152"/>
      <c r="I392" s="160">
        <f t="shared" si="5"/>
        <v>114838.37999999992</v>
      </c>
    </row>
    <row r="393" spans="2:9" ht="19.5" x14ac:dyDescent="0.25">
      <c r="B393" s="148"/>
      <c r="C393" s="148" t="s">
        <v>25458</v>
      </c>
      <c r="D393" s="150">
        <v>44123</v>
      </c>
      <c r="E393" s="113" t="s">
        <v>25457</v>
      </c>
      <c r="F393" s="257">
        <v>17</v>
      </c>
      <c r="G393" s="255">
        <v>15.3</v>
      </c>
      <c r="H393" s="152"/>
      <c r="I393" s="160">
        <f t="shared" si="5"/>
        <v>114853.67999999992</v>
      </c>
    </row>
    <row r="394" spans="2:9" x14ac:dyDescent="0.25">
      <c r="B394" s="148"/>
      <c r="C394" s="148" t="s">
        <v>25456</v>
      </c>
      <c r="D394" s="150">
        <v>44123</v>
      </c>
      <c r="E394" s="113" t="s">
        <v>25455</v>
      </c>
      <c r="F394" s="257">
        <v>17</v>
      </c>
      <c r="G394" s="255">
        <v>6.94</v>
      </c>
      <c r="H394" s="152"/>
      <c r="I394" s="160">
        <f t="shared" si="5"/>
        <v>114860.61999999992</v>
      </c>
    </row>
    <row r="395" spans="2:9" x14ac:dyDescent="0.25">
      <c r="B395" s="148"/>
      <c r="C395" s="148" t="s">
        <v>25454</v>
      </c>
      <c r="D395" s="150">
        <v>44123</v>
      </c>
      <c r="E395" s="113" t="s">
        <v>25453</v>
      </c>
      <c r="F395" s="257">
        <v>17</v>
      </c>
      <c r="G395" s="255">
        <v>8.3800000000000008</v>
      </c>
      <c r="H395" s="152"/>
      <c r="I395" s="160">
        <f t="shared" si="5"/>
        <v>114868.99999999993</v>
      </c>
    </row>
    <row r="396" spans="2:9" x14ac:dyDescent="0.25">
      <c r="B396" s="148"/>
      <c r="C396" s="148" t="s">
        <v>25452</v>
      </c>
      <c r="D396" s="150">
        <v>44123</v>
      </c>
      <c r="E396" s="113" t="s">
        <v>25451</v>
      </c>
      <c r="F396" s="257">
        <v>17</v>
      </c>
      <c r="G396" s="255">
        <v>15.3</v>
      </c>
      <c r="H396" s="152"/>
      <c r="I396" s="160">
        <f t="shared" si="5"/>
        <v>114884.29999999993</v>
      </c>
    </row>
    <row r="397" spans="2:9" x14ac:dyDescent="0.25">
      <c r="B397" s="148"/>
      <c r="C397" s="148" t="s">
        <v>25450</v>
      </c>
      <c r="D397" s="150">
        <v>44123</v>
      </c>
      <c r="E397" s="113" t="s">
        <v>25449</v>
      </c>
      <c r="F397" s="257">
        <v>17</v>
      </c>
      <c r="G397" s="255">
        <v>6.94</v>
      </c>
      <c r="H397" s="152"/>
      <c r="I397" s="160">
        <f t="shared" si="5"/>
        <v>114891.23999999993</v>
      </c>
    </row>
    <row r="398" spans="2:9" x14ac:dyDescent="0.25">
      <c r="B398" s="148"/>
      <c r="C398" s="148" t="s">
        <v>25448</v>
      </c>
      <c r="D398" s="150">
        <v>44123</v>
      </c>
      <c r="E398" s="113" t="s">
        <v>25447</v>
      </c>
      <c r="F398" s="257">
        <v>17</v>
      </c>
      <c r="G398" s="255">
        <v>1.68</v>
      </c>
      <c r="H398" s="152"/>
      <c r="I398" s="160">
        <f t="shared" si="5"/>
        <v>114892.91999999993</v>
      </c>
    </row>
    <row r="399" spans="2:9" ht="19.5" x14ac:dyDescent="0.25">
      <c r="B399" s="148"/>
      <c r="C399" s="148" t="s">
        <v>25446</v>
      </c>
      <c r="D399" s="150">
        <v>44123</v>
      </c>
      <c r="E399" s="113" t="s">
        <v>25445</v>
      </c>
      <c r="F399" s="257" t="s">
        <v>14412</v>
      </c>
      <c r="G399" s="258">
        <v>12.08</v>
      </c>
      <c r="H399" s="152"/>
      <c r="I399" s="160">
        <f t="shared" si="5"/>
        <v>114904.99999999993</v>
      </c>
    </row>
    <row r="400" spans="2:9" x14ac:dyDescent="0.25">
      <c r="B400" s="148"/>
      <c r="C400" s="148" t="s">
        <v>25444</v>
      </c>
      <c r="D400" s="150">
        <v>44123</v>
      </c>
      <c r="E400" s="113" t="s">
        <v>25443</v>
      </c>
      <c r="F400" s="257" t="s">
        <v>14412</v>
      </c>
      <c r="G400" s="258">
        <v>3.51</v>
      </c>
      <c r="H400" s="152"/>
      <c r="I400" s="160">
        <f t="shared" si="5"/>
        <v>114908.50999999992</v>
      </c>
    </row>
    <row r="401" spans="2:9" x14ac:dyDescent="0.25">
      <c r="B401" s="148"/>
      <c r="C401" s="148" t="s">
        <v>25442</v>
      </c>
      <c r="D401" s="150">
        <v>44123</v>
      </c>
      <c r="E401" s="113" t="s">
        <v>25441</v>
      </c>
      <c r="F401" s="257" t="s">
        <v>14412</v>
      </c>
      <c r="G401" s="258">
        <v>5.04</v>
      </c>
      <c r="H401" s="152"/>
      <c r="I401" s="160">
        <f t="shared" si="5"/>
        <v>114913.54999999992</v>
      </c>
    </row>
    <row r="402" spans="2:9" x14ac:dyDescent="0.25">
      <c r="B402" s="148"/>
      <c r="C402" s="148" t="s">
        <v>25440</v>
      </c>
      <c r="D402" s="150">
        <v>44123</v>
      </c>
      <c r="E402" s="113" t="s">
        <v>25439</v>
      </c>
      <c r="F402" s="257" t="s">
        <v>14412</v>
      </c>
      <c r="G402" s="258">
        <v>12.66</v>
      </c>
      <c r="H402" s="152"/>
      <c r="I402" s="160">
        <f t="shared" si="5"/>
        <v>114926.20999999992</v>
      </c>
    </row>
    <row r="403" spans="2:9" x14ac:dyDescent="0.25">
      <c r="B403" s="148"/>
      <c r="C403" s="148" t="s">
        <v>25438</v>
      </c>
      <c r="D403" s="150">
        <v>44123</v>
      </c>
      <c r="E403" s="113" t="s">
        <v>25437</v>
      </c>
      <c r="F403" s="257" t="s">
        <v>14412</v>
      </c>
      <c r="G403" s="258">
        <v>4.07</v>
      </c>
      <c r="H403" s="152"/>
      <c r="I403" s="160">
        <f t="shared" si="5"/>
        <v>114930.27999999993</v>
      </c>
    </row>
    <row r="404" spans="2:9" x14ac:dyDescent="0.25">
      <c r="B404" s="148"/>
      <c r="C404" s="148" t="s">
        <v>25436</v>
      </c>
      <c r="D404" s="150">
        <v>44123</v>
      </c>
      <c r="E404" s="113" t="s">
        <v>25435</v>
      </c>
      <c r="F404" s="257" t="s">
        <v>14412</v>
      </c>
      <c r="G404" s="258">
        <v>4.32</v>
      </c>
      <c r="H404" s="152"/>
      <c r="I404" s="160">
        <f t="shared" ref="I404:I467" si="6">+I403+G404-H404</f>
        <v>114934.59999999993</v>
      </c>
    </row>
    <row r="405" spans="2:9" x14ac:dyDescent="0.25">
      <c r="B405" s="148"/>
      <c r="C405" s="148" t="s">
        <v>25434</v>
      </c>
      <c r="D405" s="150">
        <v>44123</v>
      </c>
      <c r="E405" s="113" t="s">
        <v>25433</v>
      </c>
      <c r="F405" s="257" t="s">
        <v>14412</v>
      </c>
      <c r="G405" s="258">
        <v>4.24</v>
      </c>
      <c r="H405" s="152"/>
      <c r="I405" s="160">
        <f t="shared" si="6"/>
        <v>114938.83999999994</v>
      </c>
    </row>
    <row r="406" spans="2:9" x14ac:dyDescent="0.25">
      <c r="B406" s="148"/>
      <c r="C406" s="148" t="s">
        <v>25432</v>
      </c>
      <c r="D406" s="150">
        <v>44123</v>
      </c>
      <c r="E406" s="113" t="s">
        <v>25431</v>
      </c>
      <c r="F406" s="257" t="s">
        <v>14412</v>
      </c>
      <c r="G406" s="258">
        <v>1.74</v>
      </c>
      <c r="H406" s="152"/>
      <c r="I406" s="160">
        <f t="shared" si="6"/>
        <v>114940.57999999994</v>
      </c>
    </row>
    <row r="407" spans="2:9" x14ac:dyDescent="0.25">
      <c r="B407" s="148"/>
      <c r="C407" s="148" t="s">
        <v>25430</v>
      </c>
      <c r="D407" s="150">
        <v>44123</v>
      </c>
      <c r="E407" s="113" t="s">
        <v>25429</v>
      </c>
      <c r="F407" s="257" t="s">
        <v>14412</v>
      </c>
      <c r="G407" s="258">
        <v>7.81</v>
      </c>
      <c r="H407" s="152"/>
      <c r="I407" s="160">
        <f t="shared" si="6"/>
        <v>114948.38999999994</v>
      </c>
    </row>
    <row r="408" spans="2:9" x14ac:dyDescent="0.25">
      <c r="B408" s="148"/>
      <c r="C408" s="148" t="s">
        <v>25428</v>
      </c>
      <c r="D408" s="150">
        <v>44123</v>
      </c>
      <c r="E408" s="113" t="s">
        <v>25427</v>
      </c>
      <c r="F408" s="257" t="s">
        <v>14412</v>
      </c>
      <c r="G408" s="258">
        <v>2.08</v>
      </c>
      <c r="H408" s="152"/>
      <c r="I408" s="160">
        <f t="shared" si="6"/>
        <v>114950.46999999994</v>
      </c>
    </row>
    <row r="409" spans="2:9" x14ac:dyDescent="0.25">
      <c r="B409" s="148"/>
      <c r="C409" s="148" t="s">
        <v>25426</v>
      </c>
      <c r="D409" s="150">
        <v>44123</v>
      </c>
      <c r="E409" s="113" t="s">
        <v>25425</v>
      </c>
      <c r="F409" s="257" t="s">
        <v>14412</v>
      </c>
      <c r="G409" s="258">
        <v>13.17</v>
      </c>
      <c r="H409" s="152"/>
      <c r="I409" s="160">
        <f t="shared" si="6"/>
        <v>114963.63999999994</v>
      </c>
    </row>
    <row r="410" spans="2:9" x14ac:dyDescent="0.25">
      <c r="B410" s="148"/>
      <c r="C410" s="148" t="s">
        <v>25424</v>
      </c>
      <c r="D410" s="150">
        <v>44123</v>
      </c>
      <c r="E410" s="113" t="s">
        <v>25423</v>
      </c>
      <c r="F410" s="257" t="s">
        <v>14412</v>
      </c>
      <c r="G410" s="258">
        <v>4.16</v>
      </c>
      <c r="H410" s="152"/>
      <c r="I410" s="160">
        <f t="shared" si="6"/>
        <v>114967.79999999994</v>
      </c>
    </row>
    <row r="411" spans="2:9" x14ac:dyDescent="0.25">
      <c r="B411" s="148"/>
      <c r="C411" s="148" t="s">
        <v>25422</v>
      </c>
      <c r="D411" s="150">
        <v>44123</v>
      </c>
      <c r="E411" s="113" t="s">
        <v>25421</v>
      </c>
      <c r="F411" s="257" t="s">
        <v>14412</v>
      </c>
      <c r="G411" s="258">
        <v>8.3800000000000008</v>
      </c>
      <c r="H411" s="152"/>
      <c r="I411" s="160">
        <f t="shared" si="6"/>
        <v>114976.17999999995</v>
      </c>
    </row>
    <row r="412" spans="2:9" ht="19.5" x14ac:dyDescent="0.25">
      <c r="B412" s="148"/>
      <c r="C412" s="148" t="s">
        <v>25420</v>
      </c>
      <c r="D412" s="150">
        <v>44123</v>
      </c>
      <c r="E412" s="113" t="s">
        <v>25419</v>
      </c>
      <c r="F412" s="257" t="s">
        <v>14436</v>
      </c>
      <c r="G412" s="160">
        <v>141.11000000000001</v>
      </c>
      <c r="H412" s="152"/>
      <c r="I412" s="160">
        <f t="shared" si="6"/>
        <v>115117.28999999995</v>
      </c>
    </row>
    <row r="413" spans="2:9" ht="19.5" x14ac:dyDescent="0.25">
      <c r="B413" s="148"/>
      <c r="C413" s="148" t="s">
        <v>25418</v>
      </c>
      <c r="D413" s="150">
        <v>44124</v>
      </c>
      <c r="E413" s="113" t="s">
        <v>25417</v>
      </c>
      <c r="F413" s="257">
        <v>18</v>
      </c>
      <c r="G413" s="255">
        <v>8.8000000000000007</v>
      </c>
      <c r="H413" s="152"/>
      <c r="I413" s="160">
        <f t="shared" si="6"/>
        <v>115126.08999999995</v>
      </c>
    </row>
    <row r="414" spans="2:9" x14ac:dyDescent="0.2">
      <c r="B414" s="148">
        <v>3328</v>
      </c>
      <c r="C414" s="148" t="s">
        <v>25416</v>
      </c>
      <c r="D414" s="150">
        <v>44124</v>
      </c>
      <c r="E414" s="113" t="s">
        <v>25415</v>
      </c>
      <c r="F414" s="257" t="s">
        <v>14432</v>
      </c>
      <c r="G414" s="160"/>
      <c r="H414" s="161">
        <v>75138.850000000006</v>
      </c>
      <c r="I414" s="160">
        <f t="shared" si="6"/>
        <v>39987.239999999947</v>
      </c>
    </row>
    <row r="415" spans="2:9" x14ac:dyDescent="0.25">
      <c r="B415" s="148"/>
      <c r="C415" s="148" t="s">
        <v>25414</v>
      </c>
      <c r="D415" s="150">
        <v>44124</v>
      </c>
      <c r="E415" s="113" t="s">
        <v>25413</v>
      </c>
      <c r="F415" s="257" t="s">
        <v>14436</v>
      </c>
      <c r="G415" s="160">
        <v>73.16</v>
      </c>
      <c r="H415" s="152"/>
      <c r="I415" s="160">
        <f t="shared" si="6"/>
        <v>40060.399999999951</v>
      </c>
    </row>
    <row r="416" spans="2:9" x14ac:dyDescent="0.25">
      <c r="B416" s="148"/>
      <c r="C416" s="148" t="s">
        <v>25412</v>
      </c>
      <c r="D416" s="150">
        <v>44124</v>
      </c>
      <c r="E416" s="113" t="s">
        <v>25411</v>
      </c>
      <c r="F416" s="257">
        <v>18</v>
      </c>
      <c r="G416" s="255">
        <v>16.760000000000002</v>
      </c>
      <c r="H416" s="152"/>
      <c r="I416" s="160">
        <f t="shared" si="6"/>
        <v>40077.159999999953</v>
      </c>
    </row>
    <row r="417" spans="2:9" x14ac:dyDescent="0.25">
      <c r="B417" s="148"/>
      <c r="C417" s="148" t="s">
        <v>25410</v>
      </c>
      <c r="D417" s="150">
        <v>44124</v>
      </c>
      <c r="E417" s="113" t="s">
        <v>25409</v>
      </c>
      <c r="F417" s="257" t="s">
        <v>14412</v>
      </c>
      <c r="G417" s="258">
        <v>5.33</v>
      </c>
      <c r="H417" s="152"/>
      <c r="I417" s="160">
        <f t="shared" si="6"/>
        <v>40082.489999999954</v>
      </c>
    </row>
    <row r="418" spans="2:9" x14ac:dyDescent="0.25">
      <c r="B418" s="148"/>
      <c r="C418" s="148" t="s">
        <v>25408</v>
      </c>
      <c r="D418" s="150">
        <v>44124</v>
      </c>
      <c r="E418" s="113" t="s">
        <v>25407</v>
      </c>
      <c r="F418" s="257" t="s">
        <v>14412</v>
      </c>
      <c r="G418" s="258">
        <v>15.89</v>
      </c>
      <c r="H418" s="152"/>
      <c r="I418" s="160">
        <f t="shared" si="6"/>
        <v>40098.379999999954</v>
      </c>
    </row>
    <row r="419" spans="2:9" x14ac:dyDescent="0.25">
      <c r="B419" s="148"/>
      <c r="C419" s="148" t="s">
        <v>25406</v>
      </c>
      <c r="D419" s="150">
        <v>44124</v>
      </c>
      <c r="E419" s="113" t="s">
        <v>25405</v>
      </c>
      <c r="F419" s="257" t="s">
        <v>14412</v>
      </c>
      <c r="G419" s="258">
        <v>1.94</v>
      </c>
      <c r="H419" s="152"/>
      <c r="I419" s="160">
        <f t="shared" si="6"/>
        <v>40100.319999999956</v>
      </c>
    </row>
    <row r="420" spans="2:9" x14ac:dyDescent="0.25">
      <c r="B420" s="148"/>
      <c r="C420" s="148" t="s">
        <v>25404</v>
      </c>
      <c r="D420" s="150">
        <v>44124</v>
      </c>
      <c r="E420" s="113" t="s">
        <v>25403</v>
      </c>
      <c r="F420" s="257" t="s">
        <v>14412</v>
      </c>
      <c r="G420" s="258">
        <v>4.7300000000000004</v>
      </c>
      <c r="H420" s="152"/>
      <c r="I420" s="160">
        <f t="shared" si="6"/>
        <v>40105.049999999959</v>
      </c>
    </row>
    <row r="421" spans="2:9" x14ac:dyDescent="0.25">
      <c r="B421" s="148"/>
      <c r="C421" s="148" t="s">
        <v>25402</v>
      </c>
      <c r="D421" s="150">
        <v>44124</v>
      </c>
      <c r="E421" s="113" t="s">
        <v>25401</v>
      </c>
      <c r="F421" s="257" t="s">
        <v>14412</v>
      </c>
      <c r="G421" s="258">
        <v>2.64</v>
      </c>
      <c r="H421" s="152"/>
      <c r="I421" s="160">
        <f t="shared" si="6"/>
        <v>40107.689999999959</v>
      </c>
    </row>
    <row r="422" spans="2:9" ht="19.5" x14ac:dyDescent="0.25">
      <c r="B422" s="148"/>
      <c r="C422" s="148" t="s">
        <v>25400</v>
      </c>
      <c r="D422" s="150">
        <v>44124</v>
      </c>
      <c r="E422" s="113" t="s">
        <v>25399</v>
      </c>
      <c r="F422" s="257" t="s">
        <v>14412</v>
      </c>
      <c r="G422" s="258">
        <v>7.95</v>
      </c>
      <c r="H422" s="152"/>
      <c r="I422" s="160">
        <f t="shared" si="6"/>
        <v>40115.639999999956</v>
      </c>
    </row>
    <row r="423" spans="2:9" x14ac:dyDescent="0.25">
      <c r="B423" s="148"/>
      <c r="C423" s="148" t="s">
        <v>25398</v>
      </c>
      <c r="D423" s="150">
        <v>44124</v>
      </c>
      <c r="E423" s="113" t="s">
        <v>25397</v>
      </c>
      <c r="F423" s="257" t="s">
        <v>14412</v>
      </c>
      <c r="G423" s="258">
        <v>5.84</v>
      </c>
      <c r="H423" s="152"/>
      <c r="I423" s="160">
        <f t="shared" si="6"/>
        <v>40121.479999999952</v>
      </c>
    </row>
    <row r="424" spans="2:9" x14ac:dyDescent="0.25">
      <c r="B424" s="148"/>
      <c r="C424" s="148" t="s">
        <v>25396</v>
      </c>
      <c r="D424" s="150">
        <v>44124</v>
      </c>
      <c r="E424" s="113" t="s">
        <v>25395</v>
      </c>
      <c r="F424" s="257" t="s">
        <v>14412</v>
      </c>
      <c r="G424" s="258">
        <v>5.76</v>
      </c>
      <c r="H424" s="152"/>
      <c r="I424" s="160">
        <f t="shared" si="6"/>
        <v>40127.239999999954</v>
      </c>
    </row>
    <row r="425" spans="2:9" x14ac:dyDescent="0.25">
      <c r="B425" s="148"/>
      <c r="C425" s="148" t="s">
        <v>25394</v>
      </c>
      <c r="D425" s="150">
        <v>44124</v>
      </c>
      <c r="E425" s="113" t="s">
        <v>25393</v>
      </c>
      <c r="F425" s="257" t="s">
        <v>14412</v>
      </c>
      <c r="G425" s="258">
        <v>7.72</v>
      </c>
      <c r="H425" s="152"/>
      <c r="I425" s="160">
        <f t="shared" si="6"/>
        <v>40134.959999999955</v>
      </c>
    </row>
    <row r="426" spans="2:9" ht="19.5" x14ac:dyDescent="0.25">
      <c r="B426" s="148"/>
      <c r="C426" s="148" t="s">
        <v>25392</v>
      </c>
      <c r="D426" s="150">
        <v>44124</v>
      </c>
      <c r="E426" s="113" t="s">
        <v>25391</v>
      </c>
      <c r="F426" s="257" t="s">
        <v>14436</v>
      </c>
      <c r="G426" s="160">
        <v>16.7</v>
      </c>
      <c r="H426" s="152"/>
      <c r="I426" s="160">
        <f t="shared" si="6"/>
        <v>40151.659999999953</v>
      </c>
    </row>
    <row r="427" spans="2:9" x14ac:dyDescent="0.25">
      <c r="B427" s="148"/>
      <c r="C427" s="148" t="s">
        <v>25390</v>
      </c>
      <c r="D427" s="150">
        <v>44125</v>
      </c>
      <c r="E427" s="113" t="s">
        <v>25389</v>
      </c>
      <c r="F427" s="257">
        <v>19</v>
      </c>
      <c r="G427" s="255">
        <v>18.93</v>
      </c>
      <c r="H427" s="152"/>
      <c r="I427" s="160">
        <f t="shared" si="6"/>
        <v>40170.589999999953</v>
      </c>
    </row>
    <row r="428" spans="2:9" x14ac:dyDescent="0.25">
      <c r="B428" s="148"/>
      <c r="C428" s="148" t="s">
        <v>25388</v>
      </c>
      <c r="D428" s="150">
        <v>44125</v>
      </c>
      <c r="E428" s="113" t="s">
        <v>25387</v>
      </c>
      <c r="F428" s="257">
        <v>19</v>
      </c>
      <c r="G428" s="255">
        <v>15.3</v>
      </c>
      <c r="H428" s="152"/>
      <c r="I428" s="160">
        <f t="shared" si="6"/>
        <v>40185.889999999956</v>
      </c>
    </row>
    <row r="429" spans="2:9" ht="19.5" x14ac:dyDescent="0.25">
      <c r="B429" s="148"/>
      <c r="C429" s="148" t="s">
        <v>25386</v>
      </c>
      <c r="D429" s="150">
        <v>44125</v>
      </c>
      <c r="E429" s="113" t="s">
        <v>25385</v>
      </c>
      <c r="F429" s="257">
        <v>19</v>
      </c>
      <c r="G429" s="255">
        <v>5.04</v>
      </c>
      <c r="H429" s="152"/>
      <c r="I429" s="160">
        <f t="shared" si="6"/>
        <v>40190.929999999957</v>
      </c>
    </row>
    <row r="430" spans="2:9" x14ac:dyDescent="0.25">
      <c r="B430" s="148"/>
      <c r="C430" s="148" t="s">
        <v>25384</v>
      </c>
      <c r="D430" s="150">
        <v>44125</v>
      </c>
      <c r="E430" s="113" t="s">
        <v>25383</v>
      </c>
      <c r="F430" s="257">
        <v>19</v>
      </c>
      <c r="G430" s="255">
        <v>3.36</v>
      </c>
      <c r="H430" s="152"/>
      <c r="I430" s="160">
        <f t="shared" si="6"/>
        <v>40194.289999999957</v>
      </c>
    </row>
    <row r="431" spans="2:9" x14ac:dyDescent="0.25">
      <c r="B431" s="148"/>
      <c r="C431" s="148" t="s">
        <v>25382</v>
      </c>
      <c r="D431" s="150">
        <v>44126</v>
      </c>
      <c r="E431" s="113" t="s">
        <v>25381</v>
      </c>
      <c r="F431" s="257" t="s">
        <v>14436</v>
      </c>
      <c r="G431" s="160">
        <v>4.57</v>
      </c>
      <c r="H431" s="152"/>
      <c r="I431" s="160">
        <f t="shared" si="6"/>
        <v>40198.859999999957</v>
      </c>
    </row>
    <row r="432" spans="2:9" ht="19.5" x14ac:dyDescent="0.25">
      <c r="B432" s="148"/>
      <c r="C432" s="148" t="s">
        <v>25380</v>
      </c>
      <c r="D432" s="150">
        <v>44126</v>
      </c>
      <c r="E432" s="113" t="s">
        <v>25379</v>
      </c>
      <c r="F432" s="257" t="s">
        <v>18712</v>
      </c>
      <c r="G432" s="160">
        <v>15</v>
      </c>
      <c r="H432" s="152"/>
      <c r="I432" s="160">
        <f t="shared" si="6"/>
        <v>40213.859999999957</v>
      </c>
    </row>
    <row r="433" spans="2:9" ht="19.5" x14ac:dyDescent="0.25">
      <c r="B433" s="148"/>
      <c r="C433" s="148" t="s">
        <v>25378</v>
      </c>
      <c r="D433" s="150">
        <v>44126</v>
      </c>
      <c r="E433" s="113" t="s">
        <v>25377</v>
      </c>
      <c r="F433" s="257" t="s">
        <v>14433</v>
      </c>
      <c r="G433" s="152"/>
      <c r="H433" s="161">
        <v>3915.31</v>
      </c>
      <c r="I433" s="160">
        <f t="shared" si="6"/>
        <v>36298.549999999959</v>
      </c>
    </row>
    <row r="434" spans="2:9" ht="19.5" x14ac:dyDescent="0.25">
      <c r="B434" s="148"/>
      <c r="C434" s="148" t="s">
        <v>25376</v>
      </c>
      <c r="D434" s="150">
        <v>44126</v>
      </c>
      <c r="E434" s="113" t="s">
        <v>25375</v>
      </c>
      <c r="F434" s="257" t="s">
        <v>14433</v>
      </c>
      <c r="G434" s="152"/>
      <c r="H434" s="161">
        <v>1100.8699999999999</v>
      </c>
      <c r="I434" s="160">
        <f t="shared" si="6"/>
        <v>35197.679999999957</v>
      </c>
    </row>
    <row r="435" spans="2:9" x14ac:dyDescent="0.25">
      <c r="B435" s="148"/>
      <c r="C435" s="148" t="s">
        <v>25374</v>
      </c>
      <c r="D435" s="150">
        <v>44126</v>
      </c>
      <c r="E435" s="113" t="s">
        <v>25373</v>
      </c>
      <c r="F435" s="257" t="s">
        <v>14433</v>
      </c>
      <c r="G435" s="152"/>
      <c r="H435" s="161">
        <v>767.46</v>
      </c>
      <c r="I435" s="160">
        <f t="shared" si="6"/>
        <v>34430.219999999958</v>
      </c>
    </row>
    <row r="436" spans="2:9" x14ac:dyDescent="0.25">
      <c r="B436" s="148"/>
      <c r="C436" s="148" t="s">
        <v>25372</v>
      </c>
      <c r="D436" s="150">
        <v>44127</v>
      </c>
      <c r="E436" s="113" t="s">
        <v>25371</v>
      </c>
      <c r="F436" s="257" t="s">
        <v>14436</v>
      </c>
      <c r="G436" s="160">
        <v>46.58</v>
      </c>
      <c r="H436" s="152"/>
      <c r="I436" s="160">
        <f t="shared" si="6"/>
        <v>34476.799999999959</v>
      </c>
    </row>
    <row r="437" spans="2:9" x14ac:dyDescent="0.25">
      <c r="B437" s="148"/>
      <c r="C437" s="148" t="s">
        <v>25370</v>
      </c>
      <c r="D437" s="150">
        <v>44127</v>
      </c>
      <c r="E437" s="113" t="s">
        <v>25369</v>
      </c>
      <c r="F437" s="257" t="s">
        <v>14436</v>
      </c>
      <c r="G437" s="160">
        <v>6.94</v>
      </c>
      <c r="H437" s="152"/>
      <c r="I437" s="160">
        <f t="shared" si="6"/>
        <v>34483.739999999962</v>
      </c>
    </row>
    <row r="438" spans="2:9" x14ac:dyDescent="0.25">
      <c r="B438" s="148"/>
      <c r="C438" s="148" t="s">
        <v>25368</v>
      </c>
      <c r="D438" s="150">
        <v>44127</v>
      </c>
      <c r="E438" s="113" t="s">
        <v>25367</v>
      </c>
      <c r="F438" s="257" t="s">
        <v>18712</v>
      </c>
      <c r="G438" s="160">
        <v>26.16</v>
      </c>
      <c r="H438" s="152"/>
      <c r="I438" s="160">
        <f t="shared" si="6"/>
        <v>34509.899999999965</v>
      </c>
    </row>
    <row r="439" spans="2:9" x14ac:dyDescent="0.25">
      <c r="B439" s="148"/>
      <c r="C439" s="148" t="s">
        <v>25366</v>
      </c>
      <c r="D439" s="150">
        <v>44127</v>
      </c>
      <c r="E439" s="113" t="s">
        <v>25365</v>
      </c>
      <c r="F439" s="257" t="s">
        <v>18712</v>
      </c>
      <c r="G439" s="160">
        <v>10</v>
      </c>
      <c r="H439" s="152"/>
      <c r="I439" s="160">
        <f t="shared" si="6"/>
        <v>34519.899999999965</v>
      </c>
    </row>
    <row r="440" spans="2:9" ht="19.5" x14ac:dyDescent="0.25">
      <c r="B440" s="148"/>
      <c r="C440" s="148" t="s">
        <v>1104</v>
      </c>
      <c r="D440" s="150">
        <v>44127</v>
      </c>
      <c r="E440" s="113" t="s">
        <v>25364</v>
      </c>
      <c r="F440" s="257" t="s">
        <v>14433</v>
      </c>
      <c r="G440" s="152"/>
      <c r="H440" s="161">
        <v>80</v>
      </c>
      <c r="I440" s="160">
        <f t="shared" si="6"/>
        <v>34439.899999999965</v>
      </c>
    </row>
    <row r="441" spans="2:9" ht="19.5" x14ac:dyDescent="0.25">
      <c r="B441" s="148"/>
      <c r="C441" s="148" t="s">
        <v>16657</v>
      </c>
      <c r="D441" s="150">
        <v>44127</v>
      </c>
      <c r="E441" s="113" t="s">
        <v>25363</v>
      </c>
      <c r="F441" s="257" t="s">
        <v>14433</v>
      </c>
      <c r="G441" s="152"/>
      <c r="H441" s="161">
        <v>1161.8399999999999</v>
      </c>
      <c r="I441" s="160">
        <f t="shared" si="6"/>
        <v>33278.059999999969</v>
      </c>
    </row>
    <row r="442" spans="2:9" x14ac:dyDescent="0.25">
      <c r="B442" s="148"/>
      <c r="C442" s="148" t="s">
        <v>25362</v>
      </c>
      <c r="D442" s="150">
        <v>44129</v>
      </c>
      <c r="E442" s="113" t="s">
        <v>25361</v>
      </c>
      <c r="F442" s="257" t="s">
        <v>14436</v>
      </c>
      <c r="G442" s="160">
        <v>6.87</v>
      </c>
      <c r="H442" s="152"/>
      <c r="I442" s="160">
        <f t="shared" si="6"/>
        <v>33284.929999999971</v>
      </c>
    </row>
    <row r="443" spans="2:9" x14ac:dyDescent="0.25">
      <c r="B443" s="148"/>
      <c r="C443" s="148" t="s">
        <v>25360</v>
      </c>
      <c r="D443" s="150">
        <v>44130</v>
      </c>
      <c r="E443" s="113" t="s">
        <v>25359</v>
      </c>
      <c r="F443" s="257" t="s">
        <v>14436</v>
      </c>
      <c r="G443" s="160">
        <v>61.91</v>
      </c>
      <c r="H443" s="152"/>
      <c r="I443" s="160">
        <f t="shared" si="6"/>
        <v>33346.839999999975</v>
      </c>
    </row>
    <row r="444" spans="2:9" x14ac:dyDescent="0.25">
      <c r="B444" s="148"/>
      <c r="C444" s="148" t="s">
        <v>25358</v>
      </c>
      <c r="D444" s="150">
        <v>44130</v>
      </c>
      <c r="E444" s="113" t="s">
        <v>25357</v>
      </c>
      <c r="F444" s="257" t="s">
        <v>14436</v>
      </c>
      <c r="G444" s="160">
        <v>4.07</v>
      </c>
      <c r="H444" s="152"/>
      <c r="I444" s="160">
        <f t="shared" si="6"/>
        <v>33350.909999999974</v>
      </c>
    </row>
    <row r="445" spans="2:9" x14ac:dyDescent="0.25">
      <c r="B445" s="148"/>
      <c r="C445" s="148" t="s">
        <v>25356</v>
      </c>
      <c r="D445" s="150">
        <v>44130</v>
      </c>
      <c r="E445" s="113" t="s">
        <v>25355</v>
      </c>
      <c r="F445" s="257" t="s">
        <v>14436</v>
      </c>
      <c r="G445" s="160">
        <v>2.67</v>
      </c>
      <c r="H445" s="152"/>
      <c r="I445" s="160">
        <f t="shared" si="6"/>
        <v>33353.579999999973</v>
      </c>
    </row>
    <row r="446" spans="2:9" x14ac:dyDescent="0.25">
      <c r="B446" s="148"/>
      <c r="C446" s="148" t="s">
        <v>25354</v>
      </c>
      <c r="D446" s="150">
        <v>44130</v>
      </c>
      <c r="E446" s="113" t="s">
        <v>25353</v>
      </c>
      <c r="F446" s="257" t="s">
        <v>14436</v>
      </c>
      <c r="G446" s="160">
        <v>1.28</v>
      </c>
      <c r="H446" s="152"/>
      <c r="I446" s="160">
        <f t="shared" si="6"/>
        <v>33354.859999999971</v>
      </c>
    </row>
    <row r="447" spans="2:9" x14ac:dyDescent="0.25">
      <c r="B447" s="148"/>
      <c r="C447" s="148" t="s">
        <v>25352</v>
      </c>
      <c r="D447" s="150">
        <v>44130</v>
      </c>
      <c r="E447" s="113" t="s">
        <v>25351</v>
      </c>
      <c r="F447" s="257" t="s">
        <v>14436</v>
      </c>
      <c r="G447" s="160">
        <v>1.8</v>
      </c>
      <c r="H447" s="152"/>
      <c r="I447" s="160">
        <f t="shared" si="6"/>
        <v>33356.659999999974</v>
      </c>
    </row>
    <row r="448" spans="2:9" ht="19.5" x14ac:dyDescent="0.25">
      <c r="B448" s="148"/>
      <c r="C448" s="148" t="s">
        <v>25350</v>
      </c>
      <c r="D448" s="150">
        <v>44130</v>
      </c>
      <c r="E448" s="113" t="s">
        <v>25349</v>
      </c>
      <c r="F448" s="257" t="s">
        <v>14436</v>
      </c>
      <c r="G448" s="160">
        <v>278.5</v>
      </c>
      <c r="H448" s="152"/>
      <c r="I448" s="160">
        <f t="shared" si="6"/>
        <v>33635.159999999974</v>
      </c>
    </row>
    <row r="449" spans="2:9" x14ac:dyDescent="0.25">
      <c r="B449" s="148"/>
      <c r="C449" s="148" t="s">
        <v>25348</v>
      </c>
      <c r="D449" s="150">
        <v>44130</v>
      </c>
      <c r="E449" s="113" t="s">
        <v>25347</v>
      </c>
      <c r="F449" s="257" t="s">
        <v>14436</v>
      </c>
      <c r="G449" s="160">
        <v>39.58</v>
      </c>
      <c r="H449" s="152"/>
      <c r="I449" s="160">
        <f t="shared" si="6"/>
        <v>33674.739999999976</v>
      </c>
    </row>
    <row r="450" spans="2:9" x14ac:dyDescent="0.25">
      <c r="B450" s="148"/>
      <c r="C450" s="148" t="s">
        <v>25346</v>
      </c>
      <c r="D450" s="150">
        <v>44130</v>
      </c>
      <c r="E450" s="113" t="s">
        <v>25345</v>
      </c>
      <c r="F450" s="257" t="s">
        <v>14413</v>
      </c>
      <c r="G450" s="258">
        <v>2.3199999999999998</v>
      </c>
      <c r="H450" s="152"/>
      <c r="I450" s="160">
        <f t="shared" si="6"/>
        <v>33677.059999999976</v>
      </c>
    </row>
    <row r="451" spans="2:9" ht="19.5" x14ac:dyDescent="0.25">
      <c r="B451" s="148"/>
      <c r="C451" s="148" t="s">
        <v>25344</v>
      </c>
      <c r="D451" s="150">
        <v>44130</v>
      </c>
      <c r="E451" s="113" t="s">
        <v>25343</v>
      </c>
      <c r="F451" s="257" t="s">
        <v>14413</v>
      </c>
      <c r="G451" s="258">
        <v>25.12</v>
      </c>
      <c r="H451" s="152"/>
      <c r="I451" s="160">
        <f t="shared" si="6"/>
        <v>33702.179999999978</v>
      </c>
    </row>
    <row r="452" spans="2:9" x14ac:dyDescent="0.25">
      <c r="B452" s="148"/>
      <c r="C452" s="148" t="s">
        <v>25342</v>
      </c>
      <c r="D452" s="150">
        <v>44130</v>
      </c>
      <c r="E452" s="113" t="s">
        <v>25341</v>
      </c>
      <c r="F452" s="257" t="s">
        <v>14413</v>
      </c>
      <c r="G452" s="258">
        <v>7.69</v>
      </c>
      <c r="H452" s="152"/>
      <c r="I452" s="160">
        <f t="shared" si="6"/>
        <v>33709.869999999981</v>
      </c>
    </row>
    <row r="453" spans="2:9" x14ac:dyDescent="0.25">
      <c r="B453" s="148"/>
      <c r="C453" s="148" t="s">
        <v>25340</v>
      </c>
      <c r="D453" s="150">
        <v>44130</v>
      </c>
      <c r="E453" s="113" t="s">
        <v>25339</v>
      </c>
      <c r="F453" s="257" t="s">
        <v>14413</v>
      </c>
      <c r="G453" s="258">
        <v>58.57</v>
      </c>
      <c r="H453" s="152"/>
      <c r="I453" s="160">
        <f t="shared" si="6"/>
        <v>33768.439999999981</v>
      </c>
    </row>
    <row r="454" spans="2:9" x14ac:dyDescent="0.25">
      <c r="B454" s="148"/>
      <c r="C454" s="148" t="s">
        <v>25338</v>
      </c>
      <c r="D454" s="150">
        <v>44130</v>
      </c>
      <c r="E454" s="113" t="s">
        <v>25337</v>
      </c>
      <c r="F454" s="257" t="s">
        <v>14413</v>
      </c>
      <c r="G454" s="258">
        <v>1.68</v>
      </c>
      <c r="H454" s="152"/>
      <c r="I454" s="160">
        <f t="shared" si="6"/>
        <v>33770.119999999981</v>
      </c>
    </row>
    <row r="455" spans="2:9" ht="19.5" x14ac:dyDescent="0.25">
      <c r="B455" s="148"/>
      <c r="C455" s="148" t="s">
        <v>25336</v>
      </c>
      <c r="D455" s="150">
        <v>44130</v>
      </c>
      <c r="E455" s="113" t="s">
        <v>25335</v>
      </c>
      <c r="F455" s="257" t="s">
        <v>14413</v>
      </c>
      <c r="G455" s="258">
        <v>8.35</v>
      </c>
      <c r="H455" s="152"/>
      <c r="I455" s="160">
        <f t="shared" si="6"/>
        <v>33778.469999999979</v>
      </c>
    </row>
    <row r="456" spans="2:9" ht="19.5" x14ac:dyDescent="0.25">
      <c r="B456" s="148"/>
      <c r="C456" s="148" t="s">
        <v>25334</v>
      </c>
      <c r="D456" s="150">
        <v>44130</v>
      </c>
      <c r="E456" s="113" t="s">
        <v>25333</v>
      </c>
      <c r="F456" s="257" t="s">
        <v>14413</v>
      </c>
      <c r="G456" s="258">
        <v>15.6</v>
      </c>
      <c r="H456" s="152"/>
      <c r="I456" s="160">
        <f t="shared" si="6"/>
        <v>33794.069999999978</v>
      </c>
    </row>
    <row r="457" spans="2:9" x14ac:dyDescent="0.25">
      <c r="B457" s="148"/>
      <c r="C457" s="148" t="s">
        <v>25332</v>
      </c>
      <c r="D457" s="150">
        <v>44130</v>
      </c>
      <c r="E457" s="113" t="s">
        <v>25331</v>
      </c>
      <c r="F457" s="257" t="s">
        <v>14413</v>
      </c>
      <c r="G457" s="258">
        <v>25.14</v>
      </c>
      <c r="H457" s="152"/>
      <c r="I457" s="160">
        <f t="shared" si="6"/>
        <v>33819.209999999977</v>
      </c>
    </row>
    <row r="458" spans="2:9" ht="19.5" x14ac:dyDescent="0.25">
      <c r="B458" s="148"/>
      <c r="C458" s="148" t="s">
        <v>25330</v>
      </c>
      <c r="D458" s="150">
        <v>44130</v>
      </c>
      <c r="E458" s="113" t="s">
        <v>25329</v>
      </c>
      <c r="F458" s="257" t="s">
        <v>14413</v>
      </c>
      <c r="G458" s="258">
        <v>16.14</v>
      </c>
      <c r="H458" s="152"/>
      <c r="I458" s="160">
        <f t="shared" si="6"/>
        <v>33835.349999999977</v>
      </c>
    </row>
    <row r="459" spans="2:9" x14ac:dyDescent="0.25">
      <c r="B459" s="148"/>
      <c r="C459" s="148" t="s">
        <v>25328</v>
      </c>
      <c r="D459" s="150">
        <v>44130</v>
      </c>
      <c r="E459" s="113" t="s">
        <v>25327</v>
      </c>
      <c r="F459" s="257" t="s">
        <v>14413</v>
      </c>
      <c r="G459" s="258">
        <v>5.31</v>
      </c>
      <c r="H459" s="152"/>
      <c r="I459" s="160">
        <f t="shared" si="6"/>
        <v>33840.659999999974</v>
      </c>
    </row>
    <row r="460" spans="2:9" x14ac:dyDescent="0.25">
      <c r="B460" s="148"/>
      <c r="C460" s="148" t="s">
        <v>25326</v>
      </c>
      <c r="D460" s="150">
        <v>44130</v>
      </c>
      <c r="E460" s="113" t="s">
        <v>25325</v>
      </c>
      <c r="F460" s="257" t="s">
        <v>14413</v>
      </c>
      <c r="G460" s="258">
        <v>3.36</v>
      </c>
      <c r="H460" s="152"/>
      <c r="I460" s="160">
        <f t="shared" si="6"/>
        <v>33844.019999999975</v>
      </c>
    </row>
    <row r="461" spans="2:9" x14ac:dyDescent="0.25">
      <c r="B461" s="148"/>
      <c r="C461" s="148" t="s">
        <v>25324</v>
      </c>
      <c r="D461" s="150">
        <v>44130</v>
      </c>
      <c r="E461" s="113" t="s">
        <v>25323</v>
      </c>
      <c r="F461" s="257" t="s">
        <v>14413</v>
      </c>
      <c r="G461" s="258">
        <v>8.3800000000000008</v>
      </c>
      <c r="H461" s="152"/>
      <c r="I461" s="160">
        <f t="shared" si="6"/>
        <v>33852.399999999972</v>
      </c>
    </row>
    <row r="462" spans="2:9" x14ac:dyDescent="0.25">
      <c r="B462" s="148"/>
      <c r="C462" s="148" t="s">
        <v>25322</v>
      </c>
      <c r="D462" s="150">
        <v>44130</v>
      </c>
      <c r="E462" s="113" t="s">
        <v>25321</v>
      </c>
      <c r="F462" s="257" t="s">
        <v>14413</v>
      </c>
      <c r="G462" s="258">
        <v>2.21</v>
      </c>
      <c r="H462" s="152"/>
      <c r="I462" s="160">
        <f t="shared" si="6"/>
        <v>33854.609999999971</v>
      </c>
    </row>
    <row r="463" spans="2:9" x14ac:dyDescent="0.25">
      <c r="B463" s="148"/>
      <c r="C463" s="148" t="s">
        <v>25320</v>
      </c>
      <c r="D463" s="150">
        <v>44130</v>
      </c>
      <c r="E463" s="113" t="s">
        <v>25319</v>
      </c>
      <c r="F463" s="257" t="s">
        <v>14413</v>
      </c>
      <c r="G463" s="258">
        <v>3.36</v>
      </c>
      <c r="H463" s="152"/>
      <c r="I463" s="160">
        <f t="shared" si="6"/>
        <v>33857.969999999972</v>
      </c>
    </row>
    <row r="464" spans="2:9" x14ac:dyDescent="0.25">
      <c r="B464" s="148"/>
      <c r="C464" s="148" t="s">
        <v>25318</v>
      </c>
      <c r="D464" s="150">
        <v>44130</v>
      </c>
      <c r="E464" s="113" t="s">
        <v>25317</v>
      </c>
      <c r="F464" s="257" t="s">
        <v>14413</v>
      </c>
      <c r="G464" s="258">
        <v>16.760000000000002</v>
      </c>
      <c r="H464" s="152"/>
      <c r="I464" s="160">
        <f t="shared" si="6"/>
        <v>33874.729999999974</v>
      </c>
    </row>
    <row r="465" spans="2:9" x14ac:dyDescent="0.25">
      <c r="B465" s="148"/>
      <c r="C465" s="148" t="s">
        <v>25316</v>
      </c>
      <c r="D465" s="150">
        <v>44130</v>
      </c>
      <c r="E465" s="113" t="s">
        <v>25315</v>
      </c>
      <c r="F465" s="257" t="s">
        <v>14413</v>
      </c>
      <c r="G465" s="258">
        <v>5.76</v>
      </c>
      <c r="H465" s="152"/>
      <c r="I465" s="160">
        <f t="shared" si="6"/>
        <v>33880.489999999976</v>
      </c>
    </row>
    <row r="466" spans="2:9" x14ac:dyDescent="0.25">
      <c r="B466" s="148"/>
      <c r="C466" s="148" t="s">
        <v>25314</v>
      </c>
      <c r="D466" s="150">
        <v>44130</v>
      </c>
      <c r="E466" s="113" t="s">
        <v>25313</v>
      </c>
      <c r="F466" s="257" t="s">
        <v>14413</v>
      </c>
      <c r="G466" s="258">
        <v>2.68</v>
      </c>
      <c r="H466" s="152"/>
      <c r="I466" s="160">
        <f t="shared" si="6"/>
        <v>33883.169999999976</v>
      </c>
    </row>
    <row r="467" spans="2:9" ht="19.5" x14ac:dyDescent="0.25">
      <c r="B467" s="148"/>
      <c r="C467" s="148" t="s">
        <v>25312</v>
      </c>
      <c r="D467" s="150">
        <v>44130</v>
      </c>
      <c r="E467" s="113" t="s">
        <v>25311</v>
      </c>
      <c r="F467" s="257" t="s">
        <v>14413</v>
      </c>
      <c r="G467" s="258">
        <v>10.59</v>
      </c>
      <c r="H467" s="152"/>
      <c r="I467" s="160">
        <f t="shared" si="6"/>
        <v>33893.759999999973</v>
      </c>
    </row>
    <row r="468" spans="2:9" x14ac:dyDescent="0.25">
      <c r="B468" s="148"/>
      <c r="C468" s="148" t="s">
        <v>25310</v>
      </c>
      <c r="D468" s="150">
        <v>44130</v>
      </c>
      <c r="E468" s="113" t="s">
        <v>25309</v>
      </c>
      <c r="F468" s="257" t="s">
        <v>14413</v>
      </c>
      <c r="G468" s="258">
        <v>16.760000000000002</v>
      </c>
      <c r="H468" s="152"/>
      <c r="I468" s="160">
        <f t="shared" ref="I468:I531" si="7">+I467+G468-H468</f>
        <v>33910.519999999975</v>
      </c>
    </row>
    <row r="469" spans="2:9" x14ac:dyDescent="0.25">
      <c r="B469" s="148"/>
      <c r="C469" s="148" t="s">
        <v>25308</v>
      </c>
      <c r="D469" s="150">
        <v>44130</v>
      </c>
      <c r="E469" s="113" t="s">
        <v>25307</v>
      </c>
      <c r="F469" s="257" t="s">
        <v>14413</v>
      </c>
      <c r="G469" s="258">
        <v>1.7</v>
      </c>
      <c r="H469" s="152"/>
      <c r="I469" s="160">
        <f t="shared" si="7"/>
        <v>33912.219999999972</v>
      </c>
    </row>
    <row r="470" spans="2:9" x14ac:dyDescent="0.25">
      <c r="B470" s="148"/>
      <c r="C470" s="148" t="s">
        <v>25306</v>
      </c>
      <c r="D470" s="150">
        <v>44130</v>
      </c>
      <c r="E470" s="113" t="s">
        <v>25305</v>
      </c>
      <c r="F470" s="257" t="s">
        <v>14413</v>
      </c>
      <c r="G470" s="258">
        <v>5.04</v>
      </c>
      <c r="H470" s="152"/>
      <c r="I470" s="160">
        <f t="shared" si="7"/>
        <v>33917.259999999973</v>
      </c>
    </row>
    <row r="471" spans="2:9" x14ac:dyDescent="0.25">
      <c r="B471" s="148"/>
      <c r="C471" s="148" t="s">
        <v>25304</v>
      </c>
      <c r="D471" s="150">
        <v>44130</v>
      </c>
      <c r="E471" s="113" t="s">
        <v>25303</v>
      </c>
      <c r="F471" s="257" t="s">
        <v>14413</v>
      </c>
      <c r="G471" s="258">
        <v>8.3800000000000008</v>
      </c>
      <c r="H471" s="152"/>
      <c r="I471" s="160">
        <f t="shared" si="7"/>
        <v>33925.63999999997</v>
      </c>
    </row>
    <row r="472" spans="2:9" x14ac:dyDescent="0.25">
      <c r="B472" s="148"/>
      <c r="C472" s="148" t="s">
        <v>25302</v>
      </c>
      <c r="D472" s="150">
        <v>44130</v>
      </c>
      <c r="E472" s="113" t="s">
        <v>25301</v>
      </c>
      <c r="F472" s="257">
        <v>20</v>
      </c>
      <c r="G472" s="255">
        <v>1.71</v>
      </c>
      <c r="H472" s="152"/>
      <c r="I472" s="160">
        <f t="shared" si="7"/>
        <v>33927.349999999969</v>
      </c>
    </row>
    <row r="473" spans="2:9" x14ac:dyDescent="0.25">
      <c r="B473" s="148"/>
      <c r="C473" s="148" t="s">
        <v>25300</v>
      </c>
      <c r="D473" s="150">
        <v>44130</v>
      </c>
      <c r="E473" s="113" t="s">
        <v>25299</v>
      </c>
      <c r="F473" s="257">
        <v>20</v>
      </c>
      <c r="G473" s="255">
        <v>5.04</v>
      </c>
      <c r="H473" s="152"/>
      <c r="I473" s="160">
        <f t="shared" si="7"/>
        <v>33932.38999999997</v>
      </c>
    </row>
    <row r="474" spans="2:9" ht="19.5" x14ac:dyDescent="0.25">
      <c r="B474" s="148"/>
      <c r="C474" s="148" t="s">
        <v>25298</v>
      </c>
      <c r="D474" s="150">
        <v>44130</v>
      </c>
      <c r="E474" s="113" t="s">
        <v>25297</v>
      </c>
      <c r="F474" s="257">
        <v>20</v>
      </c>
      <c r="G474" s="255">
        <v>21.51</v>
      </c>
      <c r="H474" s="152"/>
      <c r="I474" s="160">
        <f t="shared" si="7"/>
        <v>33953.899999999972</v>
      </c>
    </row>
    <row r="475" spans="2:9" x14ac:dyDescent="0.25">
      <c r="B475" s="148"/>
      <c r="C475" s="148" t="s">
        <v>25296</v>
      </c>
      <c r="D475" s="150">
        <v>44130</v>
      </c>
      <c r="E475" s="113" t="s">
        <v>25295</v>
      </c>
      <c r="F475" s="257">
        <v>20</v>
      </c>
      <c r="G475" s="255">
        <v>1.94</v>
      </c>
      <c r="H475" s="152"/>
      <c r="I475" s="160">
        <f t="shared" si="7"/>
        <v>33955.839999999975</v>
      </c>
    </row>
    <row r="476" spans="2:9" x14ac:dyDescent="0.25">
      <c r="B476" s="148"/>
      <c r="C476" s="148" t="s">
        <v>25294</v>
      </c>
      <c r="D476" s="150">
        <v>44130</v>
      </c>
      <c r="E476" s="113" t="s">
        <v>25293</v>
      </c>
      <c r="F476" s="257">
        <v>20</v>
      </c>
      <c r="G476" s="255">
        <v>3.38</v>
      </c>
      <c r="H476" s="152"/>
      <c r="I476" s="160">
        <f t="shared" si="7"/>
        <v>33959.219999999972</v>
      </c>
    </row>
    <row r="477" spans="2:9" x14ac:dyDescent="0.25">
      <c r="B477" s="148"/>
      <c r="C477" s="148" t="s">
        <v>25292</v>
      </c>
      <c r="D477" s="150">
        <v>44130</v>
      </c>
      <c r="E477" s="113" t="s">
        <v>25291</v>
      </c>
      <c r="F477" s="257">
        <v>20</v>
      </c>
      <c r="G477" s="255">
        <v>6.33</v>
      </c>
      <c r="H477" s="152"/>
      <c r="I477" s="160">
        <f t="shared" si="7"/>
        <v>33965.549999999974</v>
      </c>
    </row>
    <row r="478" spans="2:9" x14ac:dyDescent="0.25">
      <c r="B478" s="148"/>
      <c r="C478" s="148" t="s">
        <v>25290</v>
      </c>
      <c r="D478" s="150">
        <v>44130</v>
      </c>
      <c r="E478" s="113" t="s">
        <v>25289</v>
      </c>
      <c r="F478" s="257">
        <v>20</v>
      </c>
      <c r="G478" s="255">
        <v>3.14</v>
      </c>
      <c r="H478" s="152"/>
      <c r="I478" s="160">
        <f t="shared" si="7"/>
        <v>33968.689999999973</v>
      </c>
    </row>
    <row r="479" spans="2:9" x14ac:dyDescent="0.25">
      <c r="B479" s="148"/>
      <c r="C479" s="148" t="s">
        <v>25288</v>
      </c>
      <c r="D479" s="150">
        <v>44130</v>
      </c>
      <c r="E479" s="113" t="s">
        <v>25287</v>
      </c>
      <c r="F479" s="257">
        <v>20</v>
      </c>
      <c r="G479" s="255">
        <v>3.38</v>
      </c>
      <c r="H479" s="152"/>
      <c r="I479" s="160">
        <f t="shared" si="7"/>
        <v>33972.069999999971</v>
      </c>
    </row>
    <row r="480" spans="2:9" x14ac:dyDescent="0.25">
      <c r="B480" s="148"/>
      <c r="C480" s="148" t="s">
        <v>25286</v>
      </c>
      <c r="D480" s="150">
        <v>44130</v>
      </c>
      <c r="E480" s="113" t="s">
        <v>25285</v>
      </c>
      <c r="F480" s="257">
        <v>20</v>
      </c>
      <c r="G480" s="255">
        <v>3.07</v>
      </c>
      <c r="H480" s="152"/>
      <c r="I480" s="160">
        <f t="shared" si="7"/>
        <v>33975.13999999997</v>
      </c>
    </row>
    <row r="481" spans="2:9" ht="19.5" x14ac:dyDescent="0.25">
      <c r="B481" s="148"/>
      <c r="C481" s="148" t="s">
        <v>25284</v>
      </c>
      <c r="D481" s="150">
        <v>44130</v>
      </c>
      <c r="E481" s="113" t="s">
        <v>25283</v>
      </c>
      <c r="F481" s="257">
        <v>20</v>
      </c>
      <c r="G481" s="255">
        <v>7.35</v>
      </c>
      <c r="H481" s="152"/>
      <c r="I481" s="160">
        <f t="shared" si="7"/>
        <v>33982.489999999969</v>
      </c>
    </row>
    <row r="482" spans="2:9" x14ac:dyDescent="0.25">
      <c r="B482" s="148"/>
      <c r="C482" s="148" t="s">
        <v>25282</v>
      </c>
      <c r="D482" s="150">
        <v>44130</v>
      </c>
      <c r="E482" s="113" t="s">
        <v>25281</v>
      </c>
      <c r="F482" s="257">
        <v>20</v>
      </c>
      <c r="G482" s="255">
        <v>13.92</v>
      </c>
      <c r="H482" s="152"/>
      <c r="I482" s="160">
        <f t="shared" si="7"/>
        <v>33996.409999999967</v>
      </c>
    </row>
    <row r="483" spans="2:9" x14ac:dyDescent="0.25">
      <c r="B483" s="148"/>
      <c r="C483" s="148" t="s">
        <v>25280</v>
      </c>
      <c r="D483" s="150">
        <v>44130</v>
      </c>
      <c r="E483" s="113" t="s">
        <v>25279</v>
      </c>
      <c r="F483" s="257">
        <v>20</v>
      </c>
      <c r="G483" s="255">
        <v>16.760000000000002</v>
      </c>
      <c r="H483" s="152"/>
      <c r="I483" s="160">
        <f t="shared" si="7"/>
        <v>34013.169999999969</v>
      </c>
    </row>
    <row r="484" spans="2:9" x14ac:dyDescent="0.25">
      <c r="B484" s="148"/>
      <c r="C484" s="148" t="s">
        <v>25278</v>
      </c>
      <c r="D484" s="150">
        <v>44130</v>
      </c>
      <c r="E484" s="113" t="s">
        <v>25277</v>
      </c>
      <c r="F484" s="257" t="s">
        <v>14413</v>
      </c>
      <c r="G484" s="258">
        <v>21.78</v>
      </c>
      <c r="H484" s="152"/>
      <c r="I484" s="160">
        <f t="shared" si="7"/>
        <v>34034.949999999968</v>
      </c>
    </row>
    <row r="485" spans="2:9" x14ac:dyDescent="0.25">
      <c r="B485" s="148"/>
      <c r="C485" s="148" t="s">
        <v>25276</v>
      </c>
      <c r="D485" s="150">
        <v>44130</v>
      </c>
      <c r="E485" s="113" t="s">
        <v>25275</v>
      </c>
      <c r="F485" s="257" t="s">
        <v>14436</v>
      </c>
      <c r="G485" s="160">
        <v>3.73</v>
      </c>
      <c r="H485" s="152"/>
      <c r="I485" s="160">
        <f t="shared" si="7"/>
        <v>34038.679999999971</v>
      </c>
    </row>
    <row r="486" spans="2:9" x14ac:dyDescent="0.25">
      <c r="B486" s="148"/>
      <c r="C486" s="148" t="s">
        <v>25274</v>
      </c>
      <c r="D486" s="150">
        <v>44131</v>
      </c>
      <c r="E486" s="113" t="s">
        <v>25273</v>
      </c>
      <c r="F486" s="257" t="s">
        <v>14436</v>
      </c>
      <c r="G486" s="160">
        <v>6093.38</v>
      </c>
      <c r="H486" s="152"/>
      <c r="I486" s="160">
        <f t="shared" si="7"/>
        <v>40132.059999999969</v>
      </c>
    </row>
    <row r="487" spans="2:9" x14ac:dyDescent="0.25">
      <c r="B487" s="148"/>
      <c r="C487" s="148" t="s">
        <v>25272</v>
      </c>
      <c r="D487" s="150">
        <v>44131</v>
      </c>
      <c r="E487" s="113" t="s">
        <v>25271</v>
      </c>
      <c r="F487" s="257" t="s">
        <v>14436</v>
      </c>
      <c r="G487" s="160">
        <v>9.18</v>
      </c>
      <c r="H487" s="152"/>
      <c r="I487" s="160">
        <f t="shared" si="7"/>
        <v>40141.239999999969</v>
      </c>
    </row>
    <row r="488" spans="2:9" x14ac:dyDescent="0.25">
      <c r="B488" s="148"/>
      <c r="C488" s="148" t="s">
        <v>25270</v>
      </c>
      <c r="D488" s="150">
        <v>44131</v>
      </c>
      <c r="E488" s="113" t="s">
        <v>25269</v>
      </c>
      <c r="F488" s="257" t="s">
        <v>14436</v>
      </c>
      <c r="G488" s="160">
        <v>3.85</v>
      </c>
      <c r="H488" s="152"/>
      <c r="I488" s="160">
        <f t="shared" si="7"/>
        <v>40145.089999999967</v>
      </c>
    </row>
    <row r="489" spans="2:9" x14ac:dyDescent="0.25">
      <c r="B489" s="148"/>
      <c r="C489" s="148" t="s">
        <v>25268</v>
      </c>
      <c r="D489" s="150">
        <v>44131</v>
      </c>
      <c r="E489" s="113" t="s">
        <v>25267</v>
      </c>
      <c r="F489" s="257" t="s">
        <v>14436</v>
      </c>
      <c r="G489" s="160">
        <v>10</v>
      </c>
      <c r="H489" s="152"/>
      <c r="I489" s="160">
        <f t="shared" si="7"/>
        <v>40155.089999999967</v>
      </c>
    </row>
    <row r="490" spans="2:9" x14ac:dyDescent="0.25">
      <c r="B490" s="148"/>
      <c r="C490" s="148" t="s">
        <v>25266</v>
      </c>
      <c r="D490" s="150">
        <v>44131</v>
      </c>
      <c r="E490" s="113" t="s">
        <v>25265</v>
      </c>
      <c r="F490" s="257" t="s">
        <v>14413</v>
      </c>
      <c r="G490" s="258">
        <v>6.03</v>
      </c>
      <c r="H490" s="152"/>
      <c r="I490" s="160">
        <f t="shared" si="7"/>
        <v>40161.119999999966</v>
      </c>
    </row>
    <row r="491" spans="2:9" x14ac:dyDescent="0.25">
      <c r="B491" s="148"/>
      <c r="C491" s="148" t="s">
        <v>25264</v>
      </c>
      <c r="D491" s="150">
        <v>44131</v>
      </c>
      <c r="E491" s="113" t="s">
        <v>25263</v>
      </c>
      <c r="F491" s="257" t="s">
        <v>14413</v>
      </c>
      <c r="G491" s="258">
        <v>7.49</v>
      </c>
      <c r="H491" s="152"/>
      <c r="I491" s="160">
        <f t="shared" si="7"/>
        <v>40168.609999999964</v>
      </c>
    </row>
    <row r="492" spans="2:9" x14ac:dyDescent="0.25">
      <c r="B492" s="148"/>
      <c r="C492" s="148" t="s">
        <v>25262</v>
      </c>
      <c r="D492" s="150">
        <v>44131</v>
      </c>
      <c r="E492" s="113" t="s">
        <v>25261</v>
      </c>
      <c r="F492" s="257" t="s">
        <v>14413</v>
      </c>
      <c r="G492" s="258">
        <v>4.46</v>
      </c>
      <c r="H492" s="152"/>
      <c r="I492" s="160">
        <f t="shared" si="7"/>
        <v>40173.069999999963</v>
      </c>
    </row>
    <row r="493" spans="2:9" ht="19.5" x14ac:dyDescent="0.25">
      <c r="B493" s="148"/>
      <c r="C493" s="148" t="s">
        <v>25260</v>
      </c>
      <c r="D493" s="150">
        <v>44131</v>
      </c>
      <c r="E493" s="113" t="s">
        <v>25259</v>
      </c>
      <c r="F493" s="257" t="s">
        <v>14413</v>
      </c>
      <c r="G493" s="258">
        <v>7.35</v>
      </c>
      <c r="H493" s="152"/>
      <c r="I493" s="160">
        <f t="shared" si="7"/>
        <v>40180.419999999962</v>
      </c>
    </row>
    <row r="494" spans="2:9" x14ac:dyDescent="0.25">
      <c r="B494" s="148"/>
      <c r="C494" s="148" t="s">
        <v>25258</v>
      </c>
      <c r="D494" s="150">
        <v>44131</v>
      </c>
      <c r="E494" s="113" t="s">
        <v>25257</v>
      </c>
      <c r="F494" s="257" t="s">
        <v>14413</v>
      </c>
      <c r="G494" s="258">
        <v>3.71</v>
      </c>
      <c r="H494" s="152"/>
      <c r="I494" s="160">
        <f t="shared" si="7"/>
        <v>40184.129999999961</v>
      </c>
    </row>
    <row r="495" spans="2:9" ht="19.5" x14ac:dyDescent="0.25">
      <c r="B495" s="148"/>
      <c r="C495" s="148" t="s">
        <v>25256</v>
      </c>
      <c r="D495" s="150">
        <v>44131</v>
      </c>
      <c r="E495" s="113" t="s">
        <v>25255</v>
      </c>
      <c r="F495" s="257" t="s">
        <v>14413</v>
      </c>
      <c r="G495" s="258">
        <v>38.549999999999997</v>
      </c>
      <c r="H495" s="152"/>
      <c r="I495" s="160">
        <f t="shared" si="7"/>
        <v>40222.679999999964</v>
      </c>
    </row>
    <row r="496" spans="2:9" x14ac:dyDescent="0.25">
      <c r="B496" s="148"/>
      <c r="C496" s="148" t="s">
        <v>25254</v>
      </c>
      <c r="D496" s="150">
        <v>44131</v>
      </c>
      <c r="E496" s="113" t="s">
        <v>25253</v>
      </c>
      <c r="F496" s="257" t="s">
        <v>14413</v>
      </c>
      <c r="G496" s="258">
        <v>3.68</v>
      </c>
      <c r="H496" s="152"/>
      <c r="I496" s="160">
        <f t="shared" si="7"/>
        <v>40226.359999999964</v>
      </c>
    </row>
    <row r="497" spans="2:9" x14ac:dyDescent="0.25">
      <c r="B497" s="148"/>
      <c r="C497" s="148" t="s">
        <v>25252</v>
      </c>
      <c r="D497" s="150">
        <v>44131</v>
      </c>
      <c r="E497" s="113" t="s">
        <v>25251</v>
      </c>
      <c r="F497" s="257" t="s">
        <v>14413</v>
      </c>
      <c r="G497" s="258">
        <v>5.19</v>
      </c>
      <c r="H497" s="152"/>
      <c r="I497" s="160">
        <f t="shared" si="7"/>
        <v>40231.549999999967</v>
      </c>
    </row>
    <row r="498" spans="2:9" x14ac:dyDescent="0.25">
      <c r="B498" s="148"/>
      <c r="C498" s="148" t="s">
        <v>25250</v>
      </c>
      <c r="D498" s="150">
        <v>44131</v>
      </c>
      <c r="E498" s="113" t="s">
        <v>25249</v>
      </c>
      <c r="F498" s="257" t="s">
        <v>14413</v>
      </c>
      <c r="G498" s="258">
        <v>1.68</v>
      </c>
      <c r="H498" s="152"/>
      <c r="I498" s="160">
        <f t="shared" si="7"/>
        <v>40233.229999999967</v>
      </c>
    </row>
    <row r="499" spans="2:9" x14ac:dyDescent="0.25">
      <c r="B499" s="148"/>
      <c r="C499" s="148" t="s">
        <v>25248</v>
      </c>
      <c r="D499" s="150">
        <v>44131</v>
      </c>
      <c r="E499" s="113" t="s">
        <v>25247</v>
      </c>
      <c r="F499" s="257" t="s">
        <v>14413</v>
      </c>
      <c r="G499" s="258">
        <v>4.1900000000000004</v>
      </c>
      <c r="H499" s="152"/>
      <c r="I499" s="160">
        <f t="shared" si="7"/>
        <v>40237.419999999969</v>
      </c>
    </row>
    <row r="500" spans="2:9" x14ac:dyDescent="0.25">
      <c r="B500" s="148"/>
      <c r="C500" s="148" t="s">
        <v>25246</v>
      </c>
      <c r="D500" s="150">
        <v>44131</v>
      </c>
      <c r="E500" s="113" t="s">
        <v>25245</v>
      </c>
      <c r="F500" s="257" t="s">
        <v>14413</v>
      </c>
      <c r="G500" s="258">
        <v>1.68</v>
      </c>
      <c r="H500" s="152"/>
      <c r="I500" s="160">
        <f t="shared" si="7"/>
        <v>40239.099999999969</v>
      </c>
    </row>
    <row r="501" spans="2:9" x14ac:dyDescent="0.25">
      <c r="B501" s="148"/>
      <c r="C501" s="148" t="s">
        <v>25244</v>
      </c>
      <c r="D501" s="150">
        <v>44131</v>
      </c>
      <c r="E501" s="113" t="s">
        <v>25243</v>
      </c>
      <c r="F501" s="257" t="s">
        <v>14413</v>
      </c>
      <c r="G501" s="258">
        <v>8.9700000000000006</v>
      </c>
      <c r="H501" s="152"/>
      <c r="I501" s="160">
        <f t="shared" si="7"/>
        <v>40248.069999999971</v>
      </c>
    </row>
    <row r="502" spans="2:9" x14ac:dyDescent="0.25">
      <c r="B502" s="148"/>
      <c r="C502" s="148" t="s">
        <v>25242</v>
      </c>
      <c r="D502" s="150">
        <v>44131</v>
      </c>
      <c r="E502" s="113" t="s">
        <v>25241</v>
      </c>
      <c r="F502" s="257" t="s">
        <v>14413</v>
      </c>
      <c r="G502" s="258">
        <v>1.79</v>
      </c>
      <c r="H502" s="152"/>
      <c r="I502" s="160">
        <f t="shared" si="7"/>
        <v>40249.859999999971</v>
      </c>
    </row>
    <row r="503" spans="2:9" ht="19.5" x14ac:dyDescent="0.25">
      <c r="B503" s="148"/>
      <c r="C503" s="148" t="s">
        <v>25240</v>
      </c>
      <c r="D503" s="150">
        <v>44131</v>
      </c>
      <c r="E503" s="113" t="s">
        <v>25239</v>
      </c>
      <c r="F503" s="257" t="s">
        <v>14413</v>
      </c>
      <c r="G503" s="258">
        <v>11.49</v>
      </c>
      <c r="H503" s="152"/>
      <c r="I503" s="160">
        <f t="shared" si="7"/>
        <v>40261.349999999969</v>
      </c>
    </row>
    <row r="504" spans="2:9" x14ac:dyDescent="0.25">
      <c r="B504" s="148"/>
      <c r="C504" s="148" t="s">
        <v>25238</v>
      </c>
      <c r="D504" s="150">
        <v>44131</v>
      </c>
      <c r="E504" s="113" t="s">
        <v>25237</v>
      </c>
      <c r="F504" s="257" t="s">
        <v>14413</v>
      </c>
      <c r="G504" s="258">
        <v>20.100000000000001</v>
      </c>
      <c r="H504" s="152"/>
      <c r="I504" s="160">
        <f t="shared" si="7"/>
        <v>40281.449999999968</v>
      </c>
    </row>
    <row r="505" spans="2:9" ht="19.5" x14ac:dyDescent="0.25">
      <c r="B505" s="148"/>
      <c r="C505" s="148" t="s">
        <v>25236</v>
      </c>
      <c r="D505" s="150">
        <v>44131</v>
      </c>
      <c r="E505" s="113" t="s">
        <v>25235</v>
      </c>
      <c r="F505" s="257" t="s">
        <v>14413</v>
      </c>
      <c r="G505" s="258">
        <v>40.61</v>
      </c>
      <c r="H505" s="152"/>
      <c r="I505" s="160">
        <f t="shared" si="7"/>
        <v>40322.059999999969</v>
      </c>
    </row>
    <row r="506" spans="2:9" x14ac:dyDescent="0.25">
      <c r="B506" s="148"/>
      <c r="C506" s="148" t="s">
        <v>25234</v>
      </c>
      <c r="D506" s="150">
        <v>44131</v>
      </c>
      <c r="E506" s="113" t="s">
        <v>25233</v>
      </c>
      <c r="F506" s="257" t="s">
        <v>14413</v>
      </c>
      <c r="G506" s="258">
        <v>1.68</v>
      </c>
      <c r="H506" s="152"/>
      <c r="I506" s="160">
        <f t="shared" si="7"/>
        <v>40323.739999999969</v>
      </c>
    </row>
    <row r="507" spans="2:9" x14ac:dyDescent="0.25">
      <c r="B507" s="148"/>
      <c r="C507" s="148" t="s">
        <v>25232</v>
      </c>
      <c r="D507" s="150">
        <v>44131</v>
      </c>
      <c r="E507" s="113" t="s">
        <v>25231</v>
      </c>
      <c r="F507" s="257" t="s">
        <v>14413</v>
      </c>
      <c r="G507" s="258">
        <v>55.63</v>
      </c>
      <c r="H507" s="152"/>
      <c r="I507" s="160">
        <f t="shared" si="7"/>
        <v>40379.369999999966</v>
      </c>
    </row>
    <row r="508" spans="2:9" x14ac:dyDescent="0.25">
      <c r="B508" s="148"/>
      <c r="C508" s="148" t="s">
        <v>25230</v>
      </c>
      <c r="D508" s="150">
        <v>44131</v>
      </c>
      <c r="E508" s="113" t="s">
        <v>25229</v>
      </c>
      <c r="F508" s="257" t="s">
        <v>14413</v>
      </c>
      <c r="G508" s="258">
        <v>3.76</v>
      </c>
      <c r="H508" s="152"/>
      <c r="I508" s="160">
        <f t="shared" si="7"/>
        <v>40383.129999999968</v>
      </c>
    </row>
    <row r="509" spans="2:9" ht="19.5" x14ac:dyDescent="0.25">
      <c r="B509" s="148"/>
      <c r="C509" s="148" t="s">
        <v>25228</v>
      </c>
      <c r="D509" s="150">
        <v>44131</v>
      </c>
      <c r="E509" s="113" t="s">
        <v>25227</v>
      </c>
      <c r="F509" s="257" t="s">
        <v>14413</v>
      </c>
      <c r="G509" s="258">
        <v>5.0599999999999996</v>
      </c>
      <c r="H509" s="152"/>
      <c r="I509" s="160">
        <f t="shared" si="7"/>
        <v>40388.189999999966</v>
      </c>
    </row>
    <row r="510" spans="2:9" x14ac:dyDescent="0.25">
      <c r="B510" s="148"/>
      <c r="C510" s="148" t="s">
        <v>25226</v>
      </c>
      <c r="D510" s="150">
        <v>44131</v>
      </c>
      <c r="E510" s="113" t="s">
        <v>25225</v>
      </c>
      <c r="F510" s="257" t="s">
        <v>14413</v>
      </c>
      <c r="G510" s="258">
        <v>6.29</v>
      </c>
      <c r="H510" s="152"/>
      <c r="I510" s="160">
        <f t="shared" si="7"/>
        <v>40394.479999999967</v>
      </c>
    </row>
    <row r="511" spans="2:9" x14ac:dyDescent="0.25">
      <c r="B511" s="148"/>
      <c r="C511" s="148" t="s">
        <v>25224</v>
      </c>
      <c r="D511" s="150">
        <v>44131</v>
      </c>
      <c r="E511" s="113" t="s">
        <v>25223</v>
      </c>
      <c r="F511" s="257" t="s">
        <v>14413</v>
      </c>
      <c r="G511" s="258">
        <v>31.89</v>
      </c>
      <c r="H511" s="152"/>
      <c r="I511" s="160">
        <f t="shared" si="7"/>
        <v>40426.369999999966</v>
      </c>
    </row>
    <row r="512" spans="2:9" x14ac:dyDescent="0.25">
      <c r="B512" s="148"/>
      <c r="C512" s="148" t="s">
        <v>25222</v>
      </c>
      <c r="D512" s="150">
        <v>44131</v>
      </c>
      <c r="E512" s="113" t="s">
        <v>25221</v>
      </c>
      <c r="F512" s="257" t="s">
        <v>14413</v>
      </c>
      <c r="G512" s="258">
        <v>1.68</v>
      </c>
      <c r="H512" s="152"/>
      <c r="I512" s="160">
        <f t="shared" si="7"/>
        <v>40428.049999999967</v>
      </c>
    </row>
    <row r="513" spans="2:9" x14ac:dyDescent="0.25">
      <c r="B513" s="148"/>
      <c r="C513" s="148" t="s">
        <v>25220</v>
      </c>
      <c r="D513" s="150">
        <v>44131</v>
      </c>
      <c r="E513" s="113" t="s">
        <v>25219</v>
      </c>
      <c r="F513" s="257" t="s">
        <v>14436</v>
      </c>
      <c r="G513" s="160">
        <v>1</v>
      </c>
      <c r="H513" s="152"/>
      <c r="I513" s="160">
        <f t="shared" si="7"/>
        <v>40429.049999999967</v>
      </c>
    </row>
    <row r="514" spans="2:9" x14ac:dyDescent="0.25">
      <c r="B514" s="148"/>
      <c r="C514" s="148" t="s">
        <v>25218</v>
      </c>
      <c r="D514" s="150">
        <v>44131</v>
      </c>
      <c r="E514" s="113" t="s">
        <v>25217</v>
      </c>
      <c r="F514" s="257" t="s">
        <v>14413</v>
      </c>
      <c r="G514" s="258">
        <v>1.68</v>
      </c>
      <c r="H514" s="152"/>
      <c r="I514" s="160">
        <f t="shared" si="7"/>
        <v>40430.729999999967</v>
      </c>
    </row>
    <row r="515" spans="2:9" ht="19.5" x14ac:dyDescent="0.25">
      <c r="B515" s="148"/>
      <c r="C515" s="148" t="s">
        <v>25216</v>
      </c>
      <c r="D515" s="150">
        <v>44131</v>
      </c>
      <c r="E515" s="113" t="s">
        <v>25215</v>
      </c>
      <c r="F515" s="257" t="s">
        <v>14413</v>
      </c>
      <c r="G515" s="258">
        <v>9.7100000000000009</v>
      </c>
      <c r="H515" s="152"/>
      <c r="I515" s="160">
        <f t="shared" si="7"/>
        <v>40440.439999999966</v>
      </c>
    </row>
    <row r="516" spans="2:9" x14ac:dyDescent="0.25">
      <c r="B516" s="148"/>
      <c r="C516" s="148" t="s">
        <v>25214</v>
      </c>
      <c r="D516" s="150">
        <v>44131</v>
      </c>
      <c r="E516" s="113" t="s">
        <v>25213</v>
      </c>
      <c r="F516" s="257">
        <v>21</v>
      </c>
      <c r="G516" s="255">
        <v>1.72</v>
      </c>
      <c r="H516" s="152"/>
      <c r="I516" s="160">
        <f t="shared" si="7"/>
        <v>40442.159999999967</v>
      </c>
    </row>
    <row r="517" spans="2:9" x14ac:dyDescent="0.25">
      <c r="B517" s="148"/>
      <c r="C517" s="148" t="s">
        <v>25212</v>
      </c>
      <c r="D517" s="150">
        <v>44131</v>
      </c>
      <c r="E517" s="113" t="s">
        <v>25211</v>
      </c>
      <c r="F517" s="257">
        <v>21</v>
      </c>
      <c r="G517" s="255">
        <v>1.81</v>
      </c>
      <c r="H517" s="152"/>
      <c r="I517" s="160">
        <f t="shared" si="7"/>
        <v>40443.969999999965</v>
      </c>
    </row>
    <row r="518" spans="2:9" x14ac:dyDescent="0.25">
      <c r="B518" s="148"/>
      <c r="C518" s="148" t="s">
        <v>25210</v>
      </c>
      <c r="D518" s="150">
        <v>44131</v>
      </c>
      <c r="E518" s="113" t="s">
        <v>25209</v>
      </c>
      <c r="F518" s="257">
        <v>21</v>
      </c>
      <c r="G518" s="255">
        <v>4.8600000000000003</v>
      </c>
      <c r="H518" s="152"/>
      <c r="I518" s="160">
        <f t="shared" si="7"/>
        <v>40448.829999999965</v>
      </c>
    </row>
    <row r="519" spans="2:9" x14ac:dyDescent="0.25">
      <c r="B519" s="148"/>
      <c r="C519" s="148" t="s">
        <v>25208</v>
      </c>
      <c r="D519" s="150">
        <v>44131</v>
      </c>
      <c r="E519" s="113" t="s">
        <v>25207</v>
      </c>
      <c r="F519" s="257">
        <v>21</v>
      </c>
      <c r="G519" s="255">
        <v>2.6</v>
      </c>
      <c r="H519" s="152"/>
      <c r="I519" s="160">
        <f t="shared" si="7"/>
        <v>40451.429999999964</v>
      </c>
    </row>
    <row r="520" spans="2:9" x14ac:dyDescent="0.25">
      <c r="B520" s="148"/>
      <c r="C520" s="148" t="s">
        <v>25206</v>
      </c>
      <c r="D520" s="150">
        <v>44131</v>
      </c>
      <c r="E520" s="113" t="s">
        <v>25205</v>
      </c>
      <c r="F520" s="257">
        <v>21</v>
      </c>
      <c r="G520" s="255">
        <v>1.68</v>
      </c>
      <c r="H520" s="152"/>
      <c r="I520" s="160">
        <f t="shared" si="7"/>
        <v>40453.109999999964</v>
      </c>
    </row>
    <row r="521" spans="2:9" x14ac:dyDescent="0.25">
      <c r="B521" s="148"/>
      <c r="C521" s="148" t="s">
        <v>25204</v>
      </c>
      <c r="D521" s="150">
        <v>44131</v>
      </c>
      <c r="E521" s="113" t="s">
        <v>25203</v>
      </c>
      <c r="F521" s="257">
        <v>21</v>
      </c>
      <c r="G521" s="255">
        <v>13.24</v>
      </c>
      <c r="H521" s="152"/>
      <c r="I521" s="160">
        <f t="shared" si="7"/>
        <v>40466.349999999962</v>
      </c>
    </row>
    <row r="522" spans="2:9" x14ac:dyDescent="0.25">
      <c r="B522" s="148"/>
      <c r="C522" s="148" t="s">
        <v>25202</v>
      </c>
      <c r="D522" s="150">
        <v>44131</v>
      </c>
      <c r="E522" s="113" t="s">
        <v>25201</v>
      </c>
      <c r="F522" s="257">
        <v>21</v>
      </c>
      <c r="G522" s="255">
        <v>5.04</v>
      </c>
      <c r="H522" s="152"/>
      <c r="I522" s="160">
        <f t="shared" si="7"/>
        <v>40471.389999999963</v>
      </c>
    </row>
    <row r="523" spans="2:9" x14ac:dyDescent="0.25">
      <c r="B523" s="148"/>
      <c r="C523" s="148" t="s">
        <v>25200</v>
      </c>
      <c r="D523" s="150">
        <v>44131</v>
      </c>
      <c r="E523" s="113" t="s">
        <v>25199</v>
      </c>
      <c r="F523" s="257" t="s">
        <v>14436</v>
      </c>
      <c r="G523" s="160">
        <v>2.84</v>
      </c>
      <c r="H523" s="152"/>
      <c r="I523" s="160">
        <f t="shared" si="7"/>
        <v>40474.22999999996</v>
      </c>
    </row>
    <row r="524" spans="2:9" x14ac:dyDescent="0.25">
      <c r="B524" s="148"/>
      <c r="C524" s="148" t="s">
        <v>25198</v>
      </c>
      <c r="D524" s="150">
        <v>44132</v>
      </c>
      <c r="E524" s="113" t="s">
        <v>25197</v>
      </c>
      <c r="F524" s="257" t="s">
        <v>14436</v>
      </c>
      <c r="G524" s="160">
        <v>8.5299999999999994</v>
      </c>
      <c r="H524" s="152"/>
      <c r="I524" s="160">
        <f t="shared" si="7"/>
        <v>40482.759999999958</v>
      </c>
    </row>
    <row r="525" spans="2:9" x14ac:dyDescent="0.25">
      <c r="B525" s="148"/>
      <c r="C525" s="148" t="s">
        <v>25196</v>
      </c>
      <c r="D525" s="150">
        <v>44132</v>
      </c>
      <c r="E525" s="113" t="s">
        <v>25195</v>
      </c>
      <c r="F525" s="257" t="s">
        <v>14436</v>
      </c>
      <c r="G525" s="160">
        <v>2.0499999999999998</v>
      </c>
      <c r="H525" s="152"/>
      <c r="I525" s="160">
        <f t="shared" si="7"/>
        <v>40484.809999999961</v>
      </c>
    </row>
    <row r="526" spans="2:9" x14ac:dyDescent="0.25">
      <c r="B526" s="148"/>
      <c r="C526" s="148" t="s">
        <v>25194</v>
      </c>
      <c r="D526" s="150">
        <v>44132</v>
      </c>
      <c r="E526" s="113" t="s">
        <v>25193</v>
      </c>
      <c r="F526" s="257" t="s">
        <v>14413</v>
      </c>
      <c r="G526" s="258">
        <v>5.36</v>
      </c>
      <c r="H526" s="152"/>
      <c r="I526" s="160">
        <f t="shared" si="7"/>
        <v>40490.169999999962</v>
      </c>
    </row>
    <row r="527" spans="2:9" x14ac:dyDescent="0.25">
      <c r="B527" s="148"/>
      <c r="C527" s="148" t="s">
        <v>25192</v>
      </c>
      <c r="D527" s="150">
        <v>44132</v>
      </c>
      <c r="E527" s="113" t="s">
        <v>25191</v>
      </c>
      <c r="F527" s="257" t="s">
        <v>14413</v>
      </c>
      <c r="G527" s="258">
        <v>9.65</v>
      </c>
      <c r="H527" s="152"/>
      <c r="I527" s="160">
        <f t="shared" si="7"/>
        <v>40499.819999999963</v>
      </c>
    </row>
    <row r="528" spans="2:9" x14ac:dyDescent="0.25">
      <c r="B528" s="148"/>
      <c r="C528" s="148" t="s">
        <v>25190</v>
      </c>
      <c r="D528" s="150">
        <v>44132</v>
      </c>
      <c r="E528" s="113" t="s">
        <v>25189</v>
      </c>
      <c r="F528" s="257" t="s">
        <v>14413</v>
      </c>
      <c r="G528" s="258">
        <v>6.93</v>
      </c>
      <c r="H528" s="152"/>
      <c r="I528" s="160">
        <f t="shared" si="7"/>
        <v>40506.749999999964</v>
      </c>
    </row>
    <row r="529" spans="2:9" x14ac:dyDescent="0.25">
      <c r="B529" s="148"/>
      <c r="C529" s="148" t="s">
        <v>25188</v>
      </c>
      <c r="D529" s="150">
        <v>44132</v>
      </c>
      <c r="E529" s="113" t="s">
        <v>25187</v>
      </c>
      <c r="F529" s="257" t="s">
        <v>14413</v>
      </c>
      <c r="G529" s="258">
        <v>30.62</v>
      </c>
      <c r="H529" s="152"/>
      <c r="I529" s="160">
        <f t="shared" si="7"/>
        <v>40537.369999999966</v>
      </c>
    </row>
    <row r="530" spans="2:9" x14ac:dyDescent="0.25">
      <c r="B530" s="148"/>
      <c r="C530" s="148" t="s">
        <v>25186</v>
      </c>
      <c r="D530" s="150">
        <v>44132</v>
      </c>
      <c r="E530" s="113" t="s">
        <v>25185</v>
      </c>
      <c r="F530" s="257" t="s">
        <v>14413</v>
      </c>
      <c r="G530" s="258">
        <v>8.3800000000000008</v>
      </c>
      <c r="H530" s="152"/>
      <c r="I530" s="160">
        <f t="shared" si="7"/>
        <v>40545.749999999964</v>
      </c>
    </row>
    <row r="531" spans="2:9" x14ac:dyDescent="0.25">
      <c r="B531" s="148"/>
      <c r="C531" s="148" t="s">
        <v>25184</v>
      </c>
      <c r="D531" s="150">
        <v>44132</v>
      </c>
      <c r="E531" s="113" t="s">
        <v>25183</v>
      </c>
      <c r="F531" s="257" t="s">
        <v>14413</v>
      </c>
      <c r="G531" s="258">
        <v>8.3800000000000008</v>
      </c>
      <c r="H531" s="152"/>
      <c r="I531" s="160">
        <f t="shared" si="7"/>
        <v>40554.129999999961</v>
      </c>
    </row>
    <row r="532" spans="2:9" x14ac:dyDescent="0.25">
      <c r="B532" s="148"/>
      <c r="C532" s="148" t="s">
        <v>25182</v>
      </c>
      <c r="D532" s="150">
        <v>44132</v>
      </c>
      <c r="E532" s="113" t="s">
        <v>25181</v>
      </c>
      <c r="F532" s="257" t="s">
        <v>14413</v>
      </c>
      <c r="G532" s="258">
        <v>1.92</v>
      </c>
      <c r="H532" s="152"/>
      <c r="I532" s="160">
        <f t="shared" ref="I532:I595" si="8">+I531+G532-H532</f>
        <v>40556.049999999959</v>
      </c>
    </row>
    <row r="533" spans="2:9" x14ac:dyDescent="0.25">
      <c r="B533" s="148"/>
      <c r="C533" s="148" t="s">
        <v>25180</v>
      </c>
      <c r="D533" s="150">
        <v>44132</v>
      </c>
      <c r="E533" s="113" t="s">
        <v>25179</v>
      </c>
      <c r="F533" s="257" t="s">
        <v>14413</v>
      </c>
      <c r="G533" s="258">
        <v>8.3800000000000008</v>
      </c>
      <c r="H533" s="152"/>
      <c r="I533" s="160">
        <f t="shared" si="8"/>
        <v>40564.429999999957</v>
      </c>
    </row>
    <row r="534" spans="2:9" x14ac:dyDescent="0.25">
      <c r="B534" s="148"/>
      <c r="C534" s="148" t="s">
        <v>25178</v>
      </c>
      <c r="D534" s="150">
        <v>44132</v>
      </c>
      <c r="E534" s="113" t="s">
        <v>25177</v>
      </c>
      <c r="F534" s="257" t="s">
        <v>14413</v>
      </c>
      <c r="G534" s="258">
        <v>6.87</v>
      </c>
      <c r="H534" s="152"/>
      <c r="I534" s="160">
        <f t="shared" si="8"/>
        <v>40571.299999999959</v>
      </c>
    </row>
    <row r="535" spans="2:9" x14ac:dyDescent="0.25">
      <c r="B535" s="148"/>
      <c r="C535" s="148" t="s">
        <v>25176</v>
      </c>
      <c r="D535" s="150">
        <v>44132</v>
      </c>
      <c r="E535" s="113" t="s">
        <v>25175</v>
      </c>
      <c r="F535" s="257" t="s">
        <v>14413</v>
      </c>
      <c r="G535" s="258">
        <v>5.48</v>
      </c>
      <c r="H535" s="152"/>
      <c r="I535" s="160">
        <f t="shared" si="8"/>
        <v>40576.779999999962</v>
      </c>
    </row>
    <row r="536" spans="2:9" ht="19.5" x14ac:dyDescent="0.25">
      <c r="B536" s="148"/>
      <c r="C536" s="148" t="s">
        <v>25174</v>
      </c>
      <c r="D536" s="150">
        <v>44132</v>
      </c>
      <c r="E536" s="113" t="s">
        <v>25173</v>
      </c>
      <c r="F536" s="257" t="s">
        <v>14413</v>
      </c>
      <c r="G536" s="258">
        <v>18.39</v>
      </c>
      <c r="H536" s="152"/>
      <c r="I536" s="160">
        <f t="shared" si="8"/>
        <v>40595.169999999962</v>
      </c>
    </row>
    <row r="537" spans="2:9" x14ac:dyDescent="0.25">
      <c r="B537" s="148"/>
      <c r="C537" s="148" t="s">
        <v>25172</v>
      </c>
      <c r="D537" s="150">
        <v>44132</v>
      </c>
      <c r="E537" s="113" t="s">
        <v>25171</v>
      </c>
      <c r="F537" s="257" t="s">
        <v>14413</v>
      </c>
      <c r="G537" s="258">
        <v>3.07</v>
      </c>
      <c r="H537" s="152"/>
      <c r="I537" s="160">
        <f t="shared" si="8"/>
        <v>40598.239999999962</v>
      </c>
    </row>
    <row r="538" spans="2:9" x14ac:dyDescent="0.25">
      <c r="B538" s="148"/>
      <c r="C538" s="148" t="s">
        <v>25170</v>
      </c>
      <c r="D538" s="150">
        <v>44132</v>
      </c>
      <c r="E538" s="113" t="s">
        <v>25169</v>
      </c>
      <c r="F538" s="257" t="s">
        <v>14413</v>
      </c>
      <c r="G538" s="258">
        <v>3.36</v>
      </c>
      <c r="H538" s="152"/>
      <c r="I538" s="160">
        <f t="shared" si="8"/>
        <v>40601.599999999962</v>
      </c>
    </row>
    <row r="539" spans="2:9" x14ac:dyDescent="0.25">
      <c r="B539" s="148"/>
      <c r="C539" s="148" t="s">
        <v>25168</v>
      </c>
      <c r="D539" s="150">
        <v>44132</v>
      </c>
      <c r="E539" s="113" t="s">
        <v>25167</v>
      </c>
      <c r="F539" s="257" t="s">
        <v>14413</v>
      </c>
      <c r="G539" s="258">
        <v>6.94</v>
      </c>
      <c r="H539" s="152"/>
      <c r="I539" s="160">
        <f t="shared" si="8"/>
        <v>40608.539999999964</v>
      </c>
    </row>
    <row r="540" spans="2:9" x14ac:dyDescent="0.25">
      <c r="B540" s="148"/>
      <c r="C540" s="148" t="s">
        <v>25166</v>
      </c>
      <c r="D540" s="150">
        <v>44132</v>
      </c>
      <c r="E540" s="113" t="s">
        <v>25165</v>
      </c>
      <c r="F540" s="257" t="s">
        <v>14413</v>
      </c>
      <c r="G540" s="258">
        <v>16.760000000000002</v>
      </c>
      <c r="H540" s="152"/>
      <c r="I540" s="160">
        <f t="shared" si="8"/>
        <v>40625.299999999967</v>
      </c>
    </row>
    <row r="541" spans="2:9" x14ac:dyDescent="0.25">
      <c r="B541" s="148"/>
      <c r="C541" s="148" t="s">
        <v>25164</v>
      </c>
      <c r="D541" s="150">
        <v>44132</v>
      </c>
      <c r="E541" s="113" t="s">
        <v>25163</v>
      </c>
      <c r="F541" s="257" t="s">
        <v>14413</v>
      </c>
      <c r="G541" s="258">
        <v>4.2</v>
      </c>
      <c r="H541" s="152"/>
      <c r="I541" s="160">
        <f t="shared" si="8"/>
        <v>40629.499999999964</v>
      </c>
    </row>
    <row r="542" spans="2:9" ht="19.5" x14ac:dyDescent="0.25">
      <c r="B542" s="148"/>
      <c r="C542" s="148" t="s">
        <v>25162</v>
      </c>
      <c r="D542" s="150">
        <v>44132</v>
      </c>
      <c r="E542" s="113" t="s">
        <v>25161</v>
      </c>
      <c r="F542" s="257" t="s">
        <v>14413</v>
      </c>
      <c r="G542" s="258">
        <v>22.77</v>
      </c>
      <c r="H542" s="152"/>
      <c r="I542" s="160">
        <f t="shared" si="8"/>
        <v>40652.26999999996</v>
      </c>
    </row>
    <row r="543" spans="2:9" x14ac:dyDescent="0.25">
      <c r="B543" s="148"/>
      <c r="C543" s="148" t="s">
        <v>25160</v>
      </c>
      <c r="D543" s="150">
        <v>44132</v>
      </c>
      <c r="E543" s="113" t="s">
        <v>25159</v>
      </c>
      <c r="F543" s="257" t="s">
        <v>14413</v>
      </c>
      <c r="G543" s="258">
        <v>1.68</v>
      </c>
      <c r="H543" s="152"/>
      <c r="I543" s="160">
        <f t="shared" si="8"/>
        <v>40653.949999999961</v>
      </c>
    </row>
    <row r="544" spans="2:9" x14ac:dyDescent="0.25">
      <c r="B544" s="148"/>
      <c r="C544" s="148" t="s">
        <v>25158</v>
      </c>
      <c r="D544" s="150">
        <v>44132</v>
      </c>
      <c r="E544" s="113" t="s">
        <v>25157</v>
      </c>
      <c r="F544" s="257" t="s">
        <v>14413</v>
      </c>
      <c r="G544" s="258">
        <v>4.93</v>
      </c>
      <c r="H544" s="152"/>
      <c r="I544" s="160">
        <f t="shared" si="8"/>
        <v>40658.879999999961</v>
      </c>
    </row>
    <row r="545" spans="2:9" x14ac:dyDescent="0.25">
      <c r="B545" s="148"/>
      <c r="C545" s="148" t="s">
        <v>25156</v>
      </c>
      <c r="D545" s="150">
        <v>44132</v>
      </c>
      <c r="E545" s="113" t="s">
        <v>25155</v>
      </c>
      <c r="F545" s="257" t="s">
        <v>14413</v>
      </c>
      <c r="G545" s="258">
        <v>7.14</v>
      </c>
      <c r="H545" s="152"/>
      <c r="I545" s="160">
        <f t="shared" si="8"/>
        <v>40666.01999999996</v>
      </c>
    </row>
    <row r="546" spans="2:9" x14ac:dyDescent="0.25">
      <c r="B546" s="148"/>
      <c r="C546" s="148" t="s">
        <v>25154</v>
      </c>
      <c r="D546" s="150">
        <v>44132</v>
      </c>
      <c r="E546" s="113" t="s">
        <v>25153</v>
      </c>
      <c r="F546" s="257" t="s">
        <v>14413</v>
      </c>
      <c r="G546" s="258">
        <v>5.04</v>
      </c>
      <c r="H546" s="152"/>
      <c r="I546" s="160">
        <f t="shared" si="8"/>
        <v>40671.059999999961</v>
      </c>
    </row>
    <row r="547" spans="2:9" x14ac:dyDescent="0.25">
      <c r="B547" s="148"/>
      <c r="C547" s="148" t="s">
        <v>25152</v>
      </c>
      <c r="D547" s="150">
        <v>44132</v>
      </c>
      <c r="E547" s="113" t="s">
        <v>25151</v>
      </c>
      <c r="F547" s="257" t="s">
        <v>14413</v>
      </c>
      <c r="G547" s="258">
        <v>1.68</v>
      </c>
      <c r="H547" s="152"/>
      <c r="I547" s="160">
        <f t="shared" si="8"/>
        <v>40672.739999999962</v>
      </c>
    </row>
    <row r="548" spans="2:9" x14ac:dyDescent="0.25">
      <c r="B548" s="148"/>
      <c r="C548" s="148" t="s">
        <v>25150</v>
      </c>
      <c r="D548" s="150">
        <v>44132</v>
      </c>
      <c r="E548" s="113" t="s">
        <v>25149</v>
      </c>
      <c r="F548" s="257" t="s">
        <v>14413</v>
      </c>
      <c r="G548" s="258">
        <v>13.57</v>
      </c>
      <c r="H548" s="152"/>
      <c r="I548" s="160">
        <f t="shared" si="8"/>
        <v>40686.309999999961</v>
      </c>
    </row>
    <row r="549" spans="2:9" x14ac:dyDescent="0.25">
      <c r="B549" s="148"/>
      <c r="C549" s="148" t="s">
        <v>25148</v>
      </c>
      <c r="D549" s="150">
        <v>44132</v>
      </c>
      <c r="E549" s="113" t="s">
        <v>25147</v>
      </c>
      <c r="F549" s="257" t="s">
        <v>14436</v>
      </c>
      <c r="G549" s="160">
        <v>3</v>
      </c>
      <c r="H549" s="152"/>
      <c r="I549" s="160">
        <f t="shared" si="8"/>
        <v>40689.309999999961</v>
      </c>
    </row>
    <row r="550" spans="2:9" x14ac:dyDescent="0.25">
      <c r="B550" s="148"/>
      <c r="C550" s="148" t="s">
        <v>25146</v>
      </c>
      <c r="D550" s="150">
        <v>44132</v>
      </c>
      <c r="E550" s="113" t="s">
        <v>25145</v>
      </c>
      <c r="F550" s="257">
        <v>22</v>
      </c>
      <c r="G550" s="255">
        <v>1.68</v>
      </c>
      <c r="H550" s="152"/>
      <c r="I550" s="160">
        <f t="shared" si="8"/>
        <v>40690.989999999962</v>
      </c>
    </row>
    <row r="551" spans="2:9" x14ac:dyDescent="0.25">
      <c r="B551" s="148"/>
      <c r="C551" s="148" t="s">
        <v>25144</v>
      </c>
      <c r="D551" s="150">
        <v>44132</v>
      </c>
      <c r="E551" s="113" t="s">
        <v>25143</v>
      </c>
      <c r="F551" s="257">
        <v>22</v>
      </c>
      <c r="G551" s="255">
        <v>6.79</v>
      </c>
      <c r="H551" s="152"/>
      <c r="I551" s="160">
        <f t="shared" si="8"/>
        <v>40697.779999999962</v>
      </c>
    </row>
    <row r="552" spans="2:9" x14ac:dyDescent="0.25">
      <c r="B552" s="148"/>
      <c r="C552" s="148" t="s">
        <v>25142</v>
      </c>
      <c r="D552" s="150">
        <v>44132</v>
      </c>
      <c r="E552" s="113" t="s">
        <v>25141</v>
      </c>
      <c r="F552" s="257">
        <v>22</v>
      </c>
      <c r="G552" s="255">
        <v>4.09</v>
      </c>
      <c r="H552" s="152"/>
      <c r="I552" s="160">
        <f t="shared" si="8"/>
        <v>40701.869999999959</v>
      </c>
    </row>
    <row r="553" spans="2:9" x14ac:dyDescent="0.25">
      <c r="B553" s="148"/>
      <c r="C553" s="148" t="s">
        <v>19401</v>
      </c>
      <c r="D553" s="150">
        <v>44132</v>
      </c>
      <c r="E553" s="113" t="s">
        <v>25140</v>
      </c>
      <c r="F553" s="257" t="s">
        <v>14433</v>
      </c>
      <c r="G553" s="152"/>
      <c r="H553" s="161">
        <v>20.3</v>
      </c>
      <c r="I553" s="160">
        <f t="shared" si="8"/>
        <v>40681.569999999956</v>
      </c>
    </row>
    <row r="554" spans="2:9" x14ac:dyDescent="0.25">
      <c r="B554" s="148"/>
      <c r="C554" s="148" t="s">
        <v>19090</v>
      </c>
      <c r="D554" s="150">
        <v>44132</v>
      </c>
      <c r="E554" s="113" t="s">
        <v>25139</v>
      </c>
      <c r="F554" s="257" t="s">
        <v>14433</v>
      </c>
      <c r="G554" s="152"/>
      <c r="H554" s="161">
        <v>13.52</v>
      </c>
      <c r="I554" s="160">
        <f t="shared" si="8"/>
        <v>40668.049999999959</v>
      </c>
    </row>
    <row r="555" spans="2:9" ht="19.5" x14ac:dyDescent="0.25">
      <c r="B555" s="148"/>
      <c r="C555" s="148" t="s">
        <v>25138</v>
      </c>
      <c r="D555" s="150">
        <v>44133</v>
      </c>
      <c r="E555" s="113" t="s">
        <v>25137</v>
      </c>
      <c r="F555" s="257" t="s">
        <v>14436</v>
      </c>
      <c r="G555" s="160">
        <v>8.43</v>
      </c>
      <c r="H555" s="152"/>
      <c r="I555" s="160">
        <f t="shared" si="8"/>
        <v>40676.47999999996</v>
      </c>
    </row>
    <row r="556" spans="2:9" x14ac:dyDescent="0.25">
      <c r="B556" s="148"/>
      <c r="C556" s="148" t="s">
        <v>25136</v>
      </c>
      <c r="D556" s="150">
        <v>44133</v>
      </c>
      <c r="E556" s="113" t="s">
        <v>25135</v>
      </c>
      <c r="F556" s="257" t="s">
        <v>14436</v>
      </c>
      <c r="G556" s="160">
        <v>4.55</v>
      </c>
      <c r="H556" s="152"/>
      <c r="I556" s="160">
        <f t="shared" si="8"/>
        <v>40681.029999999962</v>
      </c>
    </row>
    <row r="557" spans="2:9" x14ac:dyDescent="0.25">
      <c r="B557" s="148"/>
      <c r="C557" s="148" t="s">
        <v>25134</v>
      </c>
      <c r="D557" s="150">
        <v>44133</v>
      </c>
      <c r="E557" s="113" t="s">
        <v>25133</v>
      </c>
      <c r="F557" s="257" t="s">
        <v>14413</v>
      </c>
      <c r="G557" s="258">
        <v>4.92</v>
      </c>
      <c r="H557" s="152"/>
      <c r="I557" s="160">
        <f t="shared" si="8"/>
        <v>40685.949999999961</v>
      </c>
    </row>
    <row r="558" spans="2:9" x14ac:dyDescent="0.25">
      <c r="B558" s="148"/>
      <c r="C558" s="148" t="s">
        <v>25132</v>
      </c>
      <c r="D558" s="150">
        <v>44133</v>
      </c>
      <c r="E558" s="113" t="s">
        <v>25131</v>
      </c>
      <c r="F558" s="257" t="s">
        <v>14413</v>
      </c>
      <c r="G558" s="258">
        <v>3.36</v>
      </c>
      <c r="H558" s="152"/>
      <c r="I558" s="160">
        <f t="shared" si="8"/>
        <v>40689.309999999961</v>
      </c>
    </row>
    <row r="559" spans="2:9" x14ac:dyDescent="0.25">
      <c r="B559" s="148"/>
      <c r="C559" s="148" t="s">
        <v>25130</v>
      </c>
      <c r="D559" s="150">
        <v>44133</v>
      </c>
      <c r="E559" s="113" t="s">
        <v>25129</v>
      </c>
      <c r="F559" s="257" t="s">
        <v>14436</v>
      </c>
      <c r="G559" s="160">
        <v>819.7</v>
      </c>
      <c r="H559" s="152"/>
      <c r="I559" s="160">
        <f t="shared" si="8"/>
        <v>41509.009999999958</v>
      </c>
    </row>
    <row r="560" spans="2:9" ht="19.5" x14ac:dyDescent="0.25">
      <c r="B560" s="148"/>
      <c r="C560" s="148" t="s">
        <v>25128</v>
      </c>
      <c r="D560" s="150">
        <v>44133</v>
      </c>
      <c r="E560" s="113" t="s">
        <v>25127</v>
      </c>
      <c r="F560" s="257" t="s">
        <v>14413</v>
      </c>
      <c r="G560" s="258">
        <v>18.649999999999999</v>
      </c>
      <c r="H560" s="152"/>
      <c r="I560" s="160">
        <f t="shared" si="8"/>
        <v>41527.65999999996</v>
      </c>
    </row>
    <row r="561" spans="2:9" x14ac:dyDescent="0.25">
      <c r="B561" s="148"/>
      <c r="C561" s="148" t="s">
        <v>25126</v>
      </c>
      <c r="D561" s="150">
        <v>44133</v>
      </c>
      <c r="E561" s="113" t="s">
        <v>25125</v>
      </c>
      <c r="F561" s="257" t="s">
        <v>14413</v>
      </c>
      <c r="G561" s="258">
        <v>2.82</v>
      </c>
      <c r="H561" s="152"/>
      <c r="I561" s="160">
        <f t="shared" si="8"/>
        <v>41530.47999999996</v>
      </c>
    </row>
    <row r="562" spans="2:9" ht="19.5" x14ac:dyDescent="0.25">
      <c r="B562" s="148"/>
      <c r="C562" s="148" t="s">
        <v>25124</v>
      </c>
      <c r="D562" s="150">
        <v>44133</v>
      </c>
      <c r="E562" s="113" t="s">
        <v>25123</v>
      </c>
      <c r="F562" s="257" t="s">
        <v>14413</v>
      </c>
      <c r="G562" s="258">
        <v>20.440000000000001</v>
      </c>
      <c r="H562" s="152"/>
      <c r="I562" s="160">
        <f t="shared" si="8"/>
        <v>41550.919999999962</v>
      </c>
    </row>
    <row r="563" spans="2:9" x14ac:dyDescent="0.25">
      <c r="B563" s="148"/>
      <c r="C563" s="148" t="s">
        <v>25122</v>
      </c>
      <c r="D563" s="150">
        <v>44133</v>
      </c>
      <c r="E563" s="113" t="s">
        <v>25121</v>
      </c>
      <c r="F563" s="257" t="s">
        <v>14413</v>
      </c>
      <c r="G563" s="258">
        <v>3.36</v>
      </c>
      <c r="H563" s="152"/>
      <c r="I563" s="160">
        <f t="shared" si="8"/>
        <v>41554.279999999962</v>
      </c>
    </row>
    <row r="564" spans="2:9" x14ac:dyDescent="0.25">
      <c r="B564" s="148"/>
      <c r="C564" s="148" t="s">
        <v>25120</v>
      </c>
      <c r="D564" s="150">
        <v>44133</v>
      </c>
      <c r="E564" s="113" t="s">
        <v>25119</v>
      </c>
      <c r="F564" s="257" t="s">
        <v>14413</v>
      </c>
      <c r="G564" s="258">
        <v>1.75</v>
      </c>
      <c r="H564" s="152"/>
      <c r="I564" s="160">
        <f t="shared" si="8"/>
        <v>41556.029999999962</v>
      </c>
    </row>
    <row r="565" spans="2:9" x14ac:dyDescent="0.25">
      <c r="B565" s="148"/>
      <c r="C565" s="148" t="s">
        <v>25118</v>
      </c>
      <c r="D565" s="150">
        <v>44133</v>
      </c>
      <c r="E565" s="113" t="s">
        <v>25117</v>
      </c>
      <c r="F565" s="257" t="s">
        <v>14413</v>
      </c>
      <c r="G565" s="258">
        <v>5.68</v>
      </c>
      <c r="H565" s="152"/>
      <c r="I565" s="160">
        <f t="shared" si="8"/>
        <v>41561.709999999963</v>
      </c>
    </row>
    <row r="566" spans="2:9" x14ac:dyDescent="0.25">
      <c r="B566" s="148"/>
      <c r="C566" s="148" t="s">
        <v>25116</v>
      </c>
      <c r="D566" s="150">
        <v>44133</v>
      </c>
      <c r="E566" s="113" t="s">
        <v>25115</v>
      </c>
      <c r="F566" s="257" t="s">
        <v>14413</v>
      </c>
      <c r="G566" s="258">
        <v>2.31</v>
      </c>
      <c r="H566" s="152"/>
      <c r="I566" s="160">
        <f t="shared" si="8"/>
        <v>41564.01999999996</v>
      </c>
    </row>
    <row r="567" spans="2:9" x14ac:dyDescent="0.25">
      <c r="B567" s="148"/>
      <c r="C567" s="148" t="s">
        <v>25114</v>
      </c>
      <c r="D567" s="150">
        <v>44133</v>
      </c>
      <c r="E567" s="113" t="s">
        <v>25113</v>
      </c>
      <c r="F567" s="257" t="s">
        <v>14413</v>
      </c>
      <c r="G567" s="258">
        <v>6.94</v>
      </c>
      <c r="H567" s="152"/>
      <c r="I567" s="160">
        <f t="shared" si="8"/>
        <v>41570.959999999963</v>
      </c>
    </row>
    <row r="568" spans="2:9" ht="19.5" x14ac:dyDescent="0.25">
      <c r="B568" s="148"/>
      <c r="C568" s="148" t="s">
        <v>25112</v>
      </c>
      <c r="D568" s="150">
        <v>44133</v>
      </c>
      <c r="E568" s="113" t="s">
        <v>25111</v>
      </c>
      <c r="F568" s="257" t="s">
        <v>14413</v>
      </c>
      <c r="G568" s="258">
        <v>30.23</v>
      </c>
      <c r="H568" s="152"/>
      <c r="I568" s="160">
        <f t="shared" si="8"/>
        <v>41601.189999999966</v>
      </c>
    </row>
    <row r="569" spans="2:9" x14ac:dyDescent="0.25">
      <c r="B569" s="148"/>
      <c r="C569" s="148" t="s">
        <v>25110</v>
      </c>
      <c r="D569" s="150">
        <v>44133</v>
      </c>
      <c r="E569" s="113" t="s">
        <v>25109</v>
      </c>
      <c r="F569" s="257" t="s">
        <v>14413</v>
      </c>
      <c r="G569" s="258">
        <v>4.99</v>
      </c>
      <c r="H569" s="152"/>
      <c r="I569" s="160">
        <f t="shared" si="8"/>
        <v>41606.179999999964</v>
      </c>
    </row>
    <row r="570" spans="2:9" x14ac:dyDescent="0.25">
      <c r="B570" s="148"/>
      <c r="C570" s="148" t="s">
        <v>25108</v>
      </c>
      <c r="D570" s="150">
        <v>44133</v>
      </c>
      <c r="E570" s="113" t="s">
        <v>25107</v>
      </c>
      <c r="F570" s="257" t="s">
        <v>14413</v>
      </c>
      <c r="G570" s="258">
        <v>8.3800000000000008</v>
      </c>
      <c r="H570" s="152"/>
      <c r="I570" s="160">
        <f t="shared" si="8"/>
        <v>41614.559999999961</v>
      </c>
    </row>
    <row r="571" spans="2:9" x14ac:dyDescent="0.25">
      <c r="B571" s="148"/>
      <c r="C571" s="148" t="s">
        <v>25106</v>
      </c>
      <c r="D571" s="150">
        <v>44133</v>
      </c>
      <c r="E571" s="113" t="s">
        <v>25105</v>
      </c>
      <c r="F571" s="257" t="s">
        <v>14413</v>
      </c>
      <c r="G571" s="258">
        <v>8.57</v>
      </c>
      <c r="H571" s="152"/>
      <c r="I571" s="160">
        <f t="shared" si="8"/>
        <v>41623.129999999961</v>
      </c>
    </row>
    <row r="572" spans="2:9" x14ac:dyDescent="0.25">
      <c r="B572" s="148"/>
      <c r="C572" s="148" t="s">
        <v>25104</v>
      </c>
      <c r="D572" s="150">
        <v>44133</v>
      </c>
      <c r="E572" s="113" t="s">
        <v>25103</v>
      </c>
      <c r="F572" s="257" t="s">
        <v>14413</v>
      </c>
      <c r="G572" s="258">
        <v>9.49</v>
      </c>
      <c r="H572" s="152"/>
      <c r="I572" s="160">
        <f t="shared" si="8"/>
        <v>41632.619999999959</v>
      </c>
    </row>
    <row r="573" spans="2:9" x14ac:dyDescent="0.25">
      <c r="B573" s="148"/>
      <c r="C573" s="148" t="s">
        <v>25102</v>
      </c>
      <c r="D573" s="150">
        <v>44133</v>
      </c>
      <c r="E573" s="113" t="s">
        <v>25101</v>
      </c>
      <c r="F573" s="257" t="s">
        <v>14413</v>
      </c>
      <c r="G573" s="258">
        <v>55.69</v>
      </c>
      <c r="H573" s="152"/>
      <c r="I573" s="160">
        <f t="shared" si="8"/>
        <v>41688.309999999961</v>
      </c>
    </row>
    <row r="574" spans="2:9" x14ac:dyDescent="0.25">
      <c r="B574" s="148"/>
      <c r="C574" s="148" t="s">
        <v>25100</v>
      </c>
      <c r="D574" s="150">
        <v>44133</v>
      </c>
      <c r="E574" s="113" t="s">
        <v>25099</v>
      </c>
      <c r="F574" s="257" t="s">
        <v>14413</v>
      </c>
      <c r="G574" s="258">
        <v>5.88</v>
      </c>
      <c r="H574" s="152"/>
      <c r="I574" s="160">
        <f t="shared" si="8"/>
        <v>41694.189999999959</v>
      </c>
    </row>
    <row r="575" spans="2:9" x14ac:dyDescent="0.25">
      <c r="B575" s="148"/>
      <c r="C575" s="148" t="s">
        <v>25098</v>
      </c>
      <c r="D575" s="150">
        <v>44133</v>
      </c>
      <c r="E575" s="113" t="s">
        <v>25097</v>
      </c>
      <c r="F575" s="257">
        <v>23</v>
      </c>
      <c r="G575" s="255">
        <v>17.899999999999999</v>
      </c>
      <c r="H575" s="152"/>
      <c r="I575" s="160">
        <f t="shared" si="8"/>
        <v>41712.08999999996</v>
      </c>
    </row>
    <row r="576" spans="2:9" x14ac:dyDescent="0.25">
      <c r="B576" s="148"/>
      <c r="C576" s="148" t="s">
        <v>25096</v>
      </c>
      <c r="D576" s="150">
        <v>44133</v>
      </c>
      <c r="E576" s="113" t="s">
        <v>25095</v>
      </c>
      <c r="F576" s="257">
        <v>23</v>
      </c>
      <c r="G576" s="255">
        <v>12.3</v>
      </c>
      <c r="H576" s="152"/>
      <c r="I576" s="160">
        <f t="shared" si="8"/>
        <v>41724.389999999963</v>
      </c>
    </row>
    <row r="577" spans="2:9" x14ac:dyDescent="0.25">
      <c r="B577" s="148"/>
      <c r="C577" s="148" t="s">
        <v>25094</v>
      </c>
      <c r="D577" s="150">
        <v>44133</v>
      </c>
      <c r="E577" s="113" t="s">
        <v>25093</v>
      </c>
      <c r="F577" s="257">
        <v>23</v>
      </c>
      <c r="G577" s="255">
        <v>2.04</v>
      </c>
      <c r="H577" s="152"/>
      <c r="I577" s="160">
        <f t="shared" si="8"/>
        <v>41726.429999999964</v>
      </c>
    </row>
    <row r="578" spans="2:9" x14ac:dyDescent="0.25">
      <c r="B578" s="148"/>
      <c r="C578" s="148" t="s">
        <v>25092</v>
      </c>
      <c r="D578" s="150">
        <v>44133</v>
      </c>
      <c r="E578" s="113" t="s">
        <v>25091</v>
      </c>
      <c r="F578" s="257">
        <v>23</v>
      </c>
      <c r="G578" s="255">
        <v>8.3800000000000008</v>
      </c>
      <c r="H578" s="152"/>
      <c r="I578" s="160">
        <f t="shared" si="8"/>
        <v>41734.809999999961</v>
      </c>
    </row>
    <row r="579" spans="2:9" x14ac:dyDescent="0.25">
      <c r="B579" s="148"/>
      <c r="C579" s="148" t="s">
        <v>25090</v>
      </c>
      <c r="D579" s="150">
        <v>44133</v>
      </c>
      <c r="E579" s="113" t="s">
        <v>25089</v>
      </c>
      <c r="F579" s="257">
        <v>23</v>
      </c>
      <c r="G579" s="255">
        <v>12.3</v>
      </c>
      <c r="H579" s="152"/>
      <c r="I579" s="160">
        <f t="shared" si="8"/>
        <v>41747.109999999964</v>
      </c>
    </row>
    <row r="580" spans="2:9" x14ac:dyDescent="0.25">
      <c r="B580" s="148"/>
      <c r="C580" s="148" t="s">
        <v>25088</v>
      </c>
      <c r="D580" s="150">
        <v>44133</v>
      </c>
      <c r="E580" s="113" t="s">
        <v>25087</v>
      </c>
      <c r="F580" s="257">
        <v>23</v>
      </c>
      <c r="G580" s="255">
        <v>2.14</v>
      </c>
      <c r="H580" s="152"/>
      <c r="I580" s="160">
        <f t="shared" si="8"/>
        <v>41749.249999999964</v>
      </c>
    </row>
    <row r="581" spans="2:9" x14ac:dyDescent="0.25">
      <c r="B581" s="148"/>
      <c r="C581" s="148" t="s">
        <v>25086</v>
      </c>
      <c r="D581" s="150">
        <v>44133</v>
      </c>
      <c r="E581" s="113" t="s">
        <v>25085</v>
      </c>
      <c r="F581" s="257">
        <v>23</v>
      </c>
      <c r="G581" s="255">
        <v>4.3899999999999997</v>
      </c>
      <c r="H581" s="152"/>
      <c r="I581" s="160">
        <f t="shared" si="8"/>
        <v>41753.639999999963</v>
      </c>
    </row>
    <row r="582" spans="2:9" x14ac:dyDescent="0.25">
      <c r="B582" s="148"/>
      <c r="C582" s="148" t="s">
        <v>25084</v>
      </c>
      <c r="D582" s="150">
        <v>44133</v>
      </c>
      <c r="E582" s="113" t="s">
        <v>25083</v>
      </c>
      <c r="F582" s="257">
        <v>23</v>
      </c>
      <c r="G582" s="255">
        <v>1.68</v>
      </c>
      <c r="H582" s="152"/>
      <c r="I582" s="160">
        <f t="shared" si="8"/>
        <v>41755.319999999963</v>
      </c>
    </row>
    <row r="583" spans="2:9" x14ac:dyDescent="0.25">
      <c r="B583" s="148"/>
      <c r="C583" s="148" t="s">
        <v>16358</v>
      </c>
      <c r="D583" s="150">
        <v>44133</v>
      </c>
      <c r="E583" s="113" t="s">
        <v>25082</v>
      </c>
      <c r="F583" s="257" t="s">
        <v>14433</v>
      </c>
      <c r="G583" s="152"/>
      <c r="H583" s="161">
        <v>21.21</v>
      </c>
      <c r="I583" s="160">
        <f t="shared" si="8"/>
        <v>41734.109999999964</v>
      </c>
    </row>
    <row r="584" spans="2:9" x14ac:dyDescent="0.25">
      <c r="B584" s="148"/>
      <c r="C584" s="148" t="s">
        <v>16356</v>
      </c>
      <c r="D584" s="150">
        <v>44133</v>
      </c>
      <c r="E584" s="113" t="s">
        <v>25081</v>
      </c>
      <c r="F584" s="257" t="s">
        <v>14433</v>
      </c>
      <c r="G584" s="152"/>
      <c r="H584" s="161">
        <v>10.66</v>
      </c>
      <c r="I584" s="160">
        <f t="shared" si="8"/>
        <v>41723.449999999961</v>
      </c>
    </row>
    <row r="585" spans="2:9" x14ac:dyDescent="0.25">
      <c r="B585" s="148"/>
      <c r="C585" s="148" t="s">
        <v>16354</v>
      </c>
      <c r="D585" s="150">
        <v>44133</v>
      </c>
      <c r="E585" s="113" t="s">
        <v>25080</v>
      </c>
      <c r="F585" s="257" t="s">
        <v>14433</v>
      </c>
      <c r="G585" s="152"/>
      <c r="H585" s="161">
        <v>7.58</v>
      </c>
      <c r="I585" s="160">
        <f t="shared" si="8"/>
        <v>41715.869999999959</v>
      </c>
    </row>
    <row r="586" spans="2:9" x14ac:dyDescent="0.25">
      <c r="B586" s="148"/>
      <c r="C586" s="148" t="s">
        <v>16</v>
      </c>
      <c r="D586" s="150">
        <v>44133</v>
      </c>
      <c r="E586" s="113" t="s">
        <v>25079</v>
      </c>
      <c r="F586" s="257" t="s">
        <v>14433</v>
      </c>
      <c r="G586" s="152"/>
      <c r="H586" s="161">
        <v>15.64</v>
      </c>
      <c r="I586" s="160">
        <f t="shared" si="8"/>
        <v>41700.22999999996</v>
      </c>
    </row>
    <row r="587" spans="2:9" x14ac:dyDescent="0.25">
      <c r="B587" s="148"/>
      <c r="C587" s="148" t="s">
        <v>16351</v>
      </c>
      <c r="D587" s="150">
        <v>44133</v>
      </c>
      <c r="E587" s="113" t="s">
        <v>25078</v>
      </c>
      <c r="F587" s="257" t="s">
        <v>14433</v>
      </c>
      <c r="G587" s="152"/>
      <c r="H587" s="161">
        <v>11.78</v>
      </c>
      <c r="I587" s="160">
        <f t="shared" si="8"/>
        <v>41688.449999999961</v>
      </c>
    </row>
    <row r="588" spans="2:9" x14ac:dyDescent="0.25">
      <c r="B588" s="148"/>
      <c r="C588" s="148" t="s">
        <v>18377</v>
      </c>
      <c r="D588" s="150">
        <v>44133</v>
      </c>
      <c r="E588" s="113" t="s">
        <v>25077</v>
      </c>
      <c r="F588" s="257" t="s">
        <v>14433</v>
      </c>
      <c r="G588" s="152"/>
      <c r="H588" s="161">
        <v>7.49</v>
      </c>
      <c r="I588" s="160">
        <f t="shared" si="8"/>
        <v>41680.959999999963</v>
      </c>
    </row>
    <row r="589" spans="2:9" x14ac:dyDescent="0.25">
      <c r="B589" s="148"/>
      <c r="C589" s="148" t="s">
        <v>16349</v>
      </c>
      <c r="D589" s="150">
        <v>44133</v>
      </c>
      <c r="E589" s="113" t="s">
        <v>25076</v>
      </c>
      <c r="F589" s="257" t="s">
        <v>14433</v>
      </c>
      <c r="G589" s="152"/>
      <c r="H589" s="161">
        <v>9.86</v>
      </c>
      <c r="I589" s="160">
        <f t="shared" si="8"/>
        <v>41671.099999999962</v>
      </c>
    </row>
    <row r="590" spans="2:9" ht="29.25" x14ac:dyDescent="0.25">
      <c r="B590" s="148"/>
      <c r="C590" s="148" t="s">
        <v>18</v>
      </c>
      <c r="D590" s="150">
        <v>44133</v>
      </c>
      <c r="E590" s="113" t="s">
        <v>25075</v>
      </c>
      <c r="F590" s="257" t="s">
        <v>14433</v>
      </c>
      <c r="G590" s="152"/>
      <c r="H590" s="161">
        <v>620</v>
      </c>
      <c r="I590" s="160">
        <f t="shared" si="8"/>
        <v>41051.099999999962</v>
      </c>
    </row>
    <row r="591" spans="2:9" x14ac:dyDescent="0.25">
      <c r="B591" s="148"/>
      <c r="C591" s="148" t="s">
        <v>25074</v>
      </c>
      <c r="D591" s="150">
        <v>44134</v>
      </c>
      <c r="E591" s="113" t="s">
        <v>25073</v>
      </c>
      <c r="F591" s="257" t="s">
        <v>14413</v>
      </c>
      <c r="G591" s="152"/>
      <c r="H591" s="319">
        <v>58.56</v>
      </c>
      <c r="I591" s="160">
        <f t="shared" si="8"/>
        <v>40992.539999999964</v>
      </c>
    </row>
    <row r="592" spans="2:9" ht="39" x14ac:dyDescent="0.25">
      <c r="B592" s="148"/>
      <c r="C592" s="148" t="s">
        <v>25072</v>
      </c>
      <c r="D592" s="150">
        <v>44134</v>
      </c>
      <c r="E592" s="113" t="s">
        <v>25071</v>
      </c>
      <c r="F592" s="257" t="s">
        <v>14433</v>
      </c>
      <c r="G592" s="152"/>
      <c r="H592" s="161">
        <v>116.4</v>
      </c>
      <c r="I592" s="160">
        <f t="shared" si="8"/>
        <v>40876.139999999963</v>
      </c>
    </row>
    <row r="593" spans="2:9" x14ac:dyDescent="0.25">
      <c r="B593" s="148"/>
      <c r="C593" s="148" t="s">
        <v>25070</v>
      </c>
      <c r="D593" s="150">
        <v>44134</v>
      </c>
      <c r="E593" s="113" t="s">
        <v>25069</v>
      </c>
      <c r="F593" s="257" t="s">
        <v>18712</v>
      </c>
      <c r="G593" s="160">
        <v>8.3800000000000008</v>
      </c>
      <c r="H593" s="152"/>
      <c r="I593" s="160">
        <f t="shared" si="8"/>
        <v>40884.51999999996</v>
      </c>
    </row>
    <row r="594" spans="2:9" x14ac:dyDescent="0.25">
      <c r="B594" s="148" t="s">
        <v>14414</v>
      </c>
      <c r="C594" s="148" t="s">
        <v>25068</v>
      </c>
      <c r="D594" s="150">
        <v>44134</v>
      </c>
      <c r="E594" s="113" t="s">
        <v>25067</v>
      </c>
      <c r="G594" s="258">
        <v>1.78</v>
      </c>
      <c r="H594" s="152"/>
      <c r="I594" s="160">
        <f t="shared" si="8"/>
        <v>40886.299999999959</v>
      </c>
    </row>
    <row r="595" spans="2:9" x14ac:dyDescent="0.25">
      <c r="B595" s="148" t="s">
        <v>14414</v>
      </c>
      <c r="C595" s="148" t="s">
        <v>25066</v>
      </c>
      <c r="D595" s="150">
        <v>44134</v>
      </c>
      <c r="E595" s="113" t="s">
        <v>25065</v>
      </c>
      <c r="G595" s="258">
        <v>4.7300000000000004</v>
      </c>
      <c r="H595" s="152"/>
      <c r="I595" s="160">
        <f t="shared" si="8"/>
        <v>40891.029999999962</v>
      </c>
    </row>
    <row r="596" spans="2:9" ht="19.5" x14ac:dyDescent="0.25">
      <c r="B596" s="148" t="s">
        <v>14414</v>
      </c>
      <c r="C596" s="148" t="s">
        <v>25064</v>
      </c>
      <c r="D596" s="150">
        <v>44134</v>
      </c>
      <c r="E596" s="113" t="s">
        <v>25063</v>
      </c>
      <c r="G596" s="258">
        <v>15.07</v>
      </c>
      <c r="H596" s="152"/>
      <c r="I596" s="160">
        <f t="shared" ref="I596:I644" si="9">+I595+G596-H596</f>
        <v>40906.099999999962</v>
      </c>
    </row>
    <row r="597" spans="2:9" x14ac:dyDescent="0.25">
      <c r="B597" s="148" t="s">
        <v>14414</v>
      </c>
      <c r="C597" s="148" t="s">
        <v>25062</v>
      </c>
      <c r="D597" s="150">
        <v>44134</v>
      </c>
      <c r="E597" s="113" t="s">
        <v>25061</v>
      </c>
      <c r="G597" s="258">
        <v>4.57</v>
      </c>
      <c r="H597" s="152"/>
      <c r="I597" s="160">
        <f t="shared" si="9"/>
        <v>40910.669999999962</v>
      </c>
    </row>
    <row r="598" spans="2:9" x14ac:dyDescent="0.25">
      <c r="B598" s="148" t="s">
        <v>14414</v>
      </c>
      <c r="C598" s="148" t="s">
        <v>25060</v>
      </c>
      <c r="D598" s="150">
        <v>44134</v>
      </c>
      <c r="E598" s="113" t="s">
        <v>25059</v>
      </c>
      <c r="G598" s="258">
        <v>3.4</v>
      </c>
      <c r="H598" s="152"/>
      <c r="I598" s="160">
        <f t="shared" si="9"/>
        <v>40914.069999999963</v>
      </c>
    </row>
    <row r="599" spans="2:9" x14ac:dyDescent="0.25">
      <c r="B599" s="148" t="s">
        <v>14414</v>
      </c>
      <c r="C599" s="148" t="s">
        <v>25058</v>
      </c>
      <c r="D599" s="150">
        <v>44134</v>
      </c>
      <c r="E599" s="113" t="s">
        <v>25057</v>
      </c>
      <c r="G599" s="258">
        <v>8.4700000000000006</v>
      </c>
      <c r="H599" s="152"/>
      <c r="I599" s="160">
        <f t="shared" si="9"/>
        <v>40922.539999999964</v>
      </c>
    </row>
    <row r="600" spans="2:9" x14ac:dyDescent="0.25">
      <c r="B600" s="148" t="s">
        <v>14414</v>
      </c>
      <c r="C600" s="148" t="s">
        <v>25056</v>
      </c>
      <c r="D600" s="150">
        <v>44134</v>
      </c>
      <c r="E600" s="113" t="s">
        <v>25055</v>
      </c>
      <c r="G600" s="258">
        <v>6.3</v>
      </c>
      <c r="H600" s="152"/>
      <c r="I600" s="160">
        <f t="shared" si="9"/>
        <v>40928.839999999967</v>
      </c>
    </row>
    <row r="601" spans="2:9" x14ac:dyDescent="0.25">
      <c r="B601" s="148" t="s">
        <v>14414</v>
      </c>
      <c r="C601" s="148" t="s">
        <v>25054</v>
      </c>
      <c r="D601" s="150">
        <v>44134</v>
      </c>
      <c r="E601" s="113" t="s">
        <v>25053</v>
      </c>
      <c r="G601" s="258">
        <v>4.8899999999999997</v>
      </c>
      <c r="H601" s="152"/>
      <c r="I601" s="160">
        <f t="shared" si="9"/>
        <v>40933.729999999967</v>
      </c>
    </row>
    <row r="602" spans="2:9" x14ac:dyDescent="0.25">
      <c r="B602" s="148" t="s">
        <v>14414</v>
      </c>
      <c r="C602" s="148" t="s">
        <v>25052</v>
      </c>
      <c r="D602" s="150">
        <v>44134</v>
      </c>
      <c r="E602" s="113" t="s">
        <v>25051</v>
      </c>
      <c r="G602" s="258">
        <v>4.21</v>
      </c>
      <c r="H602" s="152"/>
      <c r="I602" s="160">
        <f t="shared" si="9"/>
        <v>40937.939999999966</v>
      </c>
    </row>
    <row r="603" spans="2:9" x14ac:dyDescent="0.25">
      <c r="B603" s="148" t="s">
        <v>14414</v>
      </c>
      <c r="C603" s="148" t="s">
        <v>25050</v>
      </c>
      <c r="D603" s="150">
        <v>44134</v>
      </c>
      <c r="E603" s="113" t="s">
        <v>25049</v>
      </c>
      <c r="G603" s="258">
        <v>5.51</v>
      </c>
      <c r="H603" s="152"/>
      <c r="I603" s="160">
        <f t="shared" si="9"/>
        <v>40943.449999999968</v>
      </c>
    </row>
    <row r="604" spans="2:9" ht="19.5" x14ac:dyDescent="0.25">
      <c r="B604" s="148" t="s">
        <v>14414</v>
      </c>
      <c r="C604" s="148" t="s">
        <v>25048</v>
      </c>
      <c r="D604" s="150">
        <v>44134</v>
      </c>
      <c r="E604" s="113" t="s">
        <v>25047</v>
      </c>
      <c r="G604" s="258">
        <v>14.82</v>
      </c>
      <c r="H604" s="152"/>
      <c r="I604" s="160">
        <f t="shared" si="9"/>
        <v>40958.269999999968</v>
      </c>
    </row>
    <row r="605" spans="2:9" ht="19.5" x14ac:dyDescent="0.25">
      <c r="B605" s="148" t="s">
        <v>14414</v>
      </c>
      <c r="C605" s="148" t="s">
        <v>25046</v>
      </c>
      <c r="D605" s="150">
        <v>44134</v>
      </c>
      <c r="E605" s="113" t="s">
        <v>25045</v>
      </c>
      <c r="G605" s="258">
        <v>12.51</v>
      </c>
      <c r="H605" s="152"/>
      <c r="I605" s="160">
        <f t="shared" si="9"/>
        <v>40970.77999999997</v>
      </c>
    </row>
    <row r="606" spans="2:9" x14ac:dyDescent="0.25">
      <c r="B606" s="148" t="s">
        <v>14414</v>
      </c>
      <c r="C606" s="148" t="s">
        <v>25044</v>
      </c>
      <c r="D606" s="150">
        <v>44134</v>
      </c>
      <c r="E606" s="113" t="s">
        <v>25043</v>
      </c>
      <c r="G606" s="258">
        <v>8.84</v>
      </c>
      <c r="H606" s="152"/>
      <c r="I606" s="160">
        <f t="shared" si="9"/>
        <v>40979.619999999966</v>
      </c>
    </row>
    <row r="607" spans="2:9" x14ac:dyDescent="0.25">
      <c r="B607" s="148" t="s">
        <v>14414</v>
      </c>
      <c r="C607" s="148" t="s">
        <v>25042</v>
      </c>
      <c r="D607" s="150">
        <v>44134</v>
      </c>
      <c r="E607" s="113" t="s">
        <v>25041</v>
      </c>
      <c r="G607" s="258">
        <v>4.93</v>
      </c>
      <c r="H607" s="152"/>
      <c r="I607" s="160">
        <f t="shared" si="9"/>
        <v>40984.549999999967</v>
      </c>
    </row>
    <row r="608" spans="2:9" x14ac:dyDescent="0.25">
      <c r="B608" s="148" t="s">
        <v>14414</v>
      </c>
      <c r="C608" s="148" t="s">
        <v>25040</v>
      </c>
      <c r="D608" s="150">
        <v>44134</v>
      </c>
      <c r="E608" s="113" t="s">
        <v>25039</v>
      </c>
      <c r="G608" s="258">
        <v>2.48</v>
      </c>
      <c r="H608" s="152"/>
      <c r="I608" s="160">
        <f t="shared" si="9"/>
        <v>40987.02999999997</v>
      </c>
    </row>
    <row r="609" spans="2:9" x14ac:dyDescent="0.25">
      <c r="B609" s="148" t="s">
        <v>14414</v>
      </c>
      <c r="C609" s="148" t="s">
        <v>25038</v>
      </c>
      <c r="D609" s="150">
        <v>44134</v>
      </c>
      <c r="E609" s="113" t="s">
        <v>25037</v>
      </c>
      <c r="G609" s="258">
        <v>10.16</v>
      </c>
      <c r="H609" s="152"/>
      <c r="I609" s="160">
        <f t="shared" si="9"/>
        <v>40997.189999999973</v>
      </c>
    </row>
    <row r="610" spans="2:9" x14ac:dyDescent="0.25">
      <c r="B610" s="148" t="s">
        <v>14414</v>
      </c>
      <c r="C610" s="148" t="s">
        <v>25036</v>
      </c>
      <c r="D610" s="150">
        <v>44134</v>
      </c>
      <c r="E610" s="113" t="s">
        <v>25035</v>
      </c>
      <c r="G610" s="258">
        <v>4.3600000000000003</v>
      </c>
      <c r="H610" s="152"/>
      <c r="I610" s="160">
        <f t="shared" si="9"/>
        <v>41001.549999999974</v>
      </c>
    </row>
    <row r="611" spans="2:9" x14ac:dyDescent="0.25">
      <c r="B611" s="148" t="s">
        <v>14414</v>
      </c>
      <c r="C611" s="148" t="s">
        <v>25034</v>
      </c>
      <c r="D611" s="150">
        <v>44134</v>
      </c>
      <c r="E611" s="113" t="s">
        <v>25033</v>
      </c>
      <c r="G611" s="258">
        <v>2.78</v>
      </c>
      <c r="H611" s="152"/>
      <c r="I611" s="160">
        <f t="shared" si="9"/>
        <v>41004.329999999973</v>
      </c>
    </row>
    <row r="612" spans="2:9" ht="19.5" x14ac:dyDescent="0.25">
      <c r="B612" s="148" t="s">
        <v>14414</v>
      </c>
      <c r="C612" s="148" t="s">
        <v>25032</v>
      </c>
      <c r="D612" s="150">
        <v>44134</v>
      </c>
      <c r="E612" s="113" t="s">
        <v>25031</v>
      </c>
      <c r="G612" s="258">
        <v>12.91</v>
      </c>
      <c r="H612" s="152"/>
      <c r="I612" s="160">
        <f t="shared" si="9"/>
        <v>41017.239999999976</v>
      </c>
    </row>
    <row r="613" spans="2:9" x14ac:dyDescent="0.25">
      <c r="B613" s="148" t="s">
        <v>14414</v>
      </c>
      <c r="C613" s="148" t="s">
        <v>25030</v>
      </c>
      <c r="D613" s="150">
        <v>44134</v>
      </c>
      <c r="E613" s="113" t="s">
        <v>25029</v>
      </c>
      <c r="G613" s="258">
        <v>4.83</v>
      </c>
      <c r="H613" s="152"/>
      <c r="I613" s="160">
        <f t="shared" si="9"/>
        <v>41022.069999999978</v>
      </c>
    </row>
    <row r="614" spans="2:9" ht="19.5" x14ac:dyDescent="0.25">
      <c r="B614" s="148" t="s">
        <v>14414</v>
      </c>
      <c r="C614" s="148" t="s">
        <v>25028</v>
      </c>
      <c r="D614" s="150">
        <v>44134</v>
      </c>
      <c r="E614" s="113" t="s">
        <v>25027</v>
      </c>
      <c r="G614" s="258">
        <v>13.56</v>
      </c>
      <c r="H614" s="152"/>
      <c r="I614" s="160">
        <f t="shared" si="9"/>
        <v>41035.629999999976</v>
      </c>
    </row>
    <row r="615" spans="2:9" x14ac:dyDescent="0.25">
      <c r="B615" s="148" t="s">
        <v>14414</v>
      </c>
      <c r="C615" s="148" t="s">
        <v>25026</v>
      </c>
      <c r="D615" s="150">
        <v>44134</v>
      </c>
      <c r="E615" s="113" t="s">
        <v>25025</v>
      </c>
      <c r="G615" s="258">
        <v>9.26</v>
      </c>
      <c r="H615" s="152"/>
      <c r="I615" s="160">
        <f t="shared" si="9"/>
        <v>41044.889999999978</v>
      </c>
    </row>
    <row r="616" spans="2:9" x14ac:dyDescent="0.25">
      <c r="B616" s="148" t="s">
        <v>14414</v>
      </c>
      <c r="C616" s="148" t="s">
        <v>25024</v>
      </c>
      <c r="D616" s="150">
        <v>44134</v>
      </c>
      <c r="E616" s="113" t="s">
        <v>25023</v>
      </c>
      <c r="G616" s="258">
        <v>3.92</v>
      </c>
      <c r="H616" s="152"/>
      <c r="I616" s="160">
        <f t="shared" si="9"/>
        <v>41048.809999999976</v>
      </c>
    </row>
    <row r="617" spans="2:9" ht="19.5" x14ac:dyDescent="0.25">
      <c r="B617" s="148"/>
      <c r="C617" s="148" t="s">
        <v>25022</v>
      </c>
      <c r="D617" s="150">
        <v>44134</v>
      </c>
      <c r="E617" s="113" t="s">
        <v>25021</v>
      </c>
      <c r="F617" s="257">
        <v>24</v>
      </c>
      <c r="G617" s="255">
        <v>14.56</v>
      </c>
      <c r="H617" s="152"/>
      <c r="I617" s="160">
        <f t="shared" si="9"/>
        <v>41063.369999999974</v>
      </c>
    </row>
    <row r="618" spans="2:9" x14ac:dyDescent="0.25">
      <c r="B618" s="148"/>
      <c r="C618" s="148" t="s">
        <v>25020</v>
      </c>
      <c r="D618" s="150">
        <v>44134</v>
      </c>
      <c r="E618" s="113" t="s">
        <v>25019</v>
      </c>
      <c r="F618" s="257">
        <v>24</v>
      </c>
      <c r="G618" s="255">
        <v>15.19</v>
      </c>
      <c r="H618" s="152"/>
      <c r="I618" s="160">
        <f t="shared" si="9"/>
        <v>41078.559999999976</v>
      </c>
    </row>
    <row r="619" spans="2:9" ht="19.5" x14ac:dyDescent="0.25">
      <c r="B619" s="148"/>
      <c r="C619" s="148" t="s">
        <v>25018</v>
      </c>
      <c r="D619" s="150">
        <v>44134</v>
      </c>
      <c r="E619" s="113" t="s">
        <v>25017</v>
      </c>
      <c r="F619" s="257">
        <v>24</v>
      </c>
      <c r="G619" s="255">
        <v>132.24</v>
      </c>
      <c r="H619" s="152"/>
      <c r="I619" s="160">
        <f t="shared" si="9"/>
        <v>41210.799999999974</v>
      </c>
    </row>
    <row r="620" spans="2:9" ht="19.5" x14ac:dyDescent="0.25">
      <c r="B620" s="148"/>
      <c r="C620" s="148" t="s">
        <v>25016</v>
      </c>
      <c r="D620" s="150">
        <v>44134</v>
      </c>
      <c r="E620" s="113" t="s">
        <v>25015</v>
      </c>
      <c r="F620" s="257">
        <v>24</v>
      </c>
      <c r="G620" s="255">
        <v>17.62</v>
      </c>
      <c r="H620" s="152"/>
      <c r="I620" s="160">
        <f t="shared" si="9"/>
        <v>41228.419999999976</v>
      </c>
    </row>
    <row r="621" spans="2:9" x14ac:dyDescent="0.25">
      <c r="B621" s="148"/>
      <c r="C621" s="148" t="s">
        <v>25014</v>
      </c>
      <c r="D621" s="150">
        <v>44134</v>
      </c>
      <c r="E621" s="113" t="s">
        <v>25013</v>
      </c>
      <c r="F621" s="257">
        <v>24</v>
      </c>
      <c r="G621" s="255">
        <v>35.799999999999997</v>
      </c>
      <c r="H621" s="152"/>
      <c r="I621" s="160">
        <f t="shared" si="9"/>
        <v>41264.219999999979</v>
      </c>
    </row>
    <row r="622" spans="2:9" x14ac:dyDescent="0.25">
      <c r="B622" s="148"/>
      <c r="C622" s="148" t="s">
        <v>25012</v>
      </c>
      <c r="D622" s="150">
        <v>44134</v>
      </c>
      <c r="E622" s="113" t="s">
        <v>25011</v>
      </c>
      <c r="F622" s="257" t="s">
        <v>14436</v>
      </c>
      <c r="G622" s="160">
        <v>212.92</v>
      </c>
      <c r="H622" s="152"/>
      <c r="I622" s="160">
        <f t="shared" si="9"/>
        <v>41477.139999999978</v>
      </c>
    </row>
    <row r="623" spans="2:9" x14ac:dyDescent="0.25">
      <c r="B623" s="148"/>
      <c r="C623" s="148" t="s">
        <v>25010</v>
      </c>
      <c r="D623" s="150">
        <v>44134</v>
      </c>
      <c r="E623" s="113" t="s">
        <v>25009</v>
      </c>
      <c r="F623" s="257" t="s">
        <v>14436</v>
      </c>
      <c r="G623" s="160">
        <v>5989.15</v>
      </c>
      <c r="H623" s="152"/>
      <c r="I623" s="160">
        <f t="shared" si="9"/>
        <v>47466.289999999979</v>
      </c>
    </row>
    <row r="624" spans="2:9" x14ac:dyDescent="0.25">
      <c r="B624" s="148"/>
      <c r="C624" s="148" t="s">
        <v>19399</v>
      </c>
      <c r="D624" s="150">
        <v>44134</v>
      </c>
      <c r="E624" s="113" t="s">
        <v>25008</v>
      </c>
      <c r="F624" s="257" t="s">
        <v>14433</v>
      </c>
      <c r="G624" s="152"/>
      <c r="H624" s="161">
        <v>1149.55</v>
      </c>
      <c r="I624" s="160">
        <f t="shared" si="9"/>
        <v>46316.739999999976</v>
      </c>
    </row>
    <row r="625" spans="2:9" ht="19.5" x14ac:dyDescent="0.25">
      <c r="B625" s="148"/>
      <c r="C625" s="148" t="s">
        <v>23425</v>
      </c>
      <c r="D625" s="150">
        <v>44134</v>
      </c>
      <c r="E625" s="113" t="s">
        <v>25007</v>
      </c>
      <c r="F625" s="257" t="s">
        <v>14433</v>
      </c>
      <c r="G625" s="152"/>
      <c r="H625" s="161">
        <v>1.76</v>
      </c>
      <c r="I625" s="160">
        <f t="shared" si="9"/>
        <v>46314.979999999974</v>
      </c>
    </row>
    <row r="626" spans="2:9" ht="19.5" x14ac:dyDescent="0.25">
      <c r="B626" s="148"/>
      <c r="C626" s="148" t="s">
        <v>18292</v>
      </c>
      <c r="D626" s="150">
        <v>44134</v>
      </c>
      <c r="E626" s="113" t="s">
        <v>25006</v>
      </c>
      <c r="F626" s="257" t="s">
        <v>14433</v>
      </c>
      <c r="G626" s="152"/>
      <c r="H626" s="161">
        <v>0.38</v>
      </c>
      <c r="I626" s="160">
        <f t="shared" si="9"/>
        <v>46314.599999999977</v>
      </c>
    </row>
    <row r="627" spans="2:9" ht="19.5" x14ac:dyDescent="0.25">
      <c r="B627" s="148"/>
      <c r="C627" s="148" t="s">
        <v>18558</v>
      </c>
      <c r="D627" s="150">
        <v>44134</v>
      </c>
      <c r="E627" s="113" t="s">
        <v>25005</v>
      </c>
      <c r="F627" s="257" t="s">
        <v>14433</v>
      </c>
      <c r="G627" s="152"/>
      <c r="H627" s="161">
        <v>579.05999999999995</v>
      </c>
      <c r="I627" s="160">
        <f t="shared" si="9"/>
        <v>45735.539999999979</v>
      </c>
    </row>
    <row r="628" spans="2:9" ht="19.5" x14ac:dyDescent="0.25">
      <c r="B628" s="148"/>
      <c r="C628" s="148" t="s">
        <v>18949</v>
      </c>
      <c r="D628" s="150">
        <v>44134</v>
      </c>
      <c r="E628" s="113" t="s">
        <v>25004</v>
      </c>
      <c r="F628" s="257" t="s">
        <v>14433</v>
      </c>
      <c r="G628" s="152"/>
      <c r="H628" s="161">
        <v>0.88</v>
      </c>
      <c r="I628" s="160">
        <f t="shared" si="9"/>
        <v>45734.659999999982</v>
      </c>
    </row>
    <row r="629" spans="2:9" ht="19.5" x14ac:dyDescent="0.25">
      <c r="B629" s="148"/>
      <c r="C629" s="148" t="s">
        <v>18947</v>
      </c>
      <c r="D629" s="150">
        <v>44134</v>
      </c>
      <c r="E629" s="113" t="s">
        <v>25003</v>
      </c>
      <c r="F629" s="257" t="s">
        <v>14433</v>
      </c>
      <c r="G629" s="152"/>
      <c r="H629" s="161">
        <v>0.19</v>
      </c>
      <c r="I629" s="160">
        <f t="shared" si="9"/>
        <v>45734.469999999979</v>
      </c>
    </row>
    <row r="630" spans="2:9" x14ac:dyDescent="0.25">
      <c r="B630" s="148"/>
      <c r="C630" s="148" t="s">
        <v>25002</v>
      </c>
      <c r="D630" s="150">
        <v>44134</v>
      </c>
      <c r="E630" s="113" t="s">
        <v>25001</v>
      </c>
      <c r="F630" s="257" t="s">
        <v>14433</v>
      </c>
      <c r="G630" s="152"/>
      <c r="H630" s="161">
        <v>3172.78</v>
      </c>
      <c r="I630" s="160">
        <f t="shared" si="9"/>
        <v>42561.689999999981</v>
      </c>
    </row>
    <row r="631" spans="2:9" ht="19.5" x14ac:dyDescent="0.25">
      <c r="B631" s="148"/>
      <c r="C631" s="148" t="s">
        <v>25000</v>
      </c>
      <c r="D631" s="150">
        <v>44134</v>
      </c>
      <c r="E631" s="113" t="s">
        <v>24999</v>
      </c>
      <c r="F631" s="257" t="s">
        <v>14433</v>
      </c>
      <c r="G631" s="152"/>
      <c r="H631" s="161">
        <v>1607.47</v>
      </c>
      <c r="I631" s="160">
        <f t="shared" si="9"/>
        <v>40954.219999999979</v>
      </c>
    </row>
    <row r="632" spans="2:9" x14ac:dyDescent="0.25">
      <c r="B632" s="148" t="s">
        <v>14415</v>
      </c>
      <c r="C632" s="148" t="s">
        <v>24998</v>
      </c>
      <c r="D632" s="150">
        <v>44135</v>
      </c>
      <c r="E632" s="113" t="s">
        <v>24997</v>
      </c>
      <c r="G632" s="258">
        <v>7.75</v>
      </c>
      <c r="H632" s="152"/>
      <c r="I632" s="160">
        <f t="shared" si="9"/>
        <v>40961.969999999979</v>
      </c>
    </row>
    <row r="633" spans="2:9" x14ac:dyDescent="0.25">
      <c r="B633" s="148" t="s">
        <v>14415</v>
      </c>
      <c r="C633" s="148" t="s">
        <v>24996</v>
      </c>
      <c r="D633" s="150">
        <v>44135</v>
      </c>
      <c r="E633" s="113" t="s">
        <v>24995</v>
      </c>
      <c r="G633" s="258">
        <v>9.9600000000000009</v>
      </c>
      <c r="H633" s="152"/>
      <c r="I633" s="160">
        <f t="shared" si="9"/>
        <v>40971.929999999978</v>
      </c>
    </row>
    <row r="634" spans="2:9" x14ac:dyDescent="0.25">
      <c r="B634" s="148" t="s">
        <v>14415</v>
      </c>
      <c r="C634" s="148" t="s">
        <v>24994</v>
      </c>
      <c r="D634" s="150">
        <v>44135</v>
      </c>
      <c r="E634" s="113" t="s">
        <v>24993</v>
      </c>
      <c r="G634" s="258">
        <v>26.27</v>
      </c>
      <c r="H634" s="152"/>
      <c r="I634" s="160">
        <f t="shared" si="9"/>
        <v>40998.199999999975</v>
      </c>
    </row>
    <row r="635" spans="2:9" x14ac:dyDescent="0.25">
      <c r="B635" s="148" t="s">
        <v>14415</v>
      </c>
      <c r="C635" s="148" t="s">
        <v>24992</v>
      </c>
      <c r="D635" s="150">
        <v>44135</v>
      </c>
      <c r="E635" s="113" t="s">
        <v>24991</v>
      </c>
      <c r="G635" s="258">
        <v>1.7</v>
      </c>
      <c r="H635" s="152"/>
      <c r="I635" s="160">
        <f t="shared" si="9"/>
        <v>40999.899999999972</v>
      </c>
    </row>
    <row r="636" spans="2:9" ht="19.5" x14ac:dyDescent="0.25">
      <c r="B636" s="148" t="s">
        <v>14415</v>
      </c>
      <c r="C636" s="148" t="s">
        <v>24990</v>
      </c>
      <c r="D636" s="150">
        <v>44135</v>
      </c>
      <c r="E636" s="113" t="s">
        <v>24989</v>
      </c>
      <c r="G636" s="258">
        <v>5.97</v>
      </c>
      <c r="H636" s="152"/>
      <c r="I636" s="160">
        <f t="shared" si="9"/>
        <v>41005.869999999974</v>
      </c>
    </row>
    <row r="637" spans="2:9" x14ac:dyDescent="0.25">
      <c r="B637" s="148" t="s">
        <v>14415</v>
      </c>
      <c r="C637" s="148" t="s">
        <v>24988</v>
      </c>
      <c r="D637" s="150">
        <v>44135</v>
      </c>
      <c r="E637" s="113" t="s">
        <v>24987</v>
      </c>
      <c r="G637" s="258">
        <v>10.61</v>
      </c>
      <c r="H637" s="152"/>
      <c r="I637" s="160">
        <f t="shared" si="9"/>
        <v>41016.479999999974</v>
      </c>
    </row>
    <row r="638" spans="2:9" x14ac:dyDescent="0.25">
      <c r="B638" s="148" t="s">
        <v>14415</v>
      </c>
      <c r="C638" s="148" t="s">
        <v>24986</v>
      </c>
      <c r="D638" s="150">
        <v>44135</v>
      </c>
      <c r="E638" s="113" t="s">
        <v>24985</v>
      </c>
      <c r="G638" s="258">
        <v>2.08</v>
      </c>
      <c r="H638" s="152"/>
      <c r="I638" s="160">
        <f t="shared" si="9"/>
        <v>41018.559999999976</v>
      </c>
    </row>
    <row r="639" spans="2:9" x14ac:dyDescent="0.25">
      <c r="B639" s="148" t="s">
        <v>14415</v>
      </c>
      <c r="C639" s="148" t="s">
        <v>24984</v>
      </c>
      <c r="D639" s="150">
        <v>44135</v>
      </c>
      <c r="E639" s="113" t="s">
        <v>24983</v>
      </c>
      <c r="G639" s="258">
        <v>4.2</v>
      </c>
      <c r="H639" s="152"/>
      <c r="I639" s="160">
        <f t="shared" si="9"/>
        <v>41022.759999999973</v>
      </c>
    </row>
    <row r="640" spans="2:9" x14ac:dyDescent="0.25">
      <c r="B640" s="148" t="s">
        <v>14415</v>
      </c>
      <c r="C640" s="148" t="s">
        <v>24982</v>
      </c>
      <c r="D640" s="150">
        <v>44135</v>
      </c>
      <c r="E640" s="113" t="s">
        <v>24981</v>
      </c>
      <c r="G640" s="258">
        <v>9.32</v>
      </c>
      <c r="H640" s="152"/>
      <c r="I640" s="160">
        <f t="shared" si="9"/>
        <v>41032.079999999973</v>
      </c>
    </row>
    <row r="641" spans="2:9" x14ac:dyDescent="0.25">
      <c r="B641" s="148" t="s">
        <v>14415</v>
      </c>
      <c r="C641" s="148" t="s">
        <v>24980</v>
      </c>
      <c r="D641" s="150">
        <v>44135</v>
      </c>
      <c r="E641" s="113" t="s">
        <v>24979</v>
      </c>
      <c r="G641" s="258">
        <v>24.95</v>
      </c>
      <c r="H641" s="152"/>
      <c r="I641" s="160">
        <f t="shared" si="9"/>
        <v>41057.02999999997</v>
      </c>
    </row>
    <row r="642" spans="2:9" x14ac:dyDescent="0.25">
      <c r="B642" s="148" t="s">
        <v>14415</v>
      </c>
      <c r="C642" s="148" t="s">
        <v>24978</v>
      </c>
      <c r="D642" s="150">
        <v>44135</v>
      </c>
      <c r="E642" s="113" t="s">
        <v>24977</v>
      </c>
      <c r="G642" s="258">
        <v>21.28</v>
      </c>
      <c r="H642" s="152"/>
      <c r="I642" s="160">
        <f t="shared" si="9"/>
        <v>41078.309999999969</v>
      </c>
    </row>
    <row r="643" spans="2:9" x14ac:dyDescent="0.25">
      <c r="B643" s="148" t="s">
        <v>14415</v>
      </c>
      <c r="C643" s="148" t="s">
        <v>24976</v>
      </c>
      <c r="D643" s="150">
        <v>44135</v>
      </c>
      <c r="E643" s="113" t="s">
        <v>24975</v>
      </c>
      <c r="G643" s="258">
        <v>1.46</v>
      </c>
      <c r="H643" s="152"/>
      <c r="I643" s="160">
        <f t="shared" si="9"/>
        <v>41079.769999999968</v>
      </c>
    </row>
    <row r="644" spans="2:9" ht="19.5" x14ac:dyDescent="0.25">
      <c r="B644" s="148" t="s">
        <v>14415</v>
      </c>
      <c r="C644" s="148" t="s">
        <v>24974</v>
      </c>
      <c r="D644" s="150">
        <v>44135</v>
      </c>
      <c r="E644" s="113" t="s">
        <v>24973</v>
      </c>
      <c r="G644" s="258">
        <v>8.4</v>
      </c>
      <c r="H644" s="152"/>
      <c r="I644" s="160">
        <f t="shared" si="9"/>
        <v>41088.169999999969</v>
      </c>
    </row>
    <row r="645" spans="2:9" ht="15" x14ac:dyDescent="0.2">
      <c r="B645" s="109"/>
      <c r="C645" s="109" t="s">
        <v>323</v>
      </c>
      <c r="D645" s="151"/>
      <c r="E645" s="313" t="s">
        <v>322</v>
      </c>
      <c r="F645" s="318"/>
      <c r="H645" s="104" t="s">
        <v>320</v>
      </c>
      <c r="I645" s="162">
        <f>+I644</f>
        <v>41088.169999999969</v>
      </c>
    </row>
    <row r="647" spans="2:9" x14ac:dyDescent="0.2">
      <c r="G647" s="352">
        <f>SUBTOTAL(9,G18:G646)</f>
        <v>26374.94999999999</v>
      </c>
      <c r="H647" s="352">
        <f>SUBTOTAL(9,H18:H646)</f>
        <v>99708.710000000021</v>
      </c>
    </row>
    <row r="648" spans="2:9" x14ac:dyDescent="0.2">
      <c r="E648" s="114" t="s">
        <v>319</v>
      </c>
      <c r="I648" s="273" t="s">
        <v>318</v>
      </c>
    </row>
  </sheetData>
  <autoFilter ref="A17:I645" xr:uid="{9208D937-1734-4829-9A9B-B79C588051B9}"/>
  <sortState xmlns:xlrd2="http://schemas.microsoft.com/office/spreadsheetml/2017/richdata2" ref="A302:K317">
    <sortCondition ref="C302:C317"/>
  </sortState>
  <phoneticPr fontId="15" type="noConversion"/>
  <pageMargins left="0.74803149606299213" right="0.74803149606299213" top="0.98425196850393704" bottom="0.98425196850393704" header="0" footer="0"/>
  <pageSetup scale="10" orientation="portrait" errors="NA" horizontalDpi="0" verticalDpi="0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34179-FAB2-4D31-B062-1598B35FFA30}">
  <sheetPr>
    <pageSetUpPr fitToPage="1"/>
  </sheetPr>
  <dimension ref="A1:G205"/>
  <sheetViews>
    <sheetView topLeftCell="A28" workbookViewId="0">
      <selection activeCell="C149" sqref="C149"/>
    </sheetView>
  </sheetViews>
  <sheetFormatPr baseColWidth="10" defaultColWidth="11.5703125" defaultRowHeight="15.75" x14ac:dyDescent="0.25"/>
  <cols>
    <col min="1" max="1" width="11.5703125" style="137"/>
    <col min="2" max="2" width="45.42578125" style="215" customWidth="1"/>
    <col min="3" max="3" width="7.7109375" style="231" customWidth="1"/>
    <col min="4" max="4" width="13.7109375" style="137" bestFit="1" customWidth="1"/>
    <col min="5" max="5" width="17.28515625" style="137" bestFit="1" customWidth="1"/>
    <col min="6" max="6" width="10.42578125" style="137" bestFit="1" customWidth="1"/>
    <col min="7" max="7" width="10.7109375" style="137" customWidth="1"/>
    <col min="8" max="16384" width="11.5703125" style="137"/>
  </cols>
  <sheetData>
    <row r="1" spans="1:6" x14ac:dyDescent="0.25">
      <c r="A1" s="384" t="s">
        <v>14429</v>
      </c>
      <c r="B1" s="384"/>
      <c r="C1" s="384"/>
      <c r="D1" s="384"/>
      <c r="E1" s="384"/>
      <c r="F1" s="384"/>
    </row>
    <row r="2" spans="1:6" x14ac:dyDescent="0.25">
      <c r="A2" s="123" t="s">
        <v>2772</v>
      </c>
      <c r="B2" s="206" t="s">
        <v>2773</v>
      </c>
      <c r="C2" s="227" t="s">
        <v>11</v>
      </c>
      <c r="D2" s="123" t="s">
        <v>2774</v>
      </c>
      <c r="E2" s="123" t="s">
        <v>7</v>
      </c>
      <c r="F2" s="123" t="s">
        <v>2775</v>
      </c>
    </row>
    <row r="3" spans="1:6" x14ac:dyDescent="0.25">
      <c r="A3" s="203" t="str">
        <f>"3902757"</f>
        <v>3902757</v>
      </c>
      <c r="B3" s="207" t="s">
        <v>5888</v>
      </c>
      <c r="C3" s="228">
        <v>2.4500000000000002</v>
      </c>
      <c r="D3" s="203">
        <v>341715</v>
      </c>
      <c r="E3" s="205">
        <v>44105.429027777776</v>
      </c>
      <c r="F3" s="123">
        <v>11504</v>
      </c>
    </row>
    <row r="4" spans="1:6" x14ac:dyDescent="0.25">
      <c r="A4" s="203" t="str">
        <f>"3907156"</f>
        <v>3907156</v>
      </c>
      <c r="B4" s="207" t="s">
        <v>5862</v>
      </c>
      <c r="C4" s="228">
        <v>6.94</v>
      </c>
      <c r="D4" s="203">
        <v>340110</v>
      </c>
      <c r="E4" s="205">
        <v>44105.497048611112</v>
      </c>
      <c r="F4" s="123">
        <v>11505</v>
      </c>
    </row>
    <row r="5" spans="1:6" x14ac:dyDescent="0.25">
      <c r="A5" s="203" t="str">
        <f>"3930391"</f>
        <v>3930391</v>
      </c>
      <c r="B5" s="207" t="s">
        <v>5771</v>
      </c>
      <c r="C5" s="228">
        <v>8.8000000000000007</v>
      </c>
      <c r="D5" s="203">
        <v>341082</v>
      </c>
      <c r="E5" s="205">
        <v>44105.679930555554</v>
      </c>
      <c r="F5" s="123">
        <v>11506</v>
      </c>
    </row>
    <row r="6" spans="1:6" x14ac:dyDescent="0.25">
      <c r="A6" s="203" t="str">
        <f>"3903545"</f>
        <v>3903545</v>
      </c>
      <c r="B6" s="207" t="s">
        <v>2877</v>
      </c>
      <c r="C6" s="228">
        <v>1.78</v>
      </c>
      <c r="D6" s="203">
        <v>340785</v>
      </c>
      <c r="E6" s="205">
        <v>44105.858159722222</v>
      </c>
      <c r="F6" s="123">
        <v>11507</v>
      </c>
    </row>
    <row r="7" spans="1:6" s="164" customFormat="1" x14ac:dyDescent="0.25">
      <c r="A7" s="115"/>
      <c r="B7" s="115" t="s">
        <v>5691</v>
      </c>
      <c r="C7" s="229">
        <f>SUM(C3:C6)</f>
        <v>19.970000000000002</v>
      </c>
      <c r="D7" s="115">
        <v>1</v>
      </c>
      <c r="E7" s="163"/>
      <c r="F7" s="115"/>
    </row>
    <row r="8" spans="1:6" customFormat="1" x14ac:dyDescent="0.25">
      <c r="A8" s="118"/>
      <c r="B8" s="116"/>
      <c r="C8" s="230"/>
      <c r="D8" s="118"/>
      <c r="E8" s="117"/>
      <c r="F8" s="118"/>
    </row>
    <row r="9" spans="1:6" x14ac:dyDescent="0.25">
      <c r="A9" s="203" t="str">
        <f>"3909981"</f>
        <v>3909981</v>
      </c>
      <c r="B9" s="207" t="s">
        <v>2845</v>
      </c>
      <c r="C9" s="228">
        <v>1.99</v>
      </c>
      <c r="D9" s="203">
        <v>340317</v>
      </c>
      <c r="E9" s="205">
        <v>44106.866076388891</v>
      </c>
      <c r="F9" s="123" t="s">
        <v>5981</v>
      </c>
    </row>
    <row r="10" spans="1:6" x14ac:dyDescent="0.25">
      <c r="A10" s="203" t="str">
        <f>"3900389"</f>
        <v>3900389</v>
      </c>
      <c r="B10" s="207" t="s">
        <v>2844</v>
      </c>
      <c r="C10" s="228">
        <v>1.9</v>
      </c>
      <c r="D10" s="203">
        <v>341397</v>
      </c>
      <c r="E10" s="205">
        <v>44106.866076388891</v>
      </c>
      <c r="F10" s="123" t="s">
        <v>5980</v>
      </c>
    </row>
    <row r="11" spans="1:6" x14ac:dyDescent="0.25">
      <c r="A11" s="203" t="str">
        <f>"3950328"</f>
        <v>3950328</v>
      </c>
      <c r="B11" s="207" t="s">
        <v>2848</v>
      </c>
      <c r="C11" s="228">
        <v>9.15</v>
      </c>
      <c r="D11" s="203">
        <v>339982</v>
      </c>
      <c r="E11" s="205">
        <v>44106.866076388891</v>
      </c>
      <c r="F11" s="123" t="s">
        <v>5979</v>
      </c>
    </row>
    <row r="12" spans="1:6" x14ac:dyDescent="0.25">
      <c r="A12" s="203" t="str">
        <f>"3901113"</f>
        <v>3901113</v>
      </c>
      <c r="B12" s="207" t="s">
        <v>2856</v>
      </c>
      <c r="C12" s="228">
        <v>1.77</v>
      </c>
      <c r="D12" s="203">
        <v>340602</v>
      </c>
      <c r="E12" s="205">
        <v>44106.866076388891</v>
      </c>
      <c r="F12" s="123" t="s">
        <v>5978</v>
      </c>
    </row>
    <row r="13" spans="1:6" x14ac:dyDescent="0.25">
      <c r="A13" s="203" t="str">
        <f>"3945262"</f>
        <v>3945262</v>
      </c>
      <c r="B13" s="207" t="s">
        <v>2857</v>
      </c>
      <c r="C13" s="228">
        <v>3.36</v>
      </c>
      <c r="D13" s="203">
        <v>340042</v>
      </c>
      <c r="E13" s="205">
        <v>44106.866076388891</v>
      </c>
      <c r="F13" s="123" t="s">
        <v>5977</v>
      </c>
    </row>
    <row r="14" spans="1:6" x14ac:dyDescent="0.25">
      <c r="A14" s="203" t="str">
        <f>"3940013"</f>
        <v>3940013</v>
      </c>
      <c r="B14" s="207" t="s">
        <v>2854</v>
      </c>
      <c r="C14" s="228">
        <v>8.3800000000000008</v>
      </c>
      <c r="D14" s="203">
        <v>339831</v>
      </c>
      <c r="E14" s="205">
        <v>44106.866076388891</v>
      </c>
      <c r="F14" s="123" t="s">
        <v>5976</v>
      </c>
    </row>
    <row r="15" spans="1:6" x14ac:dyDescent="0.25">
      <c r="A15" s="203" t="str">
        <f>"3906324"</f>
        <v>3906324</v>
      </c>
      <c r="B15" s="207" t="s">
        <v>2855</v>
      </c>
      <c r="C15" s="228">
        <v>4.1900000000000004</v>
      </c>
      <c r="D15" s="203">
        <v>340061</v>
      </c>
      <c r="E15" s="205">
        <v>44106.866076388891</v>
      </c>
      <c r="F15" s="123" t="s">
        <v>5975</v>
      </c>
    </row>
    <row r="16" spans="1:6" x14ac:dyDescent="0.25">
      <c r="A16" s="203" t="str">
        <f>"3945272"</f>
        <v>3945272</v>
      </c>
      <c r="B16" s="207" t="s">
        <v>2853</v>
      </c>
      <c r="C16" s="228">
        <v>4.1900000000000004</v>
      </c>
      <c r="D16" s="203">
        <v>340039</v>
      </c>
      <c r="E16" s="205">
        <v>44106.866076388891</v>
      </c>
      <c r="F16" s="123" t="s">
        <v>5974</v>
      </c>
    </row>
    <row r="17" spans="1:6" x14ac:dyDescent="0.25">
      <c r="A17" s="203" t="str">
        <f>"3960264"</f>
        <v>3960264</v>
      </c>
      <c r="B17" s="207" t="s">
        <v>2858</v>
      </c>
      <c r="C17" s="228">
        <v>7.82</v>
      </c>
      <c r="D17" s="203">
        <v>339837</v>
      </c>
      <c r="E17" s="205">
        <v>44106.866076388891</v>
      </c>
      <c r="F17" s="123" t="s">
        <v>5973</v>
      </c>
    </row>
    <row r="18" spans="1:6" x14ac:dyDescent="0.25">
      <c r="A18" s="203" t="str">
        <f>"3960232"</f>
        <v>3960232</v>
      </c>
      <c r="B18" s="207" t="s">
        <v>2859</v>
      </c>
      <c r="C18" s="228">
        <v>12.3</v>
      </c>
      <c r="D18" s="203">
        <v>339907</v>
      </c>
      <c r="E18" s="205">
        <v>44106.866076388891</v>
      </c>
      <c r="F18" s="123" t="s">
        <v>5972</v>
      </c>
    </row>
    <row r="19" spans="1:6" x14ac:dyDescent="0.25">
      <c r="A19" s="203" t="str">
        <f>"3903098"</f>
        <v>3903098</v>
      </c>
      <c r="B19" s="207" t="s">
        <v>2849</v>
      </c>
      <c r="C19" s="228">
        <v>12.14</v>
      </c>
      <c r="D19" s="203">
        <v>340154</v>
      </c>
      <c r="E19" s="205">
        <v>44106.866076388891</v>
      </c>
      <c r="F19" s="123" t="s">
        <v>5971</v>
      </c>
    </row>
    <row r="20" spans="1:6" x14ac:dyDescent="0.25">
      <c r="A20" s="203" t="str">
        <f>"3950041"</f>
        <v>3950041</v>
      </c>
      <c r="B20" s="207" t="s">
        <v>2850</v>
      </c>
      <c r="C20" s="228">
        <v>4.1900000000000004</v>
      </c>
      <c r="D20" s="203">
        <v>339851</v>
      </c>
      <c r="E20" s="205">
        <v>44106.866076388891</v>
      </c>
      <c r="F20" s="123" t="s">
        <v>5970</v>
      </c>
    </row>
    <row r="21" spans="1:6" x14ac:dyDescent="0.25">
      <c r="A21" s="203" t="str">
        <f>"3920281"</f>
        <v>3920281</v>
      </c>
      <c r="B21" s="207" t="s">
        <v>2851</v>
      </c>
      <c r="C21" s="228">
        <v>7.82</v>
      </c>
      <c r="D21" s="203">
        <v>339827</v>
      </c>
      <c r="E21" s="205">
        <v>44106.866076388891</v>
      </c>
      <c r="F21" s="123" t="s">
        <v>5969</v>
      </c>
    </row>
    <row r="22" spans="1:6" x14ac:dyDescent="0.25">
      <c r="A22" s="203" t="str">
        <f>"3908927"</f>
        <v>3908927</v>
      </c>
      <c r="B22" s="207" t="s">
        <v>2852</v>
      </c>
      <c r="C22" s="228">
        <v>1.68</v>
      </c>
      <c r="D22" s="203">
        <v>340575</v>
      </c>
      <c r="E22" s="205">
        <v>44106.866076388891</v>
      </c>
      <c r="F22" s="123" t="s">
        <v>5968</v>
      </c>
    </row>
    <row r="23" spans="1:6" x14ac:dyDescent="0.25">
      <c r="A23" s="203" t="str">
        <f>"3900676"</f>
        <v>3900676</v>
      </c>
      <c r="B23" s="207" t="s">
        <v>5795</v>
      </c>
      <c r="C23" s="228">
        <v>1.68</v>
      </c>
      <c r="D23" s="203">
        <v>341994</v>
      </c>
      <c r="E23" s="205">
        <v>44106.866076388891</v>
      </c>
      <c r="F23" s="123" t="s">
        <v>5967</v>
      </c>
    </row>
    <row r="24" spans="1:6" x14ac:dyDescent="0.25">
      <c r="A24" s="203" t="str">
        <f>"3903282"</f>
        <v>3903282</v>
      </c>
      <c r="B24" s="207" t="s">
        <v>2847</v>
      </c>
      <c r="C24" s="228">
        <v>1.87</v>
      </c>
      <c r="D24" s="203">
        <v>341748</v>
      </c>
      <c r="E24" s="205">
        <v>44106.866076388891</v>
      </c>
      <c r="F24" s="123" t="s">
        <v>5966</v>
      </c>
    </row>
    <row r="25" spans="1:6" x14ac:dyDescent="0.25">
      <c r="A25" s="203" t="str">
        <f>"3960256"</f>
        <v>3960256</v>
      </c>
      <c r="B25" s="207" t="s">
        <v>2843</v>
      </c>
      <c r="C25" s="228">
        <v>17.899999999999999</v>
      </c>
      <c r="D25" s="203">
        <v>339848</v>
      </c>
      <c r="E25" s="205">
        <v>44106.866076388891</v>
      </c>
      <c r="F25" s="123" t="s">
        <v>5965</v>
      </c>
    </row>
    <row r="26" spans="1:6" x14ac:dyDescent="0.25">
      <c r="A26" s="203" t="str">
        <f>"3960277"</f>
        <v>3960277</v>
      </c>
      <c r="B26" s="207" t="s">
        <v>2838</v>
      </c>
      <c r="C26" s="228">
        <v>8.4</v>
      </c>
      <c r="D26" s="203">
        <v>339865</v>
      </c>
      <c r="E26" s="205">
        <v>44106.866076388891</v>
      </c>
      <c r="F26" s="123" t="s">
        <v>5964</v>
      </c>
    </row>
    <row r="27" spans="1:6" x14ac:dyDescent="0.25">
      <c r="A27" s="203" t="str">
        <f>"3945102"</f>
        <v>3945102</v>
      </c>
      <c r="B27" s="207" t="s">
        <v>2835</v>
      </c>
      <c r="C27" s="228">
        <v>8.3800000000000008</v>
      </c>
      <c r="D27" s="203">
        <v>339906</v>
      </c>
      <c r="E27" s="205">
        <v>44106.866076388891</v>
      </c>
      <c r="F27" s="123" t="s">
        <v>5963</v>
      </c>
    </row>
    <row r="28" spans="1:6" x14ac:dyDescent="0.25">
      <c r="A28" s="203" t="str">
        <f>"3907239"</f>
        <v>3907239</v>
      </c>
      <c r="B28" s="207" t="s">
        <v>2836</v>
      </c>
      <c r="C28" s="228">
        <v>6.94</v>
      </c>
      <c r="D28" s="203">
        <v>340131</v>
      </c>
      <c r="E28" s="205">
        <v>44106.866076388891</v>
      </c>
      <c r="F28" s="123" t="s">
        <v>5962</v>
      </c>
    </row>
    <row r="29" spans="1:6" x14ac:dyDescent="0.25">
      <c r="A29" s="203" t="str">
        <f>"3900568"</f>
        <v>3900568</v>
      </c>
      <c r="B29" s="207" t="s">
        <v>5849</v>
      </c>
      <c r="C29" s="228">
        <v>1.96</v>
      </c>
      <c r="D29" s="203">
        <v>341464</v>
      </c>
      <c r="E29" s="205">
        <v>44106.866076388891</v>
      </c>
      <c r="F29" s="123" t="s">
        <v>5961</v>
      </c>
    </row>
    <row r="30" spans="1:6" x14ac:dyDescent="0.25">
      <c r="A30" s="203" t="str">
        <f>"3901398"</f>
        <v>3901398</v>
      </c>
      <c r="B30" s="207" t="s">
        <v>2829</v>
      </c>
      <c r="C30" s="228">
        <v>3.38</v>
      </c>
      <c r="D30" s="203">
        <v>341546</v>
      </c>
      <c r="E30" s="205">
        <v>44106.866076388891</v>
      </c>
      <c r="F30" s="123" t="s">
        <v>5960</v>
      </c>
    </row>
    <row r="31" spans="1:6" x14ac:dyDescent="0.25">
      <c r="A31" s="203" t="str">
        <f>"3945435"</f>
        <v>3945435</v>
      </c>
      <c r="B31" s="207" t="s">
        <v>2834</v>
      </c>
      <c r="C31" s="228">
        <v>8.3800000000000008</v>
      </c>
      <c r="D31" s="203">
        <v>339953</v>
      </c>
      <c r="E31" s="205">
        <v>44106.866076388891</v>
      </c>
      <c r="F31" s="123" t="s">
        <v>5959</v>
      </c>
    </row>
    <row r="32" spans="1:6" x14ac:dyDescent="0.25">
      <c r="A32" s="203" t="str">
        <f>"3950033"</f>
        <v>3950033</v>
      </c>
      <c r="B32" s="207" t="s">
        <v>2828</v>
      </c>
      <c r="C32" s="228">
        <v>8.3800000000000008</v>
      </c>
      <c r="D32" s="203">
        <v>339852</v>
      </c>
      <c r="E32" s="205">
        <v>44106.866076388891</v>
      </c>
      <c r="F32" s="123" t="s">
        <v>5958</v>
      </c>
    </row>
    <row r="33" spans="1:6" x14ac:dyDescent="0.25">
      <c r="A33" s="203" t="str">
        <f>"3903127"</f>
        <v>3903127</v>
      </c>
      <c r="B33" s="207" t="s">
        <v>2840</v>
      </c>
      <c r="C33" s="228">
        <v>1.68</v>
      </c>
      <c r="D33" s="203">
        <v>340226</v>
      </c>
      <c r="E33" s="205">
        <v>44106.866076388891</v>
      </c>
      <c r="F33" s="123" t="s">
        <v>5957</v>
      </c>
    </row>
    <row r="34" spans="1:6" x14ac:dyDescent="0.25">
      <c r="A34" s="203" t="str">
        <f>"3945105"</f>
        <v>3945105</v>
      </c>
      <c r="B34" s="207" t="s">
        <v>5750</v>
      </c>
      <c r="C34" s="228">
        <v>8.3800000000000008</v>
      </c>
      <c r="D34" s="203">
        <v>339913</v>
      </c>
      <c r="E34" s="205">
        <v>44106.866076388891</v>
      </c>
      <c r="F34" s="123" t="s">
        <v>5956</v>
      </c>
    </row>
    <row r="35" spans="1:6" x14ac:dyDescent="0.25">
      <c r="A35" s="203" t="str">
        <f>"3907541"</f>
        <v>3907541</v>
      </c>
      <c r="B35" s="207" t="s">
        <v>2841</v>
      </c>
      <c r="C35" s="228">
        <v>2.2999999999999998</v>
      </c>
      <c r="D35" s="203">
        <v>340248</v>
      </c>
      <c r="E35" s="205">
        <v>44106.866076388891</v>
      </c>
      <c r="F35" s="123" t="s">
        <v>5955</v>
      </c>
    </row>
    <row r="36" spans="1:6" x14ac:dyDescent="0.25">
      <c r="A36" s="203" t="str">
        <f>"3945284"</f>
        <v>3945284</v>
      </c>
      <c r="B36" s="207" t="s">
        <v>2842</v>
      </c>
      <c r="C36" s="228">
        <v>10.89</v>
      </c>
      <c r="D36" s="203">
        <v>340041</v>
      </c>
      <c r="E36" s="205">
        <v>44106.866076388891</v>
      </c>
      <c r="F36" s="123" t="s">
        <v>5954</v>
      </c>
    </row>
    <row r="37" spans="1:6" x14ac:dyDescent="0.25">
      <c r="A37" s="203" t="str">
        <f>"3902750"</f>
        <v>3902750</v>
      </c>
      <c r="B37" s="207" t="s">
        <v>2824</v>
      </c>
      <c r="C37" s="228">
        <v>8.3800000000000008</v>
      </c>
      <c r="D37" s="203">
        <v>340028</v>
      </c>
      <c r="E37" s="205">
        <v>44106.866076388891</v>
      </c>
      <c r="F37" s="123" t="s">
        <v>5953</v>
      </c>
    </row>
    <row r="38" spans="1:6" x14ac:dyDescent="0.25">
      <c r="A38" s="203" t="str">
        <f>"3903364"</f>
        <v>3903364</v>
      </c>
      <c r="B38" s="207" t="s">
        <v>2825</v>
      </c>
      <c r="C38" s="228">
        <v>8.01</v>
      </c>
      <c r="D38" s="203">
        <v>340534</v>
      </c>
      <c r="E38" s="205">
        <v>44106.866076388891</v>
      </c>
      <c r="F38" s="123" t="s">
        <v>5952</v>
      </c>
    </row>
    <row r="39" spans="1:6" x14ac:dyDescent="0.25">
      <c r="A39" s="203" t="str">
        <f>"3960315"</f>
        <v>3960315</v>
      </c>
      <c r="B39" s="207" t="s">
        <v>2826</v>
      </c>
      <c r="C39" s="228">
        <v>6.19</v>
      </c>
      <c r="D39" s="203">
        <v>339978</v>
      </c>
      <c r="E39" s="205">
        <v>44106.866076388891</v>
      </c>
      <c r="F39" s="123" t="s">
        <v>5951</v>
      </c>
    </row>
    <row r="40" spans="1:6" x14ac:dyDescent="0.25">
      <c r="A40" s="203" t="str">
        <f>"3900349"</f>
        <v>3900349</v>
      </c>
      <c r="B40" s="207" t="s">
        <v>2827</v>
      </c>
      <c r="C40" s="228">
        <v>3.24</v>
      </c>
      <c r="D40" s="203">
        <v>341379</v>
      </c>
      <c r="E40" s="205">
        <v>44106.866076388891</v>
      </c>
      <c r="F40" s="123" t="s">
        <v>5950</v>
      </c>
    </row>
    <row r="41" spans="1:6" x14ac:dyDescent="0.25">
      <c r="A41" s="203" t="str">
        <f>"3903061"</f>
        <v>3903061</v>
      </c>
      <c r="B41" s="207" t="s">
        <v>2832</v>
      </c>
      <c r="C41" s="228">
        <v>6.94</v>
      </c>
      <c r="D41" s="203">
        <v>340144</v>
      </c>
      <c r="E41" s="205">
        <v>44106.866076388891</v>
      </c>
      <c r="F41" s="123" t="s">
        <v>5949</v>
      </c>
    </row>
    <row r="42" spans="1:6" x14ac:dyDescent="0.25">
      <c r="A42" s="203" t="str">
        <f>"3903883"</f>
        <v>3903883</v>
      </c>
      <c r="B42" s="207" t="s">
        <v>5794</v>
      </c>
      <c r="C42" s="228">
        <v>1.68</v>
      </c>
      <c r="D42" s="203">
        <v>342149</v>
      </c>
      <c r="E42" s="205">
        <v>44106.866076388891</v>
      </c>
      <c r="F42" s="123" t="s">
        <v>5948</v>
      </c>
    </row>
    <row r="43" spans="1:6" x14ac:dyDescent="0.25">
      <c r="A43" s="203" t="str">
        <f>"3909039"</f>
        <v>3909039</v>
      </c>
      <c r="B43" s="207" t="s">
        <v>2833</v>
      </c>
      <c r="C43" s="228">
        <v>1.99</v>
      </c>
      <c r="D43" s="203">
        <v>340862</v>
      </c>
      <c r="E43" s="205">
        <v>44106.866076388891</v>
      </c>
      <c r="F43" s="123" t="s">
        <v>5947</v>
      </c>
    </row>
    <row r="44" spans="1:6" x14ac:dyDescent="0.25">
      <c r="A44" s="203" t="str">
        <f>"3906802"</f>
        <v>3906802</v>
      </c>
      <c r="B44" s="207" t="s">
        <v>2822</v>
      </c>
      <c r="C44" s="228">
        <v>1.89</v>
      </c>
      <c r="D44" s="203">
        <v>340980</v>
      </c>
      <c r="E44" s="205">
        <v>44106.866076388891</v>
      </c>
      <c r="F44" s="123">
        <v>13263</v>
      </c>
    </row>
    <row r="45" spans="1:6" x14ac:dyDescent="0.25">
      <c r="A45" s="203" t="str">
        <f>"3903467"</f>
        <v>3903467</v>
      </c>
      <c r="B45" s="207" t="s">
        <v>2823</v>
      </c>
      <c r="C45" s="228">
        <v>2.2799999999999998</v>
      </c>
      <c r="D45" s="203">
        <v>340481</v>
      </c>
      <c r="E45" s="205">
        <v>44106.866076388891</v>
      </c>
      <c r="F45" s="123" t="s">
        <v>5946</v>
      </c>
    </row>
    <row r="46" spans="1:6" x14ac:dyDescent="0.25">
      <c r="A46" s="203" t="str">
        <f>"3960364"</f>
        <v>3960364</v>
      </c>
      <c r="B46" s="207" t="s">
        <v>2839</v>
      </c>
      <c r="C46" s="228">
        <v>26.84</v>
      </c>
      <c r="D46" s="203">
        <v>339921</v>
      </c>
      <c r="E46" s="205">
        <v>44106.866076388891</v>
      </c>
      <c r="F46" s="123" t="s">
        <v>5945</v>
      </c>
    </row>
    <row r="47" spans="1:6" x14ac:dyDescent="0.25">
      <c r="A47" s="203" t="str">
        <f>"3909936"</f>
        <v>3909936</v>
      </c>
      <c r="B47" s="207" t="s">
        <v>2820</v>
      </c>
      <c r="C47" s="228">
        <v>1.68</v>
      </c>
      <c r="D47" s="203">
        <v>340392</v>
      </c>
      <c r="E47" s="205">
        <v>44106.866076388891</v>
      </c>
      <c r="F47" s="123" t="s">
        <v>5944</v>
      </c>
    </row>
    <row r="48" spans="1:6" x14ac:dyDescent="0.25">
      <c r="A48" s="203" t="str">
        <f>"3945038"</f>
        <v>3945038</v>
      </c>
      <c r="B48" s="207" t="s">
        <v>2867</v>
      </c>
      <c r="C48" s="228">
        <v>15.3</v>
      </c>
      <c r="D48" s="203">
        <v>342332</v>
      </c>
      <c r="E48" s="205">
        <v>44106.866076388891</v>
      </c>
      <c r="F48" s="123" t="s">
        <v>5943</v>
      </c>
    </row>
    <row r="49" spans="1:6" x14ac:dyDescent="0.25">
      <c r="A49" s="203" t="str">
        <f>"3901033"</f>
        <v>3901033</v>
      </c>
      <c r="B49" s="207" t="s">
        <v>2868</v>
      </c>
      <c r="C49" s="228">
        <v>30.6</v>
      </c>
      <c r="D49" s="203">
        <v>342338</v>
      </c>
      <c r="E49" s="205">
        <v>44106.866076388891</v>
      </c>
      <c r="F49" s="123" t="s">
        <v>5942</v>
      </c>
    </row>
    <row r="50" spans="1:6" x14ac:dyDescent="0.25">
      <c r="A50" s="203" t="str">
        <f>"3900340"</f>
        <v>3900340</v>
      </c>
      <c r="B50" s="207" t="s">
        <v>2865</v>
      </c>
      <c r="C50" s="228">
        <v>15.3</v>
      </c>
      <c r="D50" s="203">
        <v>342328</v>
      </c>
      <c r="E50" s="205">
        <v>44106.866076388891</v>
      </c>
      <c r="F50" s="123">
        <v>13264</v>
      </c>
    </row>
    <row r="51" spans="1:6" x14ac:dyDescent="0.25">
      <c r="A51" s="203" t="str">
        <f>"3900344"</f>
        <v>3900344</v>
      </c>
      <c r="B51" s="207" t="s">
        <v>2865</v>
      </c>
      <c r="C51" s="228">
        <v>15.3</v>
      </c>
      <c r="D51" s="203">
        <v>342329</v>
      </c>
      <c r="E51" s="205">
        <v>44106.866076388891</v>
      </c>
      <c r="F51" s="123">
        <v>13265</v>
      </c>
    </row>
    <row r="52" spans="1:6" x14ac:dyDescent="0.25">
      <c r="A52" s="203" t="str">
        <f>"3900657"</f>
        <v>3900657</v>
      </c>
      <c r="B52" s="207" t="s">
        <v>2865</v>
      </c>
      <c r="C52" s="228">
        <v>15.3</v>
      </c>
      <c r="D52" s="203">
        <v>342327</v>
      </c>
      <c r="E52" s="205">
        <v>44106.866076388891</v>
      </c>
      <c r="F52" s="123" t="s">
        <v>5941</v>
      </c>
    </row>
    <row r="53" spans="1:6" x14ac:dyDescent="0.25">
      <c r="A53" s="203" t="str">
        <f>"3909007"</f>
        <v>3909007</v>
      </c>
      <c r="B53" s="207" t="s">
        <v>2866</v>
      </c>
      <c r="C53" s="228">
        <v>3.6</v>
      </c>
      <c r="D53" s="203">
        <v>342517</v>
      </c>
      <c r="E53" s="205">
        <v>44106.866076388891</v>
      </c>
      <c r="F53" s="123">
        <v>13266</v>
      </c>
    </row>
    <row r="54" spans="1:6" x14ac:dyDescent="0.25">
      <c r="A54" s="203" t="str">
        <f>"3930195"</f>
        <v>3930195</v>
      </c>
      <c r="B54" s="207" t="s">
        <v>2866</v>
      </c>
      <c r="C54" s="228">
        <v>3.88</v>
      </c>
      <c r="D54" s="203">
        <v>342582</v>
      </c>
      <c r="E54" s="205">
        <v>44106.866076388891</v>
      </c>
      <c r="F54" s="123">
        <v>13267</v>
      </c>
    </row>
    <row r="55" spans="1:6" x14ac:dyDescent="0.25">
      <c r="A55" s="203" t="str">
        <f>"3907922"</f>
        <v>3907922</v>
      </c>
      <c r="B55" s="207" t="s">
        <v>2860</v>
      </c>
      <c r="C55" s="228">
        <v>1.68</v>
      </c>
      <c r="D55" s="203">
        <v>342548</v>
      </c>
      <c r="E55" s="205">
        <v>44106.866076388891</v>
      </c>
      <c r="F55" s="123" t="s">
        <v>5940</v>
      </c>
    </row>
    <row r="56" spans="1:6" x14ac:dyDescent="0.25">
      <c r="A56" s="203" t="str">
        <f>"3906796"</f>
        <v>3906796</v>
      </c>
      <c r="B56" s="207" t="s">
        <v>2861</v>
      </c>
      <c r="C56" s="228">
        <v>7.02</v>
      </c>
      <c r="D56" s="203">
        <v>342561</v>
      </c>
      <c r="E56" s="205">
        <v>44106.866076388891</v>
      </c>
      <c r="F56" s="123" t="s">
        <v>5939</v>
      </c>
    </row>
    <row r="57" spans="1:6" x14ac:dyDescent="0.25">
      <c r="A57" s="203" t="str">
        <f>"3908716"</f>
        <v>3908716</v>
      </c>
      <c r="B57" s="207" t="s">
        <v>2862</v>
      </c>
      <c r="C57" s="228">
        <v>4.32</v>
      </c>
      <c r="D57" s="203">
        <v>342441</v>
      </c>
      <c r="E57" s="205">
        <v>44106.866076388891</v>
      </c>
      <c r="F57" s="123" t="s">
        <v>5938</v>
      </c>
    </row>
    <row r="58" spans="1:6" x14ac:dyDescent="0.25">
      <c r="A58" s="203" t="str">
        <f>"3908672"</f>
        <v>3908672</v>
      </c>
      <c r="B58" s="207" t="s">
        <v>2863</v>
      </c>
      <c r="C58" s="228">
        <v>2.31</v>
      </c>
      <c r="D58" s="203">
        <v>342432</v>
      </c>
      <c r="E58" s="205">
        <v>44106.866076388891</v>
      </c>
      <c r="F58" s="123" t="s">
        <v>5937</v>
      </c>
    </row>
    <row r="59" spans="1:6" s="164" customFormat="1" x14ac:dyDescent="0.25">
      <c r="A59" s="115"/>
      <c r="B59" s="115" t="s">
        <v>5691</v>
      </c>
      <c r="C59" s="229">
        <f>SUM(C9:C58)</f>
        <v>355.13000000000011</v>
      </c>
      <c r="D59" s="115">
        <v>2</v>
      </c>
      <c r="E59" s="163"/>
      <c r="F59" s="115"/>
    </row>
    <row r="60" spans="1:6" customFormat="1" x14ac:dyDescent="0.25">
      <c r="A60" s="118"/>
      <c r="B60" s="116"/>
      <c r="C60" s="230"/>
      <c r="D60" s="118"/>
      <c r="E60" s="117"/>
      <c r="F60" s="118"/>
    </row>
    <row r="61" spans="1:6" x14ac:dyDescent="0.25">
      <c r="A61" s="203" t="str">
        <f>"3902710"</f>
        <v>3902710</v>
      </c>
      <c r="B61" s="207" t="s">
        <v>2965</v>
      </c>
      <c r="C61" s="228">
        <v>4.92</v>
      </c>
      <c r="D61" s="203">
        <v>341690</v>
      </c>
      <c r="E61" s="205">
        <v>44106.571516203701</v>
      </c>
      <c r="F61" s="123">
        <v>11563</v>
      </c>
    </row>
    <row r="62" spans="1:6" s="164" customFormat="1" x14ac:dyDescent="0.25">
      <c r="A62" s="115"/>
      <c r="B62" s="115" t="s">
        <v>5691</v>
      </c>
      <c r="C62" s="229">
        <f>SUM(C61)</f>
        <v>4.92</v>
      </c>
      <c r="D62" s="115">
        <v>3</v>
      </c>
      <c r="E62" s="163"/>
      <c r="F62" s="115"/>
    </row>
    <row r="63" spans="1:6" customFormat="1" x14ac:dyDescent="0.25">
      <c r="A63" s="118"/>
      <c r="B63" s="116"/>
      <c r="C63" s="230"/>
      <c r="D63" s="118"/>
      <c r="E63" s="117"/>
      <c r="F63" s="118"/>
    </row>
    <row r="64" spans="1:6" x14ac:dyDescent="0.25">
      <c r="A64" s="203" t="str">
        <f>"3909033"</f>
        <v>3909033</v>
      </c>
      <c r="B64" s="207" t="s">
        <v>2812</v>
      </c>
      <c r="C64" s="228">
        <v>1.68</v>
      </c>
      <c r="D64" s="203">
        <v>341037</v>
      </c>
      <c r="E64" s="205">
        <v>44106.525011574071</v>
      </c>
      <c r="F64" s="123">
        <v>11562</v>
      </c>
    </row>
    <row r="65" spans="1:7" x14ac:dyDescent="0.25">
      <c r="A65" s="203" t="str">
        <f>"3902247"</f>
        <v>3902247</v>
      </c>
      <c r="B65" s="207" t="s">
        <v>3002</v>
      </c>
      <c r="C65" s="228">
        <v>5.15</v>
      </c>
      <c r="D65" s="203">
        <v>341219</v>
      </c>
      <c r="E65" s="205">
        <v>44106.579386574071</v>
      </c>
      <c r="F65" s="123">
        <v>11564</v>
      </c>
    </row>
    <row r="66" spans="1:7" s="164" customFormat="1" x14ac:dyDescent="0.25">
      <c r="A66" s="115"/>
      <c r="B66" s="115" t="s">
        <v>5691</v>
      </c>
      <c r="C66" s="229">
        <f>SUM(C64:C65)</f>
        <v>6.83</v>
      </c>
      <c r="D66" s="115">
        <v>4</v>
      </c>
      <c r="E66" s="163"/>
      <c r="F66" s="115"/>
    </row>
    <row r="67" spans="1:7" customFormat="1" x14ac:dyDescent="0.25">
      <c r="A67" s="118"/>
      <c r="B67" s="116"/>
      <c r="C67" s="230"/>
      <c r="D67" s="118"/>
      <c r="E67" s="117"/>
      <c r="F67" s="118"/>
    </row>
    <row r="68" spans="1:7" x14ac:dyDescent="0.25">
      <c r="A68" s="203" t="str">
        <f>"3908875"</f>
        <v>3908875</v>
      </c>
      <c r="B68" s="207" t="s">
        <v>5759</v>
      </c>
      <c r="C68" s="228">
        <v>4.07</v>
      </c>
      <c r="D68" s="203">
        <v>340520</v>
      </c>
      <c r="E68" s="205">
        <v>44106.510995370372</v>
      </c>
      <c r="F68" s="123">
        <v>11561</v>
      </c>
    </row>
    <row r="69" spans="1:7" s="164" customFormat="1" x14ac:dyDescent="0.25">
      <c r="A69" s="115"/>
      <c r="B69" s="115" t="s">
        <v>5691</v>
      </c>
      <c r="C69" s="229">
        <f>SUM(C68)</f>
        <v>4.07</v>
      </c>
      <c r="D69" s="115">
        <v>5</v>
      </c>
      <c r="E69" s="163"/>
      <c r="F69" s="115"/>
    </row>
    <row r="70" spans="1:7" customFormat="1" x14ac:dyDescent="0.25">
      <c r="A70" s="118"/>
      <c r="B70" s="116"/>
      <c r="C70" s="230"/>
      <c r="D70" s="118"/>
      <c r="E70" s="117"/>
      <c r="F70" s="118"/>
    </row>
    <row r="71" spans="1:7" s="245" customFormat="1" x14ac:dyDescent="0.25">
      <c r="A71" s="241" t="str">
        <f>"3908621"</f>
        <v>3908621</v>
      </c>
      <c r="B71" s="242" t="s">
        <v>2912</v>
      </c>
      <c r="C71" s="228">
        <v>1.68</v>
      </c>
      <c r="D71" s="241">
        <v>340194</v>
      </c>
      <c r="E71" s="243">
        <v>44106.66510416667</v>
      </c>
      <c r="F71" s="244">
        <v>11566</v>
      </c>
    </row>
    <row r="72" spans="1:7" s="248" customFormat="1" x14ac:dyDescent="0.25">
      <c r="A72" s="246"/>
      <c r="B72" s="246" t="s">
        <v>5691</v>
      </c>
      <c r="C72" s="229">
        <f>SUM(C71)</f>
        <v>1.68</v>
      </c>
      <c r="D72" s="246">
        <v>6</v>
      </c>
      <c r="E72" s="247"/>
      <c r="F72" s="246"/>
    </row>
    <row r="73" spans="1:7" s="252" customFormat="1" x14ac:dyDescent="0.25">
      <c r="A73" s="249"/>
      <c r="B73" s="250"/>
      <c r="C73" s="230"/>
      <c r="D73" s="249"/>
      <c r="E73" s="251"/>
      <c r="F73" s="249"/>
    </row>
    <row r="74" spans="1:7" s="236" customFormat="1" x14ac:dyDescent="0.25">
      <c r="A74" s="232" t="str">
        <f>"3906750"</f>
        <v>3906750</v>
      </c>
      <c r="B74" s="233" t="s">
        <v>2911</v>
      </c>
      <c r="C74" s="226">
        <v>2.11</v>
      </c>
      <c r="D74" s="232">
        <v>340808</v>
      </c>
      <c r="E74" s="234">
        <v>44106.580636574072</v>
      </c>
      <c r="F74" s="235">
        <v>11565</v>
      </c>
      <c r="G74" s="236" t="s">
        <v>14430</v>
      </c>
    </row>
    <row r="75" spans="1:7" s="240" customFormat="1" x14ac:dyDescent="0.25">
      <c r="A75" s="237"/>
      <c r="B75" s="237" t="s">
        <v>5691</v>
      </c>
      <c r="C75" s="238">
        <f>SUM(C74)</f>
        <v>2.11</v>
      </c>
      <c r="D75" s="237">
        <v>7</v>
      </c>
      <c r="E75" s="239"/>
      <c r="F75" s="237"/>
    </row>
    <row r="76" spans="1:7" customFormat="1" x14ac:dyDescent="0.25">
      <c r="A76" s="118"/>
      <c r="B76" s="116"/>
      <c r="C76" s="230"/>
      <c r="D76" s="118"/>
      <c r="E76" s="117"/>
      <c r="F76" s="118"/>
    </row>
    <row r="77" spans="1:7" x14ac:dyDescent="0.25">
      <c r="A77" s="203" t="str">
        <f>"3902419"</f>
        <v>3902419</v>
      </c>
      <c r="B77" s="207" t="s">
        <v>2821</v>
      </c>
      <c r="C77" s="228">
        <v>4.95</v>
      </c>
      <c r="D77" s="203">
        <v>341124</v>
      </c>
      <c r="E77" s="205">
        <v>44109.217592592591</v>
      </c>
      <c r="F77" s="123">
        <v>11720</v>
      </c>
    </row>
    <row r="78" spans="1:7" x14ac:dyDescent="0.25">
      <c r="A78" s="203" t="str">
        <f>"3960212"</f>
        <v>3960212</v>
      </c>
      <c r="B78" s="207" t="s">
        <v>2837</v>
      </c>
      <c r="C78" s="228">
        <v>9.61</v>
      </c>
      <c r="D78" s="203">
        <v>339879</v>
      </c>
      <c r="E78" s="205">
        <v>44109.730949074074</v>
      </c>
      <c r="F78" s="123">
        <v>11721</v>
      </c>
    </row>
    <row r="79" spans="1:7" x14ac:dyDescent="0.25">
      <c r="A79" s="203" t="str">
        <f>"3960293"</f>
        <v>3960293</v>
      </c>
      <c r="B79" s="207" t="s">
        <v>5886</v>
      </c>
      <c r="C79" s="228">
        <v>7.82</v>
      </c>
      <c r="D79" s="203">
        <v>339858</v>
      </c>
      <c r="E79" s="205">
        <v>44109.721238425926</v>
      </c>
      <c r="F79" s="123">
        <v>11722</v>
      </c>
    </row>
    <row r="80" spans="1:7" x14ac:dyDescent="0.25">
      <c r="A80" s="203" t="str">
        <f>"3902256"</f>
        <v>3902256</v>
      </c>
      <c r="B80" s="207" t="s">
        <v>5803</v>
      </c>
      <c r="C80" s="228">
        <v>5.12</v>
      </c>
      <c r="D80" s="203">
        <v>340623</v>
      </c>
      <c r="E80" s="205">
        <v>44109.43849537037</v>
      </c>
      <c r="F80" s="123">
        <v>11723</v>
      </c>
    </row>
    <row r="81" spans="1:6" x14ac:dyDescent="0.25">
      <c r="A81" s="203" t="str">
        <f>"3901940"</f>
        <v>3901940</v>
      </c>
      <c r="B81" s="207" t="s">
        <v>2779</v>
      </c>
      <c r="C81" s="228">
        <v>2.0299999999999998</v>
      </c>
      <c r="D81" s="203">
        <v>340238</v>
      </c>
      <c r="E81" s="205">
        <v>44109.398425925923</v>
      </c>
      <c r="F81" s="123">
        <v>11724</v>
      </c>
    </row>
    <row r="82" spans="1:6" x14ac:dyDescent="0.25">
      <c r="A82" s="203" t="str">
        <f>"3907618"</f>
        <v>3907618</v>
      </c>
      <c r="B82" s="207" t="s">
        <v>2783</v>
      </c>
      <c r="C82" s="228">
        <v>2.97</v>
      </c>
      <c r="D82" s="203">
        <v>342009</v>
      </c>
      <c r="E82" s="205">
        <v>44109.401076388887</v>
      </c>
      <c r="F82" s="123">
        <v>11725</v>
      </c>
    </row>
    <row r="83" spans="1:6" x14ac:dyDescent="0.25">
      <c r="A83" s="203" t="str">
        <f>"3908344"</f>
        <v>3908344</v>
      </c>
      <c r="B83" s="207" t="s">
        <v>5921</v>
      </c>
      <c r="C83" s="228">
        <v>3.85</v>
      </c>
      <c r="D83" s="203">
        <v>342274</v>
      </c>
      <c r="E83" s="205">
        <v>44109.401469907411</v>
      </c>
      <c r="F83" s="123">
        <v>11726</v>
      </c>
    </row>
    <row r="84" spans="1:6" x14ac:dyDescent="0.25">
      <c r="A84" s="203" t="str">
        <f>"3901995"</f>
        <v>3901995</v>
      </c>
      <c r="B84" s="207" t="s">
        <v>5817</v>
      </c>
      <c r="C84" s="228">
        <v>2</v>
      </c>
      <c r="D84" s="203">
        <v>341290</v>
      </c>
      <c r="E84" s="205">
        <v>44109.553101851852</v>
      </c>
      <c r="F84" s="123">
        <v>11727</v>
      </c>
    </row>
    <row r="85" spans="1:6" x14ac:dyDescent="0.25">
      <c r="A85" s="203" t="str">
        <f>"23923168"</f>
        <v>23923168</v>
      </c>
      <c r="B85" s="207" t="s">
        <v>5818</v>
      </c>
      <c r="C85" s="228">
        <v>4.5</v>
      </c>
      <c r="D85" s="203">
        <v>2816</v>
      </c>
      <c r="E85" s="205">
        <v>44109.757199074076</v>
      </c>
      <c r="F85" s="123">
        <v>11728</v>
      </c>
    </row>
    <row r="86" spans="1:6" s="164" customFormat="1" x14ac:dyDescent="0.25">
      <c r="A86" s="115"/>
      <c r="B86" s="115" t="s">
        <v>5691</v>
      </c>
      <c r="C86" s="229">
        <f>SUM(C77:C85)</f>
        <v>42.85</v>
      </c>
      <c r="D86" s="115">
        <v>8</v>
      </c>
      <c r="E86" s="163"/>
      <c r="F86" s="115"/>
    </row>
    <row r="87" spans="1:6" customFormat="1" x14ac:dyDescent="0.25">
      <c r="A87" s="118"/>
      <c r="B87" s="116"/>
      <c r="C87" s="230"/>
      <c r="D87" s="118"/>
      <c r="E87" s="117"/>
      <c r="F87" s="118"/>
    </row>
    <row r="88" spans="1:6" x14ac:dyDescent="0.25">
      <c r="A88" s="203" t="str">
        <f>"3920065"</f>
        <v>3920065</v>
      </c>
      <c r="B88" s="207" t="s">
        <v>2895</v>
      </c>
      <c r="C88" s="228">
        <v>15.3</v>
      </c>
      <c r="D88" s="203">
        <v>342323</v>
      </c>
      <c r="E88" s="205">
        <v>44110.375914351855</v>
      </c>
      <c r="F88" s="123">
        <v>11826</v>
      </c>
    </row>
    <row r="89" spans="1:6" x14ac:dyDescent="0.25">
      <c r="A89" s="203" t="str">
        <f>"3908657"</f>
        <v>3908657</v>
      </c>
      <c r="B89" s="207" t="s">
        <v>5916</v>
      </c>
      <c r="C89" s="228">
        <v>13.44</v>
      </c>
      <c r="D89" s="203">
        <v>341236</v>
      </c>
      <c r="E89" s="205">
        <v>44110.377083333333</v>
      </c>
      <c r="F89" s="123">
        <v>11827</v>
      </c>
    </row>
    <row r="90" spans="1:6" x14ac:dyDescent="0.25">
      <c r="A90" s="203" t="str">
        <f>"3930053"</f>
        <v>3930053</v>
      </c>
      <c r="B90" s="207" t="s">
        <v>2810</v>
      </c>
      <c r="C90" s="228">
        <v>112.65</v>
      </c>
      <c r="D90" s="203">
        <v>342463</v>
      </c>
      <c r="E90" s="205">
        <v>44110.419027777774</v>
      </c>
      <c r="F90" s="123">
        <v>11828</v>
      </c>
    </row>
    <row r="91" spans="1:6" x14ac:dyDescent="0.25">
      <c r="A91" s="203" t="str">
        <f>"3960344"</f>
        <v>3960344</v>
      </c>
      <c r="B91" s="207" t="s">
        <v>2953</v>
      </c>
      <c r="C91" s="228">
        <v>8.3800000000000008</v>
      </c>
      <c r="D91" s="203">
        <v>339915</v>
      </c>
      <c r="E91" s="205">
        <v>44110.449791666666</v>
      </c>
      <c r="F91" s="123">
        <v>11829</v>
      </c>
    </row>
    <row r="92" spans="1:6" x14ac:dyDescent="0.25">
      <c r="A92" s="203" t="str">
        <f>"3900244"</f>
        <v>3900244</v>
      </c>
      <c r="B92" s="207" t="s">
        <v>2926</v>
      </c>
      <c r="C92" s="228">
        <v>3</v>
      </c>
      <c r="D92" s="203">
        <v>342658</v>
      </c>
      <c r="E92" s="205">
        <v>44110.460729166669</v>
      </c>
      <c r="F92" s="123">
        <v>11830</v>
      </c>
    </row>
    <row r="93" spans="1:6" s="164" customFormat="1" x14ac:dyDescent="0.25">
      <c r="A93" s="115"/>
      <c r="B93" s="115" t="s">
        <v>5691</v>
      </c>
      <c r="C93" s="229">
        <f>SUM(C88:C92)</f>
        <v>152.77000000000001</v>
      </c>
      <c r="D93" s="115">
        <v>9</v>
      </c>
      <c r="E93" s="163"/>
      <c r="F93" s="115"/>
    </row>
    <row r="94" spans="1:6" customFormat="1" x14ac:dyDescent="0.25">
      <c r="A94" s="118"/>
      <c r="B94" s="116"/>
      <c r="C94" s="230"/>
      <c r="D94" s="118"/>
      <c r="E94" s="117"/>
      <c r="F94" s="118"/>
    </row>
    <row r="95" spans="1:6" x14ac:dyDescent="0.25">
      <c r="A95" s="203" t="str">
        <f>"3945281"</f>
        <v>3945281</v>
      </c>
      <c r="B95" s="207" t="s">
        <v>5882</v>
      </c>
      <c r="C95" s="228">
        <v>4.1900000000000004</v>
      </c>
      <c r="D95" s="203">
        <v>340040</v>
      </c>
      <c r="E95" s="205">
        <v>44111.344050925924</v>
      </c>
      <c r="F95" s="123">
        <v>11913</v>
      </c>
    </row>
    <row r="96" spans="1:6" x14ac:dyDescent="0.25">
      <c r="A96" s="203" t="str">
        <f>"23923029"</f>
        <v>23923029</v>
      </c>
      <c r="B96" s="207" t="s">
        <v>2930</v>
      </c>
      <c r="C96" s="228">
        <v>5.07</v>
      </c>
      <c r="D96" s="203">
        <v>2632</v>
      </c>
      <c r="E96" s="205">
        <v>44111.548125000001</v>
      </c>
      <c r="F96" s="123">
        <v>11914</v>
      </c>
    </row>
    <row r="97" spans="1:7" s="164" customFormat="1" x14ac:dyDescent="0.25">
      <c r="A97" s="115"/>
      <c r="B97" s="115" t="s">
        <v>5691</v>
      </c>
      <c r="C97" s="229">
        <f>SUM(C95:C96)</f>
        <v>9.2600000000000016</v>
      </c>
      <c r="D97" s="115">
        <v>10</v>
      </c>
      <c r="E97" s="163"/>
      <c r="F97" s="115"/>
    </row>
    <row r="98" spans="1:7" customFormat="1" x14ac:dyDescent="0.25">
      <c r="A98" s="118"/>
      <c r="B98" s="116"/>
      <c r="C98" s="230"/>
      <c r="D98" s="118"/>
      <c r="E98" s="117"/>
      <c r="F98" s="118"/>
    </row>
    <row r="99" spans="1:7" x14ac:dyDescent="0.25">
      <c r="A99" s="203" t="str">
        <f>"3960340"</f>
        <v>3960340</v>
      </c>
      <c r="B99" s="207" t="s">
        <v>5936</v>
      </c>
      <c r="C99" s="228">
        <v>8.3800000000000008</v>
      </c>
      <c r="D99" s="203">
        <v>339934</v>
      </c>
      <c r="E99" s="205">
        <v>44112.494606481479</v>
      </c>
      <c r="F99" s="123">
        <v>11915</v>
      </c>
    </row>
    <row r="100" spans="1:7" x14ac:dyDescent="0.25">
      <c r="A100" s="203" t="str">
        <f>"3902164"</f>
        <v>3902164</v>
      </c>
      <c r="B100" s="207" t="s">
        <v>5742</v>
      </c>
      <c r="C100" s="228">
        <v>2.68</v>
      </c>
      <c r="D100" s="203">
        <v>341192</v>
      </c>
      <c r="E100" s="205">
        <v>44112.563622685186</v>
      </c>
      <c r="F100" s="123">
        <v>11916</v>
      </c>
    </row>
    <row r="101" spans="1:7" x14ac:dyDescent="0.25">
      <c r="A101" s="203" t="str">
        <f>"3903497"</f>
        <v>3903497</v>
      </c>
      <c r="B101" s="207" t="s">
        <v>5847</v>
      </c>
      <c r="C101" s="228">
        <v>10.38</v>
      </c>
      <c r="D101" s="203">
        <v>342803</v>
      </c>
      <c r="E101" s="205">
        <v>44112.568252314813</v>
      </c>
      <c r="F101" s="123">
        <v>11917</v>
      </c>
    </row>
    <row r="102" spans="1:7" x14ac:dyDescent="0.25">
      <c r="A102" s="203" t="str">
        <f>"3900593"</f>
        <v>3900593</v>
      </c>
      <c r="B102" s="207" t="s">
        <v>2797</v>
      </c>
      <c r="C102" s="228">
        <v>1.68</v>
      </c>
      <c r="D102" s="203">
        <v>341476</v>
      </c>
      <c r="E102" s="205">
        <v>44112.587118055555</v>
      </c>
      <c r="F102" s="123">
        <v>11918</v>
      </c>
    </row>
    <row r="103" spans="1:7" x14ac:dyDescent="0.25">
      <c r="A103" s="203" t="str">
        <f>"3903744"</f>
        <v>3903744</v>
      </c>
      <c r="B103" s="207" t="s">
        <v>5935</v>
      </c>
      <c r="C103" s="228">
        <v>15.64</v>
      </c>
      <c r="D103" s="203">
        <v>340005</v>
      </c>
      <c r="E103" s="205">
        <v>44112.710682870369</v>
      </c>
      <c r="F103" s="123">
        <v>11919</v>
      </c>
      <c r="G103" s="216"/>
    </row>
    <row r="104" spans="1:7" s="164" customFormat="1" x14ac:dyDescent="0.25">
      <c r="A104" s="115"/>
      <c r="B104" s="115" t="s">
        <v>5691</v>
      </c>
      <c r="C104" s="229">
        <f>SUM(C99:C103)</f>
        <v>38.760000000000005</v>
      </c>
      <c r="D104" s="115">
        <v>11</v>
      </c>
      <c r="E104" s="163"/>
      <c r="F104" s="115"/>
    </row>
    <row r="105" spans="1:7" customFormat="1" x14ac:dyDescent="0.25">
      <c r="A105" s="118"/>
      <c r="B105" s="116"/>
      <c r="C105" s="230"/>
      <c r="D105" s="118"/>
      <c r="E105" s="117"/>
      <c r="F105" s="118"/>
    </row>
    <row r="106" spans="1:7" x14ac:dyDescent="0.25">
      <c r="A106" s="203" t="str">
        <f>"3907965"</f>
        <v>3907965</v>
      </c>
      <c r="B106" s="207" t="s">
        <v>5934</v>
      </c>
      <c r="C106" s="228">
        <v>4.83</v>
      </c>
      <c r="D106" s="203">
        <v>342033</v>
      </c>
      <c r="E106" s="205">
        <v>44116.387858796297</v>
      </c>
      <c r="F106" s="123">
        <v>12012</v>
      </c>
    </row>
    <row r="107" spans="1:7" x14ac:dyDescent="0.25">
      <c r="A107" s="203" t="str">
        <f>"3908938"</f>
        <v>3908938</v>
      </c>
      <c r="B107" s="207" t="s">
        <v>5850</v>
      </c>
      <c r="C107" s="228">
        <v>13.33</v>
      </c>
      <c r="D107" s="203">
        <v>340574</v>
      </c>
      <c r="E107" s="205">
        <v>44116.556550925925</v>
      </c>
      <c r="F107" s="123">
        <v>12013</v>
      </c>
    </row>
    <row r="108" spans="1:7" x14ac:dyDescent="0.25">
      <c r="A108" s="203" t="str">
        <f>"3903549"</f>
        <v>3903549</v>
      </c>
      <c r="B108" s="207" t="s">
        <v>2814</v>
      </c>
      <c r="C108" s="228">
        <v>6.06</v>
      </c>
      <c r="D108" s="203">
        <v>340788</v>
      </c>
      <c r="E108" s="205">
        <v>44116.524826388886</v>
      </c>
      <c r="F108" s="123">
        <v>12014</v>
      </c>
    </row>
    <row r="109" spans="1:7" x14ac:dyDescent="0.25">
      <c r="A109" s="203" t="str">
        <f>"3908639"</f>
        <v>3908639</v>
      </c>
      <c r="B109" s="207" t="s">
        <v>2906</v>
      </c>
      <c r="C109" s="228">
        <v>2</v>
      </c>
      <c r="D109" s="203">
        <v>342632</v>
      </c>
      <c r="E109" s="205">
        <v>44116.532546296294</v>
      </c>
      <c r="F109" s="123">
        <v>12015</v>
      </c>
    </row>
    <row r="110" spans="1:7" x14ac:dyDescent="0.25">
      <c r="A110" s="203" t="str">
        <f>"3901111"</f>
        <v>3901111</v>
      </c>
      <c r="B110" s="207" t="s">
        <v>2983</v>
      </c>
      <c r="C110" s="228">
        <v>23.83</v>
      </c>
      <c r="D110" s="203">
        <v>342498</v>
      </c>
      <c r="E110" s="205">
        <v>44116.557152777779</v>
      </c>
      <c r="F110" s="123">
        <v>12016</v>
      </c>
    </row>
    <row r="111" spans="1:7" x14ac:dyDescent="0.25">
      <c r="A111" s="203" t="str">
        <f>"3906658"</f>
        <v>3906658</v>
      </c>
      <c r="B111" s="207" t="s">
        <v>2907</v>
      </c>
      <c r="C111" s="228">
        <v>15.34</v>
      </c>
      <c r="D111" s="203">
        <v>342499</v>
      </c>
      <c r="E111" s="205">
        <v>44116.586377314816</v>
      </c>
      <c r="F111" s="123">
        <v>12017</v>
      </c>
    </row>
    <row r="112" spans="1:7" x14ac:dyDescent="0.25">
      <c r="A112" s="203" t="str">
        <f>"3901121"</f>
        <v>3901121</v>
      </c>
      <c r="B112" s="207" t="s">
        <v>2908</v>
      </c>
      <c r="C112" s="228">
        <v>2.14</v>
      </c>
      <c r="D112" s="203">
        <v>340603</v>
      </c>
      <c r="E112" s="205">
        <v>44116.586562500001</v>
      </c>
      <c r="F112" s="123">
        <v>12018</v>
      </c>
    </row>
    <row r="113" spans="1:6" x14ac:dyDescent="0.25">
      <c r="A113" s="203" t="str">
        <f>"3907330"</f>
        <v>3907330</v>
      </c>
      <c r="B113" s="207" t="s">
        <v>2899</v>
      </c>
      <c r="C113" s="228">
        <v>15.08</v>
      </c>
      <c r="D113" s="203">
        <v>340082</v>
      </c>
      <c r="E113" s="205">
        <v>44116.586597222224</v>
      </c>
      <c r="F113" s="123">
        <v>12019</v>
      </c>
    </row>
    <row r="114" spans="1:6" x14ac:dyDescent="0.25">
      <c r="A114" s="203" t="str">
        <f>"3902041"</f>
        <v>3902041</v>
      </c>
      <c r="B114" s="207" t="s">
        <v>2898</v>
      </c>
      <c r="C114" s="228">
        <v>8.3800000000000008</v>
      </c>
      <c r="D114" s="203">
        <v>339993</v>
      </c>
      <c r="E114" s="205">
        <v>44116.589386574073</v>
      </c>
      <c r="F114" s="123">
        <v>12020</v>
      </c>
    </row>
    <row r="115" spans="1:6" x14ac:dyDescent="0.25">
      <c r="A115" s="203" t="str">
        <f>"3900383"</f>
        <v>3900383</v>
      </c>
      <c r="B115" s="207" t="s">
        <v>2974</v>
      </c>
      <c r="C115" s="228">
        <v>2.13</v>
      </c>
      <c r="D115" s="203">
        <v>341395</v>
      </c>
      <c r="E115" s="205">
        <v>44116.728576388887</v>
      </c>
      <c r="F115" s="123">
        <v>12021</v>
      </c>
    </row>
    <row r="116" spans="1:6" s="164" customFormat="1" x14ac:dyDescent="0.25">
      <c r="A116" s="115"/>
      <c r="B116" s="115" t="s">
        <v>5691</v>
      </c>
      <c r="C116" s="229">
        <f>SUM(C106:C115)</f>
        <v>93.11999999999999</v>
      </c>
      <c r="D116" s="115">
        <v>12</v>
      </c>
      <c r="E116" s="163"/>
      <c r="F116" s="115"/>
    </row>
    <row r="117" spans="1:6" customFormat="1" x14ac:dyDescent="0.25">
      <c r="A117" s="118"/>
      <c r="B117" s="116"/>
      <c r="C117" s="230"/>
      <c r="D117" s="118"/>
      <c r="E117" s="117"/>
      <c r="F117" s="118"/>
    </row>
    <row r="118" spans="1:6" x14ac:dyDescent="0.25">
      <c r="A118" s="203" t="str">
        <f>"3903516"</f>
        <v>3903516</v>
      </c>
      <c r="B118" s="207" t="s">
        <v>2785</v>
      </c>
      <c r="C118" s="228">
        <v>7.29</v>
      </c>
      <c r="D118" s="203">
        <v>341032</v>
      </c>
      <c r="E118" s="205">
        <v>44117.389710648145</v>
      </c>
      <c r="F118" s="123">
        <v>12050</v>
      </c>
    </row>
    <row r="119" spans="1:6" x14ac:dyDescent="0.25">
      <c r="A119" s="203" t="str">
        <f>"3945113"</f>
        <v>3945113</v>
      </c>
      <c r="B119" s="207" t="s">
        <v>2790</v>
      </c>
      <c r="C119" s="228">
        <v>8.3800000000000008</v>
      </c>
      <c r="D119" s="203">
        <v>339924</v>
      </c>
      <c r="E119" s="205">
        <v>44117.432766203703</v>
      </c>
      <c r="F119" s="123">
        <v>12051</v>
      </c>
    </row>
    <row r="120" spans="1:6" x14ac:dyDescent="0.25">
      <c r="A120" s="203" t="str">
        <f>"3906858"</f>
        <v>3906858</v>
      </c>
      <c r="B120" s="207" t="s">
        <v>5773</v>
      </c>
      <c r="C120" s="228">
        <v>1.94</v>
      </c>
      <c r="D120" s="203">
        <v>342574</v>
      </c>
      <c r="E120" s="205">
        <v>44117.491631944446</v>
      </c>
      <c r="F120" s="123">
        <v>12052</v>
      </c>
    </row>
    <row r="121" spans="1:6" x14ac:dyDescent="0.25">
      <c r="A121" s="203" t="str">
        <f>"3903686"</f>
        <v>3903686</v>
      </c>
      <c r="B121" s="207" t="s">
        <v>5773</v>
      </c>
      <c r="C121" s="228">
        <v>12.88</v>
      </c>
      <c r="D121" s="203">
        <v>342739</v>
      </c>
      <c r="E121" s="205">
        <v>44117.491736111115</v>
      </c>
      <c r="F121" s="123">
        <v>12053</v>
      </c>
    </row>
    <row r="122" spans="1:6" x14ac:dyDescent="0.25">
      <c r="A122" s="203" t="str">
        <f>"3903544"</f>
        <v>3903544</v>
      </c>
      <c r="B122" s="207" t="s">
        <v>2802</v>
      </c>
      <c r="C122" s="228">
        <v>5.42</v>
      </c>
      <c r="D122" s="203">
        <v>340769</v>
      </c>
      <c r="E122" s="205">
        <v>44117.631516203706</v>
      </c>
      <c r="F122" s="123">
        <v>12054</v>
      </c>
    </row>
    <row r="123" spans="1:6" s="164" customFormat="1" x14ac:dyDescent="0.25">
      <c r="A123" s="115"/>
      <c r="B123" s="115" t="s">
        <v>5691</v>
      </c>
      <c r="C123" s="229">
        <f>SUM(C118:C122)</f>
        <v>35.910000000000004</v>
      </c>
      <c r="D123" s="115">
        <v>13</v>
      </c>
      <c r="E123" s="163"/>
      <c r="F123" s="115"/>
    </row>
    <row r="124" spans="1:6" customFormat="1" x14ac:dyDescent="0.25">
      <c r="A124" s="118"/>
      <c r="B124" s="116"/>
      <c r="C124" s="230"/>
      <c r="D124" s="118"/>
      <c r="E124" s="117"/>
      <c r="F124" s="118"/>
    </row>
    <row r="125" spans="1:6" x14ac:dyDescent="0.25">
      <c r="A125" s="203" t="str">
        <f>"3930394"</f>
        <v>3930394</v>
      </c>
      <c r="B125" s="207" t="s">
        <v>2813</v>
      </c>
      <c r="C125" s="228">
        <v>3.82</v>
      </c>
      <c r="D125" s="203">
        <v>341093</v>
      </c>
      <c r="E125" s="205">
        <v>44118.421736111108</v>
      </c>
      <c r="F125" s="123">
        <v>12157</v>
      </c>
    </row>
    <row r="126" spans="1:6" x14ac:dyDescent="0.25">
      <c r="A126" s="203" t="str">
        <f>"3960363"</f>
        <v>3960363</v>
      </c>
      <c r="B126" s="207" t="s">
        <v>5733</v>
      </c>
      <c r="C126" s="228">
        <v>8.3800000000000008</v>
      </c>
      <c r="D126" s="203">
        <v>339920</v>
      </c>
      <c r="E126" s="205">
        <v>44118.521458333336</v>
      </c>
      <c r="F126" s="123">
        <v>12158</v>
      </c>
    </row>
    <row r="127" spans="1:6" s="164" customFormat="1" x14ac:dyDescent="0.25">
      <c r="A127" s="115"/>
      <c r="B127" s="115" t="s">
        <v>5691</v>
      </c>
      <c r="C127" s="229">
        <f>SUM(C125:C126)</f>
        <v>12.200000000000001</v>
      </c>
      <c r="D127" s="115">
        <v>14</v>
      </c>
      <c r="E127" s="163"/>
      <c r="F127" s="115"/>
    </row>
    <row r="128" spans="1:6" customFormat="1" x14ac:dyDescent="0.25">
      <c r="A128" s="118"/>
      <c r="B128" s="116"/>
      <c r="C128" s="230"/>
      <c r="D128" s="118"/>
      <c r="E128" s="117"/>
      <c r="F128" s="118"/>
    </row>
    <row r="129" spans="1:6" x14ac:dyDescent="0.25">
      <c r="A129" s="203" t="str">
        <f>"3930042"</f>
        <v>3930042</v>
      </c>
      <c r="B129" s="207" t="s">
        <v>2929</v>
      </c>
      <c r="C129" s="228">
        <v>4.9800000000000004</v>
      </c>
      <c r="D129" s="203">
        <v>342459</v>
      </c>
      <c r="E129" s="205">
        <v>44119.361562500002</v>
      </c>
      <c r="F129" s="123">
        <v>12192</v>
      </c>
    </row>
    <row r="130" spans="1:6" x14ac:dyDescent="0.25">
      <c r="A130" s="203" t="str">
        <f>"3902061"</f>
        <v>3902061</v>
      </c>
      <c r="B130" s="207" t="s">
        <v>5933</v>
      </c>
      <c r="C130" s="228">
        <v>9.98</v>
      </c>
      <c r="D130" s="203">
        <v>339998</v>
      </c>
      <c r="E130" s="205">
        <v>44119.453819444447</v>
      </c>
      <c r="F130" s="123">
        <v>12193</v>
      </c>
    </row>
    <row r="131" spans="1:6" x14ac:dyDescent="0.25">
      <c r="A131" s="203" t="str">
        <f>"3960269"</f>
        <v>3960269</v>
      </c>
      <c r="B131" s="207" t="s">
        <v>2927</v>
      </c>
      <c r="C131" s="228">
        <v>12.3</v>
      </c>
      <c r="D131" s="203">
        <v>339842</v>
      </c>
      <c r="E131" s="205">
        <v>44119.523981481485</v>
      </c>
      <c r="F131" s="123">
        <v>12194</v>
      </c>
    </row>
    <row r="132" spans="1:6" x14ac:dyDescent="0.25">
      <c r="A132" s="203" t="str">
        <f>"3902009"</f>
        <v>3902009</v>
      </c>
      <c r="B132" s="207" t="s">
        <v>2890</v>
      </c>
      <c r="C132" s="228">
        <v>3.36</v>
      </c>
      <c r="D132" s="203">
        <v>342479</v>
      </c>
      <c r="E132" s="205">
        <v>44119.566168981481</v>
      </c>
      <c r="F132" s="123">
        <v>12195</v>
      </c>
    </row>
    <row r="133" spans="1:6" s="164" customFormat="1" x14ac:dyDescent="0.25">
      <c r="A133" s="115"/>
      <c r="B133" s="115" t="s">
        <v>5691</v>
      </c>
      <c r="C133" s="229">
        <f>SUM(C129:C132)</f>
        <v>30.62</v>
      </c>
      <c r="D133" s="115">
        <v>15</v>
      </c>
      <c r="E133" s="163"/>
      <c r="F133" s="115"/>
    </row>
    <row r="134" spans="1:6" customFormat="1" x14ac:dyDescent="0.25">
      <c r="A134" s="118"/>
      <c r="B134" s="116"/>
      <c r="C134" s="230"/>
      <c r="D134" s="118"/>
      <c r="E134" s="117"/>
      <c r="F134" s="118"/>
    </row>
    <row r="135" spans="1:6" x14ac:dyDescent="0.25">
      <c r="A135" s="203" t="str">
        <f>"3920203"</f>
        <v>3920203</v>
      </c>
      <c r="B135" s="207" t="s">
        <v>5736</v>
      </c>
      <c r="C135" s="228">
        <v>53.7</v>
      </c>
      <c r="D135" s="203">
        <v>339833</v>
      </c>
      <c r="E135" s="205">
        <v>44120.382870370369</v>
      </c>
      <c r="F135" s="123">
        <v>12248</v>
      </c>
    </row>
    <row r="136" spans="1:6" x14ac:dyDescent="0.25">
      <c r="A136" s="203" t="str">
        <f>"3908019"</f>
        <v>3908019</v>
      </c>
      <c r="B136" s="207" t="s">
        <v>5754</v>
      </c>
      <c r="C136" s="228">
        <v>10.11</v>
      </c>
      <c r="D136" s="203">
        <v>341015</v>
      </c>
      <c r="E136" s="205">
        <v>44120.707939814813</v>
      </c>
      <c r="F136" s="123">
        <v>12249</v>
      </c>
    </row>
    <row r="137" spans="1:6" s="164" customFormat="1" x14ac:dyDescent="0.25">
      <c r="A137" s="115"/>
      <c r="B137" s="115" t="s">
        <v>5691</v>
      </c>
      <c r="C137" s="229">
        <f>SUM(C135:C136)</f>
        <v>63.81</v>
      </c>
      <c r="D137" s="115">
        <v>16</v>
      </c>
      <c r="E137" s="163"/>
      <c r="F137" s="115"/>
    </row>
    <row r="138" spans="1:6" customFormat="1" x14ac:dyDescent="0.25">
      <c r="A138" s="118"/>
      <c r="B138" s="116"/>
      <c r="C138" s="230"/>
      <c r="D138" s="118"/>
      <c r="E138" s="117"/>
      <c r="F138" s="118"/>
    </row>
    <row r="139" spans="1:6" x14ac:dyDescent="0.25">
      <c r="A139" s="203" t="str">
        <f>"3960357"</f>
        <v>3960357</v>
      </c>
      <c r="B139" s="207" t="s">
        <v>5729</v>
      </c>
      <c r="C139" s="228">
        <v>8.3800000000000008</v>
      </c>
      <c r="D139" s="203">
        <v>339973</v>
      </c>
      <c r="E139" s="205">
        <v>44123.468402777777</v>
      </c>
      <c r="F139" s="123">
        <v>12284</v>
      </c>
    </row>
    <row r="140" spans="1:6" x14ac:dyDescent="0.25">
      <c r="A140" s="203" t="str">
        <f>"3960375"</f>
        <v>3960375</v>
      </c>
      <c r="B140" s="207" t="s">
        <v>2936</v>
      </c>
      <c r="C140" s="228">
        <v>4.1900000000000004</v>
      </c>
      <c r="D140" s="203">
        <v>339944</v>
      </c>
      <c r="E140" s="205">
        <v>44123.476134259261</v>
      </c>
      <c r="F140" s="123">
        <v>12285</v>
      </c>
    </row>
    <row r="141" spans="1:6" x14ac:dyDescent="0.25">
      <c r="A141" s="203" t="str">
        <f>"3901741"</f>
        <v>3901741</v>
      </c>
      <c r="B141" s="207" t="s">
        <v>5907</v>
      </c>
      <c r="C141" s="228">
        <v>1.68</v>
      </c>
      <c r="D141" s="203">
        <v>342116</v>
      </c>
      <c r="E141" s="205">
        <v>44123.855729166666</v>
      </c>
      <c r="F141" s="123">
        <v>12286</v>
      </c>
    </row>
    <row r="142" spans="1:6" x14ac:dyDescent="0.25">
      <c r="A142" s="203" t="str">
        <f>"3950049"</f>
        <v>3950049</v>
      </c>
      <c r="B142" s="207" t="s">
        <v>2786</v>
      </c>
      <c r="C142" s="228">
        <v>23.46</v>
      </c>
      <c r="D142" s="203">
        <v>339854</v>
      </c>
      <c r="E142" s="205">
        <v>44123.352453703701</v>
      </c>
      <c r="F142" s="123">
        <v>12287</v>
      </c>
    </row>
    <row r="143" spans="1:6" x14ac:dyDescent="0.25">
      <c r="A143" s="203" t="str">
        <f>"3904232"</f>
        <v>3904232</v>
      </c>
      <c r="B143" s="207" t="s">
        <v>5872</v>
      </c>
      <c r="C143" s="228">
        <v>15.3</v>
      </c>
      <c r="D143" s="203">
        <v>342353</v>
      </c>
      <c r="E143" s="205">
        <v>44123.427141203705</v>
      </c>
      <c r="F143" s="123">
        <v>12288</v>
      </c>
    </row>
    <row r="144" spans="1:6" x14ac:dyDescent="0.25">
      <c r="A144" s="203" t="str">
        <f>"3903064"</f>
        <v>3903064</v>
      </c>
      <c r="B144" s="207" t="s">
        <v>5760</v>
      </c>
      <c r="C144" s="228">
        <v>6.94</v>
      </c>
      <c r="D144" s="203">
        <v>340145</v>
      </c>
      <c r="E144" s="205">
        <v>44123.467187499999</v>
      </c>
      <c r="F144" s="123">
        <v>12289</v>
      </c>
    </row>
    <row r="145" spans="1:6" x14ac:dyDescent="0.25">
      <c r="A145" s="203" t="str">
        <f>"3960373"</f>
        <v>3960373</v>
      </c>
      <c r="B145" s="207" t="s">
        <v>2940</v>
      </c>
      <c r="C145" s="228">
        <v>8.3800000000000008</v>
      </c>
      <c r="D145" s="203">
        <v>339940</v>
      </c>
      <c r="E145" s="205">
        <v>44123.476655092592</v>
      </c>
      <c r="F145" s="123">
        <v>12290</v>
      </c>
    </row>
    <row r="146" spans="1:6" x14ac:dyDescent="0.25">
      <c r="A146" s="203" t="str">
        <f>"3901461"</f>
        <v>3901461</v>
      </c>
      <c r="B146" s="207" t="s">
        <v>2931</v>
      </c>
      <c r="C146" s="228">
        <v>15.3</v>
      </c>
      <c r="D146" s="203">
        <v>342344</v>
      </c>
      <c r="E146" s="205">
        <v>44123.487858796296</v>
      </c>
      <c r="F146" s="123">
        <v>12291</v>
      </c>
    </row>
    <row r="147" spans="1:6" x14ac:dyDescent="0.25">
      <c r="A147" s="203" t="str">
        <f>"3907489"</f>
        <v>3907489</v>
      </c>
      <c r="B147" s="207" t="s">
        <v>5749</v>
      </c>
      <c r="C147" s="228">
        <v>6.94</v>
      </c>
      <c r="D147" s="203">
        <v>340166</v>
      </c>
      <c r="E147" s="205">
        <v>44123.558310185188</v>
      </c>
      <c r="F147" s="123">
        <v>12292</v>
      </c>
    </row>
    <row r="148" spans="1:6" x14ac:dyDescent="0.25">
      <c r="A148" s="203" t="str">
        <f>"23923172"</f>
        <v>23923172</v>
      </c>
      <c r="B148" s="207" t="s">
        <v>5932</v>
      </c>
      <c r="C148" s="228">
        <v>1.68</v>
      </c>
      <c r="D148" s="203">
        <v>2817</v>
      </c>
      <c r="E148" s="205">
        <v>44123.597951388889</v>
      </c>
      <c r="F148" s="123">
        <v>12293</v>
      </c>
    </row>
    <row r="149" spans="1:6" s="164" customFormat="1" x14ac:dyDescent="0.25">
      <c r="A149" s="115"/>
      <c r="B149" s="115" t="s">
        <v>5691</v>
      </c>
      <c r="C149" s="229">
        <f>SUM(C139:C148)</f>
        <v>92.25</v>
      </c>
      <c r="D149" s="115">
        <v>17</v>
      </c>
      <c r="E149" s="163"/>
      <c r="F149" s="115"/>
    </row>
    <row r="150" spans="1:6" customFormat="1" x14ac:dyDescent="0.25">
      <c r="A150" s="118"/>
      <c r="B150" s="116"/>
      <c r="C150" s="230"/>
      <c r="D150" s="118"/>
      <c r="E150" s="117"/>
      <c r="F150" s="118"/>
    </row>
    <row r="151" spans="1:6" x14ac:dyDescent="0.25">
      <c r="A151" s="203" t="str">
        <f>"3945114"</f>
        <v>3945114</v>
      </c>
      <c r="B151" s="207" t="s">
        <v>2943</v>
      </c>
      <c r="C151" s="228">
        <v>16.760000000000002</v>
      </c>
      <c r="D151" s="203">
        <v>339923</v>
      </c>
      <c r="E151" s="205">
        <v>44124.394456018519</v>
      </c>
      <c r="F151" s="123">
        <v>12294</v>
      </c>
    </row>
    <row r="152" spans="1:6" x14ac:dyDescent="0.25">
      <c r="A152" s="203" t="str">
        <f>"3930391"</f>
        <v>3930391</v>
      </c>
      <c r="B152" s="207" t="s">
        <v>5771</v>
      </c>
      <c r="C152" s="228">
        <v>8.8000000000000007</v>
      </c>
      <c r="D152" s="203">
        <v>341082</v>
      </c>
      <c r="E152" s="205">
        <v>44124.616446759261</v>
      </c>
      <c r="F152" s="123" t="s">
        <v>5931</v>
      </c>
    </row>
    <row r="153" spans="1:6" s="164" customFormat="1" x14ac:dyDescent="0.25">
      <c r="A153" s="115"/>
      <c r="B153" s="115" t="s">
        <v>5691</v>
      </c>
      <c r="C153" s="229">
        <f>SUM(C151:C152)</f>
        <v>25.560000000000002</v>
      </c>
      <c r="D153" s="115">
        <v>18</v>
      </c>
      <c r="E153" s="163"/>
      <c r="F153" s="115"/>
    </row>
    <row r="154" spans="1:6" customFormat="1" x14ac:dyDescent="0.25">
      <c r="A154" s="118"/>
      <c r="B154" s="116"/>
      <c r="C154" s="230"/>
      <c r="D154" s="118"/>
      <c r="E154" s="117"/>
      <c r="F154" s="118"/>
    </row>
    <row r="155" spans="1:6" x14ac:dyDescent="0.25">
      <c r="A155" s="203" t="str">
        <f>"3960252"</f>
        <v>3960252</v>
      </c>
      <c r="B155" s="207" t="s">
        <v>5816</v>
      </c>
      <c r="C155" s="228">
        <v>18.93</v>
      </c>
      <c r="D155" s="203">
        <v>339901</v>
      </c>
      <c r="E155" s="205">
        <v>44125.399050925924</v>
      </c>
      <c r="F155" s="123">
        <v>12349</v>
      </c>
    </row>
    <row r="156" spans="1:6" x14ac:dyDescent="0.25">
      <c r="A156" s="203" t="str">
        <f>"3960241"</f>
        <v>3960241</v>
      </c>
      <c r="B156" s="207" t="s">
        <v>5912</v>
      </c>
      <c r="C156" s="228">
        <v>15.3</v>
      </c>
      <c r="D156" s="203">
        <v>342335</v>
      </c>
      <c r="E156" s="205">
        <v>44125.535729166666</v>
      </c>
      <c r="F156" s="123">
        <v>12350</v>
      </c>
    </row>
    <row r="157" spans="1:6" x14ac:dyDescent="0.25">
      <c r="A157" s="203" t="str">
        <f>"3909013"</f>
        <v>3909013</v>
      </c>
      <c r="B157" s="207" t="s">
        <v>2938</v>
      </c>
      <c r="C157" s="228">
        <v>5.04</v>
      </c>
      <c r="D157" s="203">
        <v>340697</v>
      </c>
      <c r="E157" s="205">
        <v>44125.640173611115</v>
      </c>
      <c r="F157" s="123">
        <v>12351</v>
      </c>
    </row>
    <row r="158" spans="1:6" x14ac:dyDescent="0.25">
      <c r="A158" s="203" t="str">
        <f>"3901242"</f>
        <v>3901242</v>
      </c>
      <c r="B158" s="207" t="s">
        <v>5904</v>
      </c>
      <c r="C158" s="228">
        <v>3.36</v>
      </c>
      <c r="D158" s="203">
        <v>340926</v>
      </c>
      <c r="E158" s="205">
        <v>44125.642685185187</v>
      </c>
      <c r="F158" s="123">
        <v>12352</v>
      </c>
    </row>
    <row r="159" spans="1:6" s="164" customFormat="1" x14ac:dyDescent="0.25">
      <c r="A159" s="115"/>
      <c r="B159" s="115" t="s">
        <v>5691</v>
      </c>
      <c r="C159" s="229">
        <f>SUM(C155:C158)</f>
        <v>42.63</v>
      </c>
      <c r="D159" s="115">
        <v>19</v>
      </c>
      <c r="E159" s="163"/>
      <c r="F159" s="115"/>
    </row>
    <row r="160" spans="1:6" customFormat="1" x14ac:dyDescent="0.25">
      <c r="A160" s="118"/>
      <c r="B160" s="116"/>
      <c r="C160" s="230"/>
      <c r="D160" s="118"/>
      <c r="E160" s="117"/>
      <c r="F160" s="118"/>
    </row>
    <row r="161" spans="1:6" x14ac:dyDescent="0.25">
      <c r="A161" s="203" t="str">
        <f>"3908129"</f>
        <v>3908129</v>
      </c>
      <c r="B161" s="207" t="s">
        <v>5809</v>
      </c>
      <c r="C161" s="228">
        <v>1.71</v>
      </c>
      <c r="D161" s="203">
        <v>345590</v>
      </c>
      <c r="E161" s="205">
        <v>44130.290092592593</v>
      </c>
      <c r="F161" s="123">
        <v>12499</v>
      </c>
    </row>
    <row r="162" spans="1:6" x14ac:dyDescent="0.25">
      <c r="A162" s="203" t="str">
        <f>"3907994"</f>
        <v>3907994</v>
      </c>
      <c r="B162" s="207" t="s">
        <v>5826</v>
      </c>
      <c r="C162" s="228">
        <v>5.04</v>
      </c>
      <c r="D162" s="203">
        <v>344635</v>
      </c>
      <c r="E162" s="205">
        <v>44130.665300925924</v>
      </c>
      <c r="F162" s="123">
        <v>12500</v>
      </c>
    </row>
    <row r="163" spans="1:6" x14ac:dyDescent="0.25">
      <c r="A163" s="203" t="str">
        <f>"3907238"</f>
        <v>3907238</v>
      </c>
      <c r="B163" s="207" t="s">
        <v>5823</v>
      </c>
      <c r="C163" s="228">
        <v>21.51</v>
      </c>
      <c r="D163" s="203">
        <v>343662</v>
      </c>
      <c r="E163" s="205">
        <v>44130.365682870368</v>
      </c>
      <c r="F163" s="123">
        <v>12501</v>
      </c>
    </row>
    <row r="164" spans="1:6" x14ac:dyDescent="0.25">
      <c r="A164" s="203" t="str">
        <f>"3903105"</f>
        <v>3903105</v>
      </c>
      <c r="B164" s="207" t="s">
        <v>2903</v>
      </c>
      <c r="C164" s="228">
        <v>1.94</v>
      </c>
      <c r="D164" s="203">
        <v>343150</v>
      </c>
      <c r="E164" s="205">
        <v>44130.5856712963</v>
      </c>
      <c r="F164" s="123">
        <v>12502</v>
      </c>
    </row>
    <row r="165" spans="1:6" x14ac:dyDescent="0.25">
      <c r="A165" s="203" t="str">
        <f>"3930021"</f>
        <v>3930021</v>
      </c>
      <c r="B165" s="207" t="s">
        <v>5861</v>
      </c>
      <c r="C165" s="228">
        <v>3.38</v>
      </c>
      <c r="D165" s="203">
        <v>344016</v>
      </c>
      <c r="E165" s="205">
        <v>44130.326840277776</v>
      </c>
      <c r="F165" s="123">
        <v>12503</v>
      </c>
    </row>
    <row r="166" spans="1:6" x14ac:dyDescent="0.25">
      <c r="A166" s="203" t="str">
        <f>"3909808"</f>
        <v>3909808</v>
      </c>
      <c r="B166" s="207" t="s">
        <v>2809</v>
      </c>
      <c r="C166" s="228">
        <v>6.33</v>
      </c>
      <c r="D166" s="203">
        <v>344772</v>
      </c>
      <c r="E166" s="205">
        <v>44130.389872685184</v>
      </c>
      <c r="F166" s="123">
        <v>12504</v>
      </c>
    </row>
    <row r="167" spans="1:6" x14ac:dyDescent="0.25">
      <c r="A167" s="203" t="str">
        <f>"3900359"</f>
        <v>3900359</v>
      </c>
      <c r="B167" s="207" t="s">
        <v>5930</v>
      </c>
      <c r="C167" s="228">
        <v>3.14</v>
      </c>
      <c r="D167" s="203">
        <v>344908</v>
      </c>
      <c r="E167" s="205">
        <v>44130.482673611114</v>
      </c>
      <c r="F167" s="123">
        <v>12505</v>
      </c>
    </row>
    <row r="168" spans="1:6" x14ac:dyDescent="0.25">
      <c r="A168" s="203" t="str">
        <f>"3909789"</f>
        <v>3909789</v>
      </c>
      <c r="B168" s="207" t="s">
        <v>2878</v>
      </c>
      <c r="C168" s="228">
        <v>3.38</v>
      </c>
      <c r="D168" s="203">
        <v>344764</v>
      </c>
      <c r="E168" s="205">
        <v>44130.487141203703</v>
      </c>
      <c r="F168" s="123">
        <v>12506</v>
      </c>
    </row>
    <row r="169" spans="1:6" x14ac:dyDescent="0.25">
      <c r="A169" s="203" t="str">
        <f>"3907257"</f>
        <v>3907257</v>
      </c>
      <c r="B169" s="207" t="s">
        <v>2956</v>
      </c>
      <c r="C169" s="228">
        <v>3.07</v>
      </c>
      <c r="D169" s="203">
        <v>343664</v>
      </c>
      <c r="E169" s="205">
        <v>44130.552800925929</v>
      </c>
      <c r="F169" s="123">
        <v>12507</v>
      </c>
    </row>
    <row r="170" spans="1:6" x14ac:dyDescent="0.25">
      <c r="A170" s="203" t="str">
        <f>"3908246"</f>
        <v>3908246</v>
      </c>
      <c r="B170" s="207" t="s">
        <v>5824</v>
      </c>
      <c r="C170" s="228">
        <v>7.35</v>
      </c>
      <c r="D170" s="203">
        <v>345720</v>
      </c>
      <c r="E170" s="205">
        <v>44130.593368055554</v>
      </c>
      <c r="F170" s="123">
        <v>12508</v>
      </c>
    </row>
    <row r="171" spans="1:6" x14ac:dyDescent="0.25">
      <c r="A171" s="203" t="str">
        <f>"3907169"</f>
        <v>3907169</v>
      </c>
      <c r="B171" s="207" t="s">
        <v>5929</v>
      </c>
      <c r="C171" s="228">
        <v>13.92</v>
      </c>
      <c r="D171" s="203">
        <v>343349</v>
      </c>
      <c r="E171" s="205">
        <v>44130.596030092594</v>
      </c>
      <c r="F171" s="123">
        <v>12509</v>
      </c>
    </row>
    <row r="172" spans="1:6" x14ac:dyDescent="0.25">
      <c r="A172" s="203" t="str">
        <f>"3945401"</f>
        <v>3945401</v>
      </c>
      <c r="B172" s="207" t="s">
        <v>2967</v>
      </c>
      <c r="C172" s="228">
        <v>16.760000000000002</v>
      </c>
      <c r="D172" s="203">
        <v>343481</v>
      </c>
      <c r="E172" s="205">
        <v>44130.672754629632</v>
      </c>
      <c r="F172" s="123">
        <v>12510</v>
      </c>
    </row>
    <row r="173" spans="1:6" s="164" customFormat="1" x14ac:dyDescent="0.25">
      <c r="A173" s="115"/>
      <c r="B173" s="115" t="s">
        <v>5691</v>
      </c>
      <c r="C173" s="229">
        <f>SUM(C161:C172)</f>
        <v>87.530000000000015</v>
      </c>
      <c r="D173" s="115">
        <v>20</v>
      </c>
      <c r="E173" s="163"/>
      <c r="F173" s="115"/>
    </row>
    <row r="174" spans="1:6" customFormat="1" x14ac:dyDescent="0.25">
      <c r="A174" s="118"/>
      <c r="B174" s="116"/>
      <c r="C174" s="230"/>
      <c r="D174" s="118"/>
      <c r="E174" s="117"/>
      <c r="F174" s="118"/>
    </row>
    <row r="175" spans="1:6" x14ac:dyDescent="0.25">
      <c r="A175" s="203" t="str">
        <f>"3930280"</f>
        <v>3930280</v>
      </c>
      <c r="B175" s="207" t="s">
        <v>2996</v>
      </c>
      <c r="C175" s="228">
        <v>1.72</v>
      </c>
      <c r="D175" s="203">
        <v>344419</v>
      </c>
      <c r="E175" s="205">
        <v>44131.414131944446</v>
      </c>
      <c r="F175" s="123">
        <v>12528</v>
      </c>
    </row>
    <row r="176" spans="1:6" x14ac:dyDescent="0.25">
      <c r="A176" s="203" t="str">
        <f>"3908209"</f>
        <v>3908209</v>
      </c>
      <c r="B176" s="207" t="s">
        <v>5918</v>
      </c>
      <c r="C176" s="228">
        <v>1.81</v>
      </c>
      <c r="D176" s="203">
        <v>345652</v>
      </c>
      <c r="E176" s="205">
        <v>44131.43990740741</v>
      </c>
      <c r="F176" s="123">
        <v>12529</v>
      </c>
    </row>
    <row r="177" spans="1:6" x14ac:dyDescent="0.25">
      <c r="A177" s="203" t="str">
        <f>"3902947"</f>
        <v>3902947</v>
      </c>
      <c r="B177" s="207" t="s">
        <v>5895</v>
      </c>
      <c r="C177" s="228">
        <v>4.8600000000000003</v>
      </c>
      <c r="D177" s="203">
        <v>344766</v>
      </c>
      <c r="E177" s="205">
        <v>44131.515833333331</v>
      </c>
      <c r="F177" s="123">
        <v>12530</v>
      </c>
    </row>
    <row r="178" spans="1:6" x14ac:dyDescent="0.25">
      <c r="A178" s="203" t="str">
        <f>"3930044"</f>
        <v>3930044</v>
      </c>
      <c r="B178" s="207" t="s">
        <v>5840</v>
      </c>
      <c r="C178" s="228">
        <v>2.6</v>
      </c>
      <c r="D178" s="203">
        <v>344628</v>
      </c>
      <c r="E178" s="205">
        <v>44131.517696759256</v>
      </c>
      <c r="F178" s="123">
        <v>12531</v>
      </c>
    </row>
    <row r="179" spans="1:6" x14ac:dyDescent="0.25">
      <c r="A179" s="203" t="str">
        <f>"3900328"</f>
        <v>3900328</v>
      </c>
      <c r="B179" s="207" t="s">
        <v>2881</v>
      </c>
      <c r="C179" s="228">
        <v>1.68</v>
      </c>
      <c r="D179" s="203">
        <v>344893</v>
      </c>
      <c r="E179" s="205">
        <v>44131.51835648148</v>
      </c>
      <c r="F179" s="123">
        <v>12532</v>
      </c>
    </row>
    <row r="180" spans="1:6" x14ac:dyDescent="0.25">
      <c r="A180" s="203" t="str">
        <f>"3900325"</f>
        <v>3900325</v>
      </c>
      <c r="B180" s="207" t="s">
        <v>2881</v>
      </c>
      <c r="C180" s="228">
        <v>13.24</v>
      </c>
      <c r="D180" s="203">
        <v>344892</v>
      </c>
      <c r="E180" s="205">
        <v>44131.518888888888</v>
      </c>
      <c r="F180" s="123">
        <v>12533</v>
      </c>
    </row>
    <row r="181" spans="1:6" x14ac:dyDescent="0.25">
      <c r="A181" s="203" t="str">
        <f>"3907697"</f>
        <v>3907697</v>
      </c>
      <c r="B181" s="207" t="s">
        <v>5928</v>
      </c>
      <c r="C181" s="228">
        <v>5.04</v>
      </c>
      <c r="D181" s="203">
        <v>317765</v>
      </c>
      <c r="E181" s="205">
        <v>44131.663784722223</v>
      </c>
      <c r="F181" s="123">
        <v>12534</v>
      </c>
    </row>
    <row r="182" spans="1:6" s="164" customFormat="1" x14ac:dyDescent="0.25">
      <c r="A182" s="115"/>
      <c r="B182" s="115" t="s">
        <v>5691</v>
      </c>
      <c r="C182" s="229">
        <f>SUM(C175:C181)</f>
        <v>30.95</v>
      </c>
      <c r="D182" s="115">
        <v>21</v>
      </c>
      <c r="E182" s="163"/>
      <c r="F182" s="115"/>
    </row>
    <row r="183" spans="1:6" customFormat="1" x14ac:dyDescent="0.25">
      <c r="A183" s="118"/>
      <c r="B183" s="116"/>
      <c r="C183" s="230"/>
      <c r="D183" s="118"/>
      <c r="E183" s="117"/>
      <c r="F183" s="118"/>
    </row>
    <row r="184" spans="1:6" x14ac:dyDescent="0.25">
      <c r="A184" s="203" t="str">
        <f>"3906033"</f>
        <v>3906033</v>
      </c>
      <c r="B184" s="207" t="s">
        <v>5769</v>
      </c>
      <c r="C184" s="228">
        <v>1.68</v>
      </c>
      <c r="D184" s="203">
        <v>345360</v>
      </c>
      <c r="E184" s="205">
        <v>44132.361597222225</v>
      </c>
      <c r="F184" s="123">
        <v>12676</v>
      </c>
    </row>
    <row r="185" spans="1:6" x14ac:dyDescent="0.25">
      <c r="A185" s="203" t="str">
        <f>"3960274"</f>
        <v>3960274</v>
      </c>
      <c r="B185" s="207" t="s">
        <v>2798</v>
      </c>
      <c r="C185" s="228">
        <v>6.79</v>
      </c>
      <c r="D185" s="203">
        <v>343387</v>
      </c>
      <c r="E185" s="205">
        <v>44132.668287037035</v>
      </c>
      <c r="F185" s="123">
        <v>12677</v>
      </c>
    </row>
    <row r="186" spans="1:6" x14ac:dyDescent="0.25">
      <c r="A186" s="203" t="str">
        <f>"3909959"</f>
        <v>3909959</v>
      </c>
      <c r="B186" s="207" t="s">
        <v>2998</v>
      </c>
      <c r="C186" s="228">
        <v>4.09</v>
      </c>
      <c r="D186" s="203">
        <v>343909</v>
      </c>
      <c r="E186" s="205">
        <v>44132.846620370372</v>
      </c>
      <c r="F186" s="123">
        <v>12678</v>
      </c>
    </row>
    <row r="187" spans="1:6" s="164" customFormat="1" x14ac:dyDescent="0.25">
      <c r="A187" s="115"/>
      <c r="B187" s="115" t="s">
        <v>5691</v>
      </c>
      <c r="C187" s="229">
        <f>SUM(C184:C186)</f>
        <v>12.56</v>
      </c>
      <c r="D187" s="115">
        <v>22</v>
      </c>
      <c r="E187" s="163"/>
      <c r="F187" s="115"/>
    </row>
    <row r="188" spans="1:6" customFormat="1" x14ac:dyDescent="0.25">
      <c r="A188" s="118"/>
      <c r="B188" s="116"/>
      <c r="C188" s="230"/>
      <c r="D188" s="118"/>
      <c r="E188" s="117"/>
      <c r="F188" s="118"/>
    </row>
    <row r="189" spans="1:6" x14ac:dyDescent="0.25">
      <c r="A189" s="203" t="str">
        <f>"3920094"</f>
        <v>3920094</v>
      </c>
      <c r="B189" s="207" t="s">
        <v>5793</v>
      </c>
      <c r="C189" s="228">
        <v>17.899999999999999</v>
      </c>
      <c r="D189" s="203">
        <v>343405</v>
      </c>
      <c r="E189" s="205">
        <v>44133.363240740742</v>
      </c>
      <c r="F189" s="123">
        <v>12679</v>
      </c>
    </row>
    <row r="190" spans="1:6" x14ac:dyDescent="0.25">
      <c r="A190" s="203" t="str">
        <f>"3960276"</f>
        <v>3960276</v>
      </c>
      <c r="B190" s="207" t="s">
        <v>2894</v>
      </c>
      <c r="C190" s="228">
        <v>12.3</v>
      </c>
      <c r="D190" s="203">
        <v>343406</v>
      </c>
      <c r="E190" s="205">
        <v>44133.431458333333</v>
      </c>
      <c r="F190" s="123">
        <v>12680</v>
      </c>
    </row>
    <row r="191" spans="1:6" x14ac:dyDescent="0.25">
      <c r="A191" s="203" t="str">
        <f>"3909239"</f>
        <v>3909239</v>
      </c>
      <c r="B191" s="207" t="s">
        <v>5732</v>
      </c>
      <c r="C191" s="228">
        <v>2.04</v>
      </c>
      <c r="D191" s="203">
        <v>344732</v>
      </c>
      <c r="E191" s="205">
        <v>44133.457418981481</v>
      </c>
      <c r="F191" s="123">
        <v>12681</v>
      </c>
    </row>
    <row r="192" spans="1:6" x14ac:dyDescent="0.25">
      <c r="A192" s="203" t="str">
        <f>"3920348"</f>
        <v>3920348</v>
      </c>
      <c r="B192" s="207" t="s">
        <v>2935</v>
      </c>
      <c r="C192" s="228">
        <v>8.3800000000000008</v>
      </c>
      <c r="D192" s="203">
        <v>343415</v>
      </c>
      <c r="E192" s="205">
        <v>44133.528425925928</v>
      </c>
      <c r="F192" s="123">
        <v>12682</v>
      </c>
    </row>
    <row r="193" spans="1:6" x14ac:dyDescent="0.25">
      <c r="A193" s="203" t="str">
        <f>"3960265"</f>
        <v>3960265</v>
      </c>
      <c r="B193" s="207" t="s">
        <v>2999</v>
      </c>
      <c r="C193" s="228">
        <v>12.3</v>
      </c>
      <c r="D193" s="203">
        <v>343382</v>
      </c>
      <c r="E193" s="205">
        <v>44133.5315625</v>
      </c>
      <c r="F193" s="123">
        <v>12683</v>
      </c>
    </row>
    <row r="194" spans="1:6" x14ac:dyDescent="0.25">
      <c r="A194" s="203" t="str">
        <f>"3906750"</f>
        <v>3906750</v>
      </c>
      <c r="B194" s="207" t="s">
        <v>2911</v>
      </c>
      <c r="C194" s="228">
        <v>2.14</v>
      </c>
      <c r="D194" s="203">
        <v>344332</v>
      </c>
      <c r="E194" s="205">
        <v>44133.572418981479</v>
      </c>
      <c r="F194" s="123">
        <v>12684</v>
      </c>
    </row>
    <row r="195" spans="1:6" x14ac:dyDescent="0.25">
      <c r="A195" s="203" t="str">
        <f>"23923204"</f>
        <v>23923204</v>
      </c>
      <c r="B195" s="207" t="s">
        <v>5763</v>
      </c>
      <c r="C195" s="228">
        <v>4.3899999999999997</v>
      </c>
      <c r="D195" s="203">
        <v>3044</v>
      </c>
      <c r="E195" s="205">
        <v>44133.602685185186</v>
      </c>
      <c r="F195" s="123">
        <v>12685</v>
      </c>
    </row>
    <row r="196" spans="1:6" x14ac:dyDescent="0.25">
      <c r="A196" s="203" t="str">
        <f>"3900576"</f>
        <v>3900576</v>
      </c>
      <c r="B196" s="207" t="s">
        <v>2995</v>
      </c>
      <c r="C196" s="228">
        <v>1.68</v>
      </c>
      <c r="D196" s="203">
        <v>344990</v>
      </c>
      <c r="E196" s="205">
        <v>44133.866585648146</v>
      </c>
      <c r="F196" s="123">
        <v>12686</v>
      </c>
    </row>
    <row r="197" spans="1:6" s="164" customFormat="1" x14ac:dyDescent="0.25">
      <c r="A197" s="115"/>
      <c r="B197" s="115" t="s">
        <v>5691</v>
      </c>
      <c r="C197" s="229">
        <f>SUM(C189:C196)</f>
        <v>61.13</v>
      </c>
      <c r="D197" s="115">
        <v>23</v>
      </c>
      <c r="E197" s="163"/>
      <c r="F197" s="115"/>
    </row>
    <row r="198" spans="1:6" customFormat="1" x14ac:dyDescent="0.25">
      <c r="A198" s="118"/>
      <c r="B198" s="116"/>
      <c r="C198" s="230"/>
      <c r="D198" s="118"/>
      <c r="E198" s="117"/>
      <c r="F198" s="118"/>
    </row>
    <row r="199" spans="1:6" x14ac:dyDescent="0.25">
      <c r="A199" s="203" t="str">
        <f>"3907425"</f>
        <v>3907425</v>
      </c>
      <c r="B199" s="207" t="s">
        <v>2819</v>
      </c>
      <c r="C199" s="228">
        <v>14.56</v>
      </c>
      <c r="D199" s="203">
        <v>345493</v>
      </c>
      <c r="E199" s="205">
        <v>44134.488993055558</v>
      </c>
      <c r="F199" s="123">
        <v>12758</v>
      </c>
    </row>
    <row r="200" spans="1:6" x14ac:dyDescent="0.25">
      <c r="A200" s="203" t="str">
        <f>"3909154"</f>
        <v>3909154</v>
      </c>
      <c r="B200" s="207" t="s">
        <v>5832</v>
      </c>
      <c r="C200" s="228">
        <v>15.19</v>
      </c>
      <c r="D200" s="203">
        <v>343097</v>
      </c>
      <c r="E200" s="205">
        <v>44134.523344907408</v>
      </c>
      <c r="F200" s="123">
        <v>12759</v>
      </c>
    </row>
    <row r="201" spans="1:6" x14ac:dyDescent="0.25">
      <c r="A201" s="203" t="str">
        <f>"3906070"</f>
        <v>3906070</v>
      </c>
      <c r="B201" s="207" t="s">
        <v>5927</v>
      </c>
      <c r="C201" s="228">
        <v>132.24</v>
      </c>
      <c r="D201" s="203">
        <v>343609</v>
      </c>
      <c r="E201" s="205">
        <v>44134.558321759258</v>
      </c>
      <c r="F201" s="123">
        <v>12760</v>
      </c>
    </row>
    <row r="202" spans="1:6" x14ac:dyDescent="0.25">
      <c r="A202" s="203" t="str">
        <f>"3908079"</f>
        <v>3908079</v>
      </c>
      <c r="B202" s="207" t="s">
        <v>5715</v>
      </c>
      <c r="C202" s="228">
        <v>17.62</v>
      </c>
      <c r="D202" s="203">
        <v>343132</v>
      </c>
      <c r="E202" s="205">
        <v>44134.558368055557</v>
      </c>
      <c r="F202" s="123">
        <v>12761</v>
      </c>
    </row>
    <row r="203" spans="1:6" x14ac:dyDescent="0.25">
      <c r="A203" s="203" t="str">
        <f>"3940887"</f>
        <v>3940887</v>
      </c>
      <c r="B203" s="207" t="s">
        <v>2933</v>
      </c>
      <c r="C203" s="228">
        <v>35.799999999999997</v>
      </c>
      <c r="D203" s="203">
        <v>343411</v>
      </c>
      <c r="E203" s="205">
        <v>44134.577256944445</v>
      </c>
      <c r="F203" s="123">
        <v>12762</v>
      </c>
    </row>
    <row r="204" spans="1:6" s="164" customFormat="1" x14ac:dyDescent="0.25">
      <c r="A204" s="115"/>
      <c r="B204" s="115" t="s">
        <v>5691</v>
      </c>
      <c r="C204" s="229">
        <f>SUM(C199:C203)</f>
        <v>215.41000000000003</v>
      </c>
      <c r="D204" s="115">
        <v>24</v>
      </c>
      <c r="E204" s="163"/>
      <c r="F204" s="115"/>
    </row>
    <row r="205" spans="1:6" customFormat="1" x14ac:dyDescent="0.25">
      <c r="A205" s="118"/>
      <c r="B205" s="116"/>
      <c r="C205" s="230"/>
      <c r="D205" s="118"/>
      <c r="E205" s="117"/>
      <c r="F205" s="118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75" fitToHeight="5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F44C6-0284-4796-A512-B9038570AE7D}">
  <sheetPr>
    <pageSetUpPr fitToPage="1"/>
  </sheetPr>
  <dimension ref="A1:O702"/>
  <sheetViews>
    <sheetView topLeftCell="A331" workbookViewId="0">
      <selection activeCell="E146" sqref="E146"/>
    </sheetView>
  </sheetViews>
  <sheetFormatPr baseColWidth="10" defaultColWidth="28.28515625" defaultRowHeight="15.75" x14ac:dyDescent="0.25"/>
  <cols>
    <col min="1" max="1" width="9.85546875" style="176" bestFit="1" customWidth="1"/>
    <col min="2" max="2" width="9" style="176" bestFit="1" customWidth="1"/>
    <col min="3" max="3" width="41.85546875" style="176" customWidth="1"/>
    <col min="4" max="4" width="9.85546875" style="176" bestFit="1" customWidth="1"/>
    <col min="5" max="5" width="10" style="182" customWidth="1"/>
    <col min="6" max="6" width="15.42578125" style="176" bestFit="1" customWidth="1"/>
    <col min="7" max="7" width="8.7109375" style="176" bestFit="1" customWidth="1"/>
    <col min="8" max="8" width="8" style="176" bestFit="1" customWidth="1"/>
    <col min="9" max="9" width="28.28515625" style="176"/>
    <col min="10" max="10" width="31.42578125" style="176" bestFit="1" customWidth="1"/>
    <col min="11" max="11" width="1.5703125" style="176" bestFit="1" customWidth="1"/>
    <col min="12" max="12" width="13.7109375" style="176" bestFit="1" customWidth="1"/>
    <col min="13" max="13" width="22.85546875" style="176" bestFit="1" customWidth="1"/>
    <col min="14" max="14" width="28.28515625" style="176"/>
    <col min="15" max="15" width="255.7109375" style="176" bestFit="1" customWidth="1"/>
    <col min="16" max="16384" width="28.28515625" style="176"/>
  </cols>
  <sheetData>
    <row r="1" spans="1:8" ht="16.5" thickBot="1" x14ac:dyDescent="0.3">
      <c r="A1" s="382" t="s">
        <v>14431</v>
      </c>
      <c r="B1" s="383"/>
      <c r="C1" s="383"/>
      <c r="D1" s="383"/>
      <c r="E1" s="383"/>
      <c r="F1" s="383"/>
      <c r="G1" s="174"/>
      <c r="H1" s="175"/>
    </row>
    <row r="2" spans="1:8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ht="31.5" x14ac:dyDescent="0.25">
      <c r="A3" s="177" t="s">
        <v>14368</v>
      </c>
      <c r="B3" s="177" t="s">
        <v>14406</v>
      </c>
      <c r="C3" s="177" t="s">
        <v>14405</v>
      </c>
      <c r="D3" s="177" t="s">
        <v>8469</v>
      </c>
      <c r="E3" s="181">
        <v>5.35</v>
      </c>
      <c r="F3" s="177" t="s">
        <v>8468</v>
      </c>
      <c r="G3" s="177" t="s">
        <v>3007</v>
      </c>
      <c r="H3" s="172">
        <v>11485</v>
      </c>
    </row>
    <row r="4" spans="1:8" ht="31.5" x14ac:dyDescent="0.25">
      <c r="A4" s="177" t="s">
        <v>14368</v>
      </c>
      <c r="B4" s="177" t="s">
        <v>14404</v>
      </c>
      <c r="C4" s="177" t="s">
        <v>14403</v>
      </c>
      <c r="D4" s="177" t="s">
        <v>8769</v>
      </c>
      <c r="E4" s="181">
        <v>8.5399999999999991</v>
      </c>
      <c r="F4" s="177" t="s">
        <v>8768</v>
      </c>
      <c r="G4" s="177" t="s">
        <v>3007</v>
      </c>
      <c r="H4" s="172">
        <v>11486</v>
      </c>
    </row>
    <row r="5" spans="1:8" ht="31.5" x14ac:dyDescent="0.25">
      <c r="A5" s="177" t="s">
        <v>14368</v>
      </c>
      <c r="B5" s="177" t="s">
        <v>14402</v>
      </c>
      <c r="C5" s="177" t="s">
        <v>14401</v>
      </c>
      <c r="D5" s="177" t="s">
        <v>11833</v>
      </c>
      <c r="E5" s="181">
        <v>3.18</v>
      </c>
      <c r="F5" s="177" t="s">
        <v>11832</v>
      </c>
      <c r="G5" s="177" t="s">
        <v>3007</v>
      </c>
      <c r="H5" s="172">
        <v>11487</v>
      </c>
    </row>
    <row r="6" spans="1:8" ht="31.5" x14ac:dyDescent="0.25">
      <c r="A6" s="177" t="s">
        <v>14368</v>
      </c>
      <c r="B6" s="177" t="s">
        <v>14400</v>
      </c>
      <c r="C6" s="177" t="s">
        <v>14399</v>
      </c>
      <c r="D6" s="177" t="s">
        <v>3026</v>
      </c>
      <c r="E6" s="181">
        <v>2.62</v>
      </c>
      <c r="F6" s="177" t="s">
        <v>3025</v>
      </c>
      <c r="G6" s="177" t="s">
        <v>3007</v>
      </c>
      <c r="H6" s="172">
        <v>11488</v>
      </c>
    </row>
    <row r="7" spans="1:8" ht="31.5" x14ac:dyDescent="0.25">
      <c r="A7" s="177" t="s">
        <v>14368</v>
      </c>
      <c r="B7" s="177" t="s">
        <v>14398</v>
      </c>
      <c r="C7" s="177" t="s">
        <v>14397</v>
      </c>
      <c r="D7" s="177" t="s">
        <v>7843</v>
      </c>
      <c r="E7" s="181">
        <v>10.84</v>
      </c>
      <c r="F7" s="177" t="s">
        <v>7842</v>
      </c>
      <c r="G7" s="177" t="s">
        <v>3007</v>
      </c>
      <c r="H7" s="172">
        <v>11489</v>
      </c>
    </row>
    <row r="8" spans="1:8" ht="31.5" x14ac:dyDescent="0.25">
      <c r="A8" s="177" t="s">
        <v>14368</v>
      </c>
      <c r="B8" s="177" t="s">
        <v>14396</v>
      </c>
      <c r="C8" s="177" t="s">
        <v>14395</v>
      </c>
      <c r="D8" s="177" t="s">
        <v>7598</v>
      </c>
      <c r="E8" s="181">
        <v>22.39</v>
      </c>
      <c r="F8" s="177" t="s">
        <v>7597</v>
      </c>
      <c r="G8" s="177" t="s">
        <v>3007</v>
      </c>
      <c r="H8" s="172">
        <v>11490</v>
      </c>
    </row>
    <row r="9" spans="1:8" ht="31.5" x14ac:dyDescent="0.25">
      <c r="A9" s="177" t="s">
        <v>14368</v>
      </c>
      <c r="B9" s="177" t="s">
        <v>14394</v>
      </c>
      <c r="C9" s="177" t="s">
        <v>14393</v>
      </c>
      <c r="D9" s="177" t="s">
        <v>5983</v>
      </c>
      <c r="E9" s="181">
        <v>1.7</v>
      </c>
      <c r="F9" s="177" t="s">
        <v>5982</v>
      </c>
      <c r="G9" s="177" t="s">
        <v>3007</v>
      </c>
      <c r="H9" s="172">
        <v>11491</v>
      </c>
    </row>
    <row r="10" spans="1:8" ht="31.5" x14ac:dyDescent="0.25">
      <c r="A10" s="177" t="s">
        <v>14368</v>
      </c>
      <c r="B10" s="177" t="s">
        <v>14392</v>
      </c>
      <c r="C10" s="177" t="s">
        <v>14391</v>
      </c>
      <c r="D10" s="177" t="s">
        <v>7701</v>
      </c>
      <c r="E10" s="181">
        <v>1.68</v>
      </c>
      <c r="F10" s="177" t="s">
        <v>7700</v>
      </c>
      <c r="G10" s="177" t="s">
        <v>3007</v>
      </c>
      <c r="H10" s="172">
        <v>11492</v>
      </c>
    </row>
    <row r="11" spans="1:8" ht="31.5" x14ac:dyDescent="0.25">
      <c r="A11" s="177" t="s">
        <v>14368</v>
      </c>
      <c r="B11" s="177" t="s">
        <v>14390</v>
      </c>
      <c r="C11" s="177" t="s">
        <v>14389</v>
      </c>
      <c r="D11" s="177" t="s">
        <v>11277</v>
      </c>
      <c r="E11" s="181">
        <v>4.4800000000000004</v>
      </c>
      <c r="F11" s="177" t="s">
        <v>11276</v>
      </c>
      <c r="G11" s="177" t="s">
        <v>3007</v>
      </c>
      <c r="H11" s="172">
        <v>11493</v>
      </c>
    </row>
    <row r="12" spans="1:8" ht="31.5" x14ac:dyDescent="0.25">
      <c r="A12" s="177" t="s">
        <v>14368</v>
      </c>
      <c r="B12" s="177" t="s">
        <v>14388</v>
      </c>
      <c r="C12" s="177" t="s">
        <v>14387</v>
      </c>
      <c r="D12" s="177" t="s">
        <v>6053</v>
      </c>
      <c r="E12" s="181">
        <v>1.81</v>
      </c>
      <c r="F12" s="177" t="s">
        <v>6052</v>
      </c>
      <c r="G12" s="177" t="s">
        <v>3007</v>
      </c>
      <c r="H12" s="172">
        <v>11494</v>
      </c>
    </row>
    <row r="13" spans="1:8" ht="31.5" x14ac:dyDescent="0.25">
      <c r="A13" s="177" t="s">
        <v>14368</v>
      </c>
      <c r="B13" s="177" t="s">
        <v>14386</v>
      </c>
      <c r="C13" s="177" t="s">
        <v>14385</v>
      </c>
      <c r="D13" s="177" t="s">
        <v>4461</v>
      </c>
      <c r="E13" s="181">
        <v>2.12</v>
      </c>
      <c r="F13" s="177" t="s">
        <v>4460</v>
      </c>
      <c r="G13" s="177" t="s">
        <v>3007</v>
      </c>
      <c r="H13" s="172">
        <v>11495</v>
      </c>
    </row>
    <row r="14" spans="1:8" ht="31.5" x14ac:dyDescent="0.25">
      <c r="A14" s="177" t="s">
        <v>14368</v>
      </c>
      <c r="B14" s="177" t="s">
        <v>14384</v>
      </c>
      <c r="C14" s="177" t="s">
        <v>14383</v>
      </c>
      <c r="D14" s="177" t="s">
        <v>11006</v>
      </c>
      <c r="E14" s="181">
        <v>7.6</v>
      </c>
      <c r="F14" s="177" t="s">
        <v>11005</v>
      </c>
      <c r="G14" s="177" t="s">
        <v>3007</v>
      </c>
      <c r="H14" s="172">
        <v>11496</v>
      </c>
    </row>
    <row r="15" spans="1:8" ht="31.5" x14ac:dyDescent="0.25">
      <c r="A15" s="177" t="s">
        <v>14368</v>
      </c>
      <c r="B15" s="177" t="s">
        <v>14382</v>
      </c>
      <c r="C15" s="177" t="s">
        <v>14381</v>
      </c>
      <c r="D15" s="177" t="s">
        <v>4799</v>
      </c>
      <c r="E15" s="181">
        <v>3.36</v>
      </c>
      <c r="F15" s="177" t="s">
        <v>4798</v>
      </c>
      <c r="G15" s="177" t="s">
        <v>3007</v>
      </c>
      <c r="H15" s="172">
        <v>11497</v>
      </c>
    </row>
    <row r="16" spans="1:8" ht="31.5" x14ac:dyDescent="0.25">
      <c r="A16" s="177" t="s">
        <v>14368</v>
      </c>
      <c r="B16" s="177" t="s">
        <v>14380</v>
      </c>
      <c r="C16" s="177" t="s">
        <v>14379</v>
      </c>
      <c r="D16" s="177" t="s">
        <v>14378</v>
      </c>
      <c r="E16" s="181">
        <v>3.61</v>
      </c>
      <c r="F16" s="177" t="s">
        <v>14377</v>
      </c>
      <c r="G16" s="177" t="s">
        <v>3007</v>
      </c>
      <c r="H16" s="172">
        <v>11498</v>
      </c>
    </row>
    <row r="17" spans="1:8" ht="31.5" x14ac:dyDescent="0.25">
      <c r="A17" s="177" t="s">
        <v>14368</v>
      </c>
      <c r="B17" s="177" t="s">
        <v>14376</v>
      </c>
      <c r="C17" s="177" t="s">
        <v>14375</v>
      </c>
      <c r="D17" s="177" t="s">
        <v>7585</v>
      </c>
      <c r="E17" s="181">
        <v>4.21</v>
      </c>
      <c r="F17" s="177" t="s">
        <v>7584</v>
      </c>
      <c r="G17" s="177" t="s">
        <v>3007</v>
      </c>
      <c r="H17" s="172">
        <v>11499</v>
      </c>
    </row>
    <row r="18" spans="1:8" ht="31.5" x14ac:dyDescent="0.25">
      <c r="A18" s="177" t="s">
        <v>14368</v>
      </c>
      <c r="B18" s="177" t="s">
        <v>14374</v>
      </c>
      <c r="C18" s="177" t="s">
        <v>14373</v>
      </c>
      <c r="D18" s="177" t="s">
        <v>10716</v>
      </c>
      <c r="E18" s="181">
        <v>8.3800000000000008</v>
      </c>
      <c r="F18" s="177" t="s">
        <v>10715</v>
      </c>
      <c r="G18" s="177" t="s">
        <v>3007</v>
      </c>
      <c r="H18" s="172">
        <v>11500</v>
      </c>
    </row>
    <row r="19" spans="1:8" ht="31.5" x14ac:dyDescent="0.25">
      <c r="A19" s="177" t="s">
        <v>14368</v>
      </c>
      <c r="B19" s="177" t="s">
        <v>14372</v>
      </c>
      <c r="C19" s="177" t="s">
        <v>14371</v>
      </c>
      <c r="D19" s="177" t="s">
        <v>11346</v>
      </c>
      <c r="E19" s="181">
        <v>3.36</v>
      </c>
      <c r="F19" s="177" t="s">
        <v>11345</v>
      </c>
      <c r="G19" s="177" t="s">
        <v>3007</v>
      </c>
      <c r="H19" s="172">
        <v>11501</v>
      </c>
    </row>
    <row r="20" spans="1:8" ht="31.5" x14ac:dyDescent="0.25">
      <c r="A20" s="177" t="s">
        <v>14368</v>
      </c>
      <c r="B20" s="177" t="s">
        <v>14370</v>
      </c>
      <c r="C20" s="177" t="s">
        <v>14369</v>
      </c>
      <c r="D20" s="177" t="s">
        <v>6014</v>
      </c>
      <c r="E20" s="181">
        <v>29.23</v>
      </c>
      <c r="F20" s="177" t="s">
        <v>6013</v>
      </c>
      <c r="G20" s="177" t="s">
        <v>3007</v>
      </c>
      <c r="H20" s="172">
        <v>11502</v>
      </c>
    </row>
    <row r="21" spans="1:8" ht="31.5" x14ac:dyDescent="0.25">
      <c r="A21" s="177" t="s">
        <v>14368</v>
      </c>
      <c r="B21" s="177" t="s">
        <v>14367</v>
      </c>
      <c r="C21" s="177" t="s">
        <v>14366</v>
      </c>
      <c r="D21" s="177" t="s">
        <v>5584</v>
      </c>
      <c r="E21" s="181">
        <v>1.68</v>
      </c>
      <c r="F21" s="177" t="s">
        <v>5583</v>
      </c>
      <c r="G21" s="177" t="s">
        <v>3007</v>
      </c>
      <c r="H21" s="172">
        <v>11503</v>
      </c>
    </row>
    <row r="22" spans="1:8" ht="31.5" x14ac:dyDescent="0.25">
      <c r="A22" s="177" t="s">
        <v>14341</v>
      </c>
      <c r="B22" s="177" t="s">
        <v>14365</v>
      </c>
      <c r="C22" s="177" t="s">
        <v>14364</v>
      </c>
      <c r="D22" s="177" t="s">
        <v>4901</v>
      </c>
      <c r="E22" s="181">
        <v>8.91</v>
      </c>
      <c r="F22" s="177" t="s">
        <v>4900</v>
      </c>
      <c r="G22" s="177" t="s">
        <v>3007</v>
      </c>
      <c r="H22" s="172">
        <v>11549</v>
      </c>
    </row>
    <row r="23" spans="1:8" ht="31.5" x14ac:dyDescent="0.25">
      <c r="A23" s="177" t="s">
        <v>14341</v>
      </c>
      <c r="B23" s="177" t="s">
        <v>14363</v>
      </c>
      <c r="C23" s="177" t="s">
        <v>14362</v>
      </c>
      <c r="D23" s="177" t="s">
        <v>5500</v>
      </c>
      <c r="E23" s="181">
        <v>1.68</v>
      </c>
      <c r="F23" s="177" t="s">
        <v>5499</v>
      </c>
      <c r="G23" s="177" t="s">
        <v>3007</v>
      </c>
      <c r="H23" s="172">
        <v>11550</v>
      </c>
    </row>
    <row r="24" spans="1:8" ht="31.5" x14ac:dyDescent="0.25">
      <c r="A24" s="177" t="s">
        <v>14341</v>
      </c>
      <c r="B24" s="177" t="s">
        <v>14361</v>
      </c>
      <c r="C24" s="177" t="s">
        <v>14360</v>
      </c>
      <c r="D24" s="177" t="s">
        <v>11335</v>
      </c>
      <c r="E24" s="181">
        <v>16.760000000000002</v>
      </c>
      <c r="F24" s="177" t="s">
        <v>11334</v>
      </c>
      <c r="G24" s="177" t="s">
        <v>3007</v>
      </c>
      <c r="H24" s="172">
        <v>11551</v>
      </c>
    </row>
    <row r="25" spans="1:8" ht="31.5" x14ac:dyDescent="0.25">
      <c r="A25" s="177" t="s">
        <v>14341</v>
      </c>
      <c r="B25" s="177" t="s">
        <v>14359</v>
      </c>
      <c r="C25" s="177" t="s">
        <v>14358</v>
      </c>
      <c r="D25" s="177" t="s">
        <v>3123</v>
      </c>
      <c r="E25" s="181">
        <v>1.68</v>
      </c>
      <c r="F25" s="177" t="s">
        <v>3122</v>
      </c>
      <c r="G25" s="177" t="s">
        <v>3007</v>
      </c>
      <c r="H25" s="172">
        <v>11552</v>
      </c>
    </row>
    <row r="26" spans="1:8" ht="31.5" x14ac:dyDescent="0.25">
      <c r="A26" s="177" t="s">
        <v>14341</v>
      </c>
      <c r="B26" s="177" t="s">
        <v>14357</v>
      </c>
      <c r="C26" s="177" t="s">
        <v>14356</v>
      </c>
      <c r="D26" s="177" t="s">
        <v>8863</v>
      </c>
      <c r="E26" s="181">
        <v>11.48</v>
      </c>
      <c r="F26" s="177" t="s">
        <v>8862</v>
      </c>
      <c r="G26" s="177" t="s">
        <v>3007</v>
      </c>
      <c r="H26" s="172">
        <v>11553</v>
      </c>
    </row>
    <row r="27" spans="1:8" ht="31.5" x14ac:dyDescent="0.25">
      <c r="A27" s="177" t="s">
        <v>14341</v>
      </c>
      <c r="B27" s="177" t="s">
        <v>14355</v>
      </c>
      <c r="C27" s="177" t="s">
        <v>14354</v>
      </c>
      <c r="D27" s="177" t="s">
        <v>7733</v>
      </c>
      <c r="E27" s="181">
        <v>4.38</v>
      </c>
      <c r="F27" s="177" t="s">
        <v>7732</v>
      </c>
      <c r="G27" s="177" t="s">
        <v>3007</v>
      </c>
      <c r="H27" s="172">
        <v>11554</v>
      </c>
    </row>
    <row r="28" spans="1:8" ht="31.5" x14ac:dyDescent="0.25">
      <c r="A28" s="177" t="s">
        <v>14341</v>
      </c>
      <c r="B28" s="177" t="s">
        <v>14353</v>
      </c>
      <c r="C28" s="177" t="s">
        <v>14352</v>
      </c>
      <c r="D28" s="177" t="s">
        <v>7123</v>
      </c>
      <c r="E28" s="181">
        <v>1.75</v>
      </c>
      <c r="F28" s="177" t="s">
        <v>7122</v>
      </c>
      <c r="G28" s="177" t="s">
        <v>3007</v>
      </c>
      <c r="H28" s="172">
        <v>11555</v>
      </c>
    </row>
    <row r="29" spans="1:8" ht="31.5" x14ac:dyDescent="0.25">
      <c r="A29" s="177" t="s">
        <v>14341</v>
      </c>
      <c r="B29" s="177" t="s">
        <v>14351</v>
      </c>
      <c r="C29" s="177" t="s">
        <v>14350</v>
      </c>
      <c r="D29" s="177" t="s">
        <v>4712</v>
      </c>
      <c r="E29" s="181">
        <v>3.34</v>
      </c>
      <c r="F29" s="177" t="s">
        <v>4711</v>
      </c>
      <c r="G29" s="177" t="s">
        <v>3007</v>
      </c>
      <c r="H29" s="173">
        <v>11556</v>
      </c>
    </row>
    <row r="30" spans="1:8" ht="31.5" x14ac:dyDescent="0.25">
      <c r="A30" s="177" t="s">
        <v>14341</v>
      </c>
      <c r="B30" s="177" t="s">
        <v>14349</v>
      </c>
      <c r="C30" s="177" t="s">
        <v>14348</v>
      </c>
      <c r="D30" s="177" t="s">
        <v>6022</v>
      </c>
      <c r="E30" s="181">
        <v>1.79</v>
      </c>
      <c r="F30" s="177" t="s">
        <v>6021</v>
      </c>
      <c r="G30" s="177" t="s">
        <v>3007</v>
      </c>
      <c r="H30" s="173">
        <v>11557</v>
      </c>
    </row>
    <row r="31" spans="1:8" ht="31.5" x14ac:dyDescent="0.25">
      <c r="A31" s="177" t="s">
        <v>14341</v>
      </c>
      <c r="B31" s="177" t="s">
        <v>13136</v>
      </c>
      <c r="C31" s="177" t="s">
        <v>14347</v>
      </c>
      <c r="D31" s="177" t="s">
        <v>6695</v>
      </c>
      <c r="E31" s="181">
        <v>4.09</v>
      </c>
      <c r="F31" s="177" t="s">
        <v>6694</v>
      </c>
      <c r="G31" s="177" t="s">
        <v>3007</v>
      </c>
      <c r="H31" s="173">
        <v>11558</v>
      </c>
    </row>
    <row r="32" spans="1:8" ht="31.5" x14ac:dyDescent="0.25">
      <c r="A32" s="177" t="s">
        <v>14341</v>
      </c>
      <c r="B32" s="177" t="s">
        <v>14346</v>
      </c>
      <c r="C32" s="177" t="s">
        <v>14345</v>
      </c>
      <c r="D32" s="177" t="s">
        <v>12141</v>
      </c>
      <c r="E32" s="181">
        <v>2.0299999999999998</v>
      </c>
      <c r="F32" s="177" t="s">
        <v>12140</v>
      </c>
      <c r="G32" s="177" t="s">
        <v>3007</v>
      </c>
      <c r="H32" s="173">
        <v>11559</v>
      </c>
    </row>
    <row r="33" spans="1:11" ht="31.5" x14ac:dyDescent="0.25">
      <c r="A33" s="177" t="s">
        <v>14341</v>
      </c>
      <c r="B33" s="177" t="s">
        <v>14344</v>
      </c>
      <c r="C33" s="177" t="s">
        <v>14343</v>
      </c>
      <c r="D33" s="177" t="s">
        <v>8007</v>
      </c>
      <c r="E33" s="181">
        <v>2.5099999999999998</v>
      </c>
      <c r="F33" s="177" t="s">
        <v>8006</v>
      </c>
      <c r="G33" s="177" t="s">
        <v>3007</v>
      </c>
      <c r="H33" s="173" t="s">
        <v>14342</v>
      </c>
    </row>
    <row r="34" spans="1:11" ht="31.5" x14ac:dyDescent="0.25">
      <c r="A34" s="177" t="s">
        <v>14341</v>
      </c>
      <c r="B34" s="177" t="s">
        <v>14340</v>
      </c>
      <c r="C34" s="177" t="s">
        <v>14339</v>
      </c>
      <c r="D34" s="177" t="s">
        <v>7966</v>
      </c>
      <c r="E34" s="181">
        <v>10.34</v>
      </c>
      <c r="F34" s="177" t="s">
        <v>7965</v>
      </c>
      <c r="G34" s="177" t="s">
        <v>3007</v>
      </c>
      <c r="H34" s="173">
        <v>11560</v>
      </c>
    </row>
    <row r="35" spans="1:11" ht="31.5" x14ac:dyDescent="0.25">
      <c r="A35" s="177" t="s">
        <v>14311</v>
      </c>
      <c r="B35" s="177" t="s">
        <v>14338</v>
      </c>
      <c r="C35" s="177" t="s">
        <v>14337</v>
      </c>
      <c r="D35" s="177" t="s">
        <v>10050</v>
      </c>
      <c r="E35" s="181">
        <v>13.56</v>
      </c>
      <c r="F35" s="177" t="s">
        <v>10049</v>
      </c>
      <c r="G35" s="177" t="s">
        <v>3007</v>
      </c>
      <c r="H35" s="173">
        <v>11667</v>
      </c>
    </row>
    <row r="36" spans="1:11" ht="31.5" x14ac:dyDescent="0.25">
      <c r="A36" s="177" t="s">
        <v>14311</v>
      </c>
      <c r="B36" s="177" t="s">
        <v>14336</v>
      </c>
      <c r="C36" s="177" t="s">
        <v>14335</v>
      </c>
      <c r="D36" s="177" t="s">
        <v>3583</v>
      </c>
      <c r="E36" s="181">
        <v>8.66</v>
      </c>
      <c r="F36" s="177" t="s">
        <v>3582</v>
      </c>
      <c r="G36" s="177" t="s">
        <v>3007</v>
      </c>
      <c r="H36" s="173">
        <v>11668</v>
      </c>
    </row>
    <row r="37" spans="1:11" ht="31.5" x14ac:dyDescent="0.25">
      <c r="A37" s="177" t="s">
        <v>14311</v>
      </c>
      <c r="B37" s="177" t="s">
        <v>14334</v>
      </c>
      <c r="C37" s="177" t="s">
        <v>14333</v>
      </c>
      <c r="D37" s="177" t="s">
        <v>3627</v>
      </c>
      <c r="E37" s="181">
        <v>21.54</v>
      </c>
      <c r="F37" s="177" t="s">
        <v>3626</v>
      </c>
      <c r="G37" s="177" t="s">
        <v>3007</v>
      </c>
      <c r="H37" s="172">
        <v>11669</v>
      </c>
    </row>
    <row r="38" spans="1:11" ht="31.5" x14ac:dyDescent="0.25">
      <c r="A38" s="177" t="s">
        <v>14311</v>
      </c>
      <c r="B38" s="177" t="s">
        <v>14332</v>
      </c>
      <c r="C38" s="177" t="s">
        <v>14331</v>
      </c>
      <c r="D38" s="177" t="s">
        <v>3009</v>
      </c>
      <c r="E38" s="181">
        <v>1.71</v>
      </c>
      <c r="F38" s="177" t="s">
        <v>3008</v>
      </c>
      <c r="G38" s="177" t="s">
        <v>3007</v>
      </c>
      <c r="H38" s="172">
        <v>11670</v>
      </c>
    </row>
    <row r="39" spans="1:11" ht="31.5" x14ac:dyDescent="0.25">
      <c r="A39" s="177" t="s">
        <v>14311</v>
      </c>
      <c r="B39" s="177" t="s">
        <v>8283</v>
      </c>
      <c r="C39" s="177" t="s">
        <v>14330</v>
      </c>
      <c r="D39" s="177" t="s">
        <v>14329</v>
      </c>
      <c r="E39" s="181">
        <v>7.0000000000000007E-2</v>
      </c>
      <c r="F39" s="177" t="s">
        <v>14328</v>
      </c>
      <c r="G39" s="177" t="s">
        <v>3007</v>
      </c>
      <c r="H39" s="172">
        <v>11671</v>
      </c>
    </row>
    <row r="40" spans="1:11" ht="31.5" x14ac:dyDescent="0.25">
      <c r="A40" s="177" t="s">
        <v>14311</v>
      </c>
      <c r="B40" s="177" t="s">
        <v>14327</v>
      </c>
      <c r="C40" s="177" t="s">
        <v>14326</v>
      </c>
      <c r="D40" s="177" t="s">
        <v>5366</v>
      </c>
      <c r="E40" s="181">
        <v>1.68</v>
      </c>
      <c r="F40" s="177" t="s">
        <v>5365</v>
      </c>
      <c r="G40" s="177" t="s">
        <v>3007</v>
      </c>
      <c r="H40" s="172">
        <v>11672</v>
      </c>
    </row>
    <row r="41" spans="1:11" ht="31.5" x14ac:dyDescent="0.25">
      <c r="A41" s="177" t="s">
        <v>14311</v>
      </c>
      <c r="B41" s="177" t="s">
        <v>14325</v>
      </c>
      <c r="C41" s="177" t="s">
        <v>14324</v>
      </c>
      <c r="D41" s="177" t="s">
        <v>8578</v>
      </c>
      <c r="E41" s="181">
        <v>1.68</v>
      </c>
      <c r="F41" s="177" t="s">
        <v>8577</v>
      </c>
      <c r="G41" s="177" t="s">
        <v>3007</v>
      </c>
      <c r="H41" s="172">
        <v>11673</v>
      </c>
    </row>
    <row r="42" spans="1:11" ht="31.5" x14ac:dyDescent="0.25">
      <c r="A42" s="177" t="s">
        <v>14311</v>
      </c>
      <c r="B42" s="177" t="s">
        <v>14323</v>
      </c>
      <c r="C42" s="177" t="s">
        <v>14322</v>
      </c>
      <c r="D42" s="177" t="s">
        <v>7355</v>
      </c>
      <c r="E42" s="181">
        <v>10.18</v>
      </c>
      <c r="F42" s="177" t="s">
        <v>7354</v>
      </c>
      <c r="G42" s="177" t="s">
        <v>3007</v>
      </c>
      <c r="H42" s="172">
        <v>11675</v>
      </c>
    </row>
    <row r="43" spans="1:11" ht="31.5" x14ac:dyDescent="0.25">
      <c r="A43" s="177" t="s">
        <v>14311</v>
      </c>
      <c r="B43" s="177" t="s">
        <v>14321</v>
      </c>
      <c r="C43" s="177" t="s">
        <v>14320</v>
      </c>
      <c r="D43" s="177" t="s">
        <v>6996</v>
      </c>
      <c r="E43" s="181">
        <v>14.5</v>
      </c>
      <c r="F43" s="177" t="s">
        <v>6995</v>
      </c>
      <c r="G43" s="177" t="s">
        <v>3007</v>
      </c>
      <c r="H43" s="172">
        <v>11674</v>
      </c>
    </row>
    <row r="44" spans="1:11" ht="31.5" x14ac:dyDescent="0.25">
      <c r="A44" s="177" t="s">
        <v>14311</v>
      </c>
      <c r="B44" s="177" t="s">
        <v>14319</v>
      </c>
      <c r="C44" s="177" t="s">
        <v>14318</v>
      </c>
      <c r="D44" s="177" t="s">
        <v>8589</v>
      </c>
      <c r="E44" s="181">
        <v>13.11</v>
      </c>
      <c r="F44" s="177" t="s">
        <v>8588</v>
      </c>
      <c r="G44" s="177" t="s">
        <v>3007</v>
      </c>
      <c r="H44" s="172">
        <v>11676</v>
      </c>
    </row>
    <row r="45" spans="1:11" ht="31.5" x14ac:dyDescent="0.25">
      <c r="A45" s="177" t="s">
        <v>14311</v>
      </c>
      <c r="B45" s="177" t="s">
        <v>14317</v>
      </c>
      <c r="C45" s="177" t="s">
        <v>14316</v>
      </c>
      <c r="D45" s="177" t="s">
        <v>5618</v>
      </c>
      <c r="E45" s="181">
        <v>1.69</v>
      </c>
      <c r="F45" s="177" t="s">
        <v>5617</v>
      </c>
      <c r="G45" s="177" t="s">
        <v>3007</v>
      </c>
      <c r="H45" s="172">
        <v>11677</v>
      </c>
    </row>
    <row r="46" spans="1:11" ht="31.5" x14ac:dyDescent="0.25">
      <c r="A46" s="177" t="s">
        <v>14311</v>
      </c>
      <c r="B46" s="177" t="s">
        <v>14315</v>
      </c>
      <c r="C46" s="177" t="s">
        <v>14314</v>
      </c>
      <c r="D46" s="177" t="s">
        <v>7349</v>
      </c>
      <c r="E46" s="181">
        <v>2.4300000000000002</v>
      </c>
      <c r="F46" s="177" t="s">
        <v>7348</v>
      </c>
      <c r="G46" s="177" t="s">
        <v>3007</v>
      </c>
      <c r="H46" s="172">
        <v>11678</v>
      </c>
      <c r="K46" s="176" t="s">
        <v>5521</v>
      </c>
    </row>
    <row r="47" spans="1:11" ht="31.5" x14ac:dyDescent="0.25">
      <c r="A47" s="177" t="s">
        <v>14311</v>
      </c>
      <c r="B47" s="177" t="s">
        <v>14313</v>
      </c>
      <c r="C47" s="177" t="s">
        <v>14312</v>
      </c>
      <c r="D47" s="177" t="s">
        <v>4783</v>
      </c>
      <c r="E47" s="181">
        <v>3.01</v>
      </c>
      <c r="F47" s="177" t="s">
        <v>4782</v>
      </c>
      <c r="G47" s="177" t="s">
        <v>3007</v>
      </c>
      <c r="H47" s="172">
        <v>11679</v>
      </c>
    </row>
    <row r="48" spans="1:11" ht="31.5" x14ac:dyDescent="0.25">
      <c r="A48" s="177" t="s">
        <v>14311</v>
      </c>
      <c r="B48" s="177" t="s">
        <v>14310</v>
      </c>
      <c r="C48" s="177" t="s">
        <v>14309</v>
      </c>
      <c r="D48" s="177" t="s">
        <v>5285</v>
      </c>
      <c r="E48" s="181">
        <v>11.72</v>
      </c>
      <c r="F48" s="177" t="s">
        <v>5284</v>
      </c>
      <c r="G48" s="177" t="s">
        <v>3007</v>
      </c>
      <c r="H48" s="172">
        <v>11680</v>
      </c>
    </row>
    <row r="49" spans="1:15" ht="31.5" x14ac:dyDescent="0.25">
      <c r="A49" s="177" t="s">
        <v>14306</v>
      </c>
      <c r="B49" s="177" t="s">
        <v>14308</v>
      </c>
      <c r="C49" s="177" t="s">
        <v>14307</v>
      </c>
      <c r="D49" s="177" t="s">
        <v>7619</v>
      </c>
      <c r="E49" s="181">
        <v>21.39</v>
      </c>
      <c r="F49" s="177" t="s">
        <v>3574</v>
      </c>
      <c r="G49" s="177" t="s">
        <v>3007</v>
      </c>
      <c r="H49" s="172">
        <v>11681</v>
      </c>
    </row>
    <row r="50" spans="1:15" ht="31.5" x14ac:dyDescent="0.25">
      <c r="A50" s="177" t="s">
        <v>14306</v>
      </c>
      <c r="B50" s="177" t="s">
        <v>14305</v>
      </c>
      <c r="C50" s="177" t="s">
        <v>14304</v>
      </c>
      <c r="D50" s="177" t="s">
        <v>6580</v>
      </c>
      <c r="E50" s="181">
        <v>4.13</v>
      </c>
      <c r="F50" s="177" t="s">
        <v>6579</v>
      </c>
      <c r="G50" s="177" t="s">
        <v>3007</v>
      </c>
      <c r="H50" s="172">
        <v>11682</v>
      </c>
    </row>
    <row r="51" spans="1:15" ht="31.5" x14ac:dyDescent="0.25">
      <c r="A51" s="177" t="s">
        <v>14250</v>
      </c>
      <c r="B51" s="177" t="s">
        <v>14303</v>
      </c>
      <c r="C51" s="177" t="s">
        <v>14302</v>
      </c>
      <c r="D51" s="177" t="s">
        <v>10131</v>
      </c>
      <c r="E51" s="181">
        <v>4.49</v>
      </c>
      <c r="F51" s="177" t="s">
        <v>10130</v>
      </c>
      <c r="G51" s="177" t="s">
        <v>3007</v>
      </c>
      <c r="H51" s="172">
        <v>11683</v>
      </c>
    </row>
    <row r="52" spans="1:15" ht="31.5" x14ac:dyDescent="0.25">
      <c r="A52" s="177" t="s">
        <v>14250</v>
      </c>
      <c r="B52" s="177" t="s">
        <v>14301</v>
      </c>
      <c r="C52" s="177" t="s">
        <v>14300</v>
      </c>
      <c r="D52" s="177" t="s">
        <v>12451</v>
      </c>
      <c r="E52" s="181">
        <v>3.73</v>
      </c>
      <c r="F52" s="177" t="s">
        <v>12450</v>
      </c>
      <c r="G52" s="177" t="s">
        <v>3007</v>
      </c>
      <c r="H52" s="172">
        <v>11684</v>
      </c>
    </row>
    <row r="53" spans="1:15" ht="31.5" x14ac:dyDescent="0.25">
      <c r="A53" s="177" t="s">
        <v>14250</v>
      </c>
      <c r="B53" s="177" t="s">
        <v>14299</v>
      </c>
      <c r="C53" s="177" t="s">
        <v>14298</v>
      </c>
      <c r="D53" s="177" t="s">
        <v>8869</v>
      </c>
      <c r="E53" s="181">
        <v>13.14</v>
      </c>
      <c r="F53" s="177" t="s">
        <v>8868</v>
      </c>
      <c r="G53" s="177" t="s">
        <v>3007</v>
      </c>
      <c r="H53" s="172">
        <v>11685</v>
      </c>
    </row>
    <row r="54" spans="1:15" ht="31.5" x14ac:dyDescent="0.25">
      <c r="A54" s="177" t="s">
        <v>14250</v>
      </c>
      <c r="B54" s="177" t="s">
        <v>14297</v>
      </c>
      <c r="C54" s="177" t="s">
        <v>14296</v>
      </c>
      <c r="D54" s="177" t="s">
        <v>4168</v>
      </c>
      <c r="E54" s="181">
        <v>13.03</v>
      </c>
      <c r="F54" s="177" t="s">
        <v>4167</v>
      </c>
      <c r="G54" s="177" t="s">
        <v>3007</v>
      </c>
      <c r="H54" s="172">
        <v>11686</v>
      </c>
      <c r="J54" s="176" t="s">
        <v>14295</v>
      </c>
      <c r="M54" s="176" t="s">
        <v>14294</v>
      </c>
    </row>
    <row r="55" spans="1:15" ht="31.5" x14ac:dyDescent="0.25">
      <c r="A55" s="177" t="s">
        <v>14250</v>
      </c>
      <c r="B55" s="177" t="s">
        <v>14293</v>
      </c>
      <c r="C55" s="177" t="s">
        <v>14292</v>
      </c>
      <c r="D55" s="177" t="s">
        <v>4081</v>
      </c>
      <c r="E55" s="181">
        <v>17.89</v>
      </c>
      <c r="F55" s="177" t="s">
        <v>4080</v>
      </c>
      <c r="G55" s="177" t="s">
        <v>3007</v>
      </c>
      <c r="H55" s="172">
        <v>11700</v>
      </c>
    </row>
    <row r="56" spans="1:15" ht="31.5" x14ac:dyDescent="0.25">
      <c r="A56" s="177" t="s">
        <v>14250</v>
      </c>
      <c r="B56" s="177" t="s">
        <v>14291</v>
      </c>
      <c r="C56" s="177" t="s">
        <v>14290</v>
      </c>
      <c r="D56" s="177" t="s">
        <v>5210</v>
      </c>
      <c r="E56" s="181">
        <v>2.63</v>
      </c>
      <c r="F56" s="177" t="s">
        <v>5209</v>
      </c>
      <c r="G56" s="177" t="s">
        <v>3007</v>
      </c>
      <c r="H56" s="172">
        <v>11701</v>
      </c>
    </row>
    <row r="57" spans="1:15" ht="31.5" x14ac:dyDescent="0.25">
      <c r="A57" s="177" t="s">
        <v>14250</v>
      </c>
      <c r="B57" s="177" t="s">
        <v>14289</v>
      </c>
      <c r="C57" s="177" t="s">
        <v>14288</v>
      </c>
      <c r="D57" s="177" t="s">
        <v>7066</v>
      </c>
      <c r="E57" s="181">
        <v>8.09</v>
      </c>
      <c r="F57" s="177" t="s">
        <v>7065</v>
      </c>
      <c r="G57" s="177" t="s">
        <v>3007</v>
      </c>
      <c r="H57" s="172">
        <v>11702</v>
      </c>
    </row>
    <row r="58" spans="1:15" ht="31.5" x14ac:dyDescent="0.25">
      <c r="A58" s="177" t="s">
        <v>14250</v>
      </c>
      <c r="B58" s="177" t="s">
        <v>14287</v>
      </c>
      <c r="C58" s="177" t="s">
        <v>14286</v>
      </c>
      <c r="D58" s="177" t="s">
        <v>9792</v>
      </c>
      <c r="E58" s="181">
        <v>3.23</v>
      </c>
      <c r="F58" s="177" t="s">
        <v>9791</v>
      </c>
      <c r="G58" s="177" t="s">
        <v>3007</v>
      </c>
      <c r="H58" s="172">
        <v>11703</v>
      </c>
    </row>
    <row r="59" spans="1:15" ht="31.5" x14ac:dyDescent="0.25">
      <c r="A59" s="177" t="s">
        <v>14250</v>
      </c>
      <c r="B59" s="177" t="s">
        <v>14285</v>
      </c>
      <c r="C59" s="177" t="s">
        <v>14284</v>
      </c>
      <c r="D59" s="177" t="s">
        <v>4823</v>
      </c>
      <c r="E59" s="181">
        <v>3.75</v>
      </c>
      <c r="F59" s="177" t="s">
        <v>4822</v>
      </c>
      <c r="G59" s="177" t="s">
        <v>3007</v>
      </c>
      <c r="H59" s="172">
        <v>11704</v>
      </c>
      <c r="L59" s="176" t="s">
        <v>14283</v>
      </c>
      <c r="O59" s="176" t="s">
        <v>14282</v>
      </c>
    </row>
    <row r="60" spans="1:15" ht="31.5" x14ac:dyDescent="0.25">
      <c r="A60" s="177" t="s">
        <v>14250</v>
      </c>
      <c r="B60" s="177" t="s">
        <v>14281</v>
      </c>
      <c r="C60" s="177" t="s">
        <v>14280</v>
      </c>
      <c r="D60" s="177" t="s">
        <v>14279</v>
      </c>
      <c r="E60" s="181">
        <v>0.69</v>
      </c>
      <c r="F60" s="177" t="s">
        <v>14278</v>
      </c>
      <c r="G60" s="177" t="s">
        <v>3007</v>
      </c>
      <c r="H60" s="172">
        <v>11705</v>
      </c>
    </row>
    <row r="61" spans="1:15" ht="31.5" x14ac:dyDescent="0.25">
      <c r="A61" s="177" t="s">
        <v>14250</v>
      </c>
      <c r="B61" s="177" t="s">
        <v>14277</v>
      </c>
      <c r="C61" s="177" t="s">
        <v>14276</v>
      </c>
      <c r="D61" s="177" t="s">
        <v>5024</v>
      </c>
      <c r="E61" s="181">
        <v>8.3800000000000008</v>
      </c>
      <c r="F61" s="177" t="s">
        <v>5023</v>
      </c>
      <c r="G61" s="177" t="s">
        <v>3007</v>
      </c>
      <c r="H61" s="172">
        <v>11706</v>
      </c>
    </row>
    <row r="62" spans="1:15" ht="31.5" x14ac:dyDescent="0.25">
      <c r="A62" s="177" t="s">
        <v>14250</v>
      </c>
      <c r="B62" s="177" t="s">
        <v>14275</v>
      </c>
      <c r="C62" s="177" t="s">
        <v>14274</v>
      </c>
      <c r="D62" s="177" t="s">
        <v>3082</v>
      </c>
      <c r="E62" s="181">
        <v>10.57</v>
      </c>
      <c r="F62" s="177" t="s">
        <v>3081</v>
      </c>
      <c r="G62" s="177" t="s">
        <v>3007</v>
      </c>
      <c r="H62" s="172">
        <v>11707</v>
      </c>
    </row>
    <row r="63" spans="1:15" ht="31.5" x14ac:dyDescent="0.25">
      <c r="A63" s="177" t="s">
        <v>14250</v>
      </c>
      <c r="B63" s="177" t="s">
        <v>8540</v>
      </c>
      <c r="C63" s="177" t="s">
        <v>14273</v>
      </c>
      <c r="D63" s="177" t="s">
        <v>14272</v>
      </c>
      <c r="E63" s="181">
        <v>24.81</v>
      </c>
      <c r="F63" s="177" t="s">
        <v>14271</v>
      </c>
      <c r="G63" s="177" t="s">
        <v>3007</v>
      </c>
      <c r="H63" s="172">
        <v>11708</v>
      </c>
    </row>
    <row r="64" spans="1:15" ht="31.5" x14ac:dyDescent="0.25">
      <c r="A64" s="177" t="s">
        <v>14250</v>
      </c>
      <c r="B64" s="177" t="s">
        <v>14270</v>
      </c>
      <c r="C64" s="177" t="s">
        <v>14269</v>
      </c>
      <c r="D64" s="177" t="s">
        <v>11225</v>
      </c>
      <c r="E64" s="181">
        <v>27.6</v>
      </c>
      <c r="F64" s="177" t="s">
        <v>11224</v>
      </c>
      <c r="G64" s="177" t="s">
        <v>3007</v>
      </c>
      <c r="H64" s="172">
        <v>11709</v>
      </c>
    </row>
    <row r="65" spans="1:8" ht="31.5" x14ac:dyDescent="0.25">
      <c r="A65" s="177" t="s">
        <v>14250</v>
      </c>
      <c r="B65" s="177" t="s">
        <v>14268</v>
      </c>
      <c r="C65" s="177" t="s">
        <v>14267</v>
      </c>
      <c r="D65" s="177" t="s">
        <v>4847</v>
      </c>
      <c r="E65" s="181">
        <v>2.89</v>
      </c>
      <c r="F65" s="177" t="s">
        <v>4846</v>
      </c>
      <c r="G65" s="177" t="s">
        <v>3007</v>
      </c>
      <c r="H65" s="172">
        <v>11710</v>
      </c>
    </row>
    <row r="66" spans="1:8" ht="31.5" x14ac:dyDescent="0.25">
      <c r="A66" s="177" t="s">
        <v>14250</v>
      </c>
      <c r="B66" s="177" t="s">
        <v>14266</v>
      </c>
      <c r="C66" s="177" t="s">
        <v>14265</v>
      </c>
      <c r="D66" s="177" t="s">
        <v>5106</v>
      </c>
      <c r="E66" s="181">
        <v>5.89</v>
      </c>
      <c r="F66" s="177" t="s">
        <v>5105</v>
      </c>
      <c r="G66" s="177" t="s">
        <v>3007</v>
      </c>
      <c r="H66" s="172">
        <v>11711</v>
      </c>
    </row>
    <row r="67" spans="1:8" ht="31.5" x14ac:dyDescent="0.25">
      <c r="A67" s="177" t="s">
        <v>14250</v>
      </c>
      <c r="B67" s="177" t="s">
        <v>14264</v>
      </c>
      <c r="C67" s="177" t="s">
        <v>14263</v>
      </c>
      <c r="D67" s="177" t="s">
        <v>4443</v>
      </c>
      <c r="E67" s="181">
        <v>2.83</v>
      </c>
      <c r="F67" s="177" t="s">
        <v>4442</v>
      </c>
      <c r="G67" s="177" t="s">
        <v>3007</v>
      </c>
      <c r="H67" s="172">
        <v>11712</v>
      </c>
    </row>
    <row r="68" spans="1:8" ht="31.5" x14ac:dyDescent="0.25">
      <c r="A68" s="177" t="s">
        <v>14250</v>
      </c>
      <c r="B68" s="177" t="s">
        <v>7851</v>
      </c>
      <c r="C68" s="177" t="s">
        <v>14262</v>
      </c>
      <c r="D68" s="177" t="s">
        <v>3158</v>
      </c>
      <c r="E68" s="181">
        <v>8.2100000000000009</v>
      </c>
      <c r="F68" s="177" t="s">
        <v>3157</v>
      </c>
      <c r="G68" s="177" t="s">
        <v>3007</v>
      </c>
      <c r="H68" s="172">
        <v>11713</v>
      </c>
    </row>
    <row r="69" spans="1:8" ht="31.5" x14ac:dyDescent="0.25">
      <c r="A69" s="177" t="s">
        <v>14250</v>
      </c>
      <c r="B69" s="177" t="s">
        <v>14261</v>
      </c>
      <c r="C69" s="177" t="s">
        <v>14260</v>
      </c>
      <c r="D69" s="177" t="s">
        <v>14259</v>
      </c>
      <c r="E69" s="181">
        <v>7</v>
      </c>
      <c r="F69" s="177" t="s">
        <v>14258</v>
      </c>
      <c r="G69" s="177" t="s">
        <v>3007</v>
      </c>
      <c r="H69" s="172">
        <v>11714</v>
      </c>
    </row>
    <row r="70" spans="1:8" ht="31.5" x14ac:dyDescent="0.25">
      <c r="A70" s="177" t="s">
        <v>14250</v>
      </c>
      <c r="B70" s="177" t="s">
        <v>14257</v>
      </c>
      <c r="C70" s="177" t="s">
        <v>14256</v>
      </c>
      <c r="D70" s="177" t="s">
        <v>4342</v>
      </c>
      <c r="E70" s="181">
        <v>5</v>
      </c>
      <c r="F70" s="177" t="s">
        <v>4341</v>
      </c>
      <c r="G70" s="177" t="s">
        <v>3007</v>
      </c>
      <c r="H70" s="172">
        <v>11715</v>
      </c>
    </row>
    <row r="71" spans="1:8" ht="31.5" x14ac:dyDescent="0.25">
      <c r="A71" s="177" t="s">
        <v>14250</v>
      </c>
      <c r="B71" s="177" t="s">
        <v>11684</v>
      </c>
      <c r="C71" s="177" t="s">
        <v>14255</v>
      </c>
      <c r="D71" s="177" t="s">
        <v>5376</v>
      </c>
      <c r="E71" s="181">
        <v>3.11</v>
      </c>
      <c r="F71" s="177" t="s">
        <v>5375</v>
      </c>
      <c r="G71" s="177" t="s">
        <v>3007</v>
      </c>
      <c r="H71" s="172">
        <v>11716</v>
      </c>
    </row>
    <row r="72" spans="1:8" ht="31.5" x14ac:dyDescent="0.25">
      <c r="A72" s="177" t="s">
        <v>14250</v>
      </c>
      <c r="B72" s="177" t="s">
        <v>14254</v>
      </c>
      <c r="C72" s="177" t="s">
        <v>14253</v>
      </c>
      <c r="D72" s="177" t="s">
        <v>4237</v>
      </c>
      <c r="E72" s="181">
        <v>4.55</v>
      </c>
      <c r="F72" s="177" t="s">
        <v>4236</v>
      </c>
      <c r="G72" s="177" t="s">
        <v>3007</v>
      </c>
      <c r="H72" s="172">
        <v>11717</v>
      </c>
    </row>
    <row r="73" spans="1:8" ht="31.5" x14ac:dyDescent="0.25">
      <c r="A73" s="177" t="s">
        <v>14250</v>
      </c>
      <c r="B73" s="177" t="s">
        <v>14252</v>
      </c>
      <c r="C73" s="177" t="s">
        <v>14251</v>
      </c>
      <c r="D73" s="177" t="s">
        <v>3506</v>
      </c>
      <c r="E73" s="181">
        <v>1.68</v>
      </c>
      <c r="F73" s="177" t="s">
        <v>3505</v>
      </c>
      <c r="G73" s="177" t="s">
        <v>3007</v>
      </c>
      <c r="H73" s="172">
        <v>11718</v>
      </c>
    </row>
    <row r="74" spans="1:8" ht="31.5" x14ac:dyDescent="0.25">
      <c r="A74" s="177" t="s">
        <v>14250</v>
      </c>
      <c r="B74" s="177" t="s">
        <v>14249</v>
      </c>
      <c r="C74" s="177" t="s">
        <v>14248</v>
      </c>
      <c r="D74" s="177" t="s">
        <v>6099</v>
      </c>
      <c r="E74" s="181">
        <v>1.85</v>
      </c>
      <c r="F74" s="177" t="s">
        <v>6095</v>
      </c>
      <c r="G74" s="177" t="s">
        <v>3007</v>
      </c>
      <c r="H74" s="172">
        <v>11719</v>
      </c>
    </row>
    <row r="75" spans="1:8" ht="31.5" x14ac:dyDescent="0.25">
      <c r="A75" s="177" t="s">
        <v>14193</v>
      </c>
      <c r="B75" s="177" t="s">
        <v>14247</v>
      </c>
      <c r="C75" s="177" t="s">
        <v>14246</v>
      </c>
      <c r="D75" s="177" t="s">
        <v>3615</v>
      </c>
      <c r="E75" s="181">
        <v>11.04</v>
      </c>
      <c r="F75" s="177" t="s">
        <v>3614</v>
      </c>
      <c r="G75" s="177" t="s">
        <v>3007</v>
      </c>
      <c r="H75" s="172">
        <v>11831</v>
      </c>
    </row>
    <row r="76" spans="1:8" ht="31.5" x14ac:dyDescent="0.25">
      <c r="A76" s="177" t="s">
        <v>14193</v>
      </c>
      <c r="B76" s="177" t="s">
        <v>14245</v>
      </c>
      <c r="C76" s="177" t="s">
        <v>14244</v>
      </c>
      <c r="D76" s="177" t="s">
        <v>12131</v>
      </c>
      <c r="E76" s="181">
        <v>5.41</v>
      </c>
      <c r="F76" s="177" t="s">
        <v>12130</v>
      </c>
      <c r="G76" s="177" t="s">
        <v>3007</v>
      </c>
      <c r="H76" s="172">
        <v>11849</v>
      </c>
    </row>
    <row r="77" spans="1:8" ht="31.5" x14ac:dyDescent="0.25">
      <c r="A77" s="177" t="s">
        <v>14193</v>
      </c>
      <c r="B77" s="177" t="s">
        <v>14243</v>
      </c>
      <c r="C77" s="177" t="s">
        <v>14242</v>
      </c>
      <c r="D77" s="177" t="s">
        <v>10450</v>
      </c>
      <c r="E77" s="181">
        <v>10.33</v>
      </c>
      <c r="F77" s="177" t="s">
        <v>10449</v>
      </c>
      <c r="G77" s="177" t="s">
        <v>3007</v>
      </c>
      <c r="H77" s="172">
        <v>11850</v>
      </c>
    </row>
    <row r="78" spans="1:8" ht="31.5" x14ac:dyDescent="0.25">
      <c r="A78" s="177" t="s">
        <v>14193</v>
      </c>
      <c r="B78" s="177" t="s">
        <v>14241</v>
      </c>
      <c r="C78" s="177" t="s">
        <v>14240</v>
      </c>
      <c r="D78" s="177" t="s">
        <v>4627</v>
      </c>
      <c r="E78" s="181">
        <v>1.81</v>
      </c>
      <c r="F78" s="177" t="s">
        <v>4626</v>
      </c>
      <c r="G78" s="177" t="s">
        <v>3007</v>
      </c>
      <c r="H78" s="172">
        <v>11851</v>
      </c>
    </row>
    <row r="79" spans="1:8" ht="31.5" x14ac:dyDescent="0.25">
      <c r="A79" s="177" t="s">
        <v>14193</v>
      </c>
      <c r="B79" s="177" t="s">
        <v>3257</v>
      </c>
      <c r="C79" s="177" t="s">
        <v>14239</v>
      </c>
      <c r="D79" s="177" t="s">
        <v>13445</v>
      </c>
      <c r="E79" s="181">
        <v>1.03</v>
      </c>
      <c r="F79" s="177" t="s">
        <v>13444</v>
      </c>
      <c r="G79" s="177" t="s">
        <v>3007</v>
      </c>
      <c r="H79" s="172">
        <v>11852</v>
      </c>
    </row>
    <row r="80" spans="1:8" ht="31.5" x14ac:dyDescent="0.25">
      <c r="A80" s="177" t="s">
        <v>14193</v>
      </c>
      <c r="B80" s="177" t="s">
        <v>14238</v>
      </c>
      <c r="C80" s="177" t="s">
        <v>14237</v>
      </c>
      <c r="D80" s="177" t="s">
        <v>3345</v>
      </c>
      <c r="E80" s="181">
        <v>1.68</v>
      </c>
      <c r="F80" s="177" t="s">
        <v>3344</v>
      </c>
      <c r="G80" s="177" t="s">
        <v>3007</v>
      </c>
      <c r="H80" s="172">
        <v>11853</v>
      </c>
    </row>
    <row r="81" spans="1:11" ht="31.5" x14ac:dyDescent="0.25">
      <c r="A81" s="177" t="s">
        <v>14193</v>
      </c>
      <c r="B81" s="177" t="s">
        <v>14236</v>
      </c>
      <c r="C81" s="177" t="s">
        <v>14235</v>
      </c>
      <c r="D81" s="177" t="s">
        <v>4689</v>
      </c>
      <c r="E81" s="181">
        <v>1.69</v>
      </c>
      <c r="F81" s="177" t="s">
        <v>4688</v>
      </c>
      <c r="G81" s="177" t="s">
        <v>3007</v>
      </c>
      <c r="H81" s="172">
        <v>11854</v>
      </c>
    </row>
    <row r="82" spans="1:11" ht="31.5" x14ac:dyDescent="0.25">
      <c r="A82" s="177" t="s">
        <v>14193</v>
      </c>
      <c r="B82" s="177" t="s">
        <v>14234</v>
      </c>
      <c r="C82" s="177" t="s">
        <v>14233</v>
      </c>
      <c r="D82" s="177" t="s">
        <v>4164</v>
      </c>
      <c r="E82" s="181">
        <v>7.73</v>
      </c>
      <c r="F82" s="177" t="s">
        <v>4163</v>
      </c>
      <c r="G82" s="177" t="s">
        <v>3007</v>
      </c>
      <c r="H82" s="172">
        <v>11855</v>
      </c>
    </row>
    <row r="83" spans="1:11" ht="31.5" x14ac:dyDescent="0.25">
      <c r="A83" s="177" t="s">
        <v>14193</v>
      </c>
      <c r="B83" s="177" t="s">
        <v>14232</v>
      </c>
      <c r="C83" s="177" t="s">
        <v>14231</v>
      </c>
      <c r="D83" s="177" t="s">
        <v>10937</v>
      </c>
      <c r="E83" s="181">
        <v>46.8</v>
      </c>
      <c r="F83" s="177" t="s">
        <v>10933</v>
      </c>
      <c r="G83" s="177" t="s">
        <v>3007</v>
      </c>
      <c r="H83" s="172">
        <v>11856</v>
      </c>
    </row>
    <row r="84" spans="1:11" ht="31.5" x14ac:dyDescent="0.25">
      <c r="A84" s="177" t="s">
        <v>14193</v>
      </c>
      <c r="B84" s="177" t="s">
        <v>14230</v>
      </c>
      <c r="C84" s="177" t="s">
        <v>14229</v>
      </c>
      <c r="D84" s="177" t="s">
        <v>6117</v>
      </c>
      <c r="E84" s="181">
        <v>2.4900000000000002</v>
      </c>
      <c r="F84" s="177" t="s">
        <v>6116</v>
      </c>
      <c r="G84" s="177" t="s">
        <v>3007</v>
      </c>
      <c r="H84" s="172">
        <v>11857</v>
      </c>
    </row>
    <row r="85" spans="1:11" ht="31.5" x14ac:dyDescent="0.25">
      <c r="A85" s="177" t="s">
        <v>14193</v>
      </c>
      <c r="B85" s="177" t="s">
        <v>14228</v>
      </c>
      <c r="C85" s="177" t="s">
        <v>14227</v>
      </c>
      <c r="D85" s="177" t="s">
        <v>14226</v>
      </c>
      <c r="E85" s="181">
        <v>7.6</v>
      </c>
      <c r="F85" s="177" t="s">
        <v>14225</v>
      </c>
      <c r="G85" s="177" t="s">
        <v>3007</v>
      </c>
      <c r="H85" s="172">
        <v>11858</v>
      </c>
      <c r="I85" s="178"/>
      <c r="K85" s="172"/>
    </row>
    <row r="86" spans="1:11" ht="31.5" x14ac:dyDescent="0.25">
      <c r="A86" s="177" t="s">
        <v>14193</v>
      </c>
      <c r="B86" s="177" t="s">
        <v>14224</v>
      </c>
      <c r="C86" s="177" t="s">
        <v>14223</v>
      </c>
      <c r="D86" s="177" t="s">
        <v>3361</v>
      </c>
      <c r="E86" s="181">
        <v>1.85</v>
      </c>
      <c r="F86" s="177" t="s">
        <v>3360</v>
      </c>
      <c r="G86" s="177" t="s">
        <v>3007</v>
      </c>
      <c r="H86" s="172">
        <v>11859</v>
      </c>
    </row>
    <row r="87" spans="1:11" ht="31.5" x14ac:dyDescent="0.25">
      <c r="A87" s="177" t="s">
        <v>14193</v>
      </c>
      <c r="B87" s="177" t="s">
        <v>3237</v>
      </c>
      <c r="C87" s="177" t="s">
        <v>14222</v>
      </c>
      <c r="D87" s="177" t="s">
        <v>9254</v>
      </c>
      <c r="E87" s="181">
        <v>17.48</v>
      </c>
      <c r="F87" s="177" t="s">
        <v>9253</v>
      </c>
      <c r="G87" s="177" t="s">
        <v>3007</v>
      </c>
      <c r="H87" s="172">
        <v>11860</v>
      </c>
    </row>
    <row r="88" spans="1:11" ht="31.5" x14ac:dyDescent="0.25">
      <c r="A88" s="177" t="s">
        <v>14193</v>
      </c>
      <c r="B88" s="177" t="s">
        <v>14221</v>
      </c>
      <c r="C88" s="177" t="s">
        <v>14220</v>
      </c>
      <c r="D88" s="177" t="s">
        <v>12294</v>
      </c>
      <c r="E88" s="181">
        <v>0.86</v>
      </c>
      <c r="F88" s="177" t="s">
        <v>12293</v>
      </c>
      <c r="G88" s="177" t="s">
        <v>3007</v>
      </c>
      <c r="H88" s="172">
        <v>11861</v>
      </c>
    </row>
    <row r="89" spans="1:11" ht="31.5" x14ac:dyDescent="0.25">
      <c r="A89" s="177" t="s">
        <v>14193</v>
      </c>
      <c r="B89" s="177" t="s">
        <v>14219</v>
      </c>
      <c r="C89" s="177" t="s">
        <v>14218</v>
      </c>
      <c r="D89" s="177" t="s">
        <v>7138</v>
      </c>
      <c r="E89" s="181">
        <v>3.83</v>
      </c>
      <c r="F89" s="177" t="s">
        <v>7137</v>
      </c>
      <c r="G89" s="177" t="s">
        <v>3007</v>
      </c>
      <c r="H89" s="172">
        <v>11862</v>
      </c>
    </row>
    <row r="90" spans="1:11" ht="31.5" x14ac:dyDescent="0.25">
      <c r="A90" s="177" t="s">
        <v>14193</v>
      </c>
      <c r="B90" s="177" t="s">
        <v>14217</v>
      </c>
      <c r="C90" s="177" t="s">
        <v>14216</v>
      </c>
      <c r="D90" s="177" t="s">
        <v>5265</v>
      </c>
      <c r="E90" s="181">
        <v>3.06</v>
      </c>
      <c r="F90" s="177" t="s">
        <v>5264</v>
      </c>
      <c r="G90" s="177" t="s">
        <v>3007</v>
      </c>
      <c r="H90" s="172">
        <v>11863</v>
      </c>
    </row>
    <row r="91" spans="1:11" ht="31.5" x14ac:dyDescent="0.25">
      <c r="A91" s="177" t="s">
        <v>14193</v>
      </c>
      <c r="B91" s="177" t="s">
        <v>14215</v>
      </c>
      <c r="C91" s="177" t="s">
        <v>14214</v>
      </c>
      <c r="D91" s="177" t="s">
        <v>5166</v>
      </c>
      <c r="E91" s="181">
        <v>5.3</v>
      </c>
      <c r="F91" s="177" t="s">
        <v>5165</v>
      </c>
      <c r="G91" s="177" t="s">
        <v>3007</v>
      </c>
      <c r="H91" s="172">
        <v>11864</v>
      </c>
    </row>
    <row r="92" spans="1:11" ht="31.5" x14ac:dyDescent="0.25">
      <c r="A92" s="177" t="s">
        <v>14193</v>
      </c>
      <c r="B92" s="177" t="s">
        <v>14213</v>
      </c>
      <c r="C92" s="177" t="s">
        <v>14212</v>
      </c>
      <c r="D92" s="177" t="s">
        <v>14211</v>
      </c>
      <c r="E92" s="181">
        <v>16.940000000000001</v>
      </c>
      <c r="F92" s="177" t="s">
        <v>14207</v>
      </c>
      <c r="G92" s="177" t="s">
        <v>3007</v>
      </c>
      <c r="H92" s="172">
        <v>11865</v>
      </c>
    </row>
    <row r="93" spans="1:11" ht="31.5" x14ac:dyDescent="0.25">
      <c r="A93" s="177" t="s">
        <v>14193</v>
      </c>
      <c r="B93" s="177" t="s">
        <v>14210</v>
      </c>
      <c r="C93" s="177" t="s">
        <v>14209</v>
      </c>
      <c r="D93" s="177" t="s">
        <v>14208</v>
      </c>
      <c r="E93" s="181">
        <v>14.26</v>
      </c>
      <c r="F93" s="177" t="s">
        <v>14207</v>
      </c>
      <c r="G93" s="177" t="s">
        <v>3007</v>
      </c>
      <c r="H93" s="172">
        <v>11866</v>
      </c>
    </row>
    <row r="94" spans="1:11" ht="31.5" x14ac:dyDescent="0.25">
      <c r="A94" s="177" t="s">
        <v>14193</v>
      </c>
      <c r="B94" s="177" t="s">
        <v>14206</v>
      </c>
      <c r="C94" s="177" t="s">
        <v>14205</v>
      </c>
      <c r="D94" s="177" t="s">
        <v>4220</v>
      </c>
      <c r="E94" s="181">
        <v>3.88</v>
      </c>
      <c r="F94" s="177" t="s">
        <v>4219</v>
      </c>
      <c r="G94" s="177" t="s">
        <v>3007</v>
      </c>
      <c r="H94" s="172">
        <v>11867</v>
      </c>
    </row>
    <row r="95" spans="1:11" ht="31.5" x14ac:dyDescent="0.25">
      <c r="A95" s="177" t="s">
        <v>14193</v>
      </c>
      <c r="B95" s="177" t="s">
        <v>14204</v>
      </c>
      <c r="C95" s="177" t="s">
        <v>14203</v>
      </c>
      <c r="D95" s="177" t="s">
        <v>5234</v>
      </c>
      <c r="E95" s="181">
        <v>3.05</v>
      </c>
      <c r="F95" s="177" t="s">
        <v>5233</v>
      </c>
      <c r="G95" s="177" t="s">
        <v>3007</v>
      </c>
      <c r="H95" s="173">
        <v>11868</v>
      </c>
    </row>
    <row r="96" spans="1:11" ht="31.5" x14ac:dyDescent="0.25">
      <c r="A96" s="177" t="s">
        <v>14193</v>
      </c>
      <c r="B96" s="177" t="s">
        <v>14202</v>
      </c>
      <c r="C96" s="177" t="s">
        <v>14201</v>
      </c>
      <c r="D96" s="177" t="s">
        <v>3373</v>
      </c>
      <c r="E96" s="181">
        <v>5.42</v>
      </c>
      <c r="F96" s="177" t="s">
        <v>3372</v>
      </c>
      <c r="G96" s="177" t="s">
        <v>3007</v>
      </c>
      <c r="H96" s="172">
        <v>11869</v>
      </c>
    </row>
    <row r="97" spans="1:8" ht="31.5" x14ac:dyDescent="0.25">
      <c r="A97" s="177" t="s">
        <v>14193</v>
      </c>
      <c r="B97" s="177" t="s">
        <v>9863</v>
      </c>
      <c r="C97" s="177" t="s">
        <v>14200</v>
      </c>
      <c r="D97" s="177" t="s">
        <v>9725</v>
      </c>
      <c r="E97" s="181">
        <v>3.91</v>
      </c>
      <c r="F97" s="177" t="s">
        <v>9724</v>
      </c>
      <c r="G97" s="177" t="s">
        <v>3007</v>
      </c>
      <c r="H97" s="172">
        <v>11870</v>
      </c>
    </row>
    <row r="98" spans="1:8" ht="31.5" x14ac:dyDescent="0.25">
      <c r="A98" s="177" t="s">
        <v>14193</v>
      </c>
      <c r="B98" s="177" t="s">
        <v>14199</v>
      </c>
      <c r="C98" s="177" t="s">
        <v>14198</v>
      </c>
      <c r="D98" s="177" t="s">
        <v>7407</v>
      </c>
      <c r="E98" s="181">
        <v>5.51</v>
      </c>
      <c r="F98" s="177" t="s">
        <v>7406</v>
      </c>
      <c r="G98" s="177" t="s">
        <v>3007</v>
      </c>
      <c r="H98" s="172">
        <v>11871</v>
      </c>
    </row>
    <row r="99" spans="1:8" ht="31.5" x14ac:dyDescent="0.25">
      <c r="A99" s="177" t="s">
        <v>14193</v>
      </c>
      <c r="B99" s="177" t="s">
        <v>14197</v>
      </c>
      <c r="C99" s="177" t="s">
        <v>14196</v>
      </c>
      <c r="D99" s="177" t="s">
        <v>9201</v>
      </c>
      <c r="E99" s="181">
        <v>1.68</v>
      </c>
      <c r="F99" s="177" t="s">
        <v>9200</v>
      </c>
      <c r="G99" s="177" t="s">
        <v>3007</v>
      </c>
      <c r="H99" s="172">
        <v>11872</v>
      </c>
    </row>
    <row r="100" spans="1:8" ht="31.5" x14ac:dyDescent="0.25">
      <c r="A100" s="177" t="s">
        <v>14193</v>
      </c>
      <c r="B100" s="177" t="s">
        <v>14195</v>
      </c>
      <c r="C100" s="177" t="s">
        <v>14194</v>
      </c>
      <c r="D100" s="177" t="s">
        <v>4376</v>
      </c>
      <c r="E100" s="181">
        <v>7.25</v>
      </c>
      <c r="F100" s="177" t="s">
        <v>4375</v>
      </c>
      <c r="G100" s="177" t="s">
        <v>3007</v>
      </c>
      <c r="H100" s="172">
        <v>11873</v>
      </c>
    </row>
    <row r="101" spans="1:8" ht="31.5" x14ac:dyDescent="0.25">
      <c r="A101" s="177" t="s">
        <v>14193</v>
      </c>
      <c r="B101" s="177" t="s">
        <v>14192</v>
      </c>
      <c r="C101" s="177" t="s">
        <v>14191</v>
      </c>
      <c r="D101" s="177" t="s">
        <v>8274</v>
      </c>
      <c r="E101" s="181">
        <v>23.93</v>
      </c>
      <c r="F101" s="177" t="s">
        <v>8273</v>
      </c>
      <c r="G101" s="177" t="s">
        <v>3007</v>
      </c>
      <c r="H101" s="172">
        <v>11874</v>
      </c>
    </row>
    <row r="102" spans="1:8" ht="31.5" x14ac:dyDescent="0.25">
      <c r="A102" s="177" t="s">
        <v>14143</v>
      </c>
      <c r="B102" s="177" t="s">
        <v>14190</v>
      </c>
      <c r="C102" s="177" t="s">
        <v>14189</v>
      </c>
      <c r="D102" s="177" t="s">
        <v>7707</v>
      </c>
      <c r="E102" s="181">
        <v>2.97</v>
      </c>
      <c r="F102" s="177" t="s">
        <v>7706</v>
      </c>
      <c r="G102" s="177" t="s">
        <v>3007</v>
      </c>
      <c r="H102" s="172">
        <v>11875</v>
      </c>
    </row>
    <row r="103" spans="1:8" ht="31.5" x14ac:dyDescent="0.25">
      <c r="A103" s="177" t="s">
        <v>14143</v>
      </c>
      <c r="B103" s="177" t="s">
        <v>14188</v>
      </c>
      <c r="C103" s="177" t="s">
        <v>14187</v>
      </c>
      <c r="D103" s="177" t="s">
        <v>8807</v>
      </c>
      <c r="E103" s="181">
        <v>25.76</v>
      </c>
      <c r="F103" s="177" t="s">
        <v>8806</v>
      </c>
      <c r="G103" s="177" t="s">
        <v>3007</v>
      </c>
      <c r="H103" s="172">
        <v>11876</v>
      </c>
    </row>
    <row r="104" spans="1:8" ht="31.5" x14ac:dyDescent="0.25">
      <c r="A104" s="177" t="s">
        <v>14143</v>
      </c>
      <c r="B104" s="177" t="s">
        <v>14186</v>
      </c>
      <c r="C104" s="177" t="s">
        <v>14185</v>
      </c>
      <c r="D104" s="177" t="s">
        <v>4289</v>
      </c>
      <c r="E104" s="181">
        <v>6.76</v>
      </c>
      <c r="F104" s="177" t="s">
        <v>4288</v>
      </c>
      <c r="G104" s="177" t="s">
        <v>3007</v>
      </c>
      <c r="H104" s="172">
        <v>11877</v>
      </c>
    </row>
    <row r="105" spans="1:8" ht="31.5" x14ac:dyDescent="0.25">
      <c r="A105" s="177" t="s">
        <v>14143</v>
      </c>
      <c r="B105" s="177" t="s">
        <v>14184</v>
      </c>
      <c r="C105" s="177" t="s">
        <v>14183</v>
      </c>
      <c r="D105" s="177" t="s">
        <v>4488</v>
      </c>
      <c r="E105" s="181">
        <v>2.2000000000000002</v>
      </c>
      <c r="F105" s="177" t="s">
        <v>4487</v>
      </c>
      <c r="G105" s="177" t="s">
        <v>3007</v>
      </c>
      <c r="H105" s="172">
        <v>11878</v>
      </c>
    </row>
    <row r="106" spans="1:8" ht="31.5" x14ac:dyDescent="0.25">
      <c r="A106" s="177" t="s">
        <v>14143</v>
      </c>
      <c r="B106" s="177" t="s">
        <v>14182</v>
      </c>
      <c r="C106" s="177" t="s">
        <v>14181</v>
      </c>
      <c r="D106" s="177" t="s">
        <v>7337</v>
      </c>
      <c r="E106" s="181">
        <v>17.7</v>
      </c>
      <c r="F106" s="177" t="s">
        <v>7336</v>
      </c>
      <c r="G106" s="177" t="s">
        <v>3007</v>
      </c>
      <c r="H106" s="172">
        <v>11879</v>
      </c>
    </row>
    <row r="107" spans="1:8" ht="31.5" x14ac:dyDescent="0.25">
      <c r="A107" s="177" t="s">
        <v>14143</v>
      </c>
      <c r="B107" s="177" t="s">
        <v>14180</v>
      </c>
      <c r="C107" s="177" t="s">
        <v>14179</v>
      </c>
      <c r="D107" s="177" t="s">
        <v>7464</v>
      </c>
      <c r="E107" s="181">
        <v>5.58</v>
      </c>
      <c r="F107" s="177" t="s">
        <v>7463</v>
      </c>
      <c r="G107" s="177" t="s">
        <v>3007</v>
      </c>
      <c r="H107" s="172">
        <v>11880</v>
      </c>
    </row>
    <row r="108" spans="1:8" ht="31.5" x14ac:dyDescent="0.25">
      <c r="A108" s="177" t="s">
        <v>14143</v>
      </c>
      <c r="B108" s="177" t="s">
        <v>14178</v>
      </c>
      <c r="C108" s="177" t="s">
        <v>14177</v>
      </c>
      <c r="D108" s="177" t="s">
        <v>4767</v>
      </c>
      <c r="E108" s="181">
        <v>4.4800000000000004</v>
      </c>
      <c r="F108" s="177" t="s">
        <v>4766</v>
      </c>
      <c r="G108" s="177" t="s">
        <v>3007</v>
      </c>
      <c r="H108" s="172" t="s">
        <v>14176</v>
      </c>
    </row>
    <row r="109" spans="1:8" ht="31.5" x14ac:dyDescent="0.25">
      <c r="A109" s="177" t="s">
        <v>14143</v>
      </c>
      <c r="B109" s="177" t="s">
        <v>14175</v>
      </c>
      <c r="C109" s="177" t="s">
        <v>14174</v>
      </c>
      <c r="D109" s="177" t="s">
        <v>7592</v>
      </c>
      <c r="E109" s="181">
        <v>8.4600000000000009</v>
      </c>
      <c r="F109" s="177" t="s">
        <v>7588</v>
      </c>
      <c r="G109" s="177" t="s">
        <v>3007</v>
      </c>
      <c r="H109" s="172">
        <v>11888</v>
      </c>
    </row>
    <row r="110" spans="1:8" ht="31.5" x14ac:dyDescent="0.25">
      <c r="A110" s="177" t="s">
        <v>14143</v>
      </c>
      <c r="B110" s="177" t="s">
        <v>8897</v>
      </c>
      <c r="C110" s="177" t="s">
        <v>14173</v>
      </c>
      <c r="D110" s="177" t="s">
        <v>14172</v>
      </c>
      <c r="E110" s="181">
        <v>69.430000000000007</v>
      </c>
      <c r="F110" s="177" t="s">
        <v>14171</v>
      </c>
      <c r="G110" s="177" t="s">
        <v>3007</v>
      </c>
      <c r="H110" s="172">
        <v>11889</v>
      </c>
    </row>
    <row r="111" spans="1:8" ht="31.5" x14ac:dyDescent="0.25">
      <c r="A111" s="177" t="s">
        <v>14143</v>
      </c>
      <c r="B111" s="177" t="s">
        <v>14170</v>
      </c>
      <c r="C111" s="177" t="s">
        <v>14169</v>
      </c>
      <c r="D111" s="177" t="s">
        <v>14168</v>
      </c>
      <c r="E111" s="181">
        <v>67.239999999999995</v>
      </c>
      <c r="F111" s="177" t="s">
        <v>14167</v>
      </c>
      <c r="G111" s="177" t="s">
        <v>3007</v>
      </c>
      <c r="H111" s="172">
        <v>11890</v>
      </c>
    </row>
    <row r="112" spans="1:8" ht="31.5" x14ac:dyDescent="0.25">
      <c r="A112" s="177" t="s">
        <v>14143</v>
      </c>
      <c r="B112" s="177" t="s">
        <v>14166</v>
      </c>
      <c r="C112" s="177" t="s">
        <v>14165</v>
      </c>
      <c r="D112" s="177" t="s">
        <v>3880</v>
      </c>
      <c r="E112" s="181">
        <v>9.32</v>
      </c>
      <c r="F112" s="177" t="s">
        <v>3879</v>
      </c>
      <c r="G112" s="177" t="s">
        <v>3007</v>
      </c>
      <c r="H112" s="172">
        <v>11891</v>
      </c>
    </row>
    <row r="113" spans="1:8" ht="31.5" x14ac:dyDescent="0.25">
      <c r="A113" s="177" t="s">
        <v>14143</v>
      </c>
      <c r="B113" s="177" t="s">
        <v>14164</v>
      </c>
      <c r="C113" s="177" t="s">
        <v>14163</v>
      </c>
      <c r="D113" s="177" t="s">
        <v>9766</v>
      </c>
      <c r="E113" s="181">
        <v>15.69</v>
      </c>
      <c r="F113" s="177" t="s">
        <v>9765</v>
      </c>
      <c r="G113" s="177" t="s">
        <v>3007</v>
      </c>
      <c r="H113" s="172">
        <v>11892</v>
      </c>
    </row>
    <row r="114" spans="1:8" ht="31.5" x14ac:dyDescent="0.25">
      <c r="A114" s="177" t="s">
        <v>14143</v>
      </c>
      <c r="B114" s="177" t="s">
        <v>14162</v>
      </c>
      <c r="C114" s="177" t="s">
        <v>14161</v>
      </c>
      <c r="D114" s="177" t="s">
        <v>3763</v>
      </c>
      <c r="E114" s="181">
        <v>2.72</v>
      </c>
      <c r="F114" s="177" t="s">
        <v>3762</v>
      </c>
      <c r="G114" s="177" t="s">
        <v>3007</v>
      </c>
      <c r="H114" s="172">
        <v>11893</v>
      </c>
    </row>
    <row r="115" spans="1:8" ht="31.5" x14ac:dyDescent="0.25">
      <c r="A115" s="177" t="s">
        <v>14143</v>
      </c>
      <c r="B115" s="177" t="s">
        <v>14160</v>
      </c>
      <c r="C115" s="177" t="s">
        <v>14159</v>
      </c>
      <c r="D115" s="177" t="s">
        <v>7602</v>
      </c>
      <c r="E115" s="181">
        <v>7.93</v>
      </c>
      <c r="F115" s="177" t="s">
        <v>7601</v>
      </c>
      <c r="G115" s="177" t="s">
        <v>3007</v>
      </c>
      <c r="H115" s="172">
        <v>11894</v>
      </c>
    </row>
    <row r="116" spans="1:8" ht="31.5" x14ac:dyDescent="0.25">
      <c r="A116" s="177" t="s">
        <v>14143</v>
      </c>
      <c r="B116" s="177" t="s">
        <v>14158</v>
      </c>
      <c r="C116" s="177" t="s">
        <v>14157</v>
      </c>
      <c r="D116" s="177" t="s">
        <v>4108</v>
      </c>
      <c r="E116" s="181">
        <v>1.69</v>
      </c>
      <c r="F116" s="177" t="s">
        <v>4107</v>
      </c>
      <c r="G116" s="177" t="s">
        <v>3007</v>
      </c>
      <c r="H116" s="172">
        <v>11895</v>
      </c>
    </row>
    <row r="117" spans="1:8" ht="31.5" x14ac:dyDescent="0.25">
      <c r="A117" s="177" t="s">
        <v>14143</v>
      </c>
      <c r="B117" s="177" t="s">
        <v>14156</v>
      </c>
      <c r="C117" s="177" t="s">
        <v>14155</v>
      </c>
      <c r="D117" s="177" t="s">
        <v>3672</v>
      </c>
      <c r="E117" s="181">
        <v>19.61</v>
      </c>
      <c r="F117" s="177" t="s">
        <v>3671</v>
      </c>
      <c r="G117" s="177" t="s">
        <v>3007</v>
      </c>
      <c r="H117" s="172">
        <v>11896</v>
      </c>
    </row>
    <row r="118" spans="1:8" ht="31.5" x14ac:dyDescent="0.25">
      <c r="A118" s="177" t="s">
        <v>14143</v>
      </c>
      <c r="B118" s="177" t="s">
        <v>14154</v>
      </c>
      <c r="C118" s="177" t="s">
        <v>14153</v>
      </c>
      <c r="D118" s="177" t="s">
        <v>14152</v>
      </c>
      <c r="E118" s="181">
        <v>6.98</v>
      </c>
      <c r="F118" s="177" t="s">
        <v>14151</v>
      </c>
      <c r="G118" s="177" t="s">
        <v>3007</v>
      </c>
      <c r="H118" s="172">
        <v>11897</v>
      </c>
    </row>
    <row r="119" spans="1:8" ht="31.5" x14ac:dyDescent="0.25">
      <c r="A119" s="177" t="s">
        <v>14143</v>
      </c>
      <c r="B119" s="177" t="s">
        <v>14150</v>
      </c>
      <c r="C119" s="177" t="s">
        <v>14149</v>
      </c>
      <c r="D119" s="177" t="s">
        <v>14148</v>
      </c>
      <c r="E119" s="181">
        <v>15.46</v>
      </c>
      <c r="F119" s="177" t="s">
        <v>14147</v>
      </c>
      <c r="G119" s="177" t="s">
        <v>3007</v>
      </c>
      <c r="H119" s="172">
        <v>11898</v>
      </c>
    </row>
    <row r="120" spans="1:8" ht="31.5" x14ac:dyDescent="0.25">
      <c r="A120" s="177" t="s">
        <v>14143</v>
      </c>
      <c r="B120" s="177" t="s">
        <v>14146</v>
      </c>
      <c r="C120" s="177" t="s">
        <v>14145</v>
      </c>
      <c r="D120" s="177" t="s">
        <v>10889</v>
      </c>
      <c r="E120" s="181">
        <v>6.72</v>
      </c>
      <c r="F120" s="177" t="s">
        <v>10888</v>
      </c>
      <c r="G120" s="177" t="s">
        <v>3007</v>
      </c>
      <c r="H120" s="172">
        <v>11899</v>
      </c>
    </row>
    <row r="121" spans="1:8" ht="31.5" x14ac:dyDescent="0.25">
      <c r="A121" s="177" t="s">
        <v>14143</v>
      </c>
      <c r="B121" s="177" t="s">
        <v>9657</v>
      </c>
      <c r="C121" s="177" t="s">
        <v>14144</v>
      </c>
      <c r="D121" s="177" t="s">
        <v>5044</v>
      </c>
      <c r="E121" s="181">
        <v>10.210000000000001</v>
      </c>
      <c r="F121" s="177" t="s">
        <v>5043</v>
      </c>
      <c r="G121" s="177" t="s">
        <v>3007</v>
      </c>
      <c r="H121" s="172">
        <v>11900</v>
      </c>
    </row>
    <row r="122" spans="1:8" ht="31.5" x14ac:dyDescent="0.25">
      <c r="A122" s="177" t="s">
        <v>14143</v>
      </c>
      <c r="B122" s="177" t="s">
        <v>14142</v>
      </c>
      <c r="C122" s="177" t="s">
        <v>14141</v>
      </c>
      <c r="D122" s="177" t="s">
        <v>3940</v>
      </c>
      <c r="E122" s="181">
        <v>1.95</v>
      </c>
      <c r="F122" s="177" t="s">
        <v>3939</v>
      </c>
      <c r="G122" s="177" t="s">
        <v>3007</v>
      </c>
      <c r="H122" s="172">
        <v>11901</v>
      </c>
    </row>
    <row r="123" spans="1:8" s="200" customFormat="1" x14ac:dyDescent="0.25">
      <c r="A123" s="198"/>
      <c r="B123" s="198"/>
      <c r="C123" s="198" t="s">
        <v>5691</v>
      </c>
      <c r="D123" s="198" t="s">
        <v>14408</v>
      </c>
      <c r="E123" s="199">
        <f>SUM(E3:E122)</f>
        <v>1037.6600000000001</v>
      </c>
      <c r="F123" s="198"/>
      <c r="G123" s="198"/>
      <c r="H123" s="172"/>
    </row>
    <row r="124" spans="1:8" s="200" customFormat="1" x14ac:dyDescent="0.25">
      <c r="A124" s="198"/>
      <c r="B124" s="198"/>
      <c r="C124" s="198"/>
      <c r="D124" s="198"/>
      <c r="E124" s="199"/>
      <c r="F124" s="198"/>
      <c r="G124" s="198"/>
      <c r="H124" s="172"/>
    </row>
    <row r="125" spans="1:8" ht="31.5" x14ac:dyDescent="0.25">
      <c r="A125" s="177" t="s">
        <v>14118</v>
      </c>
      <c r="B125" s="177" t="s">
        <v>14140</v>
      </c>
      <c r="C125" s="177" t="s">
        <v>14139</v>
      </c>
      <c r="D125" s="177" t="s">
        <v>10345</v>
      </c>
      <c r="E125" s="181">
        <v>6.94</v>
      </c>
      <c r="F125" s="177" t="s">
        <v>10344</v>
      </c>
      <c r="G125" s="177" t="s">
        <v>3007</v>
      </c>
      <c r="H125" s="172">
        <v>11902</v>
      </c>
    </row>
    <row r="126" spans="1:8" ht="31.5" x14ac:dyDescent="0.25">
      <c r="A126" s="177" t="s">
        <v>14118</v>
      </c>
      <c r="B126" s="177" t="s">
        <v>14138</v>
      </c>
      <c r="C126" s="177" t="s">
        <v>14137</v>
      </c>
      <c r="D126" s="177" t="s">
        <v>3719</v>
      </c>
      <c r="E126" s="181">
        <v>5.13</v>
      </c>
      <c r="F126" s="177" t="s">
        <v>3718</v>
      </c>
      <c r="G126" s="177" t="s">
        <v>3007</v>
      </c>
      <c r="H126" s="172">
        <v>11903</v>
      </c>
    </row>
    <row r="127" spans="1:8" ht="31.5" x14ac:dyDescent="0.25">
      <c r="A127" s="177" t="s">
        <v>14118</v>
      </c>
      <c r="B127" s="177" t="s">
        <v>14136</v>
      </c>
      <c r="C127" s="177" t="s">
        <v>14135</v>
      </c>
      <c r="D127" s="177" t="s">
        <v>3219</v>
      </c>
      <c r="E127" s="181">
        <v>3.74</v>
      </c>
      <c r="F127" s="177" t="s">
        <v>3218</v>
      </c>
      <c r="G127" s="177" t="s">
        <v>3007</v>
      </c>
      <c r="H127" s="172">
        <v>11904</v>
      </c>
    </row>
    <row r="128" spans="1:8" ht="31.5" x14ac:dyDescent="0.25">
      <c r="A128" s="177" t="s">
        <v>14118</v>
      </c>
      <c r="B128" s="177" t="s">
        <v>14134</v>
      </c>
      <c r="C128" s="177" t="s">
        <v>14133</v>
      </c>
      <c r="D128" s="177" t="s">
        <v>14132</v>
      </c>
      <c r="E128" s="181">
        <v>3.16</v>
      </c>
      <c r="F128" s="177" t="s">
        <v>14131</v>
      </c>
      <c r="G128" s="177" t="s">
        <v>3007</v>
      </c>
      <c r="H128" s="172">
        <v>11905</v>
      </c>
    </row>
    <row r="129" spans="1:8" ht="31.5" x14ac:dyDescent="0.25">
      <c r="A129" s="177" t="s">
        <v>14118</v>
      </c>
      <c r="B129" s="177" t="s">
        <v>14130</v>
      </c>
      <c r="C129" s="177" t="s">
        <v>14129</v>
      </c>
      <c r="D129" s="177" t="s">
        <v>9351</v>
      </c>
      <c r="E129" s="181">
        <v>7.49</v>
      </c>
      <c r="F129" s="177" t="s">
        <v>9350</v>
      </c>
      <c r="G129" s="177" t="s">
        <v>3007</v>
      </c>
      <c r="H129" s="172">
        <v>11906</v>
      </c>
    </row>
    <row r="130" spans="1:8" ht="31.5" x14ac:dyDescent="0.25">
      <c r="A130" s="177" t="s">
        <v>14118</v>
      </c>
      <c r="B130" s="177" t="s">
        <v>14128</v>
      </c>
      <c r="C130" s="177" t="s">
        <v>14127</v>
      </c>
      <c r="D130" s="177" t="s">
        <v>8846</v>
      </c>
      <c r="E130" s="181">
        <v>11.91</v>
      </c>
      <c r="F130" s="177" t="s">
        <v>8845</v>
      </c>
      <c r="G130" s="177" t="s">
        <v>3007</v>
      </c>
      <c r="H130" s="172">
        <v>11907</v>
      </c>
    </row>
    <row r="131" spans="1:8" ht="31.5" x14ac:dyDescent="0.25">
      <c r="A131" s="177" t="s">
        <v>14118</v>
      </c>
      <c r="B131" s="177" t="s">
        <v>14126</v>
      </c>
      <c r="C131" s="177" t="s">
        <v>14125</v>
      </c>
      <c r="D131" s="177" t="s">
        <v>8724</v>
      </c>
      <c r="E131" s="181">
        <v>2.98</v>
      </c>
      <c r="F131" s="177" t="s">
        <v>8723</v>
      </c>
      <c r="G131" s="177" t="s">
        <v>3007</v>
      </c>
      <c r="H131" s="172">
        <v>11908</v>
      </c>
    </row>
    <row r="132" spans="1:8" ht="31.5" x14ac:dyDescent="0.25">
      <c r="A132" s="177" t="s">
        <v>14118</v>
      </c>
      <c r="B132" s="177" t="s">
        <v>14124</v>
      </c>
      <c r="C132" s="177" t="s">
        <v>14123</v>
      </c>
      <c r="D132" s="177" t="s">
        <v>5510</v>
      </c>
      <c r="E132" s="181">
        <v>18.29</v>
      </c>
      <c r="F132" s="177" t="s">
        <v>5509</v>
      </c>
      <c r="G132" s="177" t="s">
        <v>3007</v>
      </c>
      <c r="H132" s="172">
        <v>11909</v>
      </c>
    </row>
    <row r="133" spans="1:8" ht="31.5" x14ac:dyDescent="0.25">
      <c r="A133" s="177" t="s">
        <v>14118</v>
      </c>
      <c r="B133" s="177" t="s">
        <v>14122</v>
      </c>
      <c r="C133" s="177" t="s">
        <v>14121</v>
      </c>
      <c r="D133" s="177" t="s">
        <v>3542</v>
      </c>
      <c r="E133" s="181">
        <v>1.88</v>
      </c>
      <c r="F133" s="177" t="s">
        <v>3541</v>
      </c>
      <c r="G133" s="177" t="s">
        <v>3007</v>
      </c>
      <c r="H133" s="172">
        <v>11910</v>
      </c>
    </row>
    <row r="134" spans="1:8" ht="31.5" x14ac:dyDescent="0.25">
      <c r="A134" s="177" t="s">
        <v>14118</v>
      </c>
      <c r="B134" s="177" t="s">
        <v>14120</v>
      </c>
      <c r="C134" s="177" t="s">
        <v>14119</v>
      </c>
      <c r="D134" s="177" t="s">
        <v>5396</v>
      </c>
      <c r="E134" s="181">
        <v>2.4900000000000002</v>
      </c>
      <c r="F134" s="177" t="s">
        <v>5395</v>
      </c>
      <c r="G134" s="177" t="s">
        <v>3007</v>
      </c>
      <c r="H134" s="172">
        <v>11911</v>
      </c>
    </row>
    <row r="135" spans="1:8" ht="31.5" x14ac:dyDescent="0.25">
      <c r="A135" s="177" t="s">
        <v>14118</v>
      </c>
      <c r="B135" s="177" t="s">
        <v>14117</v>
      </c>
      <c r="C135" s="177" t="s">
        <v>14116</v>
      </c>
      <c r="D135" s="177" t="s">
        <v>4937</v>
      </c>
      <c r="E135" s="181">
        <v>12.13</v>
      </c>
      <c r="F135" s="177" t="s">
        <v>4936</v>
      </c>
      <c r="G135" s="177" t="s">
        <v>3007</v>
      </c>
      <c r="H135" s="172">
        <v>11912</v>
      </c>
    </row>
    <row r="136" spans="1:8" ht="31.5" x14ac:dyDescent="0.25">
      <c r="A136" s="177" t="s">
        <v>14103</v>
      </c>
      <c r="B136" s="177" t="s">
        <v>14115</v>
      </c>
      <c r="C136" s="177" t="s">
        <v>14114</v>
      </c>
      <c r="D136" s="177" t="s">
        <v>5281</v>
      </c>
      <c r="E136" s="181">
        <v>3.43</v>
      </c>
      <c r="F136" s="177" t="s">
        <v>5280</v>
      </c>
      <c r="G136" s="177" t="s">
        <v>3007</v>
      </c>
      <c r="H136" s="172">
        <v>11957</v>
      </c>
    </row>
    <row r="137" spans="1:8" ht="31.5" x14ac:dyDescent="0.25">
      <c r="A137" s="177" t="s">
        <v>14103</v>
      </c>
      <c r="B137" s="177" t="s">
        <v>14113</v>
      </c>
      <c r="C137" s="177" t="s">
        <v>14112</v>
      </c>
      <c r="D137" s="177" t="s">
        <v>3235</v>
      </c>
      <c r="E137" s="181">
        <v>2.54</v>
      </c>
      <c r="F137" s="177" t="s">
        <v>3234</v>
      </c>
      <c r="G137" s="177" t="s">
        <v>3007</v>
      </c>
      <c r="H137" s="172">
        <v>11958</v>
      </c>
    </row>
    <row r="138" spans="1:8" ht="31.5" x14ac:dyDescent="0.25">
      <c r="A138" s="177" t="s">
        <v>14103</v>
      </c>
      <c r="B138" s="177" t="s">
        <v>14111</v>
      </c>
      <c r="C138" s="177" t="s">
        <v>14110</v>
      </c>
      <c r="D138" s="177" t="s">
        <v>5539</v>
      </c>
      <c r="E138" s="181">
        <v>1.94</v>
      </c>
      <c r="F138" s="177" t="s">
        <v>5538</v>
      </c>
      <c r="G138" s="177" t="s">
        <v>3007</v>
      </c>
      <c r="H138" s="172">
        <v>11959</v>
      </c>
    </row>
    <row r="139" spans="1:8" ht="31.5" x14ac:dyDescent="0.25">
      <c r="A139" s="177" t="s">
        <v>14103</v>
      </c>
      <c r="B139" s="177" t="s">
        <v>14109</v>
      </c>
      <c r="C139" s="177" t="s">
        <v>14108</v>
      </c>
      <c r="D139" s="177" t="s">
        <v>5032</v>
      </c>
      <c r="E139" s="181">
        <v>1.98</v>
      </c>
      <c r="F139" s="177" t="s">
        <v>5031</v>
      </c>
      <c r="G139" s="177" t="s">
        <v>3007</v>
      </c>
      <c r="H139" s="172">
        <v>11960</v>
      </c>
    </row>
    <row r="140" spans="1:8" ht="31.5" x14ac:dyDescent="0.25">
      <c r="A140" s="177" t="s">
        <v>14103</v>
      </c>
      <c r="B140" s="177" t="s">
        <v>14107</v>
      </c>
      <c r="C140" s="177" t="s">
        <v>14106</v>
      </c>
      <c r="D140" s="177" t="s">
        <v>3385</v>
      </c>
      <c r="E140" s="181">
        <v>7.96</v>
      </c>
      <c r="F140" s="177" t="s">
        <v>3384</v>
      </c>
      <c r="G140" s="177" t="s">
        <v>3007</v>
      </c>
      <c r="H140" s="172">
        <v>11961</v>
      </c>
    </row>
    <row r="141" spans="1:8" ht="31.5" x14ac:dyDescent="0.25">
      <c r="A141" s="177" t="s">
        <v>14103</v>
      </c>
      <c r="B141" s="177" t="s">
        <v>14105</v>
      </c>
      <c r="C141" s="177" t="s">
        <v>14104</v>
      </c>
      <c r="D141" s="177" t="s">
        <v>9218</v>
      </c>
      <c r="E141" s="181">
        <v>12.3</v>
      </c>
      <c r="F141" s="177" t="s">
        <v>9217</v>
      </c>
      <c r="G141" s="177" t="s">
        <v>3007</v>
      </c>
      <c r="H141" s="172">
        <v>11962</v>
      </c>
    </row>
    <row r="142" spans="1:8" ht="31.5" x14ac:dyDescent="0.25">
      <c r="A142" s="177" t="s">
        <v>14103</v>
      </c>
      <c r="B142" s="177" t="s">
        <v>14102</v>
      </c>
      <c r="C142" s="177" t="s">
        <v>14101</v>
      </c>
      <c r="D142" s="177" t="s">
        <v>6703</v>
      </c>
      <c r="E142" s="181">
        <v>15.63</v>
      </c>
      <c r="F142" s="177" t="s">
        <v>6702</v>
      </c>
      <c r="G142" s="177" t="s">
        <v>3007</v>
      </c>
      <c r="H142" s="172">
        <v>11963</v>
      </c>
    </row>
    <row r="143" spans="1:8" ht="31.5" x14ac:dyDescent="0.25">
      <c r="A143" s="177" t="s">
        <v>14091</v>
      </c>
      <c r="B143" s="177" t="s">
        <v>11909</v>
      </c>
      <c r="C143" s="177" t="s">
        <v>14100</v>
      </c>
      <c r="D143" s="177" t="s">
        <v>4867</v>
      </c>
      <c r="E143" s="181">
        <v>11</v>
      </c>
      <c r="F143" s="177" t="s">
        <v>4866</v>
      </c>
      <c r="G143" s="177" t="s">
        <v>3007</v>
      </c>
      <c r="H143" s="172">
        <v>11964</v>
      </c>
    </row>
    <row r="144" spans="1:8" ht="31.5" x14ac:dyDescent="0.25">
      <c r="A144" s="177" t="s">
        <v>14091</v>
      </c>
      <c r="B144" s="177" t="s">
        <v>14099</v>
      </c>
      <c r="C144" s="177" t="s">
        <v>14098</v>
      </c>
      <c r="D144" s="177" t="s">
        <v>6296</v>
      </c>
      <c r="E144" s="181">
        <v>2.62</v>
      </c>
      <c r="F144" s="177" t="s">
        <v>6295</v>
      </c>
      <c r="G144" s="177" t="s">
        <v>3007</v>
      </c>
      <c r="H144" s="172">
        <v>11965</v>
      </c>
    </row>
    <row r="145" spans="1:8" ht="31.5" x14ac:dyDescent="0.25">
      <c r="A145" s="177" t="s">
        <v>14091</v>
      </c>
      <c r="B145" s="177" t="s">
        <v>14097</v>
      </c>
      <c r="C145" s="177" t="s">
        <v>14096</v>
      </c>
      <c r="D145" s="177" t="s">
        <v>14095</v>
      </c>
      <c r="E145" s="181">
        <v>25.98</v>
      </c>
      <c r="F145" s="177" t="s">
        <v>14094</v>
      </c>
      <c r="G145" s="177" t="s">
        <v>3007</v>
      </c>
      <c r="H145" s="172">
        <v>11966</v>
      </c>
    </row>
    <row r="146" spans="1:8" ht="31.5" x14ac:dyDescent="0.25">
      <c r="A146" s="177" t="s">
        <v>14091</v>
      </c>
      <c r="B146" s="177" t="s">
        <v>14093</v>
      </c>
      <c r="C146" s="177" t="s">
        <v>14092</v>
      </c>
      <c r="D146" s="177" t="s">
        <v>10930</v>
      </c>
      <c r="E146" s="181">
        <v>15.22</v>
      </c>
      <c r="F146" s="177" t="s">
        <v>10929</v>
      </c>
      <c r="G146" s="177" t="s">
        <v>3007</v>
      </c>
      <c r="H146" s="172">
        <v>11967</v>
      </c>
    </row>
    <row r="147" spans="1:8" ht="31.5" x14ac:dyDescent="0.25">
      <c r="A147" s="177" t="s">
        <v>14091</v>
      </c>
      <c r="B147" s="177" t="s">
        <v>14090</v>
      </c>
      <c r="C147" s="177" t="s">
        <v>14089</v>
      </c>
      <c r="D147" s="177" t="s">
        <v>10799</v>
      </c>
      <c r="E147" s="181">
        <v>3.18</v>
      </c>
      <c r="F147" s="177" t="s">
        <v>10798</v>
      </c>
      <c r="G147" s="177" t="s">
        <v>3007</v>
      </c>
      <c r="H147" s="172">
        <v>11968</v>
      </c>
    </row>
    <row r="148" spans="1:8" ht="31.5" x14ac:dyDescent="0.25">
      <c r="A148" s="177" t="s">
        <v>14084</v>
      </c>
      <c r="B148" s="177" t="s">
        <v>6501</v>
      </c>
      <c r="C148" s="177" t="s">
        <v>14088</v>
      </c>
      <c r="D148" s="177" t="s">
        <v>5444</v>
      </c>
      <c r="E148" s="181">
        <v>1.69</v>
      </c>
      <c r="F148" s="177" t="s">
        <v>5443</v>
      </c>
      <c r="G148" s="177" t="s">
        <v>3007</v>
      </c>
      <c r="H148" s="172">
        <v>11969</v>
      </c>
    </row>
    <row r="149" spans="1:8" ht="31.5" x14ac:dyDescent="0.25">
      <c r="A149" s="177" t="s">
        <v>14084</v>
      </c>
      <c r="B149" s="177" t="s">
        <v>14087</v>
      </c>
      <c r="C149" s="177" t="s">
        <v>14086</v>
      </c>
      <c r="D149" s="177" t="s">
        <v>11848</v>
      </c>
      <c r="E149" s="181">
        <v>5.2</v>
      </c>
      <c r="F149" s="177" t="s">
        <v>11847</v>
      </c>
      <c r="G149" s="177" t="s">
        <v>3007</v>
      </c>
      <c r="H149" s="172">
        <v>11996</v>
      </c>
    </row>
    <row r="150" spans="1:8" ht="31.5" x14ac:dyDescent="0.25">
      <c r="A150" s="177" t="s">
        <v>14084</v>
      </c>
      <c r="B150" s="177" t="s">
        <v>4560</v>
      </c>
      <c r="C150" s="177" t="s">
        <v>14085</v>
      </c>
      <c r="D150" s="177" t="s">
        <v>12872</v>
      </c>
      <c r="E150" s="181">
        <v>6.15</v>
      </c>
      <c r="F150" s="177" t="s">
        <v>12871</v>
      </c>
      <c r="G150" s="177" t="s">
        <v>3007</v>
      </c>
      <c r="H150" s="172">
        <v>11997</v>
      </c>
    </row>
    <row r="151" spans="1:8" ht="31.5" x14ac:dyDescent="0.25">
      <c r="A151" s="177" t="s">
        <v>14084</v>
      </c>
      <c r="B151" s="177" t="s">
        <v>3706</v>
      </c>
      <c r="C151" s="177" t="s">
        <v>14083</v>
      </c>
      <c r="D151" s="177" t="s">
        <v>6431</v>
      </c>
      <c r="E151" s="181">
        <v>7.28</v>
      </c>
      <c r="F151" s="177" t="s">
        <v>6430</v>
      </c>
      <c r="G151" s="177" t="s">
        <v>3007</v>
      </c>
      <c r="H151" s="172">
        <v>11998</v>
      </c>
    </row>
    <row r="152" spans="1:8" ht="31.5" x14ac:dyDescent="0.25">
      <c r="A152" s="177" t="s">
        <v>14058</v>
      </c>
      <c r="B152" s="177" t="s">
        <v>14082</v>
      </c>
      <c r="C152" s="177" t="s">
        <v>14081</v>
      </c>
      <c r="D152" s="177" t="s">
        <v>6412</v>
      </c>
      <c r="E152" s="181">
        <v>13.93</v>
      </c>
      <c r="F152" s="177" t="s">
        <v>6411</v>
      </c>
      <c r="G152" s="177" t="s">
        <v>3007</v>
      </c>
      <c r="H152" s="172">
        <v>11999</v>
      </c>
    </row>
    <row r="153" spans="1:8" ht="31.5" x14ac:dyDescent="0.25">
      <c r="A153" s="177" t="s">
        <v>14058</v>
      </c>
      <c r="B153" s="177" t="s">
        <v>8683</v>
      </c>
      <c r="C153" s="177" t="s">
        <v>14080</v>
      </c>
      <c r="D153" s="177" t="s">
        <v>14079</v>
      </c>
      <c r="E153" s="181">
        <v>69.349999999999994</v>
      </c>
      <c r="F153" s="177" t="s">
        <v>13209</v>
      </c>
      <c r="G153" s="177" t="s">
        <v>3007</v>
      </c>
      <c r="H153" s="172">
        <v>12000</v>
      </c>
    </row>
    <row r="154" spans="1:8" ht="31.5" x14ac:dyDescent="0.25">
      <c r="A154" s="177" t="s">
        <v>14058</v>
      </c>
      <c r="B154" s="177" t="s">
        <v>14078</v>
      </c>
      <c r="C154" s="177" t="s">
        <v>14077</v>
      </c>
      <c r="D154" s="177" t="s">
        <v>3341</v>
      </c>
      <c r="E154" s="181">
        <v>2.7</v>
      </c>
      <c r="F154" s="177" t="s">
        <v>3340</v>
      </c>
      <c r="G154" s="177" t="s">
        <v>3007</v>
      </c>
      <c r="H154" s="172">
        <v>12001</v>
      </c>
    </row>
    <row r="155" spans="1:8" ht="31.5" x14ac:dyDescent="0.25">
      <c r="A155" s="177" t="s">
        <v>14058</v>
      </c>
      <c r="B155" s="177" t="s">
        <v>7395</v>
      </c>
      <c r="C155" s="177" t="s">
        <v>14076</v>
      </c>
      <c r="D155" s="177" t="s">
        <v>7133</v>
      </c>
      <c r="E155" s="181">
        <v>23.92</v>
      </c>
      <c r="F155" s="177" t="s">
        <v>7132</v>
      </c>
      <c r="G155" s="177" t="s">
        <v>3007</v>
      </c>
      <c r="H155" s="172">
        <v>12002</v>
      </c>
    </row>
    <row r="156" spans="1:8" ht="31.5" x14ac:dyDescent="0.25">
      <c r="A156" s="177" t="s">
        <v>14058</v>
      </c>
      <c r="B156" s="177" t="s">
        <v>14075</v>
      </c>
      <c r="C156" s="177" t="s">
        <v>14074</v>
      </c>
      <c r="D156" s="177" t="s">
        <v>3832</v>
      </c>
      <c r="E156" s="181">
        <v>53.1</v>
      </c>
      <c r="F156" s="177" t="s">
        <v>3831</v>
      </c>
      <c r="G156" s="177" t="s">
        <v>3007</v>
      </c>
      <c r="H156" s="172">
        <v>12003</v>
      </c>
    </row>
    <row r="157" spans="1:8" ht="31.5" x14ac:dyDescent="0.25">
      <c r="A157" s="177" t="s">
        <v>14058</v>
      </c>
      <c r="B157" s="177" t="s">
        <v>14073</v>
      </c>
      <c r="C157" s="177" t="s">
        <v>14072</v>
      </c>
      <c r="D157" s="177" t="s">
        <v>5126</v>
      </c>
      <c r="E157" s="181">
        <v>77.61</v>
      </c>
      <c r="F157" s="177" t="s">
        <v>5125</v>
      </c>
      <c r="G157" s="177" t="s">
        <v>3007</v>
      </c>
      <c r="H157" s="172">
        <v>12004</v>
      </c>
    </row>
    <row r="158" spans="1:8" ht="31.5" x14ac:dyDescent="0.25">
      <c r="A158" s="177" t="s">
        <v>14058</v>
      </c>
      <c r="B158" s="177" t="s">
        <v>14071</v>
      </c>
      <c r="C158" s="177" t="s">
        <v>14070</v>
      </c>
      <c r="D158" s="177" t="s">
        <v>7508</v>
      </c>
      <c r="E158" s="181">
        <v>7.65</v>
      </c>
      <c r="F158" s="177" t="s">
        <v>7507</v>
      </c>
      <c r="G158" s="177" t="s">
        <v>3007</v>
      </c>
      <c r="H158" s="172">
        <v>12005</v>
      </c>
    </row>
    <row r="159" spans="1:8" ht="31.5" x14ac:dyDescent="0.25">
      <c r="A159" s="177" t="s">
        <v>14058</v>
      </c>
      <c r="B159" s="177" t="s">
        <v>14069</v>
      </c>
      <c r="C159" s="177" t="s">
        <v>14068</v>
      </c>
      <c r="D159" s="177" t="s">
        <v>14067</v>
      </c>
      <c r="E159" s="181">
        <v>1.87</v>
      </c>
      <c r="F159" s="177" t="s">
        <v>14066</v>
      </c>
      <c r="G159" s="177" t="s">
        <v>3007</v>
      </c>
      <c r="H159" s="172">
        <v>12006</v>
      </c>
    </row>
    <row r="160" spans="1:8" ht="31.5" x14ac:dyDescent="0.25">
      <c r="A160" s="177" t="s">
        <v>14058</v>
      </c>
      <c r="B160" s="177" t="s">
        <v>14065</v>
      </c>
      <c r="C160" s="177" t="s">
        <v>14064</v>
      </c>
      <c r="D160" s="177" t="s">
        <v>4791</v>
      </c>
      <c r="E160" s="181">
        <v>1.68</v>
      </c>
      <c r="F160" s="177" t="s">
        <v>4790</v>
      </c>
      <c r="G160" s="177" t="s">
        <v>3007</v>
      </c>
      <c r="H160" s="172">
        <v>12007</v>
      </c>
    </row>
    <row r="161" spans="1:8" ht="31.5" x14ac:dyDescent="0.25">
      <c r="A161" s="177" t="s">
        <v>14058</v>
      </c>
      <c r="B161" s="177" t="s">
        <v>4805</v>
      </c>
      <c r="C161" s="177" t="s">
        <v>14063</v>
      </c>
      <c r="D161" s="177" t="s">
        <v>3759</v>
      </c>
      <c r="E161" s="181">
        <v>6.58</v>
      </c>
      <c r="F161" s="177" t="s">
        <v>3758</v>
      </c>
      <c r="G161" s="177" t="s">
        <v>3007</v>
      </c>
      <c r="H161" s="172">
        <v>12008</v>
      </c>
    </row>
    <row r="162" spans="1:8" ht="31.5" x14ac:dyDescent="0.25">
      <c r="A162" s="177" t="s">
        <v>14058</v>
      </c>
      <c r="B162" s="177" t="s">
        <v>14062</v>
      </c>
      <c r="C162" s="177" t="s">
        <v>14061</v>
      </c>
      <c r="D162" s="177" t="s">
        <v>7657</v>
      </c>
      <c r="E162" s="181">
        <v>3.05</v>
      </c>
      <c r="F162" s="177" t="s">
        <v>7656</v>
      </c>
      <c r="G162" s="177" t="s">
        <v>3007</v>
      </c>
      <c r="H162" s="172">
        <v>12009</v>
      </c>
    </row>
    <row r="163" spans="1:8" ht="31.5" x14ac:dyDescent="0.25">
      <c r="A163" s="177" t="s">
        <v>14058</v>
      </c>
      <c r="B163" s="177" t="s">
        <v>14060</v>
      </c>
      <c r="C163" s="177" t="s">
        <v>14059</v>
      </c>
      <c r="D163" s="177" t="s">
        <v>4425</v>
      </c>
      <c r="E163" s="181">
        <v>5.67</v>
      </c>
      <c r="F163" s="177" t="s">
        <v>4424</v>
      </c>
      <c r="G163" s="177" t="s">
        <v>3007</v>
      </c>
      <c r="H163" s="172">
        <v>12010</v>
      </c>
    </row>
    <row r="164" spans="1:8" ht="31.5" x14ac:dyDescent="0.25">
      <c r="A164" s="177" t="s">
        <v>14058</v>
      </c>
      <c r="B164" s="177" t="s">
        <v>14057</v>
      </c>
      <c r="C164" s="177" t="s">
        <v>14056</v>
      </c>
      <c r="D164" s="177" t="s">
        <v>8803</v>
      </c>
      <c r="E164" s="181">
        <v>1.68</v>
      </c>
      <c r="F164" s="177" t="s">
        <v>8802</v>
      </c>
      <c r="G164" s="177" t="s">
        <v>3007</v>
      </c>
      <c r="H164" s="172">
        <v>12011</v>
      </c>
    </row>
    <row r="165" spans="1:8" ht="31.5" x14ac:dyDescent="0.25">
      <c r="A165" s="177" t="s">
        <v>14039</v>
      </c>
      <c r="B165" s="177" t="s">
        <v>14055</v>
      </c>
      <c r="C165" s="177" t="s">
        <v>14054</v>
      </c>
      <c r="D165" s="177" t="s">
        <v>3546</v>
      </c>
      <c r="E165" s="181">
        <v>6.8</v>
      </c>
      <c r="F165" s="177" t="s">
        <v>3545</v>
      </c>
      <c r="G165" s="177" t="s">
        <v>3007</v>
      </c>
      <c r="H165" s="172">
        <v>12040</v>
      </c>
    </row>
    <row r="166" spans="1:8" ht="31.5" x14ac:dyDescent="0.25">
      <c r="A166" s="177" t="s">
        <v>14039</v>
      </c>
      <c r="B166" s="177" t="s">
        <v>14053</v>
      </c>
      <c r="C166" s="177" t="s">
        <v>14052</v>
      </c>
      <c r="D166" s="177" t="s">
        <v>3848</v>
      </c>
      <c r="E166" s="181">
        <v>2.64</v>
      </c>
      <c r="F166" s="177" t="s">
        <v>3847</v>
      </c>
      <c r="G166" s="177" t="s">
        <v>3007</v>
      </c>
      <c r="H166" s="172">
        <v>12041</v>
      </c>
    </row>
    <row r="167" spans="1:8" ht="31.5" x14ac:dyDescent="0.25">
      <c r="A167" s="177" t="s">
        <v>14039</v>
      </c>
      <c r="B167" s="177" t="s">
        <v>9492</v>
      </c>
      <c r="C167" s="177" t="s">
        <v>14051</v>
      </c>
      <c r="D167" s="177" t="s">
        <v>3851</v>
      </c>
      <c r="E167" s="181">
        <v>7.83</v>
      </c>
      <c r="F167" s="177" t="s">
        <v>3847</v>
      </c>
      <c r="G167" s="177" t="s">
        <v>3007</v>
      </c>
      <c r="H167" s="172">
        <v>12042</v>
      </c>
    </row>
    <row r="168" spans="1:8" ht="31.5" x14ac:dyDescent="0.25">
      <c r="A168" s="177" t="s">
        <v>14039</v>
      </c>
      <c r="B168" s="177" t="s">
        <v>14050</v>
      </c>
      <c r="C168" s="177" t="s">
        <v>14049</v>
      </c>
      <c r="D168" s="177" t="s">
        <v>10850</v>
      </c>
      <c r="E168" s="181">
        <v>5.57</v>
      </c>
      <c r="F168" s="177" t="s">
        <v>10849</v>
      </c>
      <c r="G168" s="177" t="s">
        <v>3007</v>
      </c>
      <c r="H168" s="172">
        <v>12043</v>
      </c>
    </row>
    <row r="169" spans="1:8" ht="31.5" x14ac:dyDescent="0.25">
      <c r="A169" s="177" t="s">
        <v>14039</v>
      </c>
      <c r="B169" s="177" t="s">
        <v>14048</v>
      </c>
      <c r="C169" s="177" t="s">
        <v>14047</v>
      </c>
      <c r="D169" s="177" t="s">
        <v>3953</v>
      </c>
      <c r="E169" s="181">
        <v>1.68</v>
      </c>
      <c r="F169" s="177" t="s">
        <v>3952</v>
      </c>
      <c r="G169" s="177" t="s">
        <v>3007</v>
      </c>
      <c r="H169" s="172">
        <v>12044</v>
      </c>
    </row>
    <row r="170" spans="1:8" ht="31.5" x14ac:dyDescent="0.25">
      <c r="A170" s="177" t="s">
        <v>14039</v>
      </c>
      <c r="B170" s="177" t="s">
        <v>14046</v>
      </c>
      <c r="C170" s="177" t="s">
        <v>14045</v>
      </c>
      <c r="D170" s="177" t="s">
        <v>11219</v>
      </c>
      <c r="E170" s="181">
        <v>15.99</v>
      </c>
      <c r="F170" s="177" t="s">
        <v>11218</v>
      </c>
      <c r="G170" s="177" t="s">
        <v>3007</v>
      </c>
      <c r="H170" s="172">
        <v>12045</v>
      </c>
    </row>
    <row r="171" spans="1:8" ht="31.5" x14ac:dyDescent="0.25">
      <c r="A171" s="177" t="s">
        <v>14039</v>
      </c>
      <c r="B171" s="177" t="s">
        <v>5998</v>
      </c>
      <c r="C171" s="177" t="s">
        <v>14044</v>
      </c>
      <c r="D171" s="177" t="s">
        <v>7498</v>
      </c>
      <c r="E171" s="181">
        <v>2.4300000000000002</v>
      </c>
      <c r="F171" s="177" t="s">
        <v>7497</v>
      </c>
      <c r="G171" s="177" t="s">
        <v>3007</v>
      </c>
      <c r="H171" s="172">
        <v>12046</v>
      </c>
    </row>
    <row r="172" spans="1:8" ht="31.5" x14ac:dyDescent="0.25">
      <c r="A172" s="177" t="s">
        <v>14039</v>
      </c>
      <c r="B172" s="177" t="s">
        <v>14043</v>
      </c>
      <c r="C172" s="177" t="s">
        <v>14042</v>
      </c>
      <c r="D172" s="177" t="s">
        <v>4358</v>
      </c>
      <c r="E172" s="181">
        <v>3.68</v>
      </c>
      <c r="F172" s="177" t="s">
        <v>4357</v>
      </c>
      <c r="G172" s="177" t="s">
        <v>3007</v>
      </c>
      <c r="H172" s="172">
        <v>12047</v>
      </c>
    </row>
    <row r="173" spans="1:8" ht="31.5" x14ac:dyDescent="0.25">
      <c r="A173" s="177" t="s">
        <v>14039</v>
      </c>
      <c r="B173" s="177" t="s">
        <v>14041</v>
      </c>
      <c r="C173" s="177" t="s">
        <v>14040</v>
      </c>
      <c r="D173" s="177" t="s">
        <v>4132</v>
      </c>
      <c r="E173" s="181">
        <v>10.8</v>
      </c>
      <c r="F173" s="177" t="s">
        <v>4131</v>
      </c>
      <c r="G173" s="177" t="s">
        <v>3007</v>
      </c>
      <c r="H173" s="172">
        <v>12048</v>
      </c>
    </row>
    <row r="174" spans="1:8" ht="31.5" x14ac:dyDescent="0.25">
      <c r="A174" s="177" t="s">
        <v>14039</v>
      </c>
      <c r="B174" s="177" t="s">
        <v>14038</v>
      </c>
      <c r="C174" s="177" t="s">
        <v>14037</v>
      </c>
      <c r="D174" s="177" t="s">
        <v>4229</v>
      </c>
      <c r="E174" s="181">
        <v>8.2899999999999991</v>
      </c>
      <c r="F174" s="177" t="s">
        <v>4228</v>
      </c>
      <c r="G174" s="177" t="s">
        <v>3007</v>
      </c>
      <c r="H174" s="172">
        <v>12049</v>
      </c>
    </row>
    <row r="175" spans="1:8" ht="31.5" x14ac:dyDescent="0.25">
      <c r="A175" s="177" t="s">
        <v>14025</v>
      </c>
      <c r="B175" s="177" t="s">
        <v>14036</v>
      </c>
      <c r="C175" s="177" t="s">
        <v>14035</v>
      </c>
      <c r="D175" s="177" t="s">
        <v>11343</v>
      </c>
      <c r="E175" s="181">
        <v>1.68</v>
      </c>
      <c r="F175" s="177" t="s">
        <v>11342</v>
      </c>
      <c r="G175" s="177" t="s">
        <v>3007</v>
      </c>
      <c r="H175" s="172">
        <v>12159</v>
      </c>
    </row>
    <row r="176" spans="1:8" ht="31.5" x14ac:dyDescent="0.25">
      <c r="A176" s="177" t="s">
        <v>14025</v>
      </c>
      <c r="B176" s="177" t="s">
        <v>14034</v>
      </c>
      <c r="C176" s="177" t="s">
        <v>14033</v>
      </c>
      <c r="D176" s="177" t="s">
        <v>8439</v>
      </c>
      <c r="E176" s="181">
        <v>5.18</v>
      </c>
      <c r="F176" s="177" t="s">
        <v>8438</v>
      </c>
      <c r="G176" s="177" t="s">
        <v>3007</v>
      </c>
      <c r="H176" s="172">
        <v>12160</v>
      </c>
    </row>
    <row r="177" spans="1:8" ht="31.5" x14ac:dyDescent="0.25">
      <c r="A177" s="177" t="s">
        <v>14025</v>
      </c>
      <c r="B177" s="177" t="s">
        <v>7260</v>
      </c>
      <c r="C177" s="177" t="s">
        <v>14032</v>
      </c>
      <c r="D177" s="177" t="s">
        <v>14031</v>
      </c>
      <c r="E177" s="181">
        <v>50.21</v>
      </c>
      <c r="F177" s="177" t="s">
        <v>14030</v>
      </c>
      <c r="G177" s="177" t="s">
        <v>3007</v>
      </c>
      <c r="H177" s="172">
        <v>12161</v>
      </c>
    </row>
    <row r="178" spans="1:8" ht="31.5" x14ac:dyDescent="0.25">
      <c r="A178" s="177" t="s">
        <v>14025</v>
      </c>
      <c r="B178" s="177" t="s">
        <v>14029</v>
      </c>
      <c r="C178" s="177" t="s">
        <v>14028</v>
      </c>
      <c r="D178" s="177" t="s">
        <v>5678</v>
      </c>
      <c r="E178" s="181">
        <v>5.12</v>
      </c>
      <c r="F178" s="177" t="s">
        <v>5677</v>
      </c>
      <c r="G178" s="177" t="s">
        <v>3007</v>
      </c>
      <c r="H178" s="172" t="s">
        <v>14027</v>
      </c>
    </row>
    <row r="179" spans="1:8" ht="31.5" x14ac:dyDescent="0.25">
      <c r="A179" s="177" t="s">
        <v>14025</v>
      </c>
      <c r="B179" s="177" t="s">
        <v>10523</v>
      </c>
      <c r="C179" s="177" t="s">
        <v>14026</v>
      </c>
      <c r="D179" s="177" t="s">
        <v>6495</v>
      </c>
      <c r="E179" s="181">
        <v>9</v>
      </c>
      <c r="F179" s="177" t="s">
        <v>6494</v>
      </c>
      <c r="G179" s="177" t="s">
        <v>3007</v>
      </c>
      <c r="H179" s="172">
        <v>12162</v>
      </c>
    </row>
    <row r="180" spans="1:8" ht="31.5" x14ac:dyDescent="0.25">
      <c r="A180" s="177" t="s">
        <v>14025</v>
      </c>
      <c r="B180" s="177" t="s">
        <v>14024</v>
      </c>
      <c r="C180" s="177" t="s">
        <v>14023</v>
      </c>
      <c r="D180" s="177" t="s">
        <v>6467</v>
      </c>
      <c r="E180" s="181">
        <v>16.760000000000002</v>
      </c>
      <c r="F180" s="177" t="s">
        <v>6466</v>
      </c>
      <c r="G180" s="177" t="s">
        <v>3007</v>
      </c>
      <c r="H180" s="172">
        <v>12163</v>
      </c>
    </row>
    <row r="181" spans="1:8" ht="31.5" x14ac:dyDescent="0.25">
      <c r="A181" s="177" t="s">
        <v>13991</v>
      </c>
      <c r="B181" s="177" t="s">
        <v>14022</v>
      </c>
      <c r="C181" s="177" t="s">
        <v>14021</v>
      </c>
      <c r="D181" s="177" t="s">
        <v>3050</v>
      </c>
      <c r="E181" s="181">
        <v>1.68</v>
      </c>
      <c r="F181" s="177" t="s">
        <v>3049</v>
      </c>
      <c r="G181" s="177" t="s">
        <v>3007</v>
      </c>
      <c r="H181" s="172">
        <v>12196</v>
      </c>
    </row>
    <row r="182" spans="1:8" ht="31.5" x14ac:dyDescent="0.25">
      <c r="A182" s="177" t="s">
        <v>13991</v>
      </c>
      <c r="B182" s="177" t="s">
        <v>14020</v>
      </c>
      <c r="C182" s="177" t="s">
        <v>14019</v>
      </c>
      <c r="D182" s="177" t="s">
        <v>6070</v>
      </c>
      <c r="E182" s="181">
        <v>12.3</v>
      </c>
      <c r="F182" s="177" t="s">
        <v>6069</v>
      </c>
      <c r="G182" s="177" t="s">
        <v>3007</v>
      </c>
      <c r="H182" s="172">
        <v>12197</v>
      </c>
    </row>
    <row r="183" spans="1:8" ht="31.5" x14ac:dyDescent="0.25">
      <c r="A183" s="177" t="s">
        <v>13991</v>
      </c>
      <c r="B183" s="177" t="s">
        <v>14018</v>
      </c>
      <c r="C183" s="177" t="s">
        <v>14017</v>
      </c>
      <c r="D183" s="177" t="s">
        <v>3668</v>
      </c>
      <c r="E183" s="181">
        <v>5.1100000000000003</v>
      </c>
      <c r="F183" s="177" t="s">
        <v>3667</v>
      </c>
      <c r="G183" s="177" t="s">
        <v>3007</v>
      </c>
      <c r="H183" s="172">
        <v>12198</v>
      </c>
    </row>
    <row r="184" spans="1:8" ht="31.5" x14ac:dyDescent="0.25">
      <c r="A184" s="177" t="s">
        <v>13991</v>
      </c>
      <c r="B184" s="177" t="s">
        <v>14016</v>
      </c>
      <c r="C184" s="177" t="s">
        <v>14015</v>
      </c>
      <c r="D184" s="177" t="s">
        <v>4536</v>
      </c>
      <c r="E184" s="181">
        <v>12.23</v>
      </c>
      <c r="F184" s="177" t="s">
        <v>4535</v>
      </c>
      <c r="G184" s="177" t="s">
        <v>3007</v>
      </c>
      <c r="H184" s="172">
        <v>12199</v>
      </c>
    </row>
    <row r="185" spans="1:8" ht="31.5" x14ac:dyDescent="0.25">
      <c r="A185" s="177" t="s">
        <v>13991</v>
      </c>
      <c r="B185" s="177" t="s">
        <v>14014</v>
      </c>
      <c r="C185" s="177" t="s">
        <v>14013</v>
      </c>
      <c r="D185" s="177" t="s">
        <v>8355</v>
      </c>
      <c r="E185" s="181">
        <v>13.86</v>
      </c>
      <c r="F185" s="177" t="s">
        <v>8354</v>
      </c>
      <c r="G185" s="177" t="s">
        <v>3007</v>
      </c>
      <c r="H185" s="172">
        <v>12200</v>
      </c>
    </row>
    <row r="186" spans="1:8" ht="31.5" x14ac:dyDescent="0.25">
      <c r="A186" s="177" t="s">
        <v>13991</v>
      </c>
      <c r="B186" s="177" t="s">
        <v>14012</v>
      </c>
      <c r="C186" s="177" t="s">
        <v>14011</v>
      </c>
      <c r="D186" s="177" t="s">
        <v>11723</v>
      </c>
      <c r="E186" s="181">
        <v>6.28</v>
      </c>
      <c r="F186" s="177" t="s">
        <v>11722</v>
      </c>
      <c r="G186" s="177" t="s">
        <v>3007</v>
      </c>
      <c r="H186" s="172">
        <v>12201</v>
      </c>
    </row>
    <row r="187" spans="1:8" ht="31.5" x14ac:dyDescent="0.25">
      <c r="A187" s="177" t="s">
        <v>13991</v>
      </c>
      <c r="B187" s="177" t="s">
        <v>14010</v>
      </c>
      <c r="C187" s="177" t="s">
        <v>14009</v>
      </c>
      <c r="D187" s="177" t="s">
        <v>4245</v>
      </c>
      <c r="E187" s="181">
        <v>2.42</v>
      </c>
      <c r="F187" s="177" t="s">
        <v>4244</v>
      </c>
      <c r="G187" s="177" t="s">
        <v>3007</v>
      </c>
      <c r="H187" s="172">
        <v>12202</v>
      </c>
    </row>
    <row r="188" spans="1:8" ht="31.5" x14ac:dyDescent="0.25">
      <c r="A188" s="177" t="s">
        <v>13991</v>
      </c>
      <c r="B188" s="177" t="s">
        <v>14008</v>
      </c>
      <c r="C188" s="177" t="s">
        <v>14007</v>
      </c>
      <c r="D188" s="177" t="s">
        <v>6028</v>
      </c>
      <c r="E188" s="181">
        <v>1.68</v>
      </c>
      <c r="F188" s="177" t="s">
        <v>6027</v>
      </c>
      <c r="G188" s="177" t="s">
        <v>3007</v>
      </c>
      <c r="H188" s="172">
        <v>12203</v>
      </c>
    </row>
    <row r="189" spans="1:8" ht="31.5" x14ac:dyDescent="0.25">
      <c r="A189" s="177" t="s">
        <v>13991</v>
      </c>
      <c r="B189" s="177" t="s">
        <v>14006</v>
      </c>
      <c r="C189" s="177" t="s">
        <v>14005</v>
      </c>
      <c r="D189" s="177" t="s">
        <v>3402</v>
      </c>
      <c r="E189" s="181">
        <v>5.39</v>
      </c>
      <c r="F189" s="177" t="s">
        <v>3401</v>
      </c>
      <c r="G189" s="177" t="s">
        <v>3007</v>
      </c>
      <c r="H189" s="172">
        <v>12204</v>
      </c>
    </row>
    <row r="190" spans="1:8" ht="31.5" x14ac:dyDescent="0.25">
      <c r="A190" s="177" t="s">
        <v>13991</v>
      </c>
      <c r="B190" s="177" t="s">
        <v>14004</v>
      </c>
      <c r="C190" s="177" t="s">
        <v>14003</v>
      </c>
      <c r="D190" s="177" t="s">
        <v>4681</v>
      </c>
      <c r="E190" s="181">
        <v>4.3600000000000003</v>
      </c>
      <c r="F190" s="177" t="s">
        <v>4680</v>
      </c>
      <c r="G190" s="177" t="s">
        <v>3007</v>
      </c>
      <c r="H190" s="172">
        <v>12205</v>
      </c>
    </row>
    <row r="191" spans="1:8" ht="31.5" x14ac:dyDescent="0.25">
      <c r="A191" s="177" t="s">
        <v>13991</v>
      </c>
      <c r="B191" s="177" t="s">
        <v>6174</v>
      </c>
      <c r="C191" s="177" t="s">
        <v>14002</v>
      </c>
      <c r="D191" s="177" t="s">
        <v>5024</v>
      </c>
      <c r="E191" s="181">
        <v>8.3800000000000008</v>
      </c>
      <c r="F191" s="177" t="s">
        <v>5023</v>
      </c>
      <c r="G191" s="177" t="s">
        <v>3007</v>
      </c>
      <c r="H191" s="172" t="s">
        <v>14001</v>
      </c>
    </row>
    <row r="192" spans="1:8" ht="31.5" x14ac:dyDescent="0.25">
      <c r="A192" s="177" t="s">
        <v>13991</v>
      </c>
      <c r="B192" s="177" t="s">
        <v>4895</v>
      </c>
      <c r="C192" s="177" t="s">
        <v>14000</v>
      </c>
      <c r="D192" s="177" t="s">
        <v>5273</v>
      </c>
      <c r="E192" s="181">
        <v>6.38</v>
      </c>
      <c r="F192" s="177" t="s">
        <v>5272</v>
      </c>
      <c r="G192" s="177" t="s">
        <v>3007</v>
      </c>
      <c r="H192" s="172">
        <v>12206</v>
      </c>
    </row>
    <row r="193" spans="1:8" ht="31.5" x14ac:dyDescent="0.25">
      <c r="A193" s="177" t="s">
        <v>13991</v>
      </c>
      <c r="B193" s="177" t="s">
        <v>13999</v>
      </c>
      <c r="C193" s="177" t="s">
        <v>13998</v>
      </c>
      <c r="D193" s="177" t="s">
        <v>5277</v>
      </c>
      <c r="E193" s="181">
        <v>7.97</v>
      </c>
      <c r="F193" s="177" t="s">
        <v>5276</v>
      </c>
      <c r="G193" s="177" t="s">
        <v>3007</v>
      </c>
      <c r="H193" s="172">
        <v>12207</v>
      </c>
    </row>
    <row r="194" spans="1:8" ht="31.5" x14ac:dyDescent="0.25">
      <c r="A194" s="177" t="s">
        <v>13991</v>
      </c>
      <c r="B194" s="177" t="s">
        <v>13997</v>
      </c>
      <c r="C194" s="177" t="s">
        <v>13996</v>
      </c>
      <c r="D194" s="177" t="s">
        <v>12694</v>
      </c>
      <c r="E194" s="181">
        <v>0.13</v>
      </c>
      <c r="F194" s="177" t="s">
        <v>12693</v>
      </c>
      <c r="G194" s="177" t="s">
        <v>3007</v>
      </c>
      <c r="H194" s="172">
        <v>12208</v>
      </c>
    </row>
    <row r="195" spans="1:8" ht="31.5" x14ac:dyDescent="0.25">
      <c r="A195" s="177" t="s">
        <v>13991</v>
      </c>
      <c r="B195" s="177" t="s">
        <v>13995</v>
      </c>
      <c r="C195" s="177" t="s">
        <v>13994</v>
      </c>
      <c r="D195" s="177" t="s">
        <v>4480</v>
      </c>
      <c r="E195" s="181">
        <v>2.46</v>
      </c>
      <c r="F195" s="177" t="s">
        <v>4476</v>
      </c>
      <c r="G195" s="177" t="s">
        <v>3007</v>
      </c>
      <c r="H195" s="172">
        <v>12209</v>
      </c>
    </row>
    <row r="196" spans="1:8" ht="31.5" x14ac:dyDescent="0.25">
      <c r="A196" s="177" t="s">
        <v>13991</v>
      </c>
      <c r="B196" s="177" t="s">
        <v>13993</v>
      </c>
      <c r="C196" s="177" t="s">
        <v>13992</v>
      </c>
      <c r="D196" s="177" t="s">
        <v>4477</v>
      </c>
      <c r="E196" s="181">
        <v>5.93</v>
      </c>
      <c r="F196" s="177" t="s">
        <v>4476</v>
      </c>
      <c r="G196" s="177" t="s">
        <v>3007</v>
      </c>
      <c r="H196" s="172">
        <v>12210</v>
      </c>
    </row>
    <row r="197" spans="1:8" ht="31.5" x14ac:dyDescent="0.25">
      <c r="A197" s="177" t="s">
        <v>13991</v>
      </c>
      <c r="B197" s="177" t="s">
        <v>13990</v>
      </c>
      <c r="C197" s="177" t="s">
        <v>13989</v>
      </c>
      <c r="D197" s="177" t="s">
        <v>3945</v>
      </c>
      <c r="E197" s="181">
        <v>8.98</v>
      </c>
      <c r="F197" s="177" t="s">
        <v>3944</v>
      </c>
      <c r="G197" s="177" t="s">
        <v>3007</v>
      </c>
      <c r="H197" s="172">
        <v>12211</v>
      </c>
    </row>
    <row r="198" spans="1:8" s="200" customFormat="1" x14ac:dyDescent="0.25">
      <c r="A198" s="198"/>
      <c r="B198" s="198"/>
      <c r="C198" s="198" t="s">
        <v>5691</v>
      </c>
      <c r="D198" s="198" t="s">
        <v>14409</v>
      </c>
      <c r="E198" s="199">
        <f>SUM(E125:E197)</f>
        <v>728.22999999999968</v>
      </c>
      <c r="F198" s="198"/>
      <c r="G198" s="198"/>
      <c r="H198" s="172"/>
    </row>
    <row r="199" spans="1:8" s="200" customFormat="1" x14ac:dyDescent="0.25">
      <c r="A199" s="198"/>
      <c r="B199" s="198"/>
      <c r="C199" s="198"/>
      <c r="D199" s="198"/>
      <c r="E199" s="199"/>
      <c r="F199" s="198"/>
      <c r="G199" s="198"/>
      <c r="H199" s="172"/>
    </row>
    <row r="200" spans="1:8" ht="31.5" x14ac:dyDescent="0.25">
      <c r="A200" s="177" t="s">
        <v>13961</v>
      </c>
      <c r="B200" s="177" t="s">
        <v>13988</v>
      </c>
      <c r="C200" s="177" t="s">
        <v>13987</v>
      </c>
      <c r="D200" s="177" t="s">
        <v>6066</v>
      </c>
      <c r="E200" s="181">
        <v>4.51</v>
      </c>
      <c r="F200" s="177" t="s">
        <v>3266</v>
      </c>
      <c r="G200" s="177" t="s">
        <v>3007</v>
      </c>
      <c r="H200" s="172">
        <v>12224</v>
      </c>
    </row>
    <row r="201" spans="1:8" ht="31.5" x14ac:dyDescent="0.25">
      <c r="A201" s="177" t="s">
        <v>13961</v>
      </c>
      <c r="B201" s="177" t="s">
        <v>13986</v>
      </c>
      <c r="C201" s="177" t="s">
        <v>13985</v>
      </c>
      <c r="D201" s="177" t="s">
        <v>9135</v>
      </c>
      <c r="E201" s="181">
        <v>5.98</v>
      </c>
      <c r="F201" s="177" t="s">
        <v>9134</v>
      </c>
      <c r="G201" s="177" t="s">
        <v>3007</v>
      </c>
      <c r="H201" s="172">
        <v>12225</v>
      </c>
    </row>
    <row r="202" spans="1:8" ht="31.5" x14ac:dyDescent="0.25">
      <c r="A202" s="177" t="s">
        <v>13961</v>
      </c>
      <c r="B202" s="177" t="s">
        <v>13984</v>
      </c>
      <c r="C202" s="177" t="s">
        <v>13983</v>
      </c>
      <c r="D202" s="177" t="s">
        <v>4384</v>
      </c>
      <c r="E202" s="181">
        <v>2.12</v>
      </c>
      <c r="F202" s="177" t="s">
        <v>4383</v>
      </c>
      <c r="G202" s="177" t="s">
        <v>3007</v>
      </c>
      <c r="H202" s="172">
        <v>12226</v>
      </c>
    </row>
    <row r="203" spans="1:8" ht="31.5" x14ac:dyDescent="0.25">
      <c r="A203" s="177" t="s">
        <v>13961</v>
      </c>
      <c r="B203" s="177" t="s">
        <v>13982</v>
      </c>
      <c r="C203" s="177" t="s">
        <v>13981</v>
      </c>
      <c r="D203" s="177" t="s">
        <v>9503</v>
      </c>
      <c r="E203" s="181">
        <v>45.22</v>
      </c>
      <c r="F203" s="177" t="s">
        <v>9502</v>
      </c>
      <c r="G203" s="177" t="s">
        <v>3007</v>
      </c>
      <c r="H203" s="172">
        <v>12227</v>
      </c>
    </row>
    <row r="204" spans="1:8" ht="31.5" x14ac:dyDescent="0.25">
      <c r="A204" s="177" t="s">
        <v>13961</v>
      </c>
      <c r="B204" s="177" t="s">
        <v>13980</v>
      </c>
      <c r="C204" s="177" t="s">
        <v>13979</v>
      </c>
      <c r="D204" s="177" t="s">
        <v>5259</v>
      </c>
      <c r="E204" s="181">
        <v>11.73</v>
      </c>
      <c r="F204" s="177" t="s">
        <v>5258</v>
      </c>
      <c r="G204" s="177" t="s">
        <v>3007</v>
      </c>
      <c r="H204" s="172">
        <v>12228</v>
      </c>
    </row>
    <row r="205" spans="1:8" ht="31.5" x14ac:dyDescent="0.25">
      <c r="A205" s="177" t="s">
        <v>13961</v>
      </c>
      <c r="B205" s="177" t="s">
        <v>13978</v>
      </c>
      <c r="C205" s="177" t="s">
        <v>13977</v>
      </c>
      <c r="D205" s="177" t="s">
        <v>5490</v>
      </c>
      <c r="E205" s="181">
        <v>5.91</v>
      </c>
      <c r="F205" s="177" t="s">
        <v>5489</v>
      </c>
      <c r="G205" s="177" t="s">
        <v>3007</v>
      </c>
      <c r="H205" s="172">
        <v>12229</v>
      </c>
    </row>
    <row r="206" spans="1:8" ht="31.5" x14ac:dyDescent="0.25">
      <c r="A206" s="177" t="s">
        <v>13961</v>
      </c>
      <c r="B206" s="177" t="s">
        <v>13976</v>
      </c>
      <c r="C206" s="177" t="s">
        <v>13975</v>
      </c>
      <c r="D206" s="177" t="s">
        <v>4021</v>
      </c>
      <c r="E206" s="181">
        <v>6.69</v>
      </c>
      <c r="F206" s="177" t="s">
        <v>4020</v>
      </c>
      <c r="G206" s="177" t="s">
        <v>3007</v>
      </c>
      <c r="H206" s="172">
        <v>12230</v>
      </c>
    </row>
    <row r="207" spans="1:8" ht="31.5" x14ac:dyDescent="0.25">
      <c r="A207" s="177" t="s">
        <v>13961</v>
      </c>
      <c r="B207" s="177" t="s">
        <v>13974</v>
      </c>
      <c r="C207" s="177" t="s">
        <v>13973</v>
      </c>
      <c r="D207" s="177" t="s">
        <v>9822</v>
      </c>
      <c r="E207" s="181">
        <v>6.1</v>
      </c>
      <c r="F207" s="177" t="s">
        <v>9821</v>
      </c>
      <c r="G207" s="177" t="s">
        <v>3007</v>
      </c>
      <c r="H207" s="172">
        <v>12231</v>
      </c>
    </row>
    <row r="208" spans="1:8" ht="31.5" x14ac:dyDescent="0.25">
      <c r="A208" s="177" t="s">
        <v>13961</v>
      </c>
      <c r="B208" s="177" t="s">
        <v>13972</v>
      </c>
      <c r="C208" s="177" t="s">
        <v>13971</v>
      </c>
      <c r="D208" s="177" t="s">
        <v>9932</v>
      </c>
      <c r="E208" s="181">
        <v>6.72</v>
      </c>
      <c r="F208" s="177" t="s">
        <v>9931</v>
      </c>
      <c r="G208" s="177" t="s">
        <v>3007</v>
      </c>
      <c r="H208" s="172">
        <v>12232</v>
      </c>
    </row>
    <row r="209" spans="1:8" ht="31.5" x14ac:dyDescent="0.25">
      <c r="A209" s="177" t="s">
        <v>13961</v>
      </c>
      <c r="B209" s="177" t="s">
        <v>13970</v>
      </c>
      <c r="C209" s="177" t="s">
        <v>13969</v>
      </c>
      <c r="D209" s="177" t="s">
        <v>3098</v>
      </c>
      <c r="E209" s="181">
        <v>4.67</v>
      </c>
      <c r="F209" s="177" t="s">
        <v>3097</v>
      </c>
      <c r="G209" s="177" t="s">
        <v>3007</v>
      </c>
      <c r="H209" s="172">
        <v>12233</v>
      </c>
    </row>
    <row r="210" spans="1:8" ht="31.5" x14ac:dyDescent="0.25">
      <c r="A210" s="177" t="s">
        <v>13961</v>
      </c>
      <c r="B210" s="177" t="s">
        <v>6994</v>
      </c>
      <c r="C210" s="177" t="s">
        <v>13968</v>
      </c>
      <c r="D210" s="177" t="s">
        <v>6344</v>
      </c>
      <c r="E210" s="181">
        <v>20.03</v>
      </c>
      <c r="F210" s="177" t="s">
        <v>6343</v>
      </c>
      <c r="G210" s="177" t="s">
        <v>3007</v>
      </c>
      <c r="H210" s="172">
        <v>12234</v>
      </c>
    </row>
    <row r="211" spans="1:8" ht="31.5" x14ac:dyDescent="0.25">
      <c r="A211" s="177" t="s">
        <v>13961</v>
      </c>
      <c r="B211" s="177" t="s">
        <v>13967</v>
      </c>
      <c r="C211" s="177" t="s">
        <v>13966</v>
      </c>
      <c r="D211" s="177" t="s">
        <v>13965</v>
      </c>
      <c r="E211" s="181">
        <v>8.3800000000000008</v>
      </c>
      <c r="F211" s="177" t="s">
        <v>13964</v>
      </c>
      <c r="G211" s="177" t="s">
        <v>3007</v>
      </c>
      <c r="H211" s="172">
        <v>12235</v>
      </c>
    </row>
    <row r="212" spans="1:8" ht="31.5" x14ac:dyDescent="0.25">
      <c r="A212" s="177" t="s">
        <v>13961</v>
      </c>
      <c r="B212" s="177" t="s">
        <v>13963</v>
      </c>
      <c r="C212" s="177" t="s">
        <v>13962</v>
      </c>
      <c r="D212" s="177" t="s">
        <v>3836</v>
      </c>
      <c r="E212" s="181">
        <v>9.26</v>
      </c>
      <c r="F212" s="177" t="s">
        <v>3835</v>
      </c>
      <c r="G212" s="177" t="s">
        <v>3007</v>
      </c>
      <c r="H212" s="172">
        <v>12236</v>
      </c>
    </row>
    <row r="213" spans="1:8" ht="31.5" x14ac:dyDescent="0.25">
      <c r="A213" s="177" t="s">
        <v>13961</v>
      </c>
      <c r="B213" s="177" t="s">
        <v>13960</v>
      </c>
      <c r="C213" s="177" t="s">
        <v>13959</v>
      </c>
      <c r="D213" s="177" t="s">
        <v>4317</v>
      </c>
      <c r="E213" s="181">
        <v>1.68</v>
      </c>
      <c r="F213" s="177" t="s">
        <v>4316</v>
      </c>
      <c r="G213" s="177" t="s">
        <v>3007</v>
      </c>
      <c r="H213" s="172">
        <v>12237</v>
      </c>
    </row>
    <row r="214" spans="1:8" ht="31.5" x14ac:dyDescent="0.25">
      <c r="A214" s="177" t="s">
        <v>13943</v>
      </c>
      <c r="B214" s="177" t="s">
        <v>13958</v>
      </c>
      <c r="C214" s="177" t="s">
        <v>13957</v>
      </c>
      <c r="D214" s="177" t="s">
        <v>4388</v>
      </c>
      <c r="E214" s="181">
        <v>1.68</v>
      </c>
      <c r="F214" s="177" t="s">
        <v>4387</v>
      </c>
      <c r="G214" s="177" t="s">
        <v>3007</v>
      </c>
      <c r="H214" s="172">
        <v>12238</v>
      </c>
    </row>
    <row r="215" spans="1:8" ht="31.5" x14ac:dyDescent="0.25">
      <c r="A215" s="177" t="s">
        <v>13943</v>
      </c>
      <c r="B215" s="177" t="s">
        <v>13956</v>
      </c>
      <c r="C215" s="177" t="s">
        <v>13955</v>
      </c>
      <c r="D215" s="177" t="s">
        <v>3787</v>
      </c>
      <c r="E215" s="181">
        <v>5.32</v>
      </c>
      <c r="F215" s="177" t="s">
        <v>3786</v>
      </c>
      <c r="G215" s="177" t="s">
        <v>3007</v>
      </c>
      <c r="H215" s="172">
        <v>12239</v>
      </c>
    </row>
    <row r="216" spans="1:8" ht="31.5" x14ac:dyDescent="0.25">
      <c r="A216" s="177" t="s">
        <v>13943</v>
      </c>
      <c r="B216" s="177" t="s">
        <v>13954</v>
      </c>
      <c r="C216" s="177" t="s">
        <v>13953</v>
      </c>
      <c r="D216" s="177" t="s">
        <v>7152</v>
      </c>
      <c r="E216" s="181">
        <v>1.68</v>
      </c>
      <c r="F216" s="177" t="s">
        <v>7151</v>
      </c>
      <c r="G216" s="177" t="s">
        <v>3007</v>
      </c>
      <c r="H216" s="172">
        <v>12240</v>
      </c>
    </row>
    <row r="217" spans="1:8" ht="31.5" x14ac:dyDescent="0.25">
      <c r="A217" s="177" t="s">
        <v>13943</v>
      </c>
      <c r="B217" s="177" t="s">
        <v>13952</v>
      </c>
      <c r="C217" s="177" t="s">
        <v>13951</v>
      </c>
      <c r="D217" s="177" t="s">
        <v>9686</v>
      </c>
      <c r="E217" s="181">
        <v>3.47</v>
      </c>
      <c r="F217" s="177" t="s">
        <v>9685</v>
      </c>
      <c r="G217" s="177" t="s">
        <v>3007</v>
      </c>
      <c r="H217" s="172">
        <v>12241</v>
      </c>
    </row>
    <row r="218" spans="1:8" ht="31.5" x14ac:dyDescent="0.25">
      <c r="A218" s="177" t="s">
        <v>13943</v>
      </c>
      <c r="B218" s="177" t="s">
        <v>13950</v>
      </c>
      <c r="C218" s="177" t="s">
        <v>13949</v>
      </c>
      <c r="D218" s="177" t="s">
        <v>4224</v>
      </c>
      <c r="E218" s="181">
        <v>26.96</v>
      </c>
      <c r="F218" s="177" t="s">
        <v>4223</v>
      </c>
      <c r="G218" s="177" t="s">
        <v>3007</v>
      </c>
      <c r="H218" s="172">
        <v>12242</v>
      </c>
    </row>
    <row r="219" spans="1:8" ht="31.5" x14ac:dyDescent="0.25">
      <c r="A219" s="177" t="s">
        <v>13943</v>
      </c>
      <c r="B219" s="177" t="s">
        <v>13948</v>
      </c>
      <c r="C219" s="177" t="s">
        <v>13947</v>
      </c>
      <c r="D219" s="177" t="s">
        <v>4771</v>
      </c>
      <c r="E219" s="181">
        <v>3.58</v>
      </c>
      <c r="F219" s="177" t="s">
        <v>4770</v>
      </c>
      <c r="G219" s="177" t="s">
        <v>3007</v>
      </c>
      <c r="H219" s="172">
        <v>12243</v>
      </c>
    </row>
    <row r="220" spans="1:8" ht="31.5" x14ac:dyDescent="0.25">
      <c r="A220" s="177" t="s">
        <v>13943</v>
      </c>
      <c r="B220" s="177" t="s">
        <v>12992</v>
      </c>
      <c r="C220" s="177" t="s">
        <v>13946</v>
      </c>
      <c r="D220" s="177" t="s">
        <v>3916</v>
      </c>
      <c r="E220" s="181">
        <v>8.3800000000000008</v>
      </c>
      <c r="F220" s="177" t="s">
        <v>3915</v>
      </c>
      <c r="G220" s="177" t="s">
        <v>3007</v>
      </c>
      <c r="H220" s="172">
        <v>12244</v>
      </c>
    </row>
    <row r="221" spans="1:8" ht="31.5" x14ac:dyDescent="0.25">
      <c r="A221" s="177" t="s">
        <v>13943</v>
      </c>
      <c r="B221" s="177" t="s">
        <v>13945</v>
      </c>
      <c r="C221" s="177" t="s">
        <v>13944</v>
      </c>
      <c r="D221" s="177" t="s">
        <v>3692</v>
      </c>
      <c r="E221" s="181">
        <v>3.28</v>
      </c>
      <c r="F221" s="177" t="s">
        <v>3691</v>
      </c>
      <c r="G221" s="177" t="s">
        <v>3007</v>
      </c>
      <c r="H221" s="172">
        <v>12245</v>
      </c>
    </row>
    <row r="222" spans="1:8" ht="31.5" x14ac:dyDescent="0.25">
      <c r="A222" s="177" t="s">
        <v>13943</v>
      </c>
      <c r="B222" s="177" t="s">
        <v>6481</v>
      </c>
      <c r="C222" s="177" t="s">
        <v>13942</v>
      </c>
      <c r="D222" s="177" t="s">
        <v>7160</v>
      </c>
      <c r="E222" s="181">
        <v>2.4300000000000002</v>
      </c>
      <c r="F222" s="177" t="s">
        <v>7159</v>
      </c>
      <c r="G222" s="177" t="s">
        <v>3007</v>
      </c>
      <c r="H222" s="172">
        <v>12246</v>
      </c>
    </row>
    <row r="223" spans="1:8" ht="31.5" x14ac:dyDescent="0.25">
      <c r="A223" s="177" t="s">
        <v>13941</v>
      </c>
      <c r="B223" s="177" t="s">
        <v>13940</v>
      </c>
      <c r="C223" s="177" t="s">
        <v>13939</v>
      </c>
      <c r="D223" s="177" t="s">
        <v>7912</v>
      </c>
      <c r="E223" s="181">
        <v>1.68</v>
      </c>
      <c r="F223" s="177" t="s">
        <v>7911</v>
      </c>
      <c r="G223" s="177" t="s">
        <v>3007</v>
      </c>
      <c r="H223" s="172">
        <v>12260</v>
      </c>
    </row>
    <row r="224" spans="1:8" ht="31.5" x14ac:dyDescent="0.25">
      <c r="A224" s="177" t="s">
        <v>13912</v>
      </c>
      <c r="B224" s="177" t="s">
        <v>13938</v>
      </c>
      <c r="C224" s="177" t="s">
        <v>13937</v>
      </c>
      <c r="D224" s="177" t="s">
        <v>4212</v>
      </c>
      <c r="E224" s="181">
        <v>12.08</v>
      </c>
      <c r="F224" s="177" t="s">
        <v>4211</v>
      </c>
      <c r="G224" s="177" t="s">
        <v>3007</v>
      </c>
      <c r="H224" s="172">
        <v>12295</v>
      </c>
    </row>
    <row r="225" spans="1:8" ht="31.5" x14ac:dyDescent="0.25">
      <c r="A225" s="177" t="s">
        <v>13912</v>
      </c>
      <c r="B225" s="177" t="s">
        <v>13936</v>
      </c>
      <c r="C225" s="177" t="s">
        <v>13935</v>
      </c>
      <c r="D225" s="177" t="s">
        <v>10278</v>
      </c>
      <c r="E225" s="181">
        <v>3.51</v>
      </c>
      <c r="F225" s="177" t="s">
        <v>10277</v>
      </c>
      <c r="G225" s="177" t="s">
        <v>3007</v>
      </c>
      <c r="H225" s="172">
        <v>12296</v>
      </c>
    </row>
    <row r="226" spans="1:8" ht="31.5" x14ac:dyDescent="0.25">
      <c r="A226" s="177" t="s">
        <v>13912</v>
      </c>
      <c r="B226" s="177" t="s">
        <v>6210</v>
      </c>
      <c r="C226" s="177" t="s">
        <v>13934</v>
      </c>
      <c r="D226" s="177" t="s">
        <v>13933</v>
      </c>
      <c r="E226" s="181">
        <v>5.04</v>
      </c>
      <c r="F226" s="177" t="s">
        <v>13932</v>
      </c>
      <c r="G226" s="177" t="s">
        <v>3007</v>
      </c>
      <c r="H226" s="172">
        <v>12297</v>
      </c>
    </row>
    <row r="227" spans="1:8" ht="31.5" x14ac:dyDescent="0.25">
      <c r="A227" s="177" t="s">
        <v>13912</v>
      </c>
      <c r="B227" s="177" t="s">
        <v>13931</v>
      </c>
      <c r="C227" s="177" t="s">
        <v>13930</v>
      </c>
      <c r="D227" s="177" t="s">
        <v>5413</v>
      </c>
      <c r="E227" s="181">
        <v>12.66</v>
      </c>
      <c r="F227" s="177" t="s">
        <v>5412</v>
      </c>
      <c r="G227" s="177" t="s">
        <v>3007</v>
      </c>
      <c r="H227" s="172">
        <v>12298</v>
      </c>
    </row>
    <row r="228" spans="1:8" ht="31.5" x14ac:dyDescent="0.25">
      <c r="A228" s="177" t="s">
        <v>13912</v>
      </c>
      <c r="B228" s="177" t="s">
        <v>13929</v>
      </c>
      <c r="C228" s="177" t="s">
        <v>13928</v>
      </c>
      <c r="D228" s="177" t="s">
        <v>8070</v>
      </c>
      <c r="E228" s="181">
        <v>4.07</v>
      </c>
      <c r="F228" s="177" t="s">
        <v>8069</v>
      </c>
      <c r="G228" s="177" t="s">
        <v>3007</v>
      </c>
      <c r="H228" s="172">
        <v>12299</v>
      </c>
    </row>
    <row r="229" spans="1:8" ht="31.5" x14ac:dyDescent="0.25">
      <c r="A229" s="177" t="s">
        <v>13912</v>
      </c>
      <c r="B229" s="177" t="s">
        <v>13927</v>
      </c>
      <c r="C229" s="177" t="s">
        <v>13926</v>
      </c>
      <c r="D229" s="177" t="s">
        <v>10015</v>
      </c>
      <c r="E229" s="181">
        <v>4.32</v>
      </c>
      <c r="F229" s="177" t="s">
        <v>10014</v>
      </c>
      <c r="G229" s="177" t="s">
        <v>3007</v>
      </c>
      <c r="H229" s="172">
        <v>12300</v>
      </c>
    </row>
    <row r="230" spans="1:8" ht="31.5" x14ac:dyDescent="0.25">
      <c r="A230" s="177" t="s">
        <v>13912</v>
      </c>
      <c r="B230" s="177" t="s">
        <v>13925</v>
      </c>
      <c r="C230" s="177" t="s">
        <v>13924</v>
      </c>
      <c r="D230" s="177" t="s">
        <v>7248</v>
      </c>
      <c r="E230" s="181">
        <v>4.24</v>
      </c>
      <c r="F230" s="177" t="s">
        <v>7247</v>
      </c>
      <c r="G230" s="177" t="s">
        <v>3007</v>
      </c>
      <c r="H230" s="172">
        <v>12301</v>
      </c>
    </row>
    <row r="231" spans="1:8" ht="31.5" x14ac:dyDescent="0.25">
      <c r="A231" s="177" t="s">
        <v>13912</v>
      </c>
      <c r="B231" s="177" t="s">
        <v>13923</v>
      </c>
      <c r="C231" s="177" t="s">
        <v>13922</v>
      </c>
      <c r="D231" s="177" t="s">
        <v>5122</v>
      </c>
      <c r="E231" s="181">
        <v>1.74</v>
      </c>
      <c r="F231" s="177" t="s">
        <v>5121</v>
      </c>
      <c r="G231" s="177" t="s">
        <v>3007</v>
      </c>
      <c r="H231" s="172">
        <v>12302</v>
      </c>
    </row>
    <row r="232" spans="1:8" ht="31.5" x14ac:dyDescent="0.25">
      <c r="A232" s="177" t="s">
        <v>13912</v>
      </c>
      <c r="B232" s="177" t="s">
        <v>12748</v>
      </c>
      <c r="C232" s="177" t="s">
        <v>13921</v>
      </c>
      <c r="D232" s="177" t="s">
        <v>5358</v>
      </c>
      <c r="E232" s="181">
        <v>7.81</v>
      </c>
      <c r="F232" s="177" t="s">
        <v>5357</v>
      </c>
      <c r="G232" s="177" t="s">
        <v>3007</v>
      </c>
      <c r="H232" s="172">
        <v>12303</v>
      </c>
    </row>
    <row r="233" spans="1:8" ht="31.5" x14ac:dyDescent="0.25">
      <c r="A233" s="177" t="s">
        <v>13912</v>
      </c>
      <c r="B233" s="177" t="s">
        <v>13920</v>
      </c>
      <c r="C233" s="177" t="s">
        <v>13919</v>
      </c>
      <c r="D233" s="177" t="s">
        <v>8116</v>
      </c>
      <c r="E233" s="181">
        <v>2.08</v>
      </c>
      <c r="F233" s="177" t="s">
        <v>8115</v>
      </c>
      <c r="G233" s="177" t="s">
        <v>3007</v>
      </c>
      <c r="H233" s="172">
        <v>12304</v>
      </c>
    </row>
    <row r="234" spans="1:8" ht="31.5" x14ac:dyDescent="0.25">
      <c r="A234" s="177" t="s">
        <v>13912</v>
      </c>
      <c r="B234" s="177" t="s">
        <v>13918</v>
      </c>
      <c r="C234" s="177" t="s">
        <v>13917</v>
      </c>
      <c r="D234" s="177" t="s">
        <v>13916</v>
      </c>
      <c r="E234" s="181">
        <v>13.17</v>
      </c>
      <c r="F234" s="177" t="s">
        <v>13915</v>
      </c>
      <c r="G234" s="177" t="s">
        <v>3007</v>
      </c>
      <c r="H234" s="172">
        <v>12305</v>
      </c>
    </row>
    <row r="235" spans="1:8" ht="31.5" x14ac:dyDescent="0.25">
      <c r="A235" s="177" t="s">
        <v>13912</v>
      </c>
      <c r="B235" s="177" t="s">
        <v>13914</v>
      </c>
      <c r="C235" s="177" t="s">
        <v>13913</v>
      </c>
      <c r="D235" s="177" t="s">
        <v>6658</v>
      </c>
      <c r="E235" s="181">
        <v>4.16</v>
      </c>
      <c r="F235" s="177" t="s">
        <v>6657</v>
      </c>
      <c r="G235" s="177" t="s">
        <v>3007</v>
      </c>
      <c r="H235" s="172">
        <v>12306</v>
      </c>
    </row>
    <row r="236" spans="1:8" ht="31.5" x14ac:dyDescent="0.25">
      <c r="A236" s="177" t="s">
        <v>13912</v>
      </c>
      <c r="B236" s="177" t="s">
        <v>13911</v>
      </c>
      <c r="C236" s="177" t="s">
        <v>13910</v>
      </c>
      <c r="D236" s="177" t="s">
        <v>3993</v>
      </c>
      <c r="E236" s="181">
        <v>8.3800000000000008</v>
      </c>
      <c r="F236" s="177" t="s">
        <v>3992</v>
      </c>
      <c r="G236" s="177" t="s">
        <v>3007</v>
      </c>
      <c r="H236" s="172">
        <v>12307</v>
      </c>
    </row>
    <row r="237" spans="1:8" ht="31.5" x14ac:dyDescent="0.25">
      <c r="A237" s="177" t="s">
        <v>13894</v>
      </c>
      <c r="B237" s="177" t="s">
        <v>12548</v>
      </c>
      <c r="C237" s="177" t="s">
        <v>13909</v>
      </c>
      <c r="D237" s="177" t="s">
        <v>10262</v>
      </c>
      <c r="E237" s="181">
        <v>5.33</v>
      </c>
      <c r="F237" s="177" t="s">
        <v>10261</v>
      </c>
      <c r="G237" s="177" t="s">
        <v>3007</v>
      </c>
      <c r="H237" s="172">
        <v>12308</v>
      </c>
    </row>
    <row r="238" spans="1:8" ht="31.5" x14ac:dyDescent="0.25">
      <c r="A238" s="177" t="s">
        <v>13894</v>
      </c>
      <c r="B238" s="177" t="s">
        <v>13908</v>
      </c>
      <c r="C238" s="177" t="s">
        <v>13907</v>
      </c>
      <c r="D238" s="177" t="s">
        <v>4305</v>
      </c>
      <c r="E238" s="181">
        <v>15.89</v>
      </c>
      <c r="F238" s="177" t="s">
        <v>4304</v>
      </c>
      <c r="G238" s="177" t="s">
        <v>3007</v>
      </c>
      <c r="H238" s="172">
        <v>12309</v>
      </c>
    </row>
    <row r="239" spans="1:8" ht="31.5" x14ac:dyDescent="0.25">
      <c r="A239" s="177" t="s">
        <v>13894</v>
      </c>
      <c r="B239" s="177" t="s">
        <v>13906</v>
      </c>
      <c r="C239" s="177" t="s">
        <v>13905</v>
      </c>
      <c r="D239" s="177" t="s">
        <v>4013</v>
      </c>
      <c r="E239" s="181">
        <v>1.94</v>
      </c>
      <c r="F239" s="177" t="s">
        <v>4012</v>
      </c>
      <c r="G239" s="177" t="s">
        <v>3007</v>
      </c>
      <c r="H239" s="172">
        <v>12310</v>
      </c>
    </row>
    <row r="240" spans="1:8" ht="31.5" x14ac:dyDescent="0.25">
      <c r="A240" s="177" t="s">
        <v>13894</v>
      </c>
      <c r="B240" s="177" t="s">
        <v>13904</v>
      </c>
      <c r="C240" s="177" t="s">
        <v>13903</v>
      </c>
      <c r="D240" s="177" t="s">
        <v>5194</v>
      </c>
      <c r="E240" s="181">
        <v>4.7300000000000004</v>
      </c>
      <c r="F240" s="177" t="s">
        <v>5193</v>
      </c>
      <c r="G240" s="177" t="s">
        <v>3007</v>
      </c>
      <c r="H240" s="172">
        <v>12311</v>
      </c>
    </row>
    <row r="241" spans="1:8" ht="31.5" x14ac:dyDescent="0.25">
      <c r="A241" s="177" t="s">
        <v>13894</v>
      </c>
      <c r="B241" s="177" t="s">
        <v>13902</v>
      </c>
      <c r="C241" s="177" t="s">
        <v>13901</v>
      </c>
      <c r="D241" s="177" t="s">
        <v>10496</v>
      </c>
      <c r="E241" s="181">
        <v>2.64</v>
      </c>
      <c r="F241" s="177" t="s">
        <v>10495</v>
      </c>
      <c r="G241" s="177" t="s">
        <v>3007</v>
      </c>
      <c r="H241" s="172">
        <v>12312</v>
      </c>
    </row>
    <row r="242" spans="1:8" ht="31.5" x14ac:dyDescent="0.25">
      <c r="A242" s="177" t="s">
        <v>13894</v>
      </c>
      <c r="B242" s="177" t="s">
        <v>13900</v>
      </c>
      <c r="C242" s="177" t="s">
        <v>13899</v>
      </c>
      <c r="D242" s="177" t="s">
        <v>11733</v>
      </c>
      <c r="E242" s="181">
        <v>7.95</v>
      </c>
      <c r="F242" s="177" t="s">
        <v>11732</v>
      </c>
      <c r="G242" s="177" t="s">
        <v>3007</v>
      </c>
      <c r="H242" s="172">
        <v>12313</v>
      </c>
    </row>
    <row r="243" spans="1:8" ht="31.5" x14ac:dyDescent="0.25">
      <c r="A243" s="177" t="s">
        <v>13894</v>
      </c>
      <c r="B243" s="177" t="s">
        <v>13898</v>
      </c>
      <c r="C243" s="177" t="s">
        <v>13897</v>
      </c>
      <c r="D243" s="177" t="s">
        <v>11525</v>
      </c>
      <c r="E243" s="181">
        <v>5.84</v>
      </c>
      <c r="F243" s="177" t="s">
        <v>11524</v>
      </c>
      <c r="G243" s="177" t="s">
        <v>3007</v>
      </c>
      <c r="H243" s="172">
        <v>12314</v>
      </c>
    </row>
    <row r="244" spans="1:8" ht="31.5" x14ac:dyDescent="0.25">
      <c r="A244" s="177" t="s">
        <v>13894</v>
      </c>
      <c r="B244" s="177" t="s">
        <v>13896</v>
      </c>
      <c r="C244" s="177" t="s">
        <v>13895</v>
      </c>
      <c r="D244" s="177" t="s">
        <v>9986</v>
      </c>
      <c r="E244" s="181">
        <v>5.76</v>
      </c>
      <c r="F244" s="177" t="s">
        <v>9985</v>
      </c>
      <c r="G244" s="177" t="s">
        <v>3007</v>
      </c>
      <c r="H244" s="172">
        <v>12315</v>
      </c>
    </row>
    <row r="245" spans="1:8" ht="31.5" x14ac:dyDescent="0.25">
      <c r="A245" s="177" t="s">
        <v>13894</v>
      </c>
      <c r="B245" s="177" t="s">
        <v>13893</v>
      </c>
      <c r="C245" s="177" t="s">
        <v>13892</v>
      </c>
      <c r="D245" s="177" t="s">
        <v>7025</v>
      </c>
      <c r="E245" s="181">
        <v>7.72</v>
      </c>
      <c r="F245" s="177" t="s">
        <v>7024</v>
      </c>
      <c r="G245" s="177" t="s">
        <v>3007</v>
      </c>
      <c r="H245" s="172">
        <v>12316</v>
      </c>
    </row>
    <row r="246" spans="1:8" s="200" customFormat="1" x14ac:dyDescent="0.25">
      <c r="A246" s="198"/>
      <c r="B246" s="198"/>
      <c r="C246" s="198" t="s">
        <v>5691</v>
      </c>
      <c r="D246" s="198" t="s">
        <v>14412</v>
      </c>
      <c r="E246" s="199">
        <f>SUM(E200:E245)</f>
        <v>338.52000000000004</v>
      </c>
      <c r="F246" s="198"/>
      <c r="G246" s="198"/>
      <c r="H246" s="172"/>
    </row>
    <row r="247" spans="1:8" s="200" customFormat="1" x14ac:dyDescent="0.25">
      <c r="A247" s="198"/>
      <c r="B247" s="198"/>
      <c r="C247" s="198"/>
      <c r="D247" s="198"/>
      <c r="E247" s="199"/>
      <c r="F247" s="198"/>
      <c r="G247" s="198"/>
      <c r="H247" s="172"/>
    </row>
    <row r="248" spans="1:8" ht="31.5" x14ac:dyDescent="0.25">
      <c r="A248" s="177" t="s">
        <v>13845</v>
      </c>
      <c r="B248" s="177" t="s">
        <v>13891</v>
      </c>
      <c r="C248" s="177" t="s">
        <v>13890</v>
      </c>
      <c r="D248" s="177" t="s">
        <v>6296</v>
      </c>
      <c r="E248" s="181">
        <v>2.3199999999999998</v>
      </c>
      <c r="F248" s="177" t="s">
        <v>6295</v>
      </c>
      <c r="G248" s="177" t="s">
        <v>3007</v>
      </c>
      <c r="H248" s="172">
        <v>12430</v>
      </c>
    </row>
    <row r="249" spans="1:8" ht="31.5" x14ac:dyDescent="0.25">
      <c r="A249" s="177" t="s">
        <v>13845</v>
      </c>
      <c r="B249" s="177" t="s">
        <v>13889</v>
      </c>
      <c r="C249" s="177" t="s">
        <v>13888</v>
      </c>
      <c r="D249" s="177" t="s">
        <v>4652</v>
      </c>
      <c r="E249" s="181">
        <v>25.12</v>
      </c>
      <c r="F249" s="177" t="s">
        <v>4651</v>
      </c>
      <c r="G249" s="177" t="s">
        <v>3007</v>
      </c>
      <c r="H249" s="172">
        <v>12431</v>
      </c>
    </row>
    <row r="250" spans="1:8" ht="31.5" x14ac:dyDescent="0.25">
      <c r="A250" s="177" t="s">
        <v>13845</v>
      </c>
      <c r="B250" s="177" t="s">
        <v>13887</v>
      </c>
      <c r="C250" s="177" t="s">
        <v>13886</v>
      </c>
      <c r="D250" s="177" t="s">
        <v>10029</v>
      </c>
      <c r="E250" s="181">
        <v>7.69</v>
      </c>
      <c r="F250" s="177" t="s">
        <v>10028</v>
      </c>
      <c r="G250" s="177" t="s">
        <v>3007</v>
      </c>
      <c r="H250" s="172">
        <v>12432</v>
      </c>
    </row>
    <row r="251" spans="1:8" ht="31.5" x14ac:dyDescent="0.25">
      <c r="A251" s="177" t="s">
        <v>13845</v>
      </c>
      <c r="B251" s="177" t="s">
        <v>13885</v>
      </c>
      <c r="C251" s="177" t="s">
        <v>13884</v>
      </c>
      <c r="D251" s="177" t="s">
        <v>6292</v>
      </c>
      <c r="E251" s="181">
        <v>58.57</v>
      </c>
      <c r="F251" s="177" t="s">
        <v>6291</v>
      </c>
      <c r="G251" s="177" t="s">
        <v>3007</v>
      </c>
      <c r="H251" s="172">
        <v>12433</v>
      </c>
    </row>
    <row r="252" spans="1:8" ht="31.5" x14ac:dyDescent="0.25">
      <c r="A252" s="177" t="s">
        <v>13845</v>
      </c>
      <c r="B252" s="177" t="s">
        <v>13883</v>
      </c>
      <c r="C252" s="177" t="s">
        <v>13882</v>
      </c>
      <c r="D252" s="177" t="s">
        <v>11343</v>
      </c>
      <c r="E252" s="181">
        <v>1.68</v>
      </c>
      <c r="F252" s="177" t="s">
        <v>11342</v>
      </c>
      <c r="G252" s="177" t="s">
        <v>3007</v>
      </c>
      <c r="H252" s="172">
        <v>12457</v>
      </c>
    </row>
    <row r="253" spans="1:8" ht="31.5" x14ac:dyDescent="0.25">
      <c r="A253" s="177" t="s">
        <v>13845</v>
      </c>
      <c r="B253" s="177" t="s">
        <v>13881</v>
      </c>
      <c r="C253" s="177" t="s">
        <v>13880</v>
      </c>
      <c r="D253" s="177" t="s">
        <v>7169</v>
      </c>
      <c r="E253" s="181">
        <v>8.35</v>
      </c>
      <c r="F253" s="177" t="s">
        <v>7168</v>
      </c>
      <c r="G253" s="177" t="s">
        <v>3007</v>
      </c>
      <c r="H253" s="172">
        <v>12458</v>
      </c>
    </row>
    <row r="254" spans="1:8" ht="31.5" x14ac:dyDescent="0.25">
      <c r="A254" s="177" t="s">
        <v>13845</v>
      </c>
      <c r="B254" s="177" t="s">
        <v>13879</v>
      </c>
      <c r="C254" s="177" t="s">
        <v>13878</v>
      </c>
      <c r="D254" s="177" t="s">
        <v>13877</v>
      </c>
      <c r="E254" s="181">
        <v>15.6</v>
      </c>
      <c r="F254" s="177" t="s">
        <v>13876</v>
      </c>
      <c r="G254" s="177" t="s">
        <v>3007</v>
      </c>
      <c r="H254" s="172">
        <v>12459</v>
      </c>
    </row>
    <row r="255" spans="1:8" ht="31.5" x14ac:dyDescent="0.25">
      <c r="A255" s="177" t="s">
        <v>13845</v>
      </c>
      <c r="B255" s="177" t="s">
        <v>13875</v>
      </c>
      <c r="C255" s="177" t="s">
        <v>13874</v>
      </c>
      <c r="D255" s="177" t="s">
        <v>7875</v>
      </c>
      <c r="E255" s="181">
        <v>25.14</v>
      </c>
      <c r="F255" s="177" t="s">
        <v>7874</v>
      </c>
      <c r="G255" s="177" t="s">
        <v>3007</v>
      </c>
      <c r="H255" s="172">
        <v>12460</v>
      </c>
    </row>
    <row r="256" spans="1:8" ht="31.5" x14ac:dyDescent="0.25">
      <c r="A256" s="177" t="s">
        <v>13845</v>
      </c>
      <c r="B256" s="177" t="s">
        <v>13873</v>
      </c>
      <c r="C256" s="177" t="s">
        <v>13872</v>
      </c>
      <c r="D256" s="177" t="s">
        <v>7019</v>
      </c>
      <c r="E256" s="181">
        <v>16.14</v>
      </c>
      <c r="F256" s="177" t="s">
        <v>7018</v>
      </c>
      <c r="G256" s="177" t="s">
        <v>3007</v>
      </c>
      <c r="H256" s="172">
        <v>12461</v>
      </c>
    </row>
    <row r="257" spans="1:8" ht="31.5" x14ac:dyDescent="0.25">
      <c r="A257" s="177" t="s">
        <v>13845</v>
      </c>
      <c r="B257" s="177" t="s">
        <v>13871</v>
      </c>
      <c r="C257" s="177" t="s">
        <v>13870</v>
      </c>
      <c r="D257" s="177" t="s">
        <v>3591</v>
      </c>
      <c r="E257" s="181">
        <v>5.31</v>
      </c>
      <c r="F257" s="177" t="s">
        <v>3590</v>
      </c>
      <c r="G257" s="177" t="s">
        <v>3007</v>
      </c>
      <c r="H257" s="172">
        <v>12462</v>
      </c>
    </row>
    <row r="258" spans="1:8" ht="31.5" x14ac:dyDescent="0.25">
      <c r="A258" s="177" t="s">
        <v>13845</v>
      </c>
      <c r="B258" s="177" t="s">
        <v>13869</v>
      </c>
      <c r="C258" s="177" t="s">
        <v>13868</v>
      </c>
      <c r="D258" s="177" t="s">
        <v>6416</v>
      </c>
      <c r="E258" s="181">
        <v>3.36</v>
      </c>
      <c r="F258" s="177" t="s">
        <v>6415</v>
      </c>
      <c r="G258" s="177" t="s">
        <v>3007</v>
      </c>
      <c r="H258" s="172">
        <v>12463</v>
      </c>
    </row>
    <row r="259" spans="1:8" ht="31.5" x14ac:dyDescent="0.25">
      <c r="A259" s="177" t="s">
        <v>13845</v>
      </c>
      <c r="B259" s="177" t="s">
        <v>13867</v>
      </c>
      <c r="C259" s="177" t="s">
        <v>13866</v>
      </c>
      <c r="D259" s="177" t="s">
        <v>3325</v>
      </c>
      <c r="E259" s="181">
        <v>8.3800000000000008</v>
      </c>
      <c r="F259" s="177" t="s">
        <v>3324</v>
      </c>
      <c r="G259" s="177" t="s">
        <v>3007</v>
      </c>
      <c r="H259" s="172">
        <v>12464</v>
      </c>
    </row>
    <row r="260" spans="1:8" ht="31.5" x14ac:dyDescent="0.25">
      <c r="A260" s="177" t="s">
        <v>13845</v>
      </c>
      <c r="B260" s="177" t="s">
        <v>13865</v>
      </c>
      <c r="C260" s="177" t="s">
        <v>13864</v>
      </c>
      <c r="D260" s="177" t="s">
        <v>3317</v>
      </c>
      <c r="E260" s="181">
        <v>2.21</v>
      </c>
      <c r="F260" s="177" t="s">
        <v>3316</v>
      </c>
      <c r="G260" s="177" t="s">
        <v>3007</v>
      </c>
      <c r="H260" s="172">
        <v>12465</v>
      </c>
    </row>
    <row r="261" spans="1:8" ht="31.5" x14ac:dyDescent="0.25">
      <c r="A261" s="177" t="s">
        <v>13845</v>
      </c>
      <c r="B261" s="177" t="s">
        <v>13863</v>
      </c>
      <c r="C261" s="177" t="s">
        <v>13862</v>
      </c>
      <c r="D261" s="177" t="s">
        <v>9702</v>
      </c>
      <c r="E261" s="181">
        <v>3.36</v>
      </c>
      <c r="F261" s="177" t="s">
        <v>9701</v>
      </c>
      <c r="G261" s="177" t="s">
        <v>3007</v>
      </c>
      <c r="H261" s="172">
        <v>12466</v>
      </c>
    </row>
    <row r="262" spans="1:8" ht="31.5" x14ac:dyDescent="0.25">
      <c r="A262" s="177" t="s">
        <v>13845</v>
      </c>
      <c r="B262" s="177" t="s">
        <v>9088</v>
      </c>
      <c r="C262" s="177" t="s">
        <v>13861</v>
      </c>
      <c r="D262" s="177" t="s">
        <v>3390</v>
      </c>
      <c r="E262" s="181">
        <v>16.760000000000002</v>
      </c>
      <c r="F262" s="177" t="s">
        <v>3389</v>
      </c>
      <c r="G262" s="177" t="s">
        <v>3007</v>
      </c>
      <c r="H262" s="172">
        <v>12467</v>
      </c>
    </row>
    <row r="263" spans="1:8" ht="31.5" x14ac:dyDescent="0.25">
      <c r="A263" s="177" t="s">
        <v>13845</v>
      </c>
      <c r="B263" s="177" t="s">
        <v>13860</v>
      </c>
      <c r="C263" s="177" t="s">
        <v>13859</v>
      </c>
      <c r="D263" s="177" t="s">
        <v>13858</v>
      </c>
      <c r="E263" s="181">
        <v>5.76</v>
      </c>
      <c r="F263" s="177" t="s">
        <v>13857</v>
      </c>
      <c r="G263" s="177" t="s">
        <v>3007</v>
      </c>
      <c r="H263" s="172">
        <v>12468</v>
      </c>
    </row>
    <row r="264" spans="1:8" ht="31.5" x14ac:dyDescent="0.25">
      <c r="A264" s="177" t="s">
        <v>13845</v>
      </c>
      <c r="B264" s="177" t="s">
        <v>13856</v>
      </c>
      <c r="C264" s="177" t="s">
        <v>13855</v>
      </c>
      <c r="D264" s="177" t="s">
        <v>5313</v>
      </c>
      <c r="E264" s="181">
        <v>2.68</v>
      </c>
      <c r="F264" s="177" t="s">
        <v>5312</v>
      </c>
      <c r="G264" s="177" t="s">
        <v>3007</v>
      </c>
      <c r="H264" s="172">
        <v>12469</v>
      </c>
    </row>
    <row r="265" spans="1:8" ht="31.5" x14ac:dyDescent="0.25">
      <c r="A265" s="177" t="s">
        <v>13845</v>
      </c>
      <c r="B265" s="177" t="s">
        <v>13854</v>
      </c>
      <c r="C265" s="177" t="s">
        <v>13853</v>
      </c>
      <c r="D265" s="177" t="s">
        <v>3438</v>
      </c>
      <c r="E265" s="181">
        <v>10.59</v>
      </c>
      <c r="F265" s="177" t="s">
        <v>3437</v>
      </c>
      <c r="G265" s="177" t="s">
        <v>3007</v>
      </c>
      <c r="H265" s="172">
        <v>12470</v>
      </c>
    </row>
    <row r="266" spans="1:8" ht="31.5" x14ac:dyDescent="0.25">
      <c r="A266" s="177" t="s">
        <v>13845</v>
      </c>
      <c r="B266" s="177" t="s">
        <v>11688</v>
      </c>
      <c r="C266" s="177" t="s">
        <v>13852</v>
      </c>
      <c r="D266" s="177" t="s">
        <v>4665</v>
      </c>
      <c r="E266" s="181">
        <v>16.760000000000002</v>
      </c>
      <c r="F266" s="177" t="s">
        <v>4664</v>
      </c>
      <c r="G266" s="177" t="s">
        <v>3007</v>
      </c>
      <c r="H266" s="172">
        <v>12471</v>
      </c>
    </row>
    <row r="267" spans="1:8" ht="31.5" x14ac:dyDescent="0.25">
      <c r="A267" s="177" t="s">
        <v>13845</v>
      </c>
      <c r="B267" s="177" t="s">
        <v>13851</v>
      </c>
      <c r="C267" s="177" t="s">
        <v>13850</v>
      </c>
      <c r="D267" s="177" t="s">
        <v>12384</v>
      </c>
      <c r="E267" s="181">
        <v>21.78</v>
      </c>
      <c r="F267" s="177" t="s">
        <v>12383</v>
      </c>
      <c r="G267" s="177" t="s">
        <v>3007</v>
      </c>
      <c r="H267" s="172">
        <v>12472</v>
      </c>
    </row>
    <row r="268" spans="1:8" ht="31.5" x14ac:dyDescent="0.25">
      <c r="A268" s="177" t="s">
        <v>13845</v>
      </c>
      <c r="B268" s="177" t="s">
        <v>13849</v>
      </c>
      <c r="C268" s="177" t="s">
        <v>13848</v>
      </c>
      <c r="D268" s="177" t="s">
        <v>5186</v>
      </c>
      <c r="E268" s="181">
        <v>1.7</v>
      </c>
      <c r="F268" s="177" t="s">
        <v>5185</v>
      </c>
      <c r="G268" s="177" t="s">
        <v>3007</v>
      </c>
      <c r="H268" s="172">
        <v>12473</v>
      </c>
    </row>
    <row r="269" spans="1:8" ht="31.5" x14ac:dyDescent="0.25">
      <c r="A269" s="177" t="s">
        <v>13845</v>
      </c>
      <c r="B269" s="177" t="s">
        <v>13847</v>
      </c>
      <c r="C269" s="177" t="s">
        <v>13846</v>
      </c>
      <c r="D269" s="177" t="s">
        <v>9565</v>
      </c>
      <c r="E269" s="181">
        <v>5.04</v>
      </c>
      <c r="F269" s="177" t="s">
        <v>9564</v>
      </c>
      <c r="G269" s="177" t="s">
        <v>3007</v>
      </c>
      <c r="H269" s="172">
        <v>12474</v>
      </c>
    </row>
    <row r="270" spans="1:8" ht="31.5" x14ac:dyDescent="0.25">
      <c r="A270" s="177" t="s">
        <v>13845</v>
      </c>
      <c r="B270" s="177" t="s">
        <v>13844</v>
      </c>
      <c r="C270" s="177" t="s">
        <v>13843</v>
      </c>
      <c r="D270" s="177" t="s">
        <v>3434</v>
      </c>
      <c r="E270" s="181">
        <v>8.3800000000000008</v>
      </c>
      <c r="F270" s="177" t="s">
        <v>3433</v>
      </c>
      <c r="G270" s="177" t="s">
        <v>3007</v>
      </c>
      <c r="H270" s="172">
        <v>12475</v>
      </c>
    </row>
    <row r="271" spans="1:8" ht="31.5" x14ac:dyDescent="0.25">
      <c r="A271" s="177" t="s">
        <v>13796</v>
      </c>
      <c r="B271" s="177" t="s">
        <v>13842</v>
      </c>
      <c r="C271" s="177" t="s">
        <v>13841</v>
      </c>
      <c r="D271" s="177" t="s">
        <v>13328</v>
      </c>
      <c r="E271" s="181">
        <v>6.03</v>
      </c>
      <c r="F271" s="177" t="s">
        <v>6845</v>
      </c>
      <c r="G271" s="177" t="s">
        <v>3007</v>
      </c>
      <c r="H271" s="172">
        <v>12476</v>
      </c>
    </row>
    <row r="272" spans="1:8" ht="31.5" x14ac:dyDescent="0.25">
      <c r="A272" s="177" t="s">
        <v>13796</v>
      </c>
      <c r="B272" s="177" t="s">
        <v>13840</v>
      </c>
      <c r="C272" s="177" t="s">
        <v>13839</v>
      </c>
      <c r="D272" s="177" t="s">
        <v>3086</v>
      </c>
      <c r="E272" s="181">
        <v>7.49</v>
      </c>
      <c r="F272" s="177" t="s">
        <v>3085</v>
      </c>
      <c r="G272" s="177" t="s">
        <v>3007</v>
      </c>
      <c r="H272" s="172">
        <v>12477</v>
      </c>
    </row>
    <row r="273" spans="1:8" ht="31.5" x14ac:dyDescent="0.25">
      <c r="A273" s="177" t="s">
        <v>13796</v>
      </c>
      <c r="B273" s="177" t="s">
        <v>13838</v>
      </c>
      <c r="C273" s="177" t="s">
        <v>13837</v>
      </c>
      <c r="D273" s="177" t="s">
        <v>4712</v>
      </c>
      <c r="E273" s="181">
        <v>4.46</v>
      </c>
      <c r="F273" s="177" t="s">
        <v>4711</v>
      </c>
      <c r="G273" s="177" t="s">
        <v>3007</v>
      </c>
      <c r="H273" s="172">
        <v>12478</v>
      </c>
    </row>
    <row r="274" spans="1:8" ht="31.5" x14ac:dyDescent="0.25">
      <c r="A274" s="177" t="s">
        <v>13796</v>
      </c>
      <c r="B274" s="177" t="s">
        <v>13836</v>
      </c>
      <c r="C274" s="177" t="s">
        <v>13835</v>
      </c>
      <c r="D274" s="177" t="s">
        <v>5156</v>
      </c>
      <c r="E274" s="181">
        <v>7.35</v>
      </c>
      <c r="F274" s="177" t="s">
        <v>5155</v>
      </c>
      <c r="G274" s="177" t="s">
        <v>3007</v>
      </c>
      <c r="H274" s="172">
        <v>12479</v>
      </c>
    </row>
    <row r="275" spans="1:8" ht="31.5" x14ac:dyDescent="0.25">
      <c r="A275" s="177" t="s">
        <v>13796</v>
      </c>
      <c r="B275" s="177" t="s">
        <v>12914</v>
      </c>
      <c r="C275" s="177" t="s">
        <v>13834</v>
      </c>
      <c r="D275" s="177" t="s">
        <v>5566</v>
      </c>
      <c r="E275" s="181">
        <v>3.71</v>
      </c>
      <c r="F275" s="177" t="s">
        <v>5565</v>
      </c>
      <c r="G275" s="177" t="s">
        <v>3007</v>
      </c>
      <c r="H275" s="172">
        <v>12480</v>
      </c>
    </row>
    <row r="276" spans="1:8" ht="31.5" x14ac:dyDescent="0.25">
      <c r="A276" s="177" t="s">
        <v>13796</v>
      </c>
      <c r="B276" s="177" t="s">
        <v>13833</v>
      </c>
      <c r="C276" s="177" t="s">
        <v>13832</v>
      </c>
      <c r="D276" s="177" t="s">
        <v>3078</v>
      </c>
      <c r="E276" s="181">
        <v>38.549999999999997</v>
      </c>
      <c r="F276" s="177" t="s">
        <v>3077</v>
      </c>
      <c r="G276" s="177" t="s">
        <v>3007</v>
      </c>
      <c r="H276" s="172">
        <v>12481</v>
      </c>
    </row>
    <row r="277" spans="1:8" ht="31.5" x14ac:dyDescent="0.25">
      <c r="A277" s="177" t="s">
        <v>13796</v>
      </c>
      <c r="B277" s="177" t="s">
        <v>13831</v>
      </c>
      <c r="C277" s="177" t="s">
        <v>13830</v>
      </c>
      <c r="D277" s="177" t="s">
        <v>5584</v>
      </c>
      <c r="E277" s="181">
        <v>3.68</v>
      </c>
      <c r="F277" s="177" t="s">
        <v>5583</v>
      </c>
      <c r="G277" s="177" t="s">
        <v>3007</v>
      </c>
      <c r="H277" s="172">
        <v>12482</v>
      </c>
    </row>
    <row r="278" spans="1:8" ht="31.5" x14ac:dyDescent="0.25">
      <c r="A278" s="177" t="s">
        <v>13796</v>
      </c>
      <c r="B278" s="177" t="s">
        <v>13829</v>
      </c>
      <c r="C278" s="177" t="s">
        <v>13828</v>
      </c>
      <c r="D278" s="177" t="s">
        <v>4362</v>
      </c>
      <c r="E278" s="181">
        <v>5.19</v>
      </c>
      <c r="F278" s="177" t="s">
        <v>4361</v>
      </c>
      <c r="G278" s="177" t="s">
        <v>3007</v>
      </c>
      <c r="H278" s="172">
        <v>12483</v>
      </c>
    </row>
    <row r="279" spans="1:8" ht="31.5" x14ac:dyDescent="0.25">
      <c r="A279" s="177" t="s">
        <v>13796</v>
      </c>
      <c r="B279" s="177" t="s">
        <v>13827</v>
      </c>
      <c r="C279" s="177" t="s">
        <v>13826</v>
      </c>
      <c r="D279" s="177" t="s">
        <v>3123</v>
      </c>
      <c r="E279" s="181">
        <v>1.68</v>
      </c>
      <c r="F279" s="177" t="s">
        <v>3122</v>
      </c>
      <c r="G279" s="177" t="s">
        <v>3007</v>
      </c>
      <c r="H279" s="172">
        <v>12484</v>
      </c>
    </row>
    <row r="280" spans="1:8" ht="31.5" x14ac:dyDescent="0.25">
      <c r="A280" s="177" t="s">
        <v>13796</v>
      </c>
      <c r="B280" s="177" t="s">
        <v>13825</v>
      </c>
      <c r="C280" s="177" t="s">
        <v>13824</v>
      </c>
      <c r="D280" s="177" t="s">
        <v>4372</v>
      </c>
      <c r="E280" s="181">
        <v>4.1900000000000004</v>
      </c>
      <c r="F280" s="177" t="s">
        <v>4371</v>
      </c>
      <c r="G280" s="177" t="s">
        <v>3007</v>
      </c>
      <c r="H280" s="172">
        <v>12485</v>
      </c>
    </row>
    <row r="281" spans="1:8" ht="31.5" x14ac:dyDescent="0.25">
      <c r="A281" s="177" t="s">
        <v>13796</v>
      </c>
      <c r="B281" s="177" t="s">
        <v>13823</v>
      </c>
      <c r="C281" s="177" t="s">
        <v>13822</v>
      </c>
      <c r="D281" s="177" t="s">
        <v>4839</v>
      </c>
      <c r="E281" s="181">
        <v>1.68</v>
      </c>
      <c r="F281" s="177" t="s">
        <v>4838</v>
      </c>
      <c r="G281" s="177" t="s">
        <v>3007</v>
      </c>
      <c r="H281" s="172">
        <v>12486</v>
      </c>
    </row>
    <row r="282" spans="1:8" ht="31.5" x14ac:dyDescent="0.25">
      <c r="A282" s="177" t="s">
        <v>13796</v>
      </c>
      <c r="B282" s="177" t="s">
        <v>13821</v>
      </c>
      <c r="C282" s="177" t="s">
        <v>13820</v>
      </c>
      <c r="D282" s="177" t="s">
        <v>6317</v>
      </c>
      <c r="E282" s="181">
        <v>8.9700000000000006</v>
      </c>
      <c r="F282" s="177" t="s">
        <v>6316</v>
      </c>
      <c r="G282" s="177" t="s">
        <v>3007</v>
      </c>
      <c r="H282" s="172">
        <v>12487</v>
      </c>
    </row>
    <row r="283" spans="1:8" ht="31.5" x14ac:dyDescent="0.25">
      <c r="A283" s="177" t="s">
        <v>13796</v>
      </c>
      <c r="B283" s="177" t="s">
        <v>13819</v>
      </c>
      <c r="C283" s="177" t="s">
        <v>13818</v>
      </c>
      <c r="D283" s="177" t="s">
        <v>7113</v>
      </c>
      <c r="E283" s="181">
        <v>1.79</v>
      </c>
      <c r="F283" s="177" t="s">
        <v>7112</v>
      </c>
      <c r="G283" s="177" t="s">
        <v>3007</v>
      </c>
      <c r="H283" s="172">
        <v>12488</v>
      </c>
    </row>
    <row r="284" spans="1:8" ht="31.5" x14ac:dyDescent="0.25">
      <c r="A284" s="177" t="s">
        <v>13796</v>
      </c>
      <c r="B284" s="177" t="s">
        <v>13817</v>
      </c>
      <c r="C284" s="177" t="s">
        <v>13816</v>
      </c>
      <c r="D284" s="177" t="s">
        <v>7668</v>
      </c>
      <c r="E284" s="181">
        <v>11.49</v>
      </c>
      <c r="F284" s="177" t="s">
        <v>7667</v>
      </c>
      <c r="G284" s="177" t="s">
        <v>3007</v>
      </c>
      <c r="H284" s="172">
        <v>12489</v>
      </c>
    </row>
    <row r="285" spans="1:8" ht="31.5" x14ac:dyDescent="0.25">
      <c r="A285" s="177" t="s">
        <v>13796</v>
      </c>
      <c r="B285" s="177" t="s">
        <v>13815</v>
      </c>
      <c r="C285" s="177" t="s">
        <v>13814</v>
      </c>
      <c r="D285" s="177" t="s">
        <v>7563</v>
      </c>
      <c r="E285" s="181">
        <v>20.100000000000001</v>
      </c>
      <c r="F285" s="177" t="s">
        <v>7562</v>
      </c>
      <c r="G285" s="177" t="s">
        <v>3007</v>
      </c>
      <c r="H285" s="172">
        <v>12490</v>
      </c>
    </row>
    <row r="286" spans="1:8" ht="31.5" x14ac:dyDescent="0.25">
      <c r="A286" s="177" t="s">
        <v>13796</v>
      </c>
      <c r="B286" s="177" t="s">
        <v>13813</v>
      </c>
      <c r="C286" s="177" t="s">
        <v>13812</v>
      </c>
      <c r="D286" s="177" t="s">
        <v>4552</v>
      </c>
      <c r="E286" s="181">
        <v>40.61</v>
      </c>
      <c r="F286" s="177" t="s">
        <v>4551</v>
      </c>
      <c r="G286" s="177" t="s">
        <v>3007</v>
      </c>
      <c r="H286" s="172">
        <v>12491</v>
      </c>
    </row>
    <row r="287" spans="1:8" ht="31.5" x14ac:dyDescent="0.25">
      <c r="A287" s="177" t="s">
        <v>13796</v>
      </c>
      <c r="B287" s="177" t="s">
        <v>12759</v>
      </c>
      <c r="C287" s="177" t="s">
        <v>13811</v>
      </c>
      <c r="D287" s="177" t="s">
        <v>9201</v>
      </c>
      <c r="E287" s="181">
        <v>1.68</v>
      </c>
      <c r="F287" s="177" t="s">
        <v>9200</v>
      </c>
      <c r="G287" s="177" t="s">
        <v>3007</v>
      </c>
      <c r="H287" s="172">
        <v>12492</v>
      </c>
    </row>
    <row r="288" spans="1:8" ht="31.5" x14ac:dyDescent="0.25">
      <c r="A288" s="177" t="s">
        <v>13796</v>
      </c>
      <c r="B288" s="177" t="s">
        <v>13810</v>
      </c>
      <c r="C288" s="177" t="s">
        <v>13809</v>
      </c>
      <c r="D288" s="177" t="s">
        <v>4540</v>
      </c>
      <c r="E288" s="181">
        <v>55.63</v>
      </c>
      <c r="F288" s="177" t="s">
        <v>4539</v>
      </c>
      <c r="G288" s="177" t="s">
        <v>3007</v>
      </c>
      <c r="H288" s="172">
        <v>12493</v>
      </c>
    </row>
    <row r="289" spans="1:8" ht="31.5" x14ac:dyDescent="0.25">
      <c r="A289" s="177" t="s">
        <v>13796</v>
      </c>
      <c r="B289" s="177" t="s">
        <v>13808</v>
      </c>
      <c r="C289" s="177" t="s">
        <v>13807</v>
      </c>
      <c r="D289" s="177" t="s">
        <v>7691</v>
      </c>
      <c r="E289" s="181">
        <v>3.76</v>
      </c>
      <c r="F289" s="177" t="s">
        <v>7690</v>
      </c>
      <c r="G289" s="177" t="s">
        <v>3007</v>
      </c>
      <c r="H289" s="172">
        <v>12494</v>
      </c>
    </row>
    <row r="290" spans="1:8" ht="31.5" x14ac:dyDescent="0.25">
      <c r="A290" s="177" t="s">
        <v>13796</v>
      </c>
      <c r="B290" s="177" t="s">
        <v>13806</v>
      </c>
      <c r="C290" s="177" t="s">
        <v>13805</v>
      </c>
      <c r="D290" s="177" t="s">
        <v>9861</v>
      </c>
      <c r="E290" s="181">
        <v>5.0599999999999996</v>
      </c>
      <c r="F290" s="177" t="s">
        <v>9860</v>
      </c>
      <c r="G290" s="177" t="s">
        <v>3007</v>
      </c>
      <c r="H290" s="172">
        <v>12495</v>
      </c>
    </row>
    <row r="291" spans="1:8" ht="31.5" x14ac:dyDescent="0.25">
      <c r="A291" s="177" t="s">
        <v>13796</v>
      </c>
      <c r="B291" s="177" t="s">
        <v>13804</v>
      </c>
      <c r="C291" s="177" t="s">
        <v>13803</v>
      </c>
      <c r="D291" s="177" t="s">
        <v>3912</v>
      </c>
      <c r="E291" s="181">
        <v>6.29</v>
      </c>
      <c r="F291" s="177" t="s">
        <v>3911</v>
      </c>
      <c r="G291" s="177" t="s">
        <v>3007</v>
      </c>
      <c r="H291" s="172">
        <v>12496</v>
      </c>
    </row>
    <row r="292" spans="1:8" ht="31.5" x14ac:dyDescent="0.25">
      <c r="A292" s="177" t="s">
        <v>13796</v>
      </c>
      <c r="B292" s="177" t="s">
        <v>13802</v>
      </c>
      <c r="C292" s="177" t="s">
        <v>13801</v>
      </c>
      <c r="D292" s="177" t="s">
        <v>13297</v>
      </c>
      <c r="E292" s="181">
        <v>31.89</v>
      </c>
      <c r="F292" s="177" t="s">
        <v>13296</v>
      </c>
      <c r="G292" s="177" t="s">
        <v>3007</v>
      </c>
      <c r="H292" s="172">
        <v>12497</v>
      </c>
    </row>
    <row r="293" spans="1:8" ht="31.5" x14ac:dyDescent="0.25">
      <c r="A293" s="177" t="s">
        <v>13796</v>
      </c>
      <c r="B293" s="177" t="s">
        <v>13800</v>
      </c>
      <c r="C293" s="177" t="s">
        <v>13799</v>
      </c>
      <c r="D293" s="177" t="s">
        <v>9643</v>
      </c>
      <c r="E293" s="181">
        <v>1.68</v>
      </c>
      <c r="F293" s="177" t="s">
        <v>9642</v>
      </c>
      <c r="G293" s="177" t="s">
        <v>3007</v>
      </c>
      <c r="H293" s="172">
        <v>12498</v>
      </c>
    </row>
    <row r="294" spans="1:8" ht="31.5" x14ac:dyDescent="0.25">
      <c r="A294" s="177" t="s">
        <v>13796</v>
      </c>
      <c r="B294" s="177" t="s">
        <v>13798</v>
      </c>
      <c r="C294" s="177" t="s">
        <v>13797</v>
      </c>
      <c r="D294" s="177" t="s">
        <v>4281</v>
      </c>
      <c r="E294" s="181">
        <v>1.68</v>
      </c>
      <c r="F294" s="177" t="s">
        <v>4280</v>
      </c>
      <c r="G294" s="177" t="s">
        <v>3007</v>
      </c>
      <c r="H294" s="172">
        <v>12526</v>
      </c>
    </row>
    <row r="295" spans="1:8" ht="31.5" x14ac:dyDescent="0.25">
      <c r="A295" s="177" t="s">
        <v>13796</v>
      </c>
      <c r="B295" s="177" t="s">
        <v>13795</v>
      </c>
      <c r="C295" s="177" t="s">
        <v>13794</v>
      </c>
      <c r="D295" s="177" t="s">
        <v>8570</v>
      </c>
      <c r="E295" s="181">
        <v>9.7100000000000009</v>
      </c>
      <c r="F295" s="177" t="s">
        <v>8569</v>
      </c>
      <c r="G295" s="177" t="s">
        <v>3007</v>
      </c>
      <c r="H295" s="172">
        <v>12527</v>
      </c>
    </row>
    <row r="296" spans="1:8" ht="31.5" x14ac:dyDescent="0.25">
      <c r="A296" s="177" t="s">
        <v>13750</v>
      </c>
      <c r="B296" s="177" t="s">
        <v>13793</v>
      </c>
      <c r="C296" s="177" t="s">
        <v>13792</v>
      </c>
      <c r="D296" s="177" t="s">
        <v>7054</v>
      </c>
      <c r="E296" s="181">
        <v>5.36</v>
      </c>
      <c r="F296" s="177" t="s">
        <v>7053</v>
      </c>
      <c r="G296" s="177" t="s">
        <v>3007</v>
      </c>
      <c r="H296" s="172">
        <v>12564</v>
      </c>
    </row>
    <row r="297" spans="1:8" ht="31.5" x14ac:dyDescent="0.25">
      <c r="A297" s="177" t="s">
        <v>13750</v>
      </c>
      <c r="B297" s="177" t="s">
        <v>13791</v>
      </c>
      <c r="C297" s="177" t="s">
        <v>13790</v>
      </c>
      <c r="D297" s="177" t="s">
        <v>5554</v>
      </c>
      <c r="E297" s="181">
        <v>9.65</v>
      </c>
      <c r="F297" s="177" t="s">
        <v>5553</v>
      </c>
      <c r="G297" s="177" t="s">
        <v>3007</v>
      </c>
      <c r="H297" s="172">
        <v>12565</v>
      </c>
    </row>
    <row r="298" spans="1:8" ht="31.5" x14ac:dyDescent="0.25">
      <c r="A298" s="177" t="s">
        <v>13750</v>
      </c>
      <c r="B298" s="177" t="s">
        <v>10734</v>
      </c>
      <c r="C298" s="177" t="s">
        <v>13789</v>
      </c>
      <c r="D298" s="177" t="s">
        <v>5558</v>
      </c>
      <c r="E298" s="181">
        <v>6.93</v>
      </c>
      <c r="F298" s="177" t="s">
        <v>5557</v>
      </c>
      <c r="G298" s="177" t="s">
        <v>3007</v>
      </c>
      <c r="H298" s="172">
        <v>12566</v>
      </c>
    </row>
    <row r="299" spans="1:8" ht="31.5" x14ac:dyDescent="0.25">
      <c r="A299" s="177" t="s">
        <v>13750</v>
      </c>
      <c r="B299" s="177" t="s">
        <v>13788</v>
      </c>
      <c r="C299" s="177" t="s">
        <v>13787</v>
      </c>
      <c r="D299" s="177" t="s">
        <v>3816</v>
      </c>
      <c r="E299" s="181">
        <v>30.62</v>
      </c>
      <c r="F299" s="177" t="s">
        <v>3815</v>
      </c>
      <c r="G299" s="177" t="s">
        <v>3007</v>
      </c>
      <c r="H299" s="172">
        <v>12567</v>
      </c>
    </row>
    <row r="300" spans="1:8" ht="31.5" x14ac:dyDescent="0.25">
      <c r="A300" s="177" t="s">
        <v>13750</v>
      </c>
      <c r="B300" s="177" t="s">
        <v>13786</v>
      </c>
      <c r="C300" s="177" t="s">
        <v>13785</v>
      </c>
      <c r="D300" s="177" t="s">
        <v>8749</v>
      </c>
      <c r="E300" s="181">
        <v>8.3800000000000008</v>
      </c>
      <c r="F300" s="177" t="s">
        <v>8745</v>
      </c>
      <c r="G300" s="177" t="s">
        <v>3007</v>
      </c>
      <c r="H300" s="172">
        <v>12568</v>
      </c>
    </row>
    <row r="301" spans="1:8" ht="31.5" x14ac:dyDescent="0.25">
      <c r="A301" s="177" t="s">
        <v>13750</v>
      </c>
      <c r="B301" s="177" t="s">
        <v>13784</v>
      </c>
      <c r="C301" s="177" t="s">
        <v>13783</v>
      </c>
      <c r="D301" s="177" t="s">
        <v>8746</v>
      </c>
      <c r="E301" s="181">
        <v>8.3800000000000008</v>
      </c>
      <c r="F301" s="177" t="s">
        <v>8745</v>
      </c>
      <c r="G301" s="177" t="s">
        <v>3007</v>
      </c>
      <c r="H301" s="172">
        <v>12569</v>
      </c>
    </row>
    <row r="302" spans="1:8" ht="31.5" x14ac:dyDescent="0.25">
      <c r="A302" s="177" t="s">
        <v>13750</v>
      </c>
      <c r="B302" s="177" t="s">
        <v>13782</v>
      </c>
      <c r="C302" s="177" t="s">
        <v>13781</v>
      </c>
      <c r="D302" s="177" t="s">
        <v>11733</v>
      </c>
      <c r="E302" s="181">
        <v>1.92</v>
      </c>
      <c r="F302" s="177" t="s">
        <v>11732</v>
      </c>
      <c r="G302" s="177" t="s">
        <v>3007</v>
      </c>
      <c r="H302" s="172">
        <v>12570</v>
      </c>
    </row>
    <row r="303" spans="1:8" ht="31.5" x14ac:dyDescent="0.25">
      <c r="A303" s="177" t="s">
        <v>13750</v>
      </c>
      <c r="B303" s="177" t="s">
        <v>13780</v>
      </c>
      <c r="C303" s="177" t="s">
        <v>13779</v>
      </c>
      <c r="D303" s="177" t="s">
        <v>4257</v>
      </c>
      <c r="E303" s="181">
        <v>8.3800000000000008</v>
      </c>
      <c r="F303" s="177" t="s">
        <v>4256</v>
      </c>
      <c r="G303" s="177" t="s">
        <v>3007</v>
      </c>
      <c r="H303" s="172">
        <v>12571</v>
      </c>
    </row>
    <row r="304" spans="1:8" ht="31.5" x14ac:dyDescent="0.25">
      <c r="A304" s="177" t="s">
        <v>13750</v>
      </c>
      <c r="B304" s="177" t="s">
        <v>13778</v>
      </c>
      <c r="C304" s="177" t="s">
        <v>13777</v>
      </c>
      <c r="D304" s="177" t="s">
        <v>4293</v>
      </c>
      <c r="E304" s="181">
        <v>6.87</v>
      </c>
      <c r="F304" s="177" t="s">
        <v>4292</v>
      </c>
      <c r="G304" s="177" t="s">
        <v>3007</v>
      </c>
      <c r="H304" s="172">
        <v>12572</v>
      </c>
    </row>
    <row r="305" spans="1:8" ht="31.5" x14ac:dyDescent="0.25">
      <c r="A305" s="177" t="s">
        <v>13750</v>
      </c>
      <c r="B305" s="177" t="s">
        <v>13258</v>
      </c>
      <c r="C305" s="177" t="s">
        <v>13776</v>
      </c>
      <c r="D305" s="177" t="s">
        <v>3381</v>
      </c>
      <c r="E305" s="181">
        <v>5.48</v>
      </c>
      <c r="F305" s="177" t="s">
        <v>3380</v>
      </c>
      <c r="G305" s="177" t="s">
        <v>3007</v>
      </c>
      <c r="H305" s="172">
        <v>12573</v>
      </c>
    </row>
    <row r="306" spans="1:8" ht="31.5" x14ac:dyDescent="0.25">
      <c r="A306" s="177" t="s">
        <v>13750</v>
      </c>
      <c r="B306" s="177" t="s">
        <v>13775</v>
      </c>
      <c r="C306" s="177" t="s">
        <v>13774</v>
      </c>
      <c r="D306" s="177" t="s">
        <v>8442</v>
      </c>
      <c r="E306" s="181">
        <v>18.39</v>
      </c>
      <c r="F306" s="177" t="s">
        <v>8441</v>
      </c>
      <c r="G306" s="177" t="s">
        <v>3007</v>
      </c>
      <c r="H306" s="172">
        <v>12574</v>
      </c>
    </row>
    <row r="307" spans="1:8" ht="31.5" x14ac:dyDescent="0.25">
      <c r="A307" s="177" t="s">
        <v>13750</v>
      </c>
      <c r="B307" s="177" t="s">
        <v>13773</v>
      </c>
      <c r="C307" s="177" t="s">
        <v>13772</v>
      </c>
      <c r="D307" s="177" t="s">
        <v>7664</v>
      </c>
      <c r="E307" s="181">
        <v>3.07</v>
      </c>
      <c r="F307" s="177" t="s">
        <v>7663</v>
      </c>
      <c r="G307" s="177" t="s">
        <v>3007</v>
      </c>
      <c r="H307" s="172">
        <v>12575</v>
      </c>
    </row>
    <row r="308" spans="1:8" ht="31.5" x14ac:dyDescent="0.25">
      <c r="A308" s="177" t="s">
        <v>13750</v>
      </c>
      <c r="B308" s="177" t="s">
        <v>13771</v>
      </c>
      <c r="C308" s="177" t="s">
        <v>13770</v>
      </c>
      <c r="D308" s="177" t="s">
        <v>13769</v>
      </c>
      <c r="E308" s="181">
        <v>3.36</v>
      </c>
      <c r="F308" s="177" t="s">
        <v>13768</v>
      </c>
      <c r="G308" s="177" t="s">
        <v>3007</v>
      </c>
      <c r="H308" s="172">
        <v>12576</v>
      </c>
    </row>
    <row r="309" spans="1:8" ht="31.5" x14ac:dyDescent="0.25">
      <c r="A309" s="177" t="s">
        <v>13750</v>
      </c>
      <c r="B309" s="177" t="s">
        <v>13767</v>
      </c>
      <c r="C309" s="177" t="s">
        <v>13766</v>
      </c>
      <c r="D309" s="177" t="s">
        <v>3563</v>
      </c>
      <c r="E309" s="181">
        <v>6.94</v>
      </c>
      <c r="F309" s="177" t="s">
        <v>3562</v>
      </c>
      <c r="G309" s="177" t="s">
        <v>3007</v>
      </c>
      <c r="H309" s="173">
        <v>12577</v>
      </c>
    </row>
    <row r="310" spans="1:8" ht="31.5" x14ac:dyDescent="0.25">
      <c r="A310" s="177" t="s">
        <v>13750</v>
      </c>
      <c r="B310" s="177" t="s">
        <v>13765</v>
      </c>
      <c r="C310" s="177" t="s">
        <v>13764</v>
      </c>
      <c r="D310" s="177" t="s">
        <v>6010</v>
      </c>
      <c r="E310" s="181">
        <v>16.760000000000002</v>
      </c>
      <c r="F310" s="177" t="s">
        <v>6009</v>
      </c>
      <c r="G310" s="177" t="s">
        <v>3007</v>
      </c>
      <c r="H310" s="172">
        <v>12578</v>
      </c>
    </row>
    <row r="311" spans="1:8" ht="31.5" x14ac:dyDescent="0.25">
      <c r="A311" s="177" t="s">
        <v>13750</v>
      </c>
      <c r="B311" s="177" t="s">
        <v>13763</v>
      </c>
      <c r="C311" s="177" t="s">
        <v>13762</v>
      </c>
      <c r="D311" s="177" t="s">
        <v>3880</v>
      </c>
      <c r="E311" s="181">
        <v>4.2</v>
      </c>
      <c r="F311" s="177" t="s">
        <v>3879</v>
      </c>
      <c r="G311" s="177" t="s">
        <v>3007</v>
      </c>
      <c r="H311" s="172">
        <v>12579</v>
      </c>
    </row>
    <row r="312" spans="1:8" ht="31.5" x14ac:dyDescent="0.25">
      <c r="A312" s="177" t="s">
        <v>13750</v>
      </c>
      <c r="B312" s="177" t="s">
        <v>13761</v>
      </c>
      <c r="C312" s="177" t="s">
        <v>13760</v>
      </c>
      <c r="D312" s="177" t="s">
        <v>3888</v>
      </c>
      <c r="E312" s="181">
        <v>22.77</v>
      </c>
      <c r="F312" s="177" t="s">
        <v>3887</v>
      </c>
      <c r="G312" s="177" t="s">
        <v>3007</v>
      </c>
      <c r="H312" s="172">
        <v>12580</v>
      </c>
    </row>
    <row r="313" spans="1:8" ht="31.5" x14ac:dyDescent="0.25">
      <c r="A313" s="177" t="s">
        <v>13750</v>
      </c>
      <c r="B313" s="177" t="s">
        <v>13759</v>
      </c>
      <c r="C313" s="177" t="s">
        <v>13758</v>
      </c>
      <c r="D313" s="177" t="s">
        <v>13006</v>
      </c>
      <c r="E313" s="181">
        <v>1.68</v>
      </c>
      <c r="F313" s="177" t="s">
        <v>13005</v>
      </c>
      <c r="G313" s="177" t="s">
        <v>3007</v>
      </c>
      <c r="H313" s="172">
        <v>12581</v>
      </c>
    </row>
    <row r="314" spans="1:8" ht="31.5" x14ac:dyDescent="0.25">
      <c r="A314" s="177" t="s">
        <v>13750</v>
      </c>
      <c r="B314" s="177" t="s">
        <v>13757</v>
      </c>
      <c r="C314" s="177" t="s">
        <v>13756</v>
      </c>
      <c r="D314" s="177" t="s">
        <v>3502</v>
      </c>
      <c r="E314" s="181">
        <v>4.93</v>
      </c>
      <c r="F314" s="177" t="s">
        <v>3498</v>
      </c>
      <c r="G314" s="177" t="s">
        <v>3007</v>
      </c>
      <c r="H314" s="172">
        <v>12582</v>
      </c>
    </row>
    <row r="315" spans="1:8" ht="31.5" x14ac:dyDescent="0.25">
      <c r="A315" s="177" t="s">
        <v>13750</v>
      </c>
      <c r="B315" s="177" t="s">
        <v>13755</v>
      </c>
      <c r="C315" s="177" t="s">
        <v>13754</v>
      </c>
      <c r="D315" s="177" t="s">
        <v>3611</v>
      </c>
      <c r="E315" s="181">
        <v>7.14</v>
      </c>
      <c r="F315" s="177" t="s">
        <v>3610</v>
      </c>
      <c r="G315" s="177" t="s">
        <v>3007</v>
      </c>
      <c r="H315" s="172">
        <v>12583</v>
      </c>
    </row>
    <row r="316" spans="1:8" ht="31.5" x14ac:dyDescent="0.25">
      <c r="A316" s="177" t="s">
        <v>13750</v>
      </c>
      <c r="B316" s="177" t="s">
        <v>9032</v>
      </c>
      <c r="C316" s="177" t="s">
        <v>13753</v>
      </c>
      <c r="D316" s="177" t="s">
        <v>10408</v>
      </c>
      <c r="E316" s="181">
        <v>5.04</v>
      </c>
      <c r="F316" s="177" t="s">
        <v>10407</v>
      </c>
      <c r="G316" s="177" t="s">
        <v>3007</v>
      </c>
      <c r="H316" s="172">
        <v>12584</v>
      </c>
    </row>
    <row r="317" spans="1:8" ht="31.5" x14ac:dyDescent="0.25">
      <c r="A317" s="177" t="s">
        <v>13750</v>
      </c>
      <c r="B317" s="177" t="s">
        <v>13752</v>
      </c>
      <c r="C317" s="177" t="s">
        <v>13751</v>
      </c>
      <c r="D317" s="177" t="s">
        <v>4799</v>
      </c>
      <c r="E317" s="181">
        <v>1.68</v>
      </c>
      <c r="F317" s="177" t="s">
        <v>4798</v>
      </c>
      <c r="G317" s="177" t="s">
        <v>3007</v>
      </c>
      <c r="H317" s="172">
        <v>12585</v>
      </c>
    </row>
    <row r="318" spans="1:8" ht="31.5" x14ac:dyDescent="0.25">
      <c r="A318" s="177" t="s">
        <v>13750</v>
      </c>
      <c r="B318" s="177" t="s">
        <v>13749</v>
      </c>
      <c r="C318" s="177" t="s">
        <v>13748</v>
      </c>
      <c r="D318" s="177" t="s">
        <v>6250</v>
      </c>
      <c r="E318" s="181">
        <v>13.57</v>
      </c>
      <c r="F318" s="177" t="s">
        <v>6249</v>
      </c>
      <c r="G318" s="177" t="s">
        <v>3007</v>
      </c>
      <c r="H318" s="172">
        <v>12586</v>
      </c>
    </row>
    <row r="319" spans="1:8" ht="31.5" x14ac:dyDescent="0.25">
      <c r="A319" s="177" t="s">
        <v>13716</v>
      </c>
      <c r="B319" s="177" t="s">
        <v>13747</v>
      </c>
      <c r="C319" s="177" t="s">
        <v>13746</v>
      </c>
      <c r="D319" s="177" t="s">
        <v>7042</v>
      </c>
      <c r="E319" s="181">
        <v>4.92</v>
      </c>
      <c r="F319" s="177" t="s">
        <v>7038</v>
      </c>
      <c r="G319" s="177" t="s">
        <v>3007</v>
      </c>
      <c r="H319" s="172">
        <v>12613</v>
      </c>
    </row>
    <row r="320" spans="1:8" ht="31.5" x14ac:dyDescent="0.25">
      <c r="A320" s="177" t="s">
        <v>13716</v>
      </c>
      <c r="B320" s="177" t="s">
        <v>13745</v>
      </c>
      <c r="C320" s="177" t="s">
        <v>13744</v>
      </c>
      <c r="D320" s="177" t="s">
        <v>7039</v>
      </c>
      <c r="E320" s="181">
        <v>3.36</v>
      </c>
      <c r="F320" s="177" t="s">
        <v>7038</v>
      </c>
      <c r="G320" s="177" t="s">
        <v>3007</v>
      </c>
      <c r="H320" s="172">
        <v>12614</v>
      </c>
    </row>
    <row r="321" spans="1:8" ht="31.5" x14ac:dyDescent="0.25">
      <c r="A321" s="177" t="s">
        <v>13716</v>
      </c>
      <c r="B321" s="177" t="s">
        <v>13743</v>
      </c>
      <c r="C321" s="177" t="s">
        <v>13742</v>
      </c>
      <c r="D321" s="177" t="s">
        <v>8857</v>
      </c>
      <c r="E321" s="181">
        <v>18.649999999999999</v>
      </c>
      <c r="F321" s="177" t="s">
        <v>8856</v>
      </c>
      <c r="G321" s="177" t="s">
        <v>3007</v>
      </c>
      <c r="H321" s="172">
        <v>12645</v>
      </c>
    </row>
    <row r="322" spans="1:8" ht="31.5" x14ac:dyDescent="0.25">
      <c r="A322" s="177" t="s">
        <v>13716</v>
      </c>
      <c r="B322" s="177" t="s">
        <v>13741</v>
      </c>
      <c r="C322" s="177" t="s">
        <v>13740</v>
      </c>
      <c r="D322" s="177" t="s">
        <v>9535</v>
      </c>
      <c r="E322" s="181">
        <v>2.82</v>
      </c>
      <c r="F322" s="177" t="s">
        <v>9534</v>
      </c>
      <c r="G322" s="177" t="s">
        <v>3007</v>
      </c>
      <c r="H322" s="172">
        <v>12646</v>
      </c>
    </row>
    <row r="323" spans="1:8" ht="31.5" x14ac:dyDescent="0.25">
      <c r="A323" s="177" t="s">
        <v>13716</v>
      </c>
      <c r="B323" s="177" t="s">
        <v>13739</v>
      </c>
      <c r="C323" s="177" t="s">
        <v>13738</v>
      </c>
      <c r="D323" s="177" t="s">
        <v>6714</v>
      </c>
      <c r="E323" s="181">
        <v>20.440000000000001</v>
      </c>
      <c r="F323" s="177" t="s">
        <v>6713</v>
      </c>
      <c r="G323" s="177" t="s">
        <v>3007</v>
      </c>
      <c r="H323" s="172">
        <v>12647</v>
      </c>
    </row>
    <row r="324" spans="1:8" ht="31.5" x14ac:dyDescent="0.25">
      <c r="A324" s="177" t="s">
        <v>13716</v>
      </c>
      <c r="B324" s="177" t="s">
        <v>13737</v>
      </c>
      <c r="C324" s="177" t="s">
        <v>13736</v>
      </c>
      <c r="D324" s="177" t="s">
        <v>12302</v>
      </c>
      <c r="E324" s="181">
        <v>3.36</v>
      </c>
      <c r="F324" s="177" t="s">
        <v>12301</v>
      </c>
      <c r="G324" s="177" t="s">
        <v>3007</v>
      </c>
      <c r="H324" s="172">
        <v>12648</v>
      </c>
    </row>
    <row r="325" spans="1:8" ht="31.5" x14ac:dyDescent="0.25">
      <c r="A325" s="177" t="s">
        <v>13716</v>
      </c>
      <c r="B325" s="177" t="s">
        <v>13735</v>
      </c>
      <c r="C325" s="177" t="s">
        <v>13734</v>
      </c>
      <c r="D325" s="177" t="s">
        <v>3595</v>
      </c>
      <c r="E325" s="181">
        <v>1.75</v>
      </c>
      <c r="F325" s="177" t="s">
        <v>3594</v>
      </c>
      <c r="G325" s="177" t="s">
        <v>3007</v>
      </c>
      <c r="H325" s="172">
        <v>12649</v>
      </c>
    </row>
    <row r="326" spans="1:8" ht="31.5" x14ac:dyDescent="0.25">
      <c r="A326" s="177" t="s">
        <v>13716</v>
      </c>
      <c r="B326" s="177" t="s">
        <v>13733</v>
      </c>
      <c r="C326" s="177" t="s">
        <v>13732</v>
      </c>
      <c r="D326" s="177" t="s">
        <v>6870</v>
      </c>
      <c r="E326" s="181">
        <v>5.68</v>
      </c>
      <c r="F326" s="177" t="s">
        <v>6869</v>
      </c>
      <c r="G326" s="177" t="s">
        <v>3007</v>
      </c>
      <c r="H326" s="172">
        <v>12650</v>
      </c>
    </row>
    <row r="327" spans="1:8" ht="31.5" x14ac:dyDescent="0.25">
      <c r="A327" s="177" t="s">
        <v>13716</v>
      </c>
      <c r="B327" s="177" t="s">
        <v>13731</v>
      </c>
      <c r="C327" s="177" t="s">
        <v>13730</v>
      </c>
      <c r="D327" s="177" t="s">
        <v>8724</v>
      </c>
      <c r="E327" s="181">
        <v>2.31</v>
      </c>
      <c r="F327" s="177" t="s">
        <v>8723</v>
      </c>
      <c r="G327" s="177" t="s">
        <v>3007</v>
      </c>
      <c r="H327" s="172">
        <v>12652</v>
      </c>
    </row>
    <row r="328" spans="1:8" ht="31.5" x14ac:dyDescent="0.25">
      <c r="A328" s="177" t="s">
        <v>13716</v>
      </c>
      <c r="B328" s="177" t="s">
        <v>13729</v>
      </c>
      <c r="C328" s="177" t="s">
        <v>13728</v>
      </c>
      <c r="D328" s="177" t="s">
        <v>10345</v>
      </c>
      <c r="E328" s="181">
        <v>6.94</v>
      </c>
      <c r="F328" s="177" t="s">
        <v>10344</v>
      </c>
      <c r="G328" s="177" t="s">
        <v>3007</v>
      </c>
      <c r="H328" s="172">
        <v>12666</v>
      </c>
    </row>
    <row r="329" spans="1:8" ht="31.5" x14ac:dyDescent="0.25">
      <c r="A329" s="177" t="s">
        <v>13716</v>
      </c>
      <c r="B329" s="177" t="s">
        <v>13727</v>
      </c>
      <c r="C329" s="177" t="s">
        <v>13726</v>
      </c>
      <c r="D329" s="177" t="s">
        <v>3337</v>
      </c>
      <c r="E329" s="181">
        <v>30.23</v>
      </c>
      <c r="F329" s="177" t="s">
        <v>3336</v>
      </c>
      <c r="G329" s="177" t="s">
        <v>3007</v>
      </c>
      <c r="H329" s="172">
        <v>12669</v>
      </c>
    </row>
    <row r="330" spans="1:8" ht="31.5" x14ac:dyDescent="0.25">
      <c r="A330" s="177" t="s">
        <v>13716</v>
      </c>
      <c r="B330" s="177" t="s">
        <v>13725</v>
      </c>
      <c r="C330" s="177" t="s">
        <v>13724</v>
      </c>
      <c r="D330" s="177" t="s">
        <v>5478</v>
      </c>
      <c r="E330" s="181">
        <v>4.99</v>
      </c>
      <c r="F330" s="177" t="s">
        <v>5477</v>
      </c>
      <c r="G330" s="177" t="s">
        <v>3007</v>
      </c>
      <c r="H330" s="172">
        <v>12670</v>
      </c>
    </row>
    <row r="331" spans="1:8" ht="31.5" x14ac:dyDescent="0.25">
      <c r="A331" s="177" t="s">
        <v>13716</v>
      </c>
      <c r="B331" s="177" t="s">
        <v>11930</v>
      </c>
      <c r="C331" s="177" t="s">
        <v>13723</v>
      </c>
      <c r="D331" s="177" t="s">
        <v>10716</v>
      </c>
      <c r="E331" s="181">
        <v>8.3800000000000008</v>
      </c>
      <c r="F331" s="177" t="s">
        <v>10715</v>
      </c>
      <c r="G331" s="177" t="s">
        <v>3007</v>
      </c>
      <c r="H331" s="172">
        <v>12671</v>
      </c>
    </row>
    <row r="332" spans="1:8" ht="31.5" x14ac:dyDescent="0.25">
      <c r="A332" s="177" t="s">
        <v>13716</v>
      </c>
      <c r="B332" s="177" t="s">
        <v>13722</v>
      </c>
      <c r="C332" s="177" t="s">
        <v>13721</v>
      </c>
      <c r="D332" s="177" t="s">
        <v>10682</v>
      </c>
      <c r="E332" s="181">
        <v>8.57</v>
      </c>
      <c r="F332" s="177" t="s">
        <v>10681</v>
      </c>
      <c r="G332" s="177" t="s">
        <v>3007</v>
      </c>
      <c r="H332" s="172">
        <v>12672</v>
      </c>
    </row>
    <row r="333" spans="1:8" ht="31.5" x14ac:dyDescent="0.25">
      <c r="A333" s="177" t="s">
        <v>13716</v>
      </c>
      <c r="B333" s="177" t="s">
        <v>13720</v>
      </c>
      <c r="C333" s="177" t="s">
        <v>13719</v>
      </c>
      <c r="D333" s="177" t="s">
        <v>9174</v>
      </c>
      <c r="E333" s="181">
        <v>9.49</v>
      </c>
      <c r="F333" s="177" t="s">
        <v>9173</v>
      </c>
      <c r="G333" s="177" t="s">
        <v>3007</v>
      </c>
      <c r="H333" s="172">
        <v>12673</v>
      </c>
    </row>
    <row r="334" spans="1:8" ht="31.5" x14ac:dyDescent="0.25">
      <c r="A334" s="177" t="s">
        <v>13716</v>
      </c>
      <c r="B334" s="177" t="s">
        <v>13718</v>
      </c>
      <c r="C334" s="177" t="s">
        <v>13717</v>
      </c>
      <c r="D334" s="177" t="s">
        <v>6798</v>
      </c>
      <c r="E334" s="181">
        <v>55.69</v>
      </c>
      <c r="F334" s="177" t="s">
        <v>6797</v>
      </c>
      <c r="G334" s="177" t="s">
        <v>3007</v>
      </c>
      <c r="H334" s="172">
        <v>12674</v>
      </c>
    </row>
    <row r="335" spans="1:8" ht="31.5" x14ac:dyDescent="0.25">
      <c r="A335" s="177" t="s">
        <v>13716</v>
      </c>
      <c r="B335" s="177" t="s">
        <v>13715</v>
      </c>
      <c r="C335" s="177" t="s">
        <v>13714</v>
      </c>
      <c r="D335" s="177" t="s">
        <v>13713</v>
      </c>
      <c r="E335" s="181">
        <v>5.88</v>
      </c>
      <c r="F335" s="177" t="s">
        <v>13712</v>
      </c>
      <c r="G335" s="177" t="s">
        <v>3007</v>
      </c>
      <c r="H335" s="172">
        <v>12675</v>
      </c>
    </row>
    <row r="336" spans="1:8" s="200" customFormat="1" x14ac:dyDescent="0.25">
      <c r="A336" s="198"/>
      <c r="B336" s="198"/>
      <c r="C336" s="198" t="s">
        <v>5691</v>
      </c>
      <c r="D336" s="198" t="s">
        <v>14413</v>
      </c>
      <c r="E336" s="199">
        <f>SUM(E248:E335)</f>
        <v>951.99000000000012</v>
      </c>
      <c r="F336" s="198"/>
      <c r="G336" s="198"/>
      <c r="H336" s="172"/>
    </row>
    <row r="337" spans="1:8" s="195" customFormat="1" ht="16.5" thickBot="1" x14ac:dyDescent="0.3">
      <c r="A337" s="193"/>
      <c r="B337" s="193"/>
      <c r="C337" s="193" t="s">
        <v>14410</v>
      </c>
      <c r="D337" s="193"/>
      <c r="E337" s="197">
        <v>-58.56</v>
      </c>
      <c r="F337" s="193"/>
      <c r="G337" s="193"/>
      <c r="H337" s="123"/>
    </row>
    <row r="338" spans="1:8" s="195" customFormat="1" x14ac:dyDescent="0.25">
      <c r="A338" s="193"/>
      <c r="B338" s="193"/>
      <c r="C338" s="193" t="s">
        <v>5691</v>
      </c>
      <c r="D338" s="193"/>
      <c r="E338" s="196">
        <f>SUM(E336:E337)</f>
        <v>893.43000000000006</v>
      </c>
      <c r="F338" s="193"/>
      <c r="G338" s="193"/>
      <c r="H338" s="123"/>
    </row>
    <row r="339" spans="1:8" s="200" customFormat="1" x14ac:dyDescent="0.25">
      <c r="A339" s="198"/>
      <c r="B339" s="198"/>
      <c r="C339" s="198"/>
      <c r="D339" s="198"/>
      <c r="E339" s="199"/>
      <c r="F339" s="198"/>
      <c r="G339" s="198"/>
      <c r="H339" s="172"/>
    </row>
    <row r="340" spans="1:8" ht="31.5" x14ac:dyDescent="0.25">
      <c r="A340" s="177" t="s">
        <v>13666</v>
      </c>
      <c r="B340" s="177" t="s">
        <v>13711</v>
      </c>
      <c r="C340" s="177" t="s">
        <v>13710</v>
      </c>
      <c r="D340" s="177" t="s">
        <v>3026</v>
      </c>
      <c r="E340" s="181">
        <v>1.78</v>
      </c>
      <c r="F340" s="177" t="s">
        <v>3025</v>
      </c>
      <c r="G340" s="177" t="s">
        <v>3007</v>
      </c>
      <c r="H340" s="172">
        <v>12694</v>
      </c>
    </row>
    <row r="341" spans="1:8" ht="31.5" x14ac:dyDescent="0.25">
      <c r="A341" s="177" t="s">
        <v>13666</v>
      </c>
      <c r="B341" s="177" t="s">
        <v>13709</v>
      </c>
      <c r="C341" s="177" t="s">
        <v>13708</v>
      </c>
      <c r="D341" s="177" t="s">
        <v>10305</v>
      </c>
      <c r="E341" s="181">
        <v>4.7300000000000004</v>
      </c>
      <c r="F341" s="177" t="s">
        <v>10304</v>
      </c>
      <c r="G341" s="177" t="s">
        <v>3007</v>
      </c>
      <c r="H341" s="172">
        <v>12695</v>
      </c>
    </row>
    <row r="342" spans="1:8" ht="31.5" x14ac:dyDescent="0.25">
      <c r="A342" s="177" t="s">
        <v>13666</v>
      </c>
      <c r="B342" s="177" t="s">
        <v>13707</v>
      </c>
      <c r="C342" s="177" t="s">
        <v>13706</v>
      </c>
      <c r="D342" s="177" t="s">
        <v>10578</v>
      </c>
      <c r="E342" s="181">
        <v>15.07</v>
      </c>
      <c r="F342" s="177" t="s">
        <v>10577</v>
      </c>
      <c r="G342" s="177" t="s">
        <v>3007</v>
      </c>
      <c r="H342" s="172">
        <v>12696</v>
      </c>
    </row>
    <row r="343" spans="1:8" ht="31.5" x14ac:dyDescent="0.25">
      <c r="A343" s="177" t="s">
        <v>13666</v>
      </c>
      <c r="B343" s="177" t="s">
        <v>13705</v>
      </c>
      <c r="C343" s="177" t="s">
        <v>13704</v>
      </c>
      <c r="D343" s="177" t="s">
        <v>4253</v>
      </c>
      <c r="E343" s="181">
        <v>4.57</v>
      </c>
      <c r="F343" s="177" t="s">
        <v>4252</v>
      </c>
      <c r="G343" s="177" t="s">
        <v>3007</v>
      </c>
      <c r="H343" s="172">
        <v>12697</v>
      </c>
    </row>
    <row r="344" spans="1:8" ht="31.5" x14ac:dyDescent="0.25">
      <c r="A344" s="177" t="s">
        <v>13666</v>
      </c>
      <c r="B344" s="177" t="s">
        <v>13703</v>
      </c>
      <c r="C344" s="177" t="s">
        <v>13702</v>
      </c>
      <c r="D344" s="177" t="s">
        <v>10668</v>
      </c>
      <c r="E344" s="181">
        <v>3.4</v>
      </c>
      <c r="F344" s="177" t="s">
        <v>10667</v>
      </c>
      <c r="G344" s="177" t="s">
        <v>3007</v>
      </c>
      <c r="H344" s="172">
        <v>12698</v>
      </c>
    </row>
    <row r="345" spans="1:8" ht="31.5" x14ac:dyDescent="0.25">
      <c r="A345" s="177" t="s">
        <v>13666</v>
      </c>
      <c r="B345" s="177" t="s">
        <v>13701</v>
      </c>
      <c r="C345" s="177" t="s">
        <v>13700</v>
      </c>
      <c r="D345" s="177" t="s">
        <v>3127</v>
      </c>
      <c r="E345" s="181">
        <v>8.4700000000000006</v>
      </c>
      <c r="F345" s="177" t="s">
        <v>3126</v>
      </c>
      <c r="G345" s="177" t="s">
        <v>3007</v>
      </c>
      <c r="H345" s="172">
        <v>12699</v>
      </c>
    </row>
    <row r="346" spans="1:8" ht="31.5" x14ac:dyDescent="0.25">
      <c r="A346" s="177" t="s">
        <v>13666</v>
      </c>
      <c r="B346" s="177" t="s">
        <v>13699</v>
      </c>
      <c r="C346" s="177" t="s">
        <v>13698</v>
      </c>
      <c r="D346" s="177" t="s">
        <v>4953</v>
      </c>
      <c r="E346" s="181">
        <v>6.3</v>
      </c>
      <c r="F346" s="177" t="s">
        <v>4952</v>
      </c>
      <c r="G346" s="177" t="s">
        <v>3007</v>
      </c>
      <c r="H346" s="172">
        <v>12700</v>
      </c>
    </row>
    <row r="347" spans="1:8" ht="31.5" x14ac:dyDescent="0.25">
      <c r="A347" s="177" t="s">
        <v>13666</v>
      </c>
      <c r="B347" s="177" t="s">
        <v>13697</v>
      </c>
      <c r="C347" s="177" t="s">
        <v>13696</v>
      </c>
      <c r="D347" s="177" t="s">
        <v>13695</v>
      </c>
      <c r="E347" s="181">
        <v>4.8899999999999997</v>
      </c>
      <c r="F347" s="177" t="s">
        <v>13694</v>
      </c>
      <c r="G347" s="177" t="s">
        <v>3007</v>
      </c>
      <c r="H347" s="172">
        <v>12701</v>
      </c>
    </row>
    <row r="348" spans="1:8" ht="31.5" x14ac:dyDescent="0.25">
      <c r="A348" s="177" t="s">
        <v>13666</v>
      </c>
      <c r="B348" s="177" t="s">
        <v>13693</v>
      </c>
      <c r="C348" s="177" t="s">
        <v>13692</v>
      </c>
      <c r="D348" s="177" t="s">
        <v>3579</v>
      </c>
      <c r="E348" s="181">
        <v>4.21</v>
      </c>
      <c r="F348" s="177" t="s">
        <v>3578</v>
      </c>
      <c r="G348" s="177" t="s">
        <v>3007</v>
      </c>
      <c r="H348" s="172">
        <v>12702</v>
      </c>
    </row>
    <row r="349" spans="1:8" ht="31.5" x14ac:dyDescent="0.25">
      <c r="A349" s="177" t="s">
        <v>13666</v>
      </c>
      <c r="B349" s="177" t="s">
        <v>13691</v>
      </c>
      <c r="C349" s="177" t="s">
        <v>13690</v>
      </c>
      <c r="D349" s="177" t="s">
        <v>12639</v>
      </c>
      <c r="E349" s="181">
        <v>5.51</v>
      </c>
      <c r="F349" s="177" t="s">
        <v>12638</v>
      </c>
      <c r="G349" s="177" t="s">
        <v>3007</v>
      </c>
      <c r="H349" s="172">
        <v>12703</v>
      </c>
    </row>
    <row r="350" spans="1:8" ht="31.5" x14ac:dyDescent="0.25">
      <c r="A350" s="177" t="s">
        <v>13666</v>
      </c>
      <c r="B350" s="177" t="s">
        <v>13689</v>
      </c>
      <c r="C350" s="177" t="s">
        <v>13688</v>
      </c>
      <c r="D350" s="177" t="s">
        <v>9745</v>
      </c>
      <c r="E350" s="181">
        <v>14.82</v>
      </c>
      <c r="F350" s="177" t="s">
        <v>9744</v>
      </c>
      <c r="G350" s="177" t="s">
        <v>3007</v>
      </c>
      <c r="H350" s="172">
        <v>12704</v>
      </c>
    </row>
    <row r="351" spans="1:8" ht="31.5" x14ac:dyDescent="0.25">
      <c r="A351" s="177" t="s">
        <v>13666</v>
      </c>
      <c r="B351" s="177" t="s">
        <v>13687</v>
      </c>
      <c r="C351" s="177" t="s">
        <v>13686</v>
      </c>
      <c r="D351" s="177" t="s">
        <v>9248</v>
      </c>
      <c r="E351" s="181">
        <v>12.51</v>
      </c>
      <c r="F351" s="177" t="s">
        <v>9247</v>
      </c>
      <c r="G351" s="177" t="s">
        <v>3007</v>
      </c>
      <c r="H351" s="172">
        <v>12705</v>
      </c>
    </row>
    <row r="352" spans="1:8" ht="31.5" x14ac:dyDescent="0.25">
      <c r="A352" s="177" t="s">
        <v>13666</v>
      </c>
      <c r="B352" s="177" t="s">
        <v>13685</v>
      </c>
      <c r="C352" s="177" t="s">
        <v>13684</v>
      </c>
      <c r="D352" s="177" t="s">
        <v>7843</v>
      </c>
      <c r="E352" s="181">
        <v>8.84</v>
      </c>
      <c r="F352" s="177" t="s">
        <v>7842</v>
      </c>
      <c r="G352" s="177" t="s">
        <v>3007</v>
      </c>
      <c r="H352" s="172">
        <v>12706</v>
      </c>
    </row>
    <row r="353" spans="1:8" ht="31.5" x14ac:dyDescent="0.25">
      <c r="A353" s="177" t="s">
        <v>13666</v>
      </c>
      <c r="B353" s="177" t="s">
        <v>12971</v>
      </c>
      <c r="C353" s="177" t="s">
        <v>13683</v>
      </c>
      <c r="D353" s="177" t="s">
        <v>5996</v>
      </c>
      <c r="E353" s="181">
        <v>4.93</v>
      </c>
      <c r="F353" s="177" t="s">
        <v>5995</v>
      </c>
      <c r="G353" s="177" t="s">
        <v>3007</v>
      </c>
      <c r="H353" s="172">
        <v>12707</v>
      </c>
    </row>
    <row r="354" spans="1:8" ht="31.5" x14ac:dyDescent="0.25">
      <c r="A354" s="177" t="s">
        <v>13666</v>
      </c>
      <c r="B354" s="177" t="s">
        <v>13682</v>
      </c>
      <c r="C354" s="177" t="s">
        <v>13681</v>
      </c>
      <c r="D354" s="177" t="s">
        <v>9696</v>
      </c>
      <c r="E354" s="181">
        <v>2.48</v>
      </c>
      <c r="F354" s="177" t="s">
        <v>9695</v>
      </c>
      <c r="G354" s="177" t="s">
        <v>3007</v>
      </c>
      <c r="H354" s="172">
        <v>12708</v>
      </c>
    </row>
    <row r="355" spans="1:8" ht="31.5" x14ac:dyDescent="0.25">
      <c r="A355" s="177" t="s">
        <v>13666</v>
      </c>
      <c r="B355" s="177" t="s">
        <v>13680</v>
      </c>
      <c r="C355" s="177" t="s">
        <v>13679</v>
      </c>
      <c r="D355" s="177" t="s">
        <v>4408</v>
      </c>
      <c r="E355" s="181">
        <v>10.16</v>
      </c>
      <c r="F355" s="177" t="s">
        <v>4407</v>
      </c>
      <c r="G355" s="177" t="s">
        <v>3007</v>
      </c>
      <c r="H355" s="172">
        <v>12709</v>
      </c>
    </row>
    <row r="356" spans="1:8" ht="31.5" x14ac:dyDescent="0.25">
      <c r="A356" s="177" t="s">
        <v>13666</v>
      </c>
      <c r="B356" s="177" t="s">
        <v>13678</v>
      </c>
      <c r="C356" s="177" t="s">
        <v>13677</v>
      </c>
      <c r="D356" s="177" t="s">
        <v>3166</v>
      </c>
      <c r="E356" s="181">
        <v>4.3600000000000003</v>
      </c>
      <c r="F356" s="177" t="s">
        <v>3165</v>
      </c>
      <c r="G356" s="177" t="s">
        <v>3007</v>
      </c>
      <c r="H356" s="172">
        <v>12710</v>
      </c>
    </row>
    <row r="357" spans="1:8" ht="31.5" x14ac:dyDescent="0.25">
      <c r="A357" s="177" t="s">
        <v>13666</v>
      </c>
      <c r="B357" s="177" t="s">
        <v>13676</v>
      </c>
      <c r="C357" s="177" t="s">
        <v>13675</v>
      </c>
      <c r="D357" s="177" t="s">
        <v>4220</v>
      </c>
      <c r="E357" s="181">
        <v>2.78</v>
      </c>
      <c r="F357" s="177" t="s">
        <v>4219</v>
      </c>
      <c r="G357" s="177" t="s">
        <v>3007</v>
      </c>
      <c r="H357" s="172">
        <v>12711</v>
      </c>
    </row>
    <row r="358" spans="1:8" ht="31.5" x14ac:dyDescent="0.25">
      <c r="A358" s="177" t="s">
        <v>13666</v>
      </c>
      <c r="B358" s="177" t="s">
        <v>13674</v>
      </c>
      <c r="C358" s="177" t="s">
        <v>13673</v>
      </c>
      <c r="D358" s="177" t="s">
        <v>6720</v>
      </c>
      <c r="E358" s="181">
        <v>12.91</v>
      </c>
      <c r="F358" s="177" t="s">
        <v>6719</v>
      </c>
      <c r="G358" s="177" t="s">
        <v>3007</v>
      </c>
      <c r="H358" s="172">
        <v>12712</v>
      </c>
    </row>
    <row r="359" spans="1:8" ht="31.5" x14ac:dyDescent="0.25">
      <c r="A359" s="177" t="s">
        <v>13666</v>
      </c>
      <c r="B359" s="177" t="s">
        <v>13672</v>
      </c>
      <c r="C359" s="177" t="s">
        <v>13671</v>
      </c>
      <c r="D359" s="177" t="s">
        <v>5673</v>
      </c>
      <c r="E359" s="181">
        <v>4.83</v>
      </c>
      <c r="F359" s="177" t="s">
        <v>5672</v>
      </c>
      <c r="G359" s="177" t="s">
        <v>3007</v>
      </c>
      <c r="H359" s="172">
        <v>12713</v>
      </c>
    </row>
    <row r="360" spans="1:8" ht="31.5" x14ac:dyDescent="0.25">
      <c r="A360" s="177" t="s">
        <v>13666</v>
      </c>
      <c r="B360" s="177" t="s">
        <v>13670</v>
      </c>
      <c r="C360" s="177" t="s">
        <v>13669</v>
      </c>
      <c r="D360" s="177" t="s">
        <v>8850</v>
      </c>
      <c r="E360" s="181">
        <v>13.56</v>
      </c>
      <c r="F360" s="177" t="s">
        <v>8849</v>
      </c>
      <c r="G360" s="177" t="s">
        <v>3007</v>
      </c>
      <c r="H360" s="172">
        <v>12714</v>
      </c>
    </row>
    <row r="361" spans="1:8" ht="31.5" x14ac:dyDescent="0.25">
      <c r="A361" s="177" t="s">
        <v>13666</v>
      </c>
      <c r="B361" s="177" t="s">
        <v>13668</v>
      </c>
      <c r="C361" s="177" t="s">
        <v>13667</v>
      </c>
      <c r="D361" s="177" t="s">
        <v>4669</v>
      </c>
      <c r="E361" s="181">
        <v>9.26</v>
      </c>
      <c r="F361" s="177" t="s">
        <v>4668</v>
      </c>
      <c r="G361" s="177" t="s">
        <v>3007</v>
      </c>
      <c r="H361" s="172">
        <v>12715</v>
      </c>
    </row>
    <row r="362" spans="1:8" ht="31.5" x14ac:dyDescent="0.25">
      <c r="A362" s="177" t="s">
        <v>13666</v>
      </c>
      <c r="B362" s="177" t="s">
        <v>13665</v>
      </c>
      <c r="C362" s="177" t="s">
        <v>13664</v>
      </c>
      <c r="D362" s="177" t="s">
        <v>6853</v>
      </c>
      <c r="E362" s="181">
        <v>3.92</v>
      </c>
      <c r="F362" s="177" t="s">
        <v>6852</v>
      </c>
      <c r="G362" s="177" t="s">
        <v>3007</v>
      </c>
      <c r="H362" s="172">
        <v>12716</v>
      </c>
    </row>
    <row r="363" spans="1:8" s="200" customFormat="1" x14ac:dyDescent="0.25">
      <c r="A363" s="198"/>
      <c r="B363" s="198"/>
      <c r="C363" s="198" t="s">
        <v>5691</v>
      </c>
      <c r="D363" s="198" t="s">
        <v>14414</v>
      </c>
      <c r="E363" s="199">
        <f>SUM(E340:E362)</f>
        <v>164.29</v>
      </c>
      <c r="F363" s="198"/>
      <c r="G363" s="198"/>
      <c r="H363" s="172"/>
    </row>
    <row r="364" spans="1:8" s="200" customFormat="1" x14ac:dyDescent="0.25">
      <c r="A364" s="198"/>
      <c r="B364" s="198"/>
      <c r="C364" s="198"/>
      <c r="D364" s="198"/>
      <c r="E364" s="199"/>
      <c r="F364" s="198"/>
      <c r="G364" s="198"/>
      <c r="H364" s="172"/>
    </row>
    <row r="365" spans="1:8" ht="31.5" x14ac:dyDescent="0.25">
      <c r="A365" s="177" t="s">
        <v>13640</v>
      </c>
      <c r="B365" s="177" t="s">
        <v>13663</v>
      </c>
      <c r="C365" s="177" t="s">
        <v>13662</v>
      </c>
      <c r="D365" s="177" t="s">
        <v>3450</v>
      </c>
      <c r="E365" s="181">
        <v>7.75</v>
      </c>
      <c r="F365" s="177" t="s">
        <v>3449</v>
      </c>
      <c r="G365" s="177" t="s">
        <v>3007</v>
      </c>
      <c r="H365" s="172">
        <v>12717</v>
      </c>
    </row>
    <row r="366" spans="1:8" ht="31.5" x14ac:dyDescent="0.25">
      <c r="A366" s="177" t="s">
        <v>13640</v>
      </c>
      <c r="B366" s="177" t="s">
        <v>13661</v>
      </c>
      <c r="C366" s="177" t="s">
        <v>13660</v>
      </c>
      <c r="D366" s="177" t="s">
        <v>5143</v>
      </c>
      <c r="E366" s="181">
        <v>9.9600000000000009</v>
      </c>
      <c r="F366" s="177" t="s">
        <v>5142</v>
      </c>
      <c r="G366" s="177" t="s">
        <v>3007</v>
      </c>
      <c r="H366" s="172">
        <v>12718</v>
      </c>
    </row>
    <row r="367" spans="1:8" ht="31.5" x14ac:dyDescent="0.25">
      <c r="A367" s="177" t="s">
        <v>13640</v>
      </c>
      <c r="B367" s="177" t="s">
        <v>13659</v>
      </c>
      <c r="C367" s="177" t="s">
        <v>13658</v>
      </c>
      <c r="D367" s="177" t="s">
        <v>3631</v>
      </c>
      <c r="E367" s="181">
        <v>26.27</v>
      </c>
      <c r="F367" s="177" t="s">
        <v>3630</v>
      </c>
      <c r="G367" s="177" t="s">
        <v>3007</v>
      </c>
      <c r="H367" s="172">
        <v>12719</v>
      </c>
    </row>
    <row r="368" spans="1:8" ht="31.5" x14ac:dyDescent="0.25">
      <c r="A368" s="177" t="s">
        <v>13640</v>
      </c>
      <c r="B368" s="177" t="s">
        <v>13657</v>
      </c>
      <c r="C368" s="177" t="s">
        <v>13656</v>
      </c>
      <c r="D368" s="177" t="s">
        <v>3219</v>
      </c>
      <c r="E368" s="181">
        <v>1.7</v>
      </c>
      <c r="F368" s="177" t="s">
        <v>3218</v>
      </c>
      <c r="G368" s="177" t="s">
        <v>3007</v>
      </c>
      <c r="H368" s="172">
        <v>12720</v>
      </c>
    </row>
    <row r="369" spans="1:8" ht="31.5" x14ac:dyDescent="0.25">
      <c r="A369" s="177" t="s">
        <v>13640</v>
      </c>
      <c r="B369" s="177" t="s">
        <v>13655</v>
      </c>
      <c r="C369" s="177" t="s">
        <v>13654</v>
      </c>
      <c r="D369" s="177" t="s">
        <v>8759</v>
      </c>
      <c r="E369" s="181">
        <v>5.97</v>
      </c>
      <c r="F369" s="177" t="s">
        <v>8758</v>
      </c>
      <c r="G369" s="177" t="s">
        <v>3007</v>
      </c>
      <c r="H369" s="172">
        <v>12721</v>
      </c>
    </row>
    <row r="370" spans="1:8" ht="31.5" x14ac:dyDescent="0.25">
      <c r="A370" s="177" t="s">
        <v>13640</v>
      </c>
      <c r="B370" s="177" t="s">
        <v>13653</v>
      </c>
      <c r="C370" s="177" t="s">
        <v>13652</v>
      </c>
      <c r="D370" s="177" t="s">
        <v>3820</v>
      </c>
      <c r="E370" s="181">
        <v>10.61</v>
      </c>
      <c r="F370" s="177" t="s">
        <v>3819</v>
      </c>
      <c r="G370" s="177" t="s">
        <v>3007</v>
      </c>
      <c r="H370" s="172">
        <v>12722</v>
      </c>
    </row>
    <row r="371" spans="1:8" ht="31.5" x14ac:dyDescent="0.25">
      <c r="A371" s="177" t="s">
        <v>13640</v>
      </c>
      <c r="B371" s="177" t="s">
        <v>13651</v>
      </c>
      <c r="C371" s="177" t="s">
        <v>13650</v>
      </c>
      <c r="D371" s="177" t="s">
        <v>5983</v>
      </c>
      <c r="E371" s="181">
        <v>2.08</v>
      </c>
      <c r="F371" s="177" t="s">
        <v>5982</v>
      </c>
      <c r="G371" s="177" t="s">
        <v>3007</v>
      </c>
      <c r="H371" s="172">
        <v>12723</v>
      </c>
    </row>
    <row r="372" spans="1:8" ht="31.5" x14ac:dyDescent="0.25">
      <c r="A372" s="177" t="s">
        <v>13640</v>
      </c>
      <c r="B372" s="177" t="s">
        <v>13649</v>
      </c>
      <c r="C372" s="177" t="s">
        <v>13648</v>
      </c>
      <c r="D372" s="177" t="s">
        <v>3527</v>
      </c>
      <c r="E372" s="181">
        <v>4.2</v>
      </c>
      <c r="F372" s="177" t="s">
        <v>3526</v>
      </c>
      <c r="G372" s="177" t="s">
        <v>3007</v>
      </c>
      <c r="H372" s="172">
        <v>12724</v>
      </c>
    </row>
    <row r="373" spans="1:8" ht="31.5" x14ac:dyDescent="0.25">
      <c r="A373" s="177" t="s">
        <v>13640</v>
      </c>
      <c r="B373" s="177" t="s">
        <v>6404</v>
      </c>
      <c r="C373" s="177" t="s">
        <v>13647</v>
      </c>
      <c r="D373" s="177" t="s">
        <v>3530</v>
      </c>
      <c r="E373" s="181">
        <v>9.32</v>
      </c>
      <c r="F373" s="177" t="s">
        <v>3526</v>
      </c>
      <c r="G373" s="177" t="s">
        <v>3007</v>
      </c>
      <c r="H373" s="172">
        <v>12725</v>
      </c>
    </row>
    <row r="374" spans="1:8" ht="31.5" x14ac:dyDescent="0.25">
      <c r="A374" s="177" t="s">
        <v>13640</v>
      </c>
      <c r="B374" s="177" t="s">
        <v>13646</v>
      </c>
      <c r="C374" s="177" t="s">
        <v>13645</v>
      </c>
      <c r="D374" s="177" t="s">
        <v>3627</v>
      </c>
      <c r="E374" s="181">
        <v>24.95</v>
      </c>
      <c r="F374" s="177" t="s">
        <v>3626</v>
      </c>
      <c r="G374" s="177" t="s">
        <v>3007</v>
      </c>
      <c r="H374" s="172">
        <v>12726</v>
      </c>
    </row>
    <row r="375" spans="1:8" ht="31.5" x14ac:dyDescent="0.25">
      <c r="A375" s="177" t="s">
        <v>13640</v>
      </c>
      <c r="B375" s="177" t="s">
        <v>13644</v>
      </c>
      <c r="C375" s="177" t="s">
        <v>13643</v>
      </c>
      <c r="D375" s="177" t="s">
        <v>9471</v>
      </c>
      <c r="E375" s="181">
        <v>21.28</v>
      </c>
      <c r="F375" s="177" t="s">
        <v>9470</v>
      </c>
      <c r="G375" s="177" t="s">
        <v>3007</v>
      </c>
      <c r="H375" s="172">
        <v>12727</v>
      </c>
    </row>
    <row r="376" spans="1:8" ht="31.5" x14ac:dyDescent="0.25">
      <c r="A376" s="177" t="s">
        <v>13640</v>
      </c>
      <c r="B376" s="177" t="s">
        <v>13642</v>
      </c>
      <c r="C376" s="177" t="s">
        <v>13641</v>
      </c>
      <c r="D376" s="177" t="s">
        <v>13445</v>
      </c>
      <c r="E376" s="181">
        <v>1.46</v>
      </c>
      <c r="F376" s="177" t="s">
        <v>13444</v>
      </c>
      <c r="G376" s="177" t="s">
        <v>3007</v>
      </c>
      <c r="H376" s="172">
        <v>12728</v>
      </c>
    </row>
    <row r="377" spans="1:8" ht="31.5" x14ac:dyDescent="0.25">
      <c r="A377" s="177" t="s">
        <v>13640</v>
      </c>
      <c r="B377" s="177" t="s">
        <v>13639</v>
      </c>
      <c r="C377" s="177" t="s">
        <v>13638</v>
      </c>
      <c r="D377" s="177" t="s">
        <v>3090</v>
      </c>
      <c r="E377" s="181">
        <v>8.4</v>
      </c>
      <c r="F377" s="177" t="s">
        <v>3089</v>
      </c>
      <c r="G377" s="177" t="s">
        <v>3007</v>
      </c>
      <c r="H377" s="172">
        <v>12729</v>
      </c>
    </row>
    <row r="378" spans="1:8" s="200" customFormat="1" x14ac:dyDescent="0.25">
      <c r="A378" s="198"/>
      <c r="B378" s="198"/>
      <c r="C378" s="198" t="s">
        <v>5691</v>
      </c>
      <c r="D378" s="198" t="s">
        <v>14415</v>
      </c>
      <c r="E378" s="199">
        <f>SUM(E365:E377)</f>
        <v>133.95000000000002</v>
      </c>
      <c r="F378" s="198"/>
      <c r="G378" s="198"/>
      <c r="H378" s="172"/>
    </row>
    <row r="379" spans="1:8" s="200" customFormat="1" x14ac:dyDescent="0.25">
      <c r="A379" s="198"/>
      <c r="B379" s="198"/>
      <c r="C379" s="198"/>
      <c r="D379" s="198"/>
      <c r="E379" s="199"/>
      <c r="F379" s="198"/>
      <c r="G379" s="198"/>
      <c r="H379" s="172"/>
    </row>
    <row r="380" spans="1:8" x14ac:dyDescent="0.25">
      <c r="A380" s="177"/>
      <c r="B380" s="177"/>
      <c r="C380" s="177"/>
      <c r="D380" s="177"/>
      <c r="E380" s="181"/>
      <c r="F380" s="177"/>
      <c r="G380" s="177"/>
      <c r="H380" s="172"/>
    </row>
    <row r="381" spans="1:8" x14ac:dyDescent="0.25">
      <c r="A381" s="177"/>
      <c r="B381" s="177"/>
      <c r="C381" s="177"/>
      <c r="D381" s="177"/>
      <c r="E381" s="181"/>
      <c r="F381" s="177"/>
      <c r="G381" s="177"/>
      <c r="H381" s="172"/>
    </row>
    <row r="382" spans="1:8" x14ac:dyDescent="0.25">
      <c r="A382" s="177"/>
      <c r="B382" s="177"/>
      <c r="C382" s="177"/>
      <c r="D382" s="177"/>
      <c r="E382" s="181"/>
      <c r="F382" s="177"/>
      <c r="G382" s="177"/>
      <c r="H382" s="172"/>
    </row>
    <row r="383" spans="1:8" x14ac:dyDescent="0.25">
      <c r="A383" s="177"/>
      <c r="B383" s="177"/>
      <c r="C383" s="177"/>
      <c r="D383" s="177"/>
      <c r="E383" s="181"/>
      <c r="F383" s="177"/>
      <c r="G383" s="177"/>
      <c r="H383" s="172"/>
    </row>
    <row r="384" spans="1:8" x14ac:dyDescent="0.25">
      <c r="A384" s="177"/>
      <c r="B384" s="177"/>
      <c r="C384" s="177"/>
      <c r="D384" s="177"/>
      <c r="E384" s="181"/>
      <c r="F384" s="177"/>
      <c r="G384" s="177"/>
      <c r="H384" s="172"/>
    </row>
    <row r="385" spans="1:8" x14ac:dyDescent="0.25">
      <c r="A385" s="177"/>
      <c r="B385" s="177"/>
      <c r="C385" s="177"/>
      <c r="D385" s="177"/>
      <c r="E385" s="181"/>
      <c r="F385" s="177"/>
      <c r="G385" s="177"/>
      <c r="H385" s="172"/>
    </row>
    <row r="386" spans="1:8" x14ac:dyDescent="0.25">
      <c r="A386" s="177"/>
      <c r="B386" s="177"/>
      <c r="C386" s="177"/>
      <c r="D386" s="177"/>
      <c r="E386" s="181"/>
      <c r="F386" s="177"/>
      <c r="G386" s="177"/>
      <c r="H386" s="172"/>
    </row>
    <row r="387" spans="1:8" x14ac:dyDescent="0.25">
      <c r="A387" s="177"/>
      <c r="B387" s="177"/>
      <c r="C387" s="177"/>
      <c r="D387" s="177"/>
      <c r="E387" s="181"/>
      <c r="F387" s="177"/>
      <c r="G387" s="177"/>
      <c r="H387" s="172"/>
    </row>
    <row r="388" spans="1:8" x14ac:dyDescent="0.25">
      <c r="A388" s="177"/>
      <c r="B388" s="177"/>
      <c r="C388" s="177"/>
      <c r="D388" s="177"/>
      <c r="E388" s="181"/>
      <c r="F388" s="177"/>
      <c r="G388" s="177"/>
      <c r="H388" s="172"/>
    </row>
    <row r="389" spans="1:8" x14ac:dyDescent="0.25">
      <c r="A389" s="177"/>
      <c r="B389" s="177"/>
      <c r="C389" s="177"/>
      <c r="D389" s="177"/>
      <c r="E389" s="181"/>
      <c r="F389" s="177"/>
      <c r="G389" s="177"/>
      <c r="H389" s="172"/>
    </row>
    <row r="390" spans="1:8" x14ac:dyDescent="0.25">
      <c r="A390" s="177"/>
      <c r="B390" s="177"/>
      <c r="C390" s="177"/>
      <c r="D390" s="177"/>
      <c r="E390" s="181"/>
      <c r="F390" s="177"/>
      <c r="G390" s="177"/>
      <c r="H390" s="172"/>
    </row>
    <row r="391" spans="1:8" x14ac:dyDescent="0.25">
      <c r="A391" s="177"/>
      <c r="B391" s="177"/>
      <c r="C391" s="177"/>
      <c r="D391" s="177"/>
      <c r="E391" s="181"/>
      <c r="F391" s="177"/>
      <c r="G391" s="177"/>
      <c r="H391" s="172"/>
    </row>
    <row r="392" spans="1:8" x14ac:dyDescent="0.25">
      <c r="A392" s="177"/>
      <c r="B392" s="177"/>
      <c r="C392" s="177"/>
      <c r="D392" s="177"/>
      <c r="E392" s="181"/>
      <c r="F392" s="177"/>
      <c r="G392" s="177"/>
      <c r="H392" s="172"/>
    </row>
    <row r="393" spans="1:8" x14ac:dyDescent="0.25">
      <c r="A393" s="177"/>
      <c r="B393" s="177"/>
      <c r="C393" s="177"/>
      <c r="D393" s="177"/>
      <c r="E393" s="181"/>
      <c r="F393" s="177"/>
      <c r="G393" s="177"/>
      <c r="H393" s="172"/>
    </row>
    <row r="394" spans="1:8" x14ac:dyDescent="0.25">
      <c r="A394" s="177"/>
      <c r="B394" s="177"/>
      <c r="C394" s="177"/>
      <c r="D394" s="177"/>
      <c r="E394" s="181"/>
      <c r="F394" s="177"/>
      <c r="G394" s="177"/>
      <c r="H394" s="172"/>
    </row>
    <row r="395" spans="1:8" x14ac:dyDescent="0.25">
      <c r="A395" s="177"/>
      <c r="B395" s="177"/>
      <c r="C395" s="177"/>
      <c r="D395" s="177"/>
      <c r="E395" s="181"/>
      <c r="F395" s="177"/>
      <c r="G395" s="177"/>
      <c r="H395" s="172"/>
    </row>
    <row r="396" spans="1:8" x14ac:dyDescent="0.25">
      <c r="A396" s="177"/>
      <c r="B396" s="177"/>
      <c r="C396" s="177"/>
      <c r="D396" s="177"/>
      <c r="E396" s="181"/>
      <c r="F396" s="177"/>
      <c r="G396" s="177"/>
      <c r="H396" s="172"/>
    </row>
    <row r="397" spans="1:8" x14ac:dyDescent="0.25">
      <c r="A397" s="177"/>
      <c r="B397" s="177"/>
      <c r="C397" s="177"/>
      <c r="D397" s="177"/>
      <c r="E397" s="181"/>
      <c r="F397" s="177"/>
      <c r="G397" s="177"/>
      <c r="H397" s="172"/>
    </row>
    <row r="398" spans="1:8" x14ac:dyDescent="0.25">
      <c r="A398" s="177"/>
      <c r="B398" s="177"/>
      <c r="C398" s="177"/>
      <c r="D398" s="177"/>
      <c r="E398" s="181"/>
      <c r="F398" s="177"/>
      <c r="G398" s="177"/>
      <c r="H398" s="172"/>
    </row>
    <row r="399" spans="1:8" x14ac:dyDescent="0.25">
      <c r="A399" s="177"/>
      <c r="B399" s="177"/>
      <c r="C399" s="177"/>
      <c r="D399" s="177"/>
      <c r="E399" s="181"/>
      <c r="F399" s="177"/>
      <c r="G399" s="177"/>
      <c r="H399" s="172"/>
    </row>
    <row r="400" spans="1:8" x14ac:dyDescent="0.25">
      <c r="A400" s="177"/>
      <c r="B400" s="177"/>
      <c r="C400" s="177"/>
      <c r="D400" s="177"/>
      <c r="E400" s="181"/>
      <c r="F400" s="177"/>
      <c r="G400" s="177"/>
      <c r="H400" s="172"/>
    </row>
    <row r="401" spans="1:8" x14ac:dyDescent="0.25">
      <c r="A401" s="177"/>
      <c r="B401" s="177"/>
      <c r="C401" s="177"/>
      <c r="D401" s="177"/>
      <c r="E401" s="181"/>
      <c r="F401" s="177"/>
      <c r="G401" s="177"/>
      <c r="H401" s="172"/>
    </row>
    <row r="402" spans="1:8" x14ac:dyDescent="0.25">
      <c r="A402" s="177"/>
      <c r="B402" s="177"/>
      <c r="C402" s="177"/>
      <c r="D402" s="177"/>
      <c r="E402" s="181"/>
      <c r="F402" s="177"/>
      <c r="G402" s="177"/>
      <c r="H402" s="172"/>
    </row>
    <row r="403" spans="1:8" x14ac:dyDescent="0.25">
      <c r="A403" s="177"/>
      <c r="B403" s="177"/>
      <c r="C403" s="177"/>
      <c r="D403" s="177"/>
      <c r="E403" s="181"/>
      <c r="F403" s="177"/>
      <c r="G403" s="177"/>
      <c r="H403" s="172"/>
    </row>
    <row r="404" spans="1:8" x14ac:dyDescent="0.25">
      <c r="A404" s="177"/>
      <c r="B404" s="177"/>
      <c r="C404" s="177"/>
      <c r="D404" s="177"/>
      <c r="E404" s="181"/>
      <c r="F404" s="177"/>
      <c r="G404" s="177"/>
      <c r="H404" s="172"/>
    </row>
    <row r="405" spans="1:8" x14ac:dyDescent="0.25">
      <c r="A405" s="177"/>
      <c r="B405" s="177"/>
      <c r="C405" s="177"/>
      <c r="D405" s="177"/>
      <c r="E405" s="181"/>
      <c r="F405" s="177"/>
      <c r="G405" s="177"/>
      <c r="H405" s="172"/>
    </row>
    <row r="406" spans="1:8" x14ac:dyDescent="0.25">
      <c r="A406" s="177"/>
      <c r="B406" s="177"/>
      <c r="C406" s="177"/>
      <c r="D406" s="177"/>
      <c r="E406" s="181"/>
      <c r="F406" s="177"/>
      <c r="G406" s="177"/>
      <c r="H406" s="172"/>
    </row>
    <row r="407" spans="1:8" x14ac:dyDescent="0.25">
      <c r="A407" s="177"/>
      <c r="B407" s="177"/>
      <c r="C407" s="177"/>
      <c r="D407" s="177"/>
      <c r="E407" s="181"/>
      <c r="F407" s="177"/>
      <c r="G407" s="177"/>
      <c r="H407" s="172"/>
    </row>
    <row r="408" spans="1:8" x14ac:dyDescent="0.25">
      <c r="A408" s="177"/>
      <c r="B408" s="177"/>
      <c r="C408" s="177"/>
      <c r="D408" s="177"/>
      <c r="E408" s="181"/>
      <c r="F408" s="177"/>
      <c r="G408" s="177"/>
      <c r="H408" s="172"/>
    </row>
    <row r="409" spans="1:8" x14ac:dyDescent="0.25">
      <c r="A409" s="177"/>
      <c r="B409" s="177"/>
      <c r="C409" s="177"/>
      <c r="D409" s="177"/>
      <c r="E409" s="181"/>
      <c r="F409" s="177"/>
      <c r="G409" s="177"/>
      <c r="H409" s="172"/>
    </row>
    <row r="410" spans="1:8" x14ac:dyDescent="0.25">
      <c r="A410" s="177"/>
      <c r="B410" s="177"/>
      <c r="C410" s="177"/>
      <c r="D410" s="177"/>
      <c r="E410" s="181"/>
      <c r="F410" s="177"/>
      <c r="G410" s="177"/>
      <c r="H410" s="172"/>
    </row>
    <row r="411" spans="1:8" x14ac:dyDescent="0.25">
      <c r="A411" s="177"/>
      <c r="B411" s="177"/>
      <c r="C411" s="177"/>
      <c r="D411" s="177"/>
      <c r="E411" s="181"/>
      <c r="F411" s="177"/>
      <c r="G411" s="177"/>
      <c r="H411" s="172"/>
    </row>
    <row r="412" spans="1:8" x14ac:dyDescent="0.25">
      <c r="A412" s="177"/>
      <c r="B412" s="177"/>
      <c r="C412" s="177"/>
      <c r="D412" s="177"/>
      <c r="E412" s="181"/>
      <c r="F412" s="177"/>
      <c r="G412" s="177"/>
      <c r="H412" s="172"/>
    </row>
    <row r="413" spans="1:8" x14ac:dyDescent="0.25">
      <c r="A413" s="177"/>
      <c r="B413" s="177"/>
      <c r="C413" s="177"/>
      <c r="D413" s="177"/>
      <c r="E413" s="181"/>
      <c r="F413" s="177"/>
      <c r="G413" s="177"/>
      <c r="H413" s="172"/>
    </row>
    <row r="414" spans="1:8" x14ac:dyDescent="0.25">
      <c r="A414" s="177"/>
      <c r="B414" s="177"/>
      <c r="C414" s="177"/>
      <c r="D414" s="177"/>
      <c r="E414" s="181"/>
      <c r="F414" s="177"/>
      <c r="G414" s="177"/>
      <c r="H414" s="172"/>
    </row>
    <row r="415" spans="1:8" x14ac:dyDescent="0.25">
      <c r="A415" s="177"/>
      <c r="B415" s="177"/>
      <c r="C415" s="177"/>
      <c r="D415" s="177"/>
      <c r="E415" s="181"/>
      <c r="F415" s="177"/>
      <c r="G415" s="177"/>
      <c r="H415" s="172"/>
    </row>
    <row r="416" spans="1:8" x14ac:dyDescent="0.25">
      <c r="A416" s="177"/>
      <c r="B416" s="177"/>
      <c r="C416" s="177"/>
      <c r="D416" s="177"/>
      <c r="E416" s="181"/>
      <c r="F416" s="177"/>
      <c r="G416" s="177"/>
      <c r="H416" s="172"/>
    </row>
    <row r="417" spans="1:8" x14ac:dyDescent="0.25">
      <c r="A417" s="177"/>
      <c r="B417" s="177"/>
      <c r="C417" s="177"/>
      <c r="D417" s="177"/>
      <c r="E417" s="181"/>
      <c r="F417" s="177"/>
      <c r="G417" s="177"/>
      <c r="H417" s="172"/>
    </row>
    <row r="418" spans="1:8" x14ac:dyDescent="0.25">
      <c r="A418" s="177"/>
      <c r="B418" s="177"/>
      <c r="C418" s="177"/>
      <c r="D418" s="177"/>
      <c r="E418" s="181"/>
      <c r="F418" s="177"/>
      <c r="G418" s="177"/>
      <c r="H418" s="172"/>
    </row>
    <row r="419" spans="1:8" x14ac:dyDescent="0.25">
      <c r="A419" s="177"/>
      <c r="B419" s="177"/>
      <c r="C419" s="177"/>
      <c r="D419" s="177"/>
      <c r="E419" s="181"/>
      <c r="F419" s="177"/>
      <c r="G419" s="177"/>
      <c r="H419" s="172"/>
    </row>
    <row r="420" spans="1:8" x14ac:dyDescent="0.25">
      <c r="A420" s="177"/>
      <c r="B420" s="177"/>
      <c r="C420" s="177"/>
      <c r="D420" s="177"/>
      <c r="E420" s="181"/>
      <c r="F420" s="177"/>
      <c r="G420" s="177"/>
      <c r="H420" s="172"/>
    </row>
    <row r="421" spans="1:8" x14ac:dyDescent="0.25">
      <c r="A421" s="177"/>
      <c r="B421" s="177"/>
      <c r="C421" s="177"/>
      <c r="D421" s="177"/>
      <c r="E421" s="181"/>
      <c r="F421" s="177"/>
      <c r="G421" s="177"/>
      <c r="H421" s="172"/>
    </row>
    <row r="422" spans="1:8" x14ac:dyDescent="0.25">
      <c r="A422" s="177"/>
      <c r="B422" s="177"/>
      <c r="C422" s="177"/>
      <c r="D422" s="177"/>
      <c r="E422" s="181"/>
      <c r="F422" s="177"/>
      <c r="G422" s="177"/>
      <c r="H422" s="172"/>
    </row>
    <row r="423" spans="1:8" x14ac:dyDescent="0.25">
      <c r="A423" s="177"/>
      <c r="B423" s="177"/>
      <c r="C423" s="177"/>
      <c r="D423" s="177"/>
      <c r="E423" s="181"/>
      <c r="F423" s="177"/>
      <c r="G423" s="177"/>
      <c r="H423" s="172"/>
    </row>
    <row r="424" spans="1:8" x14ac:dyDescent="0.25">
      <c r="A424" s="177"/>
      <c r="B424" s="177"/>
      <c r="C424" s="177"/>
      <c r="D424" s="177"/>
      <c r="E424" s="181"/>
      <c r="F424" s="177"/>
      <c r="G424" s="177"/>
      <c r="H424" s="172"/>
    </row>
    <row r="425" spans="1:8" x14ac:dyDescent="0.25">
      <c r="A425" s="177"/>
      <c r="B425" s="177"/>
      <c r="C425" s="177"/>
      <c r="D425" s="177"/>
      <c r="E425" s="181"/>
      <c r="F425" s="177"/>
      <c r="G425" s="177"/>
      <c r="H425" s="172"/>
    </row>
    <row r="426" spans="1:8" x14ac:dyDescent="0.25">
      <c r="A426" s="177"/>
      <c r="B426" s="177"/>
      <c r="C426" s="177"/>
      <c r="D426" s="177"/>
      <c r="E426" s="181"/>
      <c r="F426" s="177"/>
      <c r="G426" s="177"/>
      <c r="H426" s="172"/>
    </row>
    <row r="427" spans="1:8" x14ac:dyDescent="0.25">
      <c r="A427" s="177"/>
      <c r="B427" s="177"/>
      <c r="C427" s="177"/>
      <c r="D427" s="177"/>
      <c r="E427" s="181"/>
      <c r="F427" s="177"/>
      <c r="G427" s="177"/>
      <c r="H427" s="172"/>
    </row>
    <row r="428" spans="1:8" x14ac:dyDescent="0.25">
      <c r="A428" s="177"/>
      <c r="B428" s="177"/>
      <c r="C428" s="177"/>
      <c r="D428" s="177"/>
      <c r="E428" s="181"/>
      <c r="F428" s="177"/>
      <c r="G428" s="177"/>
      <c r="H428" s="172"/>
    </row>
    <row r="429" spans="1:8" x14ac:dyDescent="0.25">
      <c r="A429" s="177"/>
      <c r="B429" s="177"/>
      <c r="C429" s="177"/>
      <c r="D429" s="177"/>
      <c r="E429" s="181"/>
      <c r="F429" s="177"/>
      <c r="G429" s="177"/>
      <c r="H429" s="172"/>
    </row>
    <row r="430" spans="1:8" x14ac:dyDescent="0.25">
      <c r="A430" s="177"/>
      <c r="B430" s="177"/>
      <c r="C430" s="177"/>
      <c r="D430" s="177"/>
      <c r="E430" s="181"/>
      <c r="F430" s="177"/>
      <c r="G430" s="177"/>
      <c r="H430" s="172"/>
    </row>
    <row r="431" spans="1:8" x14ac:dyDescent="0.25">
      <c r="A431" s="177"/>
      <c r="B431" s="177"/>
      <c r="C431" s="177"/>
      <c r="D431" s="177"/>
      <c r="E431" s="181"/>
      <c r="F431" s="177"/>
      <c r="G431" s="177"/>
      <c r="H431" s="172"/>
    </row>
    <row r="432" spans="1:8" x14ac:dyDescent="0.25">
      <c r="A432" s="177"/>
      <c r="B432" s="177"/>
      <c r="C432" s="177"/>
      <c r="D432" s="177"/>
      <c r="E432" s="181"/>
      <c r="F432" s="177"/>
      <c r="G432" s="177"/>
      <c r="H432" s="172"/>
    </row>
    <row r="433" spans="1:8" x14ac:dyDescent="0.25">
      <c r="A433" s="177"/>
      <c r="B433" s="177"/>
      <c r="C433" s="177"/>
      <c r="D433" s="177"/>
      <c r="E433" s="181"/>
      <c r="F433" s="177"/>
      <c r="G433" s="177"/>
      <c r="H433" s="173"/>
    </row>
    <row r="434" spans="1:8" x14ac:dyDescent="0.25">
      <c r="A434" s="177"/>
      <c r="B434" s="177"/>
      <c r="C434" s="177"/>
      <c r="D434" s="177"/>
      <c r="E434" s="181"/>
      <c r="F434" s="177"/>
      <c r="G434" s="177"/>
      <c r="H434" s="172"/>
    </row>
    <row r="435" spans="1:8" x14ac:dyDescent="0.25">
      <c r="A435" s="177"/>
      <c r="B435" s="177"/>
      <c r="C435" s="177"/>
      <c r="D435" s="177"/>
      <c r="E435" s="181"/>
      <c r="F435" s="177"/>
      <c r="G435" s="177"/>
      <c r="H435" s="172"/>
    </row>
    <row r="436" spans="1:8" x14ac:dyDescent="0.25">
      <c r="A436" s="177"/>
      <c r="B436" s="177"/>
      <c r="C436" s="177"/>
      <c r="D436" s="177"/>
      <c r="E436" s="181"/>
      <c r="F436" s="177"/>
      <c r="G436" s="177"/>
      <c r="H436" s="172"/>
    </row>
    <row r="437" spans="1:8" x14ac:dyDescent="0.25">
      <c r="A437" s="177"/>
      <c r="B437" s="177"/>
      <c r="C437" s="177"/>
      <c r="D437" s="177"/>
      <c r="E437" s="181"/>
      <c r="F437" s="177"/>
      <c r="G437" s="177"/>
      <c r="H437" s="172"/>
    </row>
    <row r="438" spans="1:8" x14ac:dyDescent="0.25">
      <c r="A438" s="177"/>
      <c r="B438" s="177"/>
      <c r="C438" s="177"/>
      <c r="D438" s="177"/>
      <c r="E438" s="181"/>
      <c r="F438" s="177"/>
      <c r="G438" s="177"/>
      <c r="H438" s="172"/>
    </row>
    <row r="439" spans="1:8" x14ac:dyDescent="0.25">
      <c r="A439" s="177"/>
      <c r="B439" s="177"/>
      <c r="C439" s="177"/>
      <c r="D439" s="177"/>
      <c r="E439" s="181"/>
      <c r="F439" s="177"/>
      <c r="G439" s="177"/>
      <c r="H439" s="172"/>
    </row>
    <row r="440" spans="1:8" x14ac:dyDescent="0.25">
      <c r="A440" s="177"/>
      <c r="B440" s="177"/>
      <c r="C440" s="177"/>
      <c r="D440" s="177"/>
      <c r="E440" s="181"/>
      <c r="F440" s="177"/>
      <c r="G440" s="177"/>
      <c r="H440" s="172"/>
    </row>
    <row r="441" spans="1:8" x14ac:dyDescent="0.25">
      <c r="A441" s="177"/>
      <c r="B441" s="177"/>
      <c r="C441" s="177"/>
      <c r="D441" s="177"/>
      <c r="E441" s="181"/>
      <c r="F441" s="177"/>
      <c r="G441" s="177"/>
      <c r="H441" s="172"/>
    </row>
    <row r="442" spans="1:8" x14ac:dyDescent="0.25">
      <c r="A442" s="177"/>
      <c r="B442" s="177"/>
      <c r="C442" s="177"/>
      <c r="D442" s="177"/>
      <c r="E442" s="181"/>
      <c r="F442" s="177"/>
      <c r="G442" s="177"/>
      <c r="H442" s="172"/>
    </row>
    <row r="443" spans="1:8" x14ac:dyDescent="0.25">
      <c r="A443" s="177"/>
      <c r="B443" s="177"/>
      <c r="C443" s="177"/>
      <c r="D443" s="177"/>
      <c r="E443" s="181"/>
      <c r="F443" s="177"/>
      <c r="G443" s="177"/>
      <c r="H443" s="172"/>
    </row>
    <row r="444" spans="1:8" x14ac:dyDescent="0.25">
      <c r="A444" s="177"/>
      <c r="B444" s="177"/>
      <c r="C444" s="177"/>
      <c r="D444" s="177"/>
      <c r="E444" s="181"/>
      <c r="F444" s="177"/>
      <c r="G444" s="177"/>
      <c r="H444" s="172"/>
    </row>
    <row r="445" spans="1:8" x14ac:dyDescent="0.25">
      <c r="A445" s="177"/>
      <c r="B445" s="177"/>
      <c r="C445" s="177"/>
      <c r="D445" s="177"/>
      <c r="E445" s="181"/>
      <c r="F445" s="177"/>
      <c r="G445" s="177"/>
      <c r="H445" s="172"/>
    </row>
    <row r="446" spans="1:8" x14ac:dyDescent="0.25">
      <c r="A446" s="177"/>
      <c r="B446" s="177"/>
      <c r="C446" s="177"/>
      <c r="D446" s="177"/>
      <c r="E446" s="181"/>
      <c r="F446" s="177"/>
      <c r="G446" s="177"/>
      <c r="H446" s="172"/>
    </row>
    <row r="447" spans="1:8" x14ac:dyDescent="0.25">
      <c r="A447" s="177"/>
      <c r="B447" s="177"/>
      <c r="C447" s="177"/>
      <c r="D447" s="177"/>
      <c r="E447" s="181"/>
      <c r="F447" s="177"/>
      <c r="G447" s="177"/>
      <c r="H447" s="172"/>
    </row>
    <row r="448" spans="1:8" x14ac:dyDescent="0.25">
      <c r="A448" s="177"/>
      <c r="B448" s="177"/>
      <c r="C448" s="177"/>
      <c r="D448" s="177"/>
      <c r="E448" s="181"/>
      <c r="F448" s="177"/>
      <c r="G448" s="177"/>
      <c r="H448" s="172"/>
    </row>
    <row r="449" spans="1:8" x14ac:dyDescent="0.25">
      <c r="A449" s="177"/>
      <c r="B449" s="177"/>
      <c r="C449" s="177"/>
      <c r="D449" s="177"/>
      <c r="E449" s="181"/>
      <c r="F449" s="177"/>
      <c r="G449" s="177"/>
      <c r="H449" s="172"/>
    </row>
    <row r="450" spans="1:8" x14ac:dyDescent="0.25">
      <c r="A450" s="177"/>
      <c r="B450" s="177"/>
      <c r="C450" s="177"/>
      <c r="D450" s="177"/>
      <c r="E450" s="181"/>
      <c r="F450" s="177"/>
      <c r="G450" s="177"/>
      <c r="H450" s="172"/>
    </row>
    <row r="451" spans="1:8" x14ac:dyDescent="0.25">
      <c r="A451" s="177"/>
      <c r="B451" s="177"/>
      <c r="C451" s="177"/>
      <c r="D451" s="177"/>
      <c r="E451" s="181"/>
      <c r="F451" s="177"/>
      <c r="G451" s="177"/>
      <c r="H451" s="172"/>
    </row>
    <row r="452" spans="1:8" x14ac:dyDescent="0.25">
      <c r="A452" s="177"/>
      <c r="B452" s="177"/>
      <c r="C452" s="177"/>
      <c r="D452" s="177"/>
      <c r="E452" s="181"/>
      <c r="F452" s="177"/>
      <c r="G452" s="177"/>
      <c r="H452" s="172"/>
    </row>
    <row r="453" spans="1:8" x14ac:dyDescent="0.25">
      <c r="A453" s="177"/>
      <c r="B453" s="177"/>
      <c r="C453" s="177"/>
      <c r="D453" s="177"/>
      <c r="E453" s="181"/>
      <c r="F453" s="177"/>
      <c r="G453" s="177"/>
      <c r="H453" s="172"/>
    </row>
    <row r="454" spans="1:8" x14ac:dyDescent="0.25">
      <c r="A454" s="177"/>
      <c r="B454" s="177"/>
      <c r="C454" s="177"/>
      <c r="D454" s="177"/>
      <c r="E454" s="181"/>
      <c r="F454" s="177"/>
      <c r="G454" s="177"/>
      <c r="H454" s="172"/>
    </row>
    <row r="455" spans="1:8" x14ac:dyDescent="0.25">
      <c r="A455" s="177"/>
      <c r="B455" s="177"/>
      <c r="C455" s="177"/>
      <c r="D455" s="177"/>
      <c r="E455" s="181"/>
      <c r="F455" s="177"/>
      <c r="G455" s="177"/>
      <c r="H455" s="172"/>
    </row>
    <row r="456" spans="1:8" x14ac:dyDescent="0.25">
      <c r="A456" s="177"/>
      <c r="B456" s="177"/>
      <c r="C456" s="177"/>
      <c r="D456" s="177"/>
      <c r="E456" s="181"/>
      <c r="F456" s="177"/>
      <c r="G456" s="177"/>
      <c r="H456" s="172"/>
    </row>
    <row r="457" spans="1:8" x14ac:dyDescent="0.25">
      <c r="A457" s="177"/>
      <c r="B457" s="177"/>
      <c r="C457" s="177"/>
      <c r="D457" s="177"/>
      <c r="E457" s="181"/>
      <c r="F457" s="177"/>
      <c r="G457" s="177"/>
      <c r="H457" s="172"/>
    </row>
    <row r="458" spans="1:8" x14ac:dyDescent="0.25">
      <c r="A458" s="177"/>
      <c r="B458" s="177"/>
      <c r="C458" s="177"/>
      <c r="D458" s="177"/>
      <c r="E458" s="181"/>
      <c r="F458" s="177"/>
      <c r="G458" s="177"/>
      <c r="H458" s="172"/>
    </row>
    <row r="459" spans="1:8" x14ac:dyDescent="0.25">
      <c r="A459" s="177"/>
      <c r="B459" s="177"/>
      <c r="C459" s="177"/>
      <c r="D459" s="177"/>
      <c r="E459" s="181"/>
      <c r="F459" s="177"/>
      <c r="G459" s="177"/>
      <c r="H459" s="172"/>
    </row>
    <row r="460" spans="1:8" x14ac:dyDescent="0.25">
      <c r="A460" s="177"/>
      <c r="B460" s="177"/>
      <c r="C460" s="177"/>
      <c r="D460" s="177"/>
      <c r="E460" s="181"/>
      <c r="F460" s="177"/>
      <c r="G460" s="177"/>
      <c r="H460" s="172"/>
    </row>
    <row r="461" spans="1:8" x14ac:dyDescent="0.25">
      <c r="A461" s="177"/>
      <c r="B461" s="177"/>
      <c r="C461" s="177"/>
      <c r="D461" s="177"/>
      <c r="E461" s="181"/>
      <c r="F461" s="177"/>
      <c r="G461" s="177"/>
      <c r="H461" s="172"/>
    </row>
    <row r="462" spans="1:8" x14ac:dyDescent="0.25">
      <c r="A462" s="177"/>
      <c r="B462" s="177"/>
      <c r="C462" s="177"/>
      <c r="D462" s="177"/>
      <c r="E462" s="181"/>
      <c r="F462" s="177"/>
      <c r="G462" s="177"/>
      <c r="H462" s="172"/>
    </row>
    <row r="463" spans="1:8" x14ac:dyDescent="0.25">
      <c r="A463" s="177"/>
      <c r="B463" s="177"/>
      <c r="C463" s="177"/>
      <c r="D463" s="177"/>
      <c r="E463" s="181"/>
      <c r="F463" s="177"/>
      <c r="G463" s="177"/>
      <c r="H463" s="172"/>
    </row>
    <row r="464" spans="1:8" x14ac:dyDescent="0.25">
      <c r="A464" s="177"/>
      <c r="B464" s="177"/>
      <c r="C464" s="177"/>
      <c r="D464" s="177"/>
      <c r="E464" s="181"/>
      <c r="F464" s="177"/>
      <c r="G464" s="177"/>
      <c r="H464" s="172"/>
    </row>
    <row r="465" spans="1:8" x14ac:dyDescent="0.25">
      <c r="A465" s="177"/>
      <c r="B465" s="177"/>
      <c r="C465" s="177"/>
      <c r="D465" s="177"/>
      <c r="E465" s="181"/>
      <c r="F465" s="177"/>
      <c r="G465" s="177"/>
      <c r="H465" s="172"/>
    </row>
    <row r="466" spans="1:8" x14ac:dyDescent="0.25">
      <c r="A466" s="177"/>
      <c r="B466" s="177"/>
      <c r="C466" s="177"/>
      <c r="D466" s="177"/>
      <c r="E466" s="181"/>
      <c r="F466" s="177"/>
      <c r="G466" s="177"/>
      <c r="H466" s="172"/>
    </row>
    <row r="467" spans="1:8" x14ac:dyDescent="0.25">
      <c r="A467" s="177"/>
      <c r="B467" s="177"/>
      <c r="C467" s="177"/>
      <c r="D467" s="177"/>
      <c r="E467" s="181"/>
      <c r="F467" s="177"/>
      <c r="G467" s="177"/>
      <c r="H467" s="172"/>
    </row>
    <row r="468" spans="1:8" x14ac:dyDescent="0.25">
      <c r="A468" s="177"/>
      <c r="B468" s="177"/>
      <c r="C468" s="177"/>
      <c r="D468" s="177"/>
      <c r="E468" s="181"/>
      <c r="F468" s="177"/>
      <c r="G468" s="177"/>
      <c r="H468" s="172"/>
    </row>
    <row r="469" spans="1:8" x14ac:dyDescent="0.25">
      <c r="A469" s="177"/>
      <c r="B469" s="177"/>
      <c r="C469" s="177"/>
      <c r="D469" s="177"/>
      <c r="E469" s="181"/>
      <c r="F469" s="177"/>
      <c r="G469" s="177"/>
      <c r="H469" s="172"/>
    </row>
    <row r="470" spans="1:8" x14ac:dyDescent="0.25">
      <c r="A470" s="177"/>
      <c r="B470" s="177"/>
      <c r="C470" s="177"/>
      <c r="D470" s="177"/>
      <c r="E470" s="181"/>
      <c r="F470" s="177"/>
      <c r="G470" s="177"/>
      <c r="H470" s="172"/>
    </row>
    <row r="471" spans="1:8" x14ac:dyDescent="0.25">
      <c r="A471" s="177"/>
      <c r="B471" s="177"/>
      <c r="C471" s="177"/>
      <c r="D471" s="177"/>
      <c r="E471" s="181"/>
      <c r="F471" s="177"/>
      <c r="G471" s="177"/>
      <c r="H471" s="172"/>
    </row>
    <row r="472" spans="1:8" x14ac:dyDescent="0.25">
      <c r="A472" s="177"/>
      <c r="B472" s="177"/>
      <c r="C472" s="177"/>
      <c r="D472" s="177"/>
      <c r="E472" s="181"/>
      <c r="F472" s="177"/>
      <c r="G472" s="177"/>
      <c r="H472" s="172"/>
    </row>
    <row r="473" spans="1:8" x14ac:dyDescent="0.25">
      <c r="A473" s="177"/>
      <c r="B473" s="177"/>
      <c r="C473" s="177"/>
      <c r="D473" s="177"/>
      <c r="E473" s="181"/>
      <c r="F473" s="177"/>
      <c r="G473" s="177"/>
      <c r="H473" s="172"/>
    </row>
    <row r="474" spans="1:8" x14ac:dyDescent="0.25">
      <c r="A474" s="177"/>
      <c r="B474" s="177"/>
      <c r="C474" s="177"/>
      <c r="D474" s="177"/>
      <c r="E474" s="181"/>
      <c r="F474" s="177"/>
      <c r="G474" s="177"/>
      <c r="H474" s="172"/>
    </row>
    <row r="475" spans="1:8" x14ac:dyDescent="0.25">
      <c r="A475" s="177"/>
      <c r="B475" s="177"/>
      <c r="C475" s="177"/>
      <c r="D475" s="177"/>
      <c r="E475" s="181"/>
      <c r="F475" s="177"/>
      <c r="G475" s="177"/>
      <c r="H475" s="172"/>
    </row>
    <row r="476" spans="1:8" x14ac:dyDescent="0.25">
      <c r="A476" s="177"/>
      <c r="B476" s="177"/>
      <c r="C476" s="177"/>
      <c r="D476" s="177"/>
      <c r="E476" s="181"/>
      <c r="F476" s="177"/>
      <c r="G476" s="177"/>
      <c r="H476" s="172"/>
    </row>
    <row r="477" spans="1:8" x14ac:dyDescent="0.25">
      <c r="A477" s="177"/>
      <c r="B477" s="177"/>
      <c r="C477" s="177"/>
      <c r="D477" s="177"/>
      <c r="E477" s="181"/>
      <c r="F477" s="177"/>
      <c r="G477" s="177"/>
      <c r="H477" s="172"/>
    </row>
    <row r="478" spans="1:8" x14ac:dyDescent="0.25">
      <c r="A478" s="177"/>
      <c r="B478" s="177"/>
      <c r="C478" s="177"/>
      <c r="D478" s="177"/>
      <c r="E478" s="181"/>
      <c r="F478" s="177"/>
      <c r="G478" s="177"/>
      <c r="H478" s="172"/>
    </row>
    <row r="479" spans="1:8" x14ac:dyDescent="0.25">
      <c r="A479" s="177"/>
      <c r="B479" s="177"/>
      <c r="C479" s="177"/>
      <c r="D479" s="177"/>
      <c r="E479" s="181"/>
      <c r="F479" s="177"/>
      <c r="G479" s="177"/>
      <c r="H479" s="172"/>
    </row>
    <row r="480" spans="1:8" x14ac:dyDescent="0.25">
      <c r="A480" s="177"/>
      <c r="B480" s="177"/>
      <c r="C480" s="177"/>
      <c r="D480" s="177"/>
      <c r="E480" s="181"/>
      <c r="F480" s="177"/>
      <c r="G480" s="177"/>
      <c r="H480" s="172"/>
    </row>
    <row r="481" spans="1:8" x14ac:dyDescent="0.25">
      <c r="A481" s="177"/>
      <c r="B481" s="177"/>
      <c r="C481" s="177"/>
      <c r="D481" s="177"/>
      <c r="E481" s="181"/>
      <c r="F481" s="177"/>
      <c r="G481" s="177"/>
      <c r="H481" s="172"/>
    </row>
    <row r="482" spans="1:8" x14ac:dyDescent="0.25">
      <c r="A482" s="177"/>
      <c r="B482" s="177"/>
      <c r="C482" s="177"/>
      <c r="D482" s="177"/>
      <c r="E482" s="181"/>
      <c r="F482" s="177"/>
      <c r="G482" s="177"/>
      <c r="H482" s="172"/>
    </row>
    <row r="483" spans="1:8" x14ac:dyDescent="0.25">
      <c r="A483" s="177"/>
      <c r="B483" s="177"/>
      <c r="C483" s="177"/>
      <c r="D483" s="177"/>
      <c r="E483" s="181"/>
      <c r="F483" s="177"/>
      <c r="G483" s="177"/>
      <c r="H483" s="172"/>
    </row>
    <row r="484" spans="1:8" x14ac:dyDescent="0.25">
      <c r="A484" s="177"/>
      <c r="B484" s="177"/>
      <c r="C484" s="177"/>
      <c r="D484" s="177"/>
      <c r="E484" s="181"/>
      <c r="F484" s="177"/>
      <c r="G484" s="177"/>
      <c r="H484" s="172"/>
    </row>
    <row r="485" spans="1:8" x14ac:dyDescent="0.25">
      <c r="A485" s="177"/>
      <c r="B485" s="177"/>
      <c r="C485" s="177"/>
      <c r="D485" s="177"/>
      <c r="E485" s="181"/>
      <c r="F485" s="177"/>
      <c r="G485" s="177"/>
      <c r="H485" s="172"/>
    </row>
    <row r="486" spans="1:8" x14ac:dyDescent="0.25">
      <c r="A486" s="177"/>
      <c r="B486" s="177"/>
      <c r="C486" s="177"/>
      <c r="D486" s="177"/>
      <c r="E486" s="181"/>
      <c r="F486" s="177"/>
      <c r="G486" s="177"/>
      <c r="H486" s="172"/>
    </row>
    <row r="487" spans="1:8" x14ac:dyDescent="0.25">
      <c r="A487" s="177"/>
      <c r="B487" s="177"/>
      <c r="C487" s="177"/>
      <c r="D487" s="177"/>
      <c r="E487" s="181"/>
      <c r="F487" s="177"/>
      <c r="G487" s="177"/>
      <c r="H487" s="172"/>
    </row>
    <row r="488" spans="1:8" x14ac:dyDescent="0.25">
      <c r="A488" s="177"/>
      <c r="B488" s="177"/>
      <c r="C488" s="177"/>
      <c r="D488" s="177"/>
      <c r="E488" s="181"/>
      <c r="F488" s="177"/>
      <c r="G488" s="179"/>
      <c r="H488" s="172"/>
    </row>
    <row r="489" spans="1:8" x14ac:dyDescent="0.25">
      <c r="A489" s="177"/>
      <c r="B489" s="177"/>
      <c r="C489" s="177"/>
      <c r="D489" s="177"/>
      <c r="E489" s="181"/>
      <c r="F489" s="177"/>
      <c r="G489" s="179"/>
      <c r="H489" s="172"/>
    </row>
    <row r="490" spans="1:8" x14ac:dyDescent="0.25">
      <c r="A490" s="177"/>
      <c r="B490" s="177"/>
      <c r="C490" s="177"/>
      <c r="D490" s="177"/>
      <c r="E490" s="181"/>
      <c r="F490" s="177"/>
      <c r="G490" s="179"/>
      <c r="H490" s="172"/>
    </row>
    <row r="491" spans="1:8" x14ac:dyDescent="0.25">
      <c r="A491" s="177"/>
      <c r="B491" s="177"/>
      <c r="C491" s="177"/>
      <c r="D491" s="177"/>
      <c r="E491" s="181"/>
      <c r="F491" s="177"/>
      <c r="G491" s="179"/>
      <c r="H491" s="172"/>
    </row>
    <row r="492" spans="1:8" x14ac:dyDescent="0.25">
      <c r="A492" s="177"/>
      <c r="B492" s="177"/>
      <c r="C492" s="177"/>
      <c r="D492" s="177"/>
      <c r="E492" s="181"/>
      <c r="F492" s="177"/>
      <c r="G492" s="179"/>
      <c r="H492" s="172"/>
    </row>
    <row r="493" spans="1:8" x14ac:dyDescent="0.25">
      <c r="A493" s="177"/>
      <c r="B493" s="177"/>
      <c r="C493" s="177"/>
      <c r="D493" s="177"/>
      <c r="E493" s="181"/>
      <c r="F493" s="177"/>
      <c r="G493" s="179"/>
      <c r="H493" s="172"/>
    </row>
    <row r="494" spans="1:8" x14ac:dyDescent="0.25">
      <c r="A494" s="177"/>
      <c r="B494" s="177"/>
      <c r="C494" s="177"/>
      <c r="D494" s="177"/>
      <c r="E494" s="181"/>
      <c r="F494" s="177"/>
      <c r="G494" s="179"/>
      <c r="H494" s="172"/>
    </row>
    <row r="495" spans="1:8" x14ac:dyDescent="0.25">
      <c r="A495" s="177"/>
      <c r="B495" s="177"/>
      <c r="C495" s="177"/>
      <c r="D495" s="177"/>
      <c r="E495" s="181"/>
      <c r="F495" s="177"/>
      <c r="G495" s="179"/>
      <c r="H495" s="172"/>
    </row>
    <row r="496" spans="1:8" x14ac:dyDescent="0.25">
      <c r="A496" s="177"/>
      <c r="B496" s="177"/>
      <c r="C496" s="177"/>
      <c r="D496" s="177"/>
      <c r="E496" s="181"/>
      <c r="F496" s="177"/>
      <c r="G496" s="179"/>
      <c r="H496" s="172"/>
    </row>
    <row r="497" spans="1:8" x14ac:dyDescent="0.25">
      <c r="A497" s="177"/>
      <c r="B497" s="177"/>
      <c r="C497" s="177"/>
      <c r="D497" s="177"/>
      <c r="E497" s="181"/>
      <c r="F497" s="177"/>
      <c r="G497" s="179"/>
      <c r="H497" s="172"/>
    </row>
    <row r="498" spans="1:8" x14ac:dyDescent="0.25">
      <c r="A498" s="177"/>
      <c r="B498" s="177"/>
      <c r="C498" s="177"/>
      <c r="D498" s="177"/>
      <c r="E498" s="181"/>
      <c r="F498" s="177"/>
      <c r="G498" s="179"/>
      <c r="H498" s="172"/>
    </row>
    <row r="499" spans="1:8" x14ac:dyDescent="0.25">
      <c r="A499" s="177"/>
      <c r="B499" s="177"/>
      <c r="C499" s="177"/>
      <c r="D499" s="177"/>
      <c r="E499" s="181"/>
      <c r="F499" s="177"/>
      <c r="G499" s="179"/>
      <c r="H499" s="172"/>
    </row>
    <row r="500" spans="1:8" x14ac:dyDescent="0.25">
      <c r="A500" s="177"/>
      <c r="B500" s="177"/>
      <c r="C500" s="177"/>
      <c r="D500" s="177"/>
      <c r="E500" s="181"/>
      <c r="F500" s="177"/>
      <c r="G500" s="179"/>
      <c r="H500" s="172"/>
    </row>
    <row r="501" spans="1:8" x14ac:dyDescent="0.25">
      <c r="A501" s="177"/>
      <c r="B501" s="177"/>
      <c r="C501" s="177"/>
      <c r="D501" s="177"/>
      <c r="E501" s="181"/>
      <c r="F501" s="177"/>
      <c r="G501" s="179"/>
      <c r="H501" s="172"/>
    </row>
    <row r="502" spans="1:8" x14ac:dyDescent="0.25">
      <c r="A502" s="177"/>
      <c r="B502" s="177"/>
      <c r="C502" s="177"/>
      <c r="D502" s="177"/>
      <c r="E502" s="181"/>
      <c r="F502" s="177"/>
      <c r="G502" s="179"/>
      <c r="H502" s="172"/>
    </row>
    <row r="503" spans="1:8" x14ac:dyDescent="0.25">
      <c r="A503" s="177"/>
      <c r="B503" s="177"/>
      <c r="C503" s="177"/>
      <c r="D503" s="177"/>
      <c r="E503" s="181"/>
      <c r="F503" s="177"/>
      <c r="G503" s="179"/>
      <c r="H503" s="172"/>
    </row>
    <row r="504" spans="1:8" x14ac:dyDescent="0.25">
      <c r="A504" s="177"/>
      <c r="B504" s="177"/>
      <c r="C504" s="177"/>
      <c r="D504" s="177"/>
      <c r="E504" s="181"/>
      <c r="F504" s="177"/>
      <c r="G504" s="179"/>
      <c r="H504" s="172"/>
    </row>
    <row r="505" spans="1:8" x14ac:dyDescent="0.25">
      <c r="A505" s="177"/>
      <c r="B505" s="177"/>
      <c r="C505" s="177"/>
      <c r="D505" s="177"/>
      <c r="E505" s="181"/>
      <c r="F505" s="177"/>
      <c r="G505" s="179"/>
      <c r="H505" s="172"/>
    </row>
    <row r="506" spans="1:8" x14ac:dyDescent="0.25">
      <c r="A506" s="177"/>
      <c r="B506" s="177"/>
      <c r="C506" s="177"/>
      <c r="D506" s="177"/>
      <c r="E506" s="181"/>
      <c r="F506" s="177"/>
      <c r="G506" s="179"/>
      <c r="H506" s="172"/>
    </row>
    <row r="507" spans="1:8" x14ac:dyDescent="0.25">
      <c r="A507" s="177"/>
      <c r="B507" s="177"/>
      <c r="C507" s="177"/>
      <c r="D507" s="177"/>
      <c r="E507" s="181"/>
      <c r="F507" s="177"/>
      <c r="G507" s="179"/>
      <c r="H507" s="172"/>
    </row>
    <row r="508" spans="1:8" x14ac:dyDescent="0.25">
      <c r="A508" s="177"/>
      <c r="B508" s="177"/>
      <c r="C508" s="177"/>
      <c r="D508" s="177"/>
      <c r="E508" s="181"/>
      <c r="F508" s="177"/>
      <c r="G508" s="179"/>
      <c r="H508" s="172"/>
    </row>
    <row r="509" spans="1:8" x14ac:dyDescent="0.25">
      <c r="A509" s="177"/>
      <c r="B509" s="177"/>
      <c r="C509" s="177"/>
      <c r="D509" s="177"/>
      <c r="E509" s="181"/>
      <c r="F509" s="177"/>
      <c r="G509" s="179"/>
      <c r="H509" s="172"/>
    </row>
    <row r="510" spans="1:8" x14ac:dyDescent="0.25">
      <c r="A510" s="177"/>
      <c r="B510" s="177"/>
      <c r="C510" s="177"/>
      <c r="D510" s="177"/>
      <c r="E510" s="181"/>
      <c r="F510" s="177"/>
      <c r="G510" s="179"/>
      <c r="H510" s="172"/>
    </row>
    <row r="511" spans="1:8" x14ac:dyDescent="0.25">
      <c r="A511" s="177"/>
      <c r="B511" s="177"/>
      <c r="C511" s="177"/>
      <c r="D511" s="177"/>
      <c r="E511" s="181"/>
      <c r="F511" s="177"/>
      <c r="G511" s="179"/>
      <c r="H511" s="172"/>
    </row>
    <row r="512" spans="1:8" x14ac:dyDescent="0.25">
      <c r="A512" s="177"/>
      <c r="B512" s="177"/>
      <c r="C512" s="177"/>
      <c r="D512" s="177"/>
      <c r="E512" s="181"/>
      <c r="F512" s="177"/>
      <c r="G512" s="179"/>
      <c r="H512" s="172"/>
    </row>
    <row r="513" spans="1:8" x14ac:dyDescent="0.25">
      <c r="A513" s="177"/>
      <c r="B513" s="177"/>
      <c r="C513" s="177"/>
      <c r="D513" s="177"/>
      <c r="E513" s="181"/>
      <c r="F513" s="177"/>
      <c r="G513" s="179"/>
      <c r="H513" s="172"/>
    </row>
    <row r="514" spans="1:8" x14ac:dyDescent="0.25">
      <c r="A514" s="177"/>
      <c r="B514" s="177"/>
      <c r="C514" s="177"/>
      <c r="D514" s="177"/>
      <c r="E514" s="181"/>
      <c r="F514" s="177"/>
      <c r="G514" s="179"/>
      <c r="H514" s="172"/>
    </row>
    <row r="515" spans="1:8" x14ac:dyDescent="0.25">
      <c r="A515" s="177"/>
      <c r="B515" s="177"/>
      <c r="C515" s="177"/>
      <c r="D515" s="177"/>
      <c r="E515" s="181"/>
      <c r="F515" s="177"/>
      <c r="G515" s="179"/>
      <c r="H515" s="172"/>
    </row>
    <row r="516" spans="1:8" x14ac:dyDescent="0.25">
      <c r="A516" s="177"/>
      <c r="B516" s="177"/>
      <c r="C516" s="177"/>
      <c r="D516" s="177"/>
      <c r="E516" s="181"/>
      <c r="F516" s="177"/>
      <c r="G516" s="179"/>
      <c r="H516" s="172"/>
    </row>
    <row r="517" spans="1:8" x14ac:dyDescent="0.25">
      <c r="A517" s="177"/>
      <c r="B517" s="177"/>
      <c r="C517" s="177"/>
      <c r="D517" s="177"/>
      <c r="E517" s="181"/>
      <c r="F517" s="177"/>
      <c r="G517" s="179"/>
      <c r="H517" s="172"/>
    </row>
    <row r="518" spans="1:8" x14ac:dyDescent="0.25">
      <c r="A518" s="177"/>
      <c r="B518" s="177"/>
      <c r="C518" s="177"/>
      <c r="D518" s="177"/>
      <c r="E518" s="181"/>
      <c r="F518" s="177"/>
      <c r="G518" s="179"/>
      <c r="H518" s="172"/>
    </row>
    <row r="519" spans="1:8" x14ac:dyDescent="0.25">
      <c r="A519" s="177"/>
      <c r="B519" s="177"/>
      <c r="C519" s="177"/>
      <c r="D519" s="177"/>
      <c r="E519" s="181"/>
      <c r="F519" s="177"/>
      <c r="G519" s="179"/>
      <c r="H519" s="172"/>
    </row>
    <row r="520" spans="1:8" x14ac:dyDescent="0.25">
      <c r="A520" s="177"/>
      <c r="B520" s="177"/>
      <c r="C520" s="177"/>
      <c r="D520" s="177"/>
      <c r="E520" s="181"/>
      <c r="F520" s="177"/>
      <c r="G520" s="179"/>
      <c r="H520" s="172"/>
    </row>
    <row r="521" spans="1:8" x14ac:dyDescent="0.25">
      <c r="A521" s="177"/>
      <c r="B521" s="177"/>
      <c r="C521" s="177"/>
      <c r="D521" s="177"/>
      <c r="E521" s="181"/>
      <c r="F521" s="177"/>
      <c r="G521" s="179"/>
      <c r="H521" s="172"/>
    </row>
    <row r="522" spans="1:8" x14ac:dyDescent="0.25">
      <c r="A522" s="177"/>
      <c r="B522" s="177"/>
      <c r="C522" s="177"/>
      <c r="D522" s="177"/>
      <c r="E522" s="181"/>
      <c r="F522" s="177"/>
      <c r="G522" s="179"/>
      <c r="H522" s="172"/>
    </row>
    <row r="523" spans="1:8" x14ac:dyDescent="0.25">
      <c r="A523" s="177"/>
      <c r="B523" s="177"/>
      <c r="C523" s="177"/>
      <c r="D523" s="177"/>
      <c r="E523" s="181"/>
      <c r="F523" s="177"/>
      <c r="G523" s="179"/>
      <c r="H523" s="172"/>
    </row>
    <row r="524" spans="1:8" x14ac:dyDescent="0.25">
      <c r="A524" s="177"/>
      <c r="B524" s="177"/>
      <c r="C524" s="177"/>
      <c r="D524" s="177"/>
      <c r="E524" s="181"/>
      <c r="F524" s="177"/>
      <c r="G524" s="179"/>
      <c r="H524" s="172"/>
    </row>
    <row r="525" spans="1:8" x14ac:dyDescent="0.25">
      <c r="A525" s="177"/>
      <c r="B525" s="177"/>
      <c r="C525" s="177"/>
      <c r="D525" s="177"/>
      <c r="E525" s="181"/>
      <c r="F525" s="177"/>
      <c r="G525" s="179"/>
      <c r="H525" s="172"/>
    </row>
    <row r="526" spans="1:8" x14ac:dyDescent="0.25">
      <c r="A526" s="177"/>
      <c r="B526" s="177"/>
      <c r="C526" s="177"/>
      <c r="D526" s="177"/>
      <c r="E526" s="181"/>
      <c r="F526" s="177"/>
      <c r="G526" s="179"/>
      <c r="H526" s="172"/>
    </row>
    <row r="527" spans="1:8" x14ac:dyDescent="0.25">
      <c r="A527" s="177"/>
      <c r="B527" s="177"/>
      <c r="C527" s="177"/>
      <c r="D527" s="177"/>
      <c r="E527" s="181"/>
      <c r="F527" s="177"/>
      <c r="G527" s="179"/>
      <c r="H527" s="172"/>
    </row>
    <row r="528" spans="1:8" x14ac:dyDescent="0.25">
      <c r="A528" s="177"/>
      <c r="B528" s="177"/>
      <c r="C528" s="177"/>
      <c r="D528" s="177"/>
      <c r="E528" s="181"/>
      <c r="F528" s="177"/>
      <c r="G528" s="179"/>
      <c r="H528" s="172"/>
    </row>
    <row r="529" spans="1:8" x14ac:dyDescent="0.25">
      <c r="A529" s="177"/>
      <c r="B529" s="177"/>
      <c r="C529" s="177"/>
      <c r="D529" s="177"/>
      <c r="E529" s="181"/>
      <c r="F529" s="177"/>
      <c r="G529" s="179"/>
      <c r="H529" s="172"/>
    </row>
    <row r="530" spans="1:8" x14ac:dyDescent="0.25">
      <c r="A530" s="177"/>
      <c r="B530" s="177"/>
      <c r="C530" s="177"/>
      <c r="D530" s="177"/>
      <c r="E530" s="181"/>
      <c r="F530" s="177"/>
      <c r="G530" s="179"/>
      <c r="H530" s="172"/>
    </row>
    <row r="531" spans="1:8" x14ac:dyDescent="0.25">
      <c r="A531" s="177"/>
      <c r="B531" s="177"/>
      <c r="C531" s="177"/>
      <c r="D531" s="177"/>
      <c r="E531" s="181"/>
      <c r="F531" s="177"/>
      <c r="G531" s="179"/>
      <c r="H531" s="172"/>
    </row>
    <row r="532" spans="1:8" x14ac:dyDescent="0.25">
      <c r="A532" s="177"/>
      <c r="B532" s="177"/>
      <c r="C532" s="177"/>
      <c r="D532" s="177"/>
      <c r="E532" s="181"/>
      <c r="F532" s="177"/>
      <c r="G532" s="179"/>
      <c r="H532" s="172"/>
    </row>
    <row r="533" spans="1:8" x14ac:dyDescent="0.25">
      <c r="A533" s="177"/>
      <c r="B533" s="177"/>
      <c r="C533" s="177"/>
      <c r="D533" s="177"/>
      <c r="E533" s="181"/>
      <c r="F533" s="177"/>
      <c r="G533" s="179"/>
      <c r="H533" s="172"/>
    </row>
    <row r="534" spans="1:8" x14ac:dyDescent="0.25">
      <c r="A534" s="177"/>
      <c r="B534" s="177"/>
      <c r="C534" s="177"/>
      <c r="D534" s="177"/>
      <c r="E534" s="181"/>
      <c r="F534" s="177"/>
      <c r="G534" s="179"/>
      <c r="H534" s="172"/>
    </row>
    <row r="535" spans="1:8" x14ac:dyDescent="0.25">
      <c r="A535" s="177"/>
      <c r="B535" s="177"/>
      <c r="C535" s="177"/>
      <c r="D535" s="177"/>
      <c r="E535" s="181"/>
      <c r="F535" s="177"/>
      <c r="G535" s="179"/>
      <c r="H535" s="172"/>
    </row>
    <row r="536" spans="1:8" x14ac:dyDescent="0.25">
      <c r="A536" s="177"/>
      <c r="B536" s="177"/>
      <c r="C536" s="177"/>
      <c r="D536" s="177"/>
      <c r="E536" s="181"/>
      <c r="F536" s="177"/>
      <c r="G536" s="179"/>
      <c r="H536" s="172"/>
    </row>
    <row r="537" spans="1:8" x14ac:dyDescent="0.25">
      <c r="A537" s="177"/>
      <c r="B537" s="177"/>
      <c r="C537" s="177"/>
      <c r="D537" s="177"/>
      <c r="E537" s="181"/>
      <c r="F537" s="177"/>
      <c r="G537" s="179"/>
      <c r="H537" s="172"/>
    </row>
    <row r="538" spans="1:8" x14ac:dyDescent="0.25">
      <c r="A538" s="177"/>
      <c r="B538" s="177"/>
      <c r="C538" s="177"/>
      <c r="D538" s="177"/>
      <c r="E538" s="181"/>
      <c r="F538" s="177"/>
      <c r="G538" s="179"/>
      <c r="H538" s="172"/>
    </row>
    <row r="539" spans="1:8" x14ac:dyDescent="0.25">
      <c r="A539" s="177"/>
      <c r="B539" s="177"/>
      <c r="C539" s="177"/>
      <c r="D539" s="177"/>
      <c r="E539" s="181"/>
      <c r="F539" s="177"/>
      <c r="G539" s="179"/>
      <c r="H539" s="172"/>
    </row>
    <row r="540" spans="1:8" x14ac:dyDescent="0.25">
      <c r="A540" s="177"/>
      <c r="B540" s="177"/>
      <c r="C540" s="177"/>
      <c r="D540" s="177"/>
      <c r="E540" s="181"/>
      <c r="F540" s="177"/>
      <c r="G540" s="179"/>
      <c r="H540" s="172"/>
    </row>
    <row r="541" spans="1:8" x14ac:dyDescent="0.25">
      <c r="A541" s="177"/>
      <c r="B541" s="177"/>
      <c r="C541" s="177"/>
      <c r="D541" s="177"/>
      <c r="E541" s="181"/>
      <c r="F541" s="177"/>
      <c r="G541" s="179"/>
      <c r="H541" s="172"/>
    </row>
    <row r="542" spans="1:8" x14ac:dyDescent="0.25">
      <c r="A542" s="177"/>
      <c r="B542" s="177"/>
      <c r="C542" s="177"/>
      <c r="D542" s="177"/>
      <c r="E542" s="181"/>
      <c r="F542" s="177"/>
      <c r="G542" s="179"/>
      <c r="H542" s="172"/>
    </row>
    <row r="543" spans="1:8" x14ac:dyDescent="0.25">
      <c r="A543" s="177"/>
      <c r="B543" s="177"/>
      <c r="C543" s="177"/>
      <c r="D543" s="177"/>
      <c r="E543" s="181"/>
      <c r="F543" s="177"/>
      <c r="G543" s="179"/>
      <c r="H543" s="172"/>
    </row>
    <row r="544" spans="1:8" x14ac:dyDescent="0.25">
      <c r="A544" s="177"/>
      <c r="B544" s="177"/>
      <c r="C544" s="177"/>
      <c r="D544" s="177"/>
      <c r="E544" s="181"/>
      <c r="F544" s="177"/>
      <c r="G544" s="179"/>
      <c r="H544" s="172"/>
    </row>
    <row r="545" spans="1:8" x14ac:dyDescent="0.25">
      <c r="A545" s="177"/>
      <c r="B545" s="177"/>
      <c r="C545" s="177"/>
      <c r="D545" s="177"/>
      <c r="E545" s="181"/>
      <c r="F545" s="177"/>
      <c r="G545" s="179"/>
      <c r="H545" s="172"/>
    </row>
    <row r="546" spans="1:8" x14ac:dyDescent="0.25">
      <c r="A546" s="177"/>
      <c r="B546" s="177"/>
      <c r="C546" s="177"/>
      <c r="D546" s="177"/>
      <c r="E546" s="181"/>
      <c r="F546" s="177"/>
      <c r="G546" s="179"/>
      <c r="H546" s="172"/>
    </row>
    <row r="547" spans="1:8" x14ac:dyDescent="0.25">
      <c r="A547" s="177"/>
      <c r="B547" s="177"/>
      <c r="C547" s="177"/>
      <c r="D547" s="177"/>
      <c r="E547" s="181"/>
      <c r="F547" s="177"/>
      <c r="G547" s="179"/>
      <c r="H547" s="172"/>
    </row>
    <row r="548" spans="1:8" x14ac:dyDescent="0.25">
      <c r="A548" s="177"/>
      <c r="B548" s="177"/>
      <c r="C548" s="177"/>
      <c r="D548" s="177"/>
      <c r="E548" s="181"/>
      <c r="F548" s="177"/>
      <c r="G548" s="179"/>
      <c r="H548" s="172"/>
    </row>
    <row r="549" spans="1:8" x14ac:dyDescent="0.25">
      <c r="A549" s="177"/>
      <c r="B549" s="177"/>
      <c r="C549" s="177"/>
      <c r="D549" s="177"/>
      <c r="E549" s="181"/>
      <c r="F549" s="177"/>
      <c r="G549" s="179"/>
      <c r="H549" s="172"/>
    </row>
    <row r="550" spans="1:8" x14ac:dyDescent="0.25">
      <c r="A550" s="177"/>
      <c r="B550" s="177"/>
      <c r="C550" s="177"/>
      <c r="D550" s="177"/>
      <c r="E550" s="181"/>
      <c r="F550" s="177"/>
      <c r="G550" s="179"/>
      <c r="H550" s="172"/>
    </row>
    <row r="551" spans="1:8" x14ac:dyDescent="0.25">
      <c r="A551" s="177"/>
      <c r="B551" s="177"/>
      <c r="C551" s="177"/>
      <c r="D551" s="177"/>
      <c r="E551" s="181"/>
      <c r="F551" s="177"/>
      <c r="G551" s="179"/>
      <c r="H551" s="172"/>
    </row>
    <row r="552" spans="1:8" x14ac:dyDescent="0.25">
      <c r="A552" s="177"/>
      <c r="B552" s="177"/>
      <c r="C552" s="177"/>
      <c r="D552" s="177"/>
      <c r="E552" s="181"/>
      <c r="F552" s="177"/>
      <c r="G552" s="179"/>
      <c r="H552" s="172"/>
    </row>
    <row r="553" spans="1:8" x14ac:dyDescent="0.25">
      <c r="A553" s="177"/>
      <c r="B553" s="177"/>
      <c r="C553" s="177"/>
      <c r="D553" s="177"/>
      <c r="E553" s="181"/>
      <c r="F553" s="177"/>
      <c r="G553" s="179"/>
      <c r="H553" s="172"/>
    </row>
    <row r="554" spans="1:8" x14ac:dyDescent="0.25">
      <c r="A554" s="177"/>
      <c r="B554" s="177"/>
      <c r="C554" s="177"/>
      <c r="D554" s="177"/>
      <c r="E554" s="181"/>
      <c r="F554" s="177"/>
      <c r="G554" s="179"/>
      <c r="H554" s="172"/>
    </row>
    <row r="555" spans="1:8" x14ac:dyDescent="0.25">
      <c r="A555" s="177"/>
      <c r="B555" s="177"/>
      <c r="C555" s="177"/>
      <c r="D555" s="177"/>
      <c r="E555" s="181"/>
      <c r="F555" s="177"/>
      <c r="G555" s="179"/>
      <c r="H555" s="172"/>
    </row>
    <row r="556" spans="1:8" x14ac:dyDescent="0.25">
      <c r="A556" s="177"/>
      <c r="B556" s="177"/>
      <c r="C556" s="177"/>
      <c r="D556" s="177"/>
      <c r="E556" s="181"/>
      <c r="F556" s="177"/>
      <c r="G556" s="179"/>
      <c r="H556" s="172"/>
    </row>
    <row r="557" spans="1:8" x14ac:dyDescent="0.25">
      <c r="A557" s="177"/>
      <c r="B557" s="177"/>
      <c r="C557" s="177"/>
      <c r="D557" s="177"/>
      <c r="E557" s="181"/>
      <c r="F557" s="177"/>
      <c r="G557" s="179"/>
      <c r="H557" s="172"/>
    </row>
    <row r="558" spans="1:8" x14ac:dyDescent="0.25">
      <c r="A558" s="177"/>
      <c r="B558" s="177"/>
      <c r="C558" s="177"/>
      <c r="D558" s="177"/>
      <c r="E558" s="181"/>
      <c r="F558" s="177"/>
      <c r="G558" s="179"/>
      <c r="H558" s="172"/>
    </row>
    <row r="559" spans="1:8" x14ac:dyDescent="0.25">
      <c r="A559" s="177"/>
      <c r="B559" s="177"/>
      <c r="C559" s="177"/>
      <c r="D559" s="177"/>
      <c r="E559" s="181"/>
      <c r="F559" s="177"/>
      <c r="G559" s="179"/>
      <c r="H559" s="172"/>
    </row>
    <row r="560" spans="1:8" x14ac:dyDescent="0.25">
      <c r="A560" s="177"/>
      <c r="B560" s="177"/>
      <c r="C560" s="177"/>
      <c r="D560" s="177"/>
      <c r="E560" s="181"/>
      <c r="F560" s="177"/>
      <c r="G560" s="179"/>
      <c r="H560" s="172"/>
    </row>
    <row r="561" spans="1:8" x14ac:dyDescent="0.25">
      <c r="A561" s="177"/>
      <c r="B561" s="177"/>
      <c r="C561" s="177"/>
      <c r="D561" s="177"/>
      <c r="E561" s="181"/>
      <c r="F561" s="177"/>
      <c r="G561" s="179"/>
      <c r="H561" s="172"/>
    </row>
    <row r="562" spans="1:8" x14ac:dyDescent="0.25">
      <c r="A562" s="177"/>
      <c r="B562" s="177"/>
      <c r="C562" s="177"/>
      <c r="D562" s="177"/>
      <c r="E562" s="181"/>
      <c r="F562" s="177"/>
      <c r="G562" s="179"/>
      <c r="H562" s="172"/>
    </row>
    <row r="563" spans="1:8" x14ac:dyDescent="0.25">
      <c r="A563" s="177"/>
      <c r="B563" s="177"/>
      <c r="C563" s="177"/>
      <c r="D563" s="177"/>
      <c r="E563" s="181"/>
      <c r="F563" s="177"/>
      <c r="G563" s="179"/>
      <c r="H563" s="172"/>
    </row>
    <row r="564" spans="1:8" x14ac:dyDescent="0.25">
      <c r="A564" s="177"/>
      <c r="B564" s="177"/>
      <c r="C564" s="177"/>
      <c r="D564" s="177"/>
      <c r="E564" s="181"/>
      <c r="F564" s="177"/>
      <c r="G564" s="179"/>
      <c r="H564" s="172"/>
    </row>
    <row r="565" spans="1:8" x14ac:dyDescent="0.25">
      <c r="A565" s="177"/>
      <c r="B565" s="177"/>
      <c r="C565" s="177"/>
      <c r="D565" s="177"/>
      <c r="E565" s="181"/>
      <c r="F565" s="177"/>
      <c r="G565" s="179"/>
      <c r="H565" s="172"/>
    </row>
    <row r="566" spans="1:8" x14ac:dyDescent="0.25">
      <c r="A566" s="177"/>
      <c r="B566" s="177"/>
      <c r="C566" s="177"/>
      <c r="D566" s="177"/>
      <c r="E566" s="181"/>
      <c r="F566" s="177"/>
      <c r="G566" s="179"/>
      <c r="H566" s="172"/>
    </row>
    <row r="567" spans="1:8" x14ac:dyDescent="0.25">
      <c r="A567" s="177"/>
      <c r="B567" s="177"/>
      <c r="C567" s="177"/>
      <c r="D567" s="177"/>
      <c r="E567" s="181"/>
      <c r="F567" s="177"/>
      <c r="G567" s="179"/>
      <c r="H567" s="172"/>
    </row>
    <row r="568" spans="1:8" x14ac:dyDescent="0.25">
      <c r="A568" s="177"/>
      <c r="B568" s="177"/>
      <c r="C568" s="177"/>
      <c r="D568" s="177"/>
      <c r="E568" s="181"/>
      <c r="F568" s="177"/>
      <c r="G568" s="179"/>
      <c r="H568" s="172"/>
    </row>
    <row r="569" spans="1:8" x14ac:dyDescent="0.25">
      <c r="A569" s="177"/>
      <c r="B569" s="177"/>
      <c r="C569" s="177"/>
      <c r="D569" s="177"/>
      <c r="E569" s="181"/>
      <c r="F569" s="177"/>
      <c r="G569" s="179"/>
      <c r="H569" s="172"/>
    </row>
    <row r="570" spans="1:8" x14ac:dyDescent="0.25">
      <c r="A570" s="177"/>
      <c r="B570" s="177"/>
      <c r="C570" s="177"/>
      <c r="D570" s="177"/>
      <c r="E570" s="181"/>
      <c r="F570" s="177"/>
      <c r="G570" s="179"/>
      <c r="H570" s="172"/>
    </row>
    <row r="571" spans="1:8" x14ac:dyDescent="0.25">
      <c r="A571" s="177"/>
      <c r="B571" s="177"/>
      <c r="C571" s="177"/>
      <c r="D571" s="177"/>
      <c r="E571" s="181"/>
      <c r="F571" s="177"/>
      <c r="G571" s="179"/>
      <c r="H571" s="172"/>
    </row>
    <row r="572" spans="1:8" x14ac:dyDescent="0.25">
      <c r="A572" s="177"/>
      <c r="B572" s="177"/>
      <c r="C572" s="177"/>
      <c r="D572" s="177"/>
      <c r="E572" s="181"/>
      <c r="F572" s="177"/>
      <c r="G572" s="179"/>
      <c r="H572" s="172"/>
    </row>
    <row r="573" spans="1:8" x14ac:dyDescent="0.25">
      <c r="A573" s="177"/>
      <c r="B573" s="177"/>
      <c r="C573" s="177"/>
      <c r="D573" s="177"/>
      <c r="E573" s="181"/>
      <c r="F573" s="177"/>
      <c r="G573" s="179"/>
      <c r="H573" s="172"/>
    </row>
    <row r="574" spans="1:8" x14ac:dyDescent="0.25">
      <c r="A574" s="177"/>
      <c r="B574" s="177"/>
      <c r="C574" s="177"/>
      <c r="D574" s="177"/>
      <c r="E574" s="181"/>
      <c r="F574" s="177"/>
      <c r="G574" s="179"/>
      <c r="H574" s="172"/>
    </row>
    <row r="575" spans="1:8" x14ac:dyDescent="0.25">
      <c r="A575" s="177"/>
      <c r="B575" s="177"/>
      <c r="C575" s="177"/>
      <c r="D575" s="177"/>
      <c r="E575" s="181"/>
      <c r="F575" s="177"/>
      <c r="G575" s="179"/>
      <c r="H575" s="172"/>
    </row>
    <row r="576" spans="1:8" x14ac:dyDescent="0.25">
      <c r="A576" s="177"/>
      <c r="B576" s="177"/>
      <c r="C576" s="177"/>
      <c r="D576" s="177"/>
      <c r="E576" s="181"/>
      <c r="F576" s="177"/>
      <c r="G576" s="179"/>
      <c r="H576" s="172"/>
    </row>
    <row r="577" spans="1:8" x14ac:dyDescent="0.25">
      <c r="A577" s="177"/>
      <c r="B577" s="177"/>
      <c r="C577" s="177"/>
      <c r="D577" s="177"/>
      <c r="E577" s="181"/>
      <c r="F577" s="177"/>
      <c r="G577" s="179"/>
      <c r="H577" s="172"/>
    </row>
    <row r="578" spans="1:8" x14ac:dyDescent="0.25">
      <c r="A578" s="177"/>
      <c r="B578" s="177"/>
      <c r="C578" s="177"/>
      <c r="D578" s="177"/>
      <c r="E578" s="181"/>
      <c r="F578" s="177"/>
      <c r="G578" s="179"/>
      <c r="H578" s="172"/>
    </row>
    <row r="579" spans="1:8" x14ac:dyDescent="0.25">
      <c r="A579" s="177"/>
      <c r="B579" s="177"/>
      <c r="C579" s="177"/>
      <c r="D579" s="177"/>
      <c r="E579" s="181"/>
      <c r="F579" s="177"/>
      <c r="G579" s="179"/>
      <c r="H579" s="172"/>
    </row>
    <row r="580" spans="1:8" x14ac:dyDescent="0.25">
      <c r="A580" s="177"/>
      <c r="B580" s="177"/>
      <c r="C580" s="177"/>
      <c r="D580" s="177"/>
      <c r="E580" s="181"/>
      <c r="F580" s="177"/>
      <c r="G580" s="179"/>
      <c r="H580" s="172"/>
    </row>
    <row r="581" spans="1:8" x14ac:dyDescent="0.25">
      <c r="A581" s="177"/>
      <c r="B581" s="177"/>
      <c r="C581" s="177"/>
      <c r="D581" s="177"/>
      <c r="E581" s="181"/>
      <c r="F581" s="177"/>
      <c r="G581" s="179"/>
      <c r="H581" s="172"/>
    </row>
    <row r="582" spans="1:8" x14ac:dyDescent="0.25">
      <c r="A582" s="177"/>
      <c r="B582" s="177"/>
      <c r="C582" s="177"/>
      <c r="D582" s="177"/>
      <c r="E582" s="181"/>
      <c r="F582" s="177"/>
      <c r="G582" s="179"/>
      <c r="H582" s="172"/>
    </row>
    <row r="583" spans="1:8" x14ac:dyDescent="0.25">
      <c r="A583" s="177"/>
      <c r="B583" s="177"/>
      <c r="C583" s="177"/>
      <c r="D583" s="177"/>
      <c r="E583" s="181"/>
      <c r="F583" s="177"/>
      <c r="G583" s="179"/>
      <c r="H583" s="172"/>
    </row>
    <row r="584" spans="1:8" x14ac:dyDescent="0.25">
      <c r="A584" s="177"/>
      <c r="B584" s="177"/>
      <c r="C584" s="177"/>
      <c r="D584" s="177"/>
      <c r="E584" s="181"/>
      <c r="F584" s="177"/>
      <c r="G584" s="179"/>
      <c r="H584" s="172"/>
    </row>
    <row r="585" spans="1:8" x14ac:dyDescent="0.25">
      <c r="A585" s="177"/>
      <c r="B585" s="177"/>
      <c r="C585" s="177"/>
      <c r="D585" s="177"/>
      <c r="E585" s="181"/>
      <c r="F585" s="177"/>
      <c r="G585" s="179"/>
      <c r="H585" s="172"/>
    </row>
    <row r="586" spans="1:8" x14ac:dyDescent="0.25">
      <c r="A586" s="177"/>
      <c r="B586" s="177"/>
      <c r="C586" s="177"/>
      <c r="D586" s="177"/>
      <c r="E586" s="181"/>
      <c r="F586" s="177"/>
      <c r="G586" s="179"/>
      <c r="H586" s="172"/>
    </row>
    <row r="587" spans="1:8" x14ac:dyDescent="0.25">
      <c r="A587" s="177"/>
      <c r="B587" s="177"/>
      <c r="C587" s="177"/>
      <c r="D587" s="177"/>
      <c r="E587" s="181"/>
      <c r="F587" s="177"/>
      <c r="G587" s="179"/>
      <c r="H587" s="172"/>
    </row>
    <row r="588" spans="1:8" x14ac:dyDescent="0.25">
      <c r="A588" s="177"/>
      <c r="B588" s="177"/>
      <c r="C588" s="177"/>
      <c r="D588" s="177"/>
      <c r="E588" s="181"/>
      <c r="F588" s="177"/>
      <c r="G588" s="179"/>
      <c r="H588" s="172"/>
    </row>
    <row r="589" spans="1:8" x14ac:dyDescent="0.25">
      <c r="A589" s="177"/>
      <c r="B589" s="177"/>
      <c r="C589" s="177"/>
      <c r="D589" s="177"/>
      <c r="E589" s="181"/>
      <c r="F589" s="177"/>
      <c r="G589" s="179"/>
      <c r="H589" s="172"/>
    </row>
    <row r="590" spans="1:8" x14ac:dyDescent="0.25">
      <c r="A590" s="177"/>
      <c r="B590" s="177"/>
      <c r="C590" s="177"/>
      <c r="D590" s="177"/>
      <c r="E590" s="181"/>
      <c r="F590" s="177"/>
      <c r="G590" s="179"/>
      <c r="H590" s="172"/>
    </row>
    <row r="591" spans="1:8" x14ac:dyDescent="0.25">
      <c r="A591" s="177"/>
      <c r="B591" s="177"/>
      <c r="C591" s="177"/>
      <c r="D591" s="177"/>
      <c r="E591" s="181"/>
      <c r="F591" s="177"/>
      <c r="G591" s="179"/>
      <c r="H591" s="172"/>
    </row>
    <row r="592" spans="1:8" x14ac:dyDescent="0.25">
      <c r="A592" s="177"/>
      <c r="B592" s="177"/>
      <c r="C592" s="177"/>
      <c r="D592" s="177"/>
      <c r="E592" s="181"/>
      <c r="F592" s="177"/>
      <c r="G592" s="179"/>
      <c r="H592" s="172"/>
    </row>
    <row r="593" spans="1:8" x14ac:dyDescent="0.25">
      <c r="A593" s="177"/>
      <c r="B593" s="177"/>
      <c r="C593" s="177"/>
      <c r="D593" s="177"/>
      <c r="E593" s="181"/>
      <c r="F593" s="177"/>
      <c r="G593" s="179"/>
      <c r="H593" s="172"/>
    </row>
    <row r="594" spans="1:8" x14ac:dyDescent="0.25">
      <c r="A594" s="177"/>
      <c r="B594" s="177"/>
      <c r="C594" s="177"/>
      <c r="D594" s="177"/>
      <c r="E594" s="181"/>
      <c r="F594" s="177"/>
      <c r="G594" s="179"/>
      <c r="H594" s="172"/>
    </row>
    <row r="595" spans="1:8" x14ac:dyDescent="0.25">
      <c r="A595" s="177"/>
      <c r="B595" s="177"/>
      <c r="C595" s="177"/>
      <c r="D595" s="177"/>
      <c r="E595" s="181"/>
      <c r="F595" s="177"/>
      <c r="G595" s="179"/>
      <c r="H595" s="172"/>
    </row>
    <row r="596" spans="1:8" x14ac:dyDescent="0.25">
      <c r="A596" s="177"/>
      <c r="B596" s="177"/>
      <c r="C596" s="177"/>
      <c r="D596" s="177"/>
      <c r="E596" s="181"/>
      <c r="F596" s="177"/>
      <c r="G596" s="179"/>
      <c r="H596" s="172"/>
    </row>
    <row r="597" spans="1:8" x14ac:dyDescent="0.25">
      <c r="A597" s="177"/>
      <c r="B597" s="177"/>
      <c r="C597" s="177"/>
      <c r="D597" s="177"/>
      <c r="E597" s="181"/>
      <c r="F597" s="177"/>
      <c r="G597" s="179"/>
      <c r="H597" s="172"/>
    </row>
    <row r="598" spans="1:8" x14ac:dyDescent="0.25">
      <c r="A598" s="177"/>
      <c r="B598" s="177"/>
      <c r="C598" s="177"/>
      <c r="D598" s="177"/>
      <c r="E598" s="181"/>
      <c r="F598" s="177"/>
      <c r="G598" s="179"/>
      <c r="H598" s="172"/>
    </row>
    <row r="599" spans="1:8" x14ac:dyDescent="0.25">
      <c r="A599" s="177"/>
      <c r="B599" s="177"/>
      <c r="C599" s="177"/>
      <c r="D599" s="177"/>
      <c r="E599" s="181"/>
      <c r="F599" s="177"/>
      <c r="G599" s="179"/>
      <c r="H599" s="172"/>
    </row>
    <row r="600" spans="1:8" x14ac:dyDescent="0.25">
      <c r="A600" s="177"/>
      <c r="B600" s="177"/>
      <c r="C600" s="177"/>
      <c r="D600" s="177"/>
      <c r="E600" s="181"/>
      <c r="F600" s="177"/>
      <c r="G600" s="179"/>
      <c r="H600" s="172"/>
    </row>
    <row r="601" spans="1:8" x14ac:dyDescent="0.25">
      <c r="A601" s="177"/>
      <c r="B601" s="177"/>
      <c r="C601" s="177"/>
      <c r="D601" s="177"/>
      <c r="E601" s="181"/>
      <c r="F601" s="177"/>
      <c r="G601" s="179"/>
      <c r="H601" s="172"/>
    </row>
    <row r="602" spans="1:8" x14ac:dyDescent="0.25">
      <c r="A602" s="177"/>
      <c r="B602" s="177"/>
      <c r="C602" s="177"/>
      <c r="D602" s="177"/>
      <c r="E602" s="181"/>
      <c r="F602" s="177"/>
      <c r="G602" s="179"/>
      <c r="H602" s="172"/>
    </row>
    <row r="603" spans="1:8" x14ac:dyDescent="0.25">
      <c r="A603" s="177"/>
      <c r="B603" s="177"/>
      <c r="C603" s="177"/>
      <c r="D603" s="177"/>
      <c r="E603" s="181"/>
      <c r="F603" s="177"/>
      <c r="G603" s="179"/>
      <c r="H603" s="172"/>
    </row>
    <row r="604" spans="1:8" x14ac:dyDescent="0.25">
      <c r="A604" s="177"/>
      <c r="B604" s="177"/>
      <c r="C604" s="177"/>
      <c r="D604" s="177"/>
      <c r="E604" s="181"/>
      <c r="F604" s="177"/>
      <c r="G604" s="179"/>
      <c r="H604" s="172"/>
    </row>
    <row r="605" spans="1:8" x14ac:dyDescent="0.25">
      <c r="A605" s="177"/>
      <c r="B605" s="177"/>
      <c r="C605" s="177"/>
      <c r="D605" s="177"/>
      <c r="E605" s="181"/>
      <c r="F605" s="177"/>
      <c r="G605" s="179"/>
      <c r="H605" s="172"/>
    </row>
    <row r="606" spans="1:8" x14ac:dyDescent="0.25">
      <c r="A606" s="177"/>
      <c r="B606" s="177"/>
      <c r="C606" s="177"/>
      <c r="D606" s="177"/>
      <c r="E606" s="181"/>
      <c r="F606" s="177"/>
      <c r="G606" s="179"/>
      <c r="H606" s="172"/>
    </row>
    <row r="607" spans="1:8" x14ac:dyDescent="0.25">
      <c r="A607" s="177"/>
      <c r="B607" s="177"/>
      <c r="C607" s="177"/>
      <c r="D607" s="177"/>
      <c r="E607" s="181"/>
      <c r="F607" s="177"/>
      <c r="G607" s="179"/>
      <c r="H607" s="172"/>
    </row>
    <row r="608" spans="1:8" x14ac:dyDescent="0.25">
      <c r="A608" s="177"/>
      <c r="B608" s="177"/>
      <c r="C608" s="177"/>
      <c r="D608" s="177"/>
      <c r="E608" s="181"/>
      <c r="F608" s="177"/>
      <c r="G608" s="179"/>
      <c r="H608" s="172"/>
    </row>
    <row r="609" spans="1:8" x14ac:dyDescent="0.25">
      <c r="A609" s="177"/>
      <c r="B609" s="177"/>
      <c r="C609" s="177"/>
      <c r="D609" s="177"/>
      <c r="E609" s="181"/>
      <c r="F609" s="177"/>
      <c r="G609" s="179"/>
      <c r="H609" s="172"/>
    </row>
    <row r="610" spans="1:8" x14ac:dyDescent="0.25">
      <c r="A610" s="177"/>
      <c r="B610" s="177"/>
      <c r="C610" s="177"/>
      <c r="D610" s="177"/>
      <c r="E610" s="181"/>
      <c r="F610" s="177"/>
      <c r="G610" s="179"/>
      <c r="H610" s="172"/>
    </row>
    <row r="611" spans="1:8" x14ac:dyDescent="0.25">
      <c r="A611" s="177"/>
      <c r="B611" s="177"/>
      <c r="C611" s="177"/>
      <c r="D611" s="177"/>
      <c r="E611" s="181"/>
      <c r="F611" s="177"/>
      <c r="G611" s="179"/>
      <c r="H611" s="172"/>
    </row>
    <row r="612" spans="1:8" x14ac:dyDescent="0.25">
      <c r="A612" s="177"/>
      <c r="B612" s="177"/>
      <c r="C612" s="177"/>
      <c r="D612" s="177"/>
      <c r="E612" s="181"/>
      <c r="F612" s="177"/>
      <c r="G612" s="179"/>
      <c r="H612" s="172"/>
    </row>
    <row r="613" spans="1:8" x14ac:dyDescent="0.25">
      <c r="A613" s="177"/>
      <c r="B613" s="177"/>
      <c r="C613" s="177"/>
      <c r="D613" s="177"/>
      <c r="E613" s="181"/>
      <c r="F613" s="177"/>
      <c r="G613" s="179"/>
      <c r="H613" s="172"/>
    </row>
    <row r="614" spans="1:8" x14ac:dyDescent="0.25">
      <c r="A614" s="177"/>
      <c r="B614" s="177"/>
      <c r="C614" s="177"/>
      <c r="D614" s="177"/>
      <c r="E614" s="181"/>
      <c r="F614" s="177"/>
      <c r="G614" s="179"/>
      <c r="H614" s="172"/>
    </row>
    <row r="615" spans="1:8" x14ac:dyDescent="0.25">
      <c r="A615" s="177"/>
      <c r="B615" s="177"/>
      <c r="C615" s="177"/>
      <c r="D615" s="177"/>
      <c r="E615" s="181"/>
      <c r="F615" s="177"/>
      <c r="G615" s="179"/>
      <c r="H615" s="172"/>
    </row>
    <row r="616" spans="1:8" x14ac:dyDescent="0.25">
      <c r="A616" s="177"/>
      <c r="B616" s="177"/>
      <c r="C616" s="177"/>
      <c r="D616" s="177"/>
      <c r="E616" s="181"/>
      <c r="F616" s="177"/>
      <c r="G616" s="179"/>
      <c r="H616" s="172"/>
    </row>
    <row r="617" spans="1:8" x14ac:dyDescent="0.25">
      <c r="A617" s="177"/>
      <c r="B617" s="177"/>
      <c r="C617" s="177"/>
      <c r="D617" s="177"/>
      <c r="E617" s="181"/>
      <c r="F617" s="177"/>
      <c r="G617" s="179"/>
      <c r="H617" s="172"/>
    </row>
    <row r="618" spans="1:8" x14ac:dyDescent="0.25">
      <c r="A618" s="177"/>
      <c r="B618" s="177"/>
      <c r="C618" s="177"/>
      <c r="D618" s="177"/>
      <c r="E618" s="181"/>
      <c r="F618" s="177"/>
      <c r="G618" s="179"/>
      <c r="H618" s="172"/>
    </row>
    <row r="619" spans="1:8" x14ac:dyDescent="0.25">
      <c r="A619" s="177"/>
      <c r="B619" s="177"/>
      <c r="C619" s="177"/>
      <c r="D619" s="177"/>
      <c r="E619" s="181"/>
      <c r="F619" s="177"/>
      <c r="G619" s="179"/>
      <c r="H619" s="172"/>
    </row>
    <row r="620" spans="1:8" x14ac:dyDescent="0.25">
      <c r="A620" s="177"/>
      <c r="B620" s="177"/>
      <c r="C620" s="177"/>
      <c r="D620" s="177"/>
      <c r="E620" s="181"/>
      <c r="F620" s="177"/>
      <c r="G620" s="179"/>
      <c r="H620" s="172"/>
    </row>
    <row r="621" spans="1:8" x14ac:dyDescent="0.25">
      <c r="A621" s="177"/>
      <c r="B621" s="177"/>
      <c r="C621" s="177"/>
      <c r="D621" s="177"/>
      <c r="E621" s="181"/>
      <c r="F621" s="177"/>
      <c r="G621" s="179"/>
      <c r="H621" s="172"/>
    </row>
    <row r="622" spans="1:8" x14ac:dyDescent="0.25">
      <c r="A622" s="177"/>
      <c r="B622" s="177"/>
      <c r="C622" s="177"/>
      <c r="D622" s="177"/>
      <c r="E622" s="181"/>
      <c r="F622" s="177"/>
      <c r="G622" s="179"/>
      <c r="H622" s="172"/>
    </row>
    <row r="623" spans="1:8" x14ac:dyDescent="0.25">
      <c r="A623" s="177"/>
      <c r="B623" s="177"/>
      <c r="C623" s="177"/>
      <c r="D623" s="177"/>
      <c r="E623" s="181"/>
      <c r="F623" s="177"/>
      <c r="G623" s="179"/>
      <c r="H623" s="172"/>
    </row>
    <row r="624" spans="1:8" x14ac:dyDescent="0.25">
      <c r="A624" s="177"/>
      <c r="B624" s="177"/>
      <c r="C624" s="177"/>
      <c r="D624" s="177"/>
      <c r="E624" s="181"/>
      <c r="F624" s="177"/>
      <c r="G624" s="179"/>
      <c r="H624" s="172"/>
    </row>
    <row r="625" spans="1:8" x14ac:dyDescent="0.25">
      <c r="A625" s="177"/>
      <c r="B625" s="177"/>
      <c r="C625" s="177"/>
      <c r="D625" s="177"/>
      <c r="E625" s="181"/>
      <c r="F625" s="177"/>
      <c r="G625" s="179"/>
      <c r="H625" s="172"/>
    </row>
    <row r="626" spans="1:8" x14ac:dyDescent="0.25">
      <c r="A626" s="177"/>
      <c r="B626" s="177"/>
      <c r="C626" s="177"/>
      <c r="D626" s="177"/>
      <c r="E626" s="181"/>
      <c r="F626" s="177"/>
      <c r="G626" s="179"/>
      <c r="H626" s="172"/>
    </row>
    <row r="627" spans="1:8" x14ac:dyDescent="0.25">
      <c r="A627" s="177"/>
      <c r="B627" s="177"/>
      <c r="C627" s="177"/>
      <c r="D627" s="177"/>
      <c r="E627" s="181"/>
      <c r="F627" s="177"/>
      <c r="G627" s="179"/>
      <c r="H627" s="172"/>
    </row>
    <row r="628" spans="1:8" x14ac:dyDescent="0.25">
      <c r="A628" s="177"/>
      <c r="B628" s="177"/>
      <c r="C628" s="177"/>
      <c r="D628" s="177"/>
      <c r="E628" s="181"/>
      <c r="F628" s="177"/>
      <c r="G628" s="179"/>
      <c r="H628" s="172"/>
    </row>
    <row r="629" spans="1:8" x14ac:dyDescent="0.25">
      <c r="A629" s="177"/>
      <c r="B629" s="177"/>
      <c r="C629" s="177"/>
      <c r="D629" s="177"/>
      <c r="E629" s="181"/>
      <c r="F629" s="177"/>
      <c r="G629" s="179"/>
      <c r="H629" s="172"/>
    </row>
    <row r="630" spans="1:8" x14ac:dyDescent="0.25">
      <c r="A630" s="177"/>
      <c r="B630" s="177"/>
      <c r="C630" s="177"/>
      <c r="D630" s="177"/>
      <c r="E630" s="181"/>
      <c r="F630" s="177"/>
      <c r="G630" s="179"/>
      <c r="H630" s="172"/>
    </row>
    <row r="631" spans="1:8" x14ac:dyDescent="0.25">
      <c r="A631" s="177"/>
      <c r="B631" s="177"/>
      <c r="C631" s="177"/>
      <c r="D631" s="177"/>
      <c r="E631" s="181"/>
      <c r="F631" s="177"/>
      <c r="G631" s="179"/>
      <c r="H631" s="172"/>
    </row>
    <row r="632" spans="1:8" x14ac:dyDescent="0.25">
      <c r="A632" s="177"/>
      <c r="B632" s="177"/>
      <c r="C632" s="177"/>
      <c r="D632" s="177"/>
      <c r="E632" s="181"/>
      <c r="F632" s="177"/>
      <c r="G632" s="179"/>
      <c r="H632" s="172"/>
    </row>
    <row r="633" spans="1:8" x14ac:dyDescent="0.25">
      <c r="A633" s="177"/>
      <c r="B633" s="177"/>
      <c r="C633" s="177"/>
      <c r="D633" s="177"/>
      <c r="E633" s="181"/>
      <c r="F633" s="177"/>
      <c r="G633" s="179"/>
      <c r="H633" s="172"/>
    </row>
    <row r="634" spans="1:8" x14ac:dyDescent="0.25">
      <c r="A634" s="177"/>
      <c r="B634" s="177"/>
      <c r="C634" s="177"/>
      <c r="D634" s="177"/>
      <c r="E634" s="181"/>
      <c r="F634" s="177"/>
      <c r="G634" s="179"/>
      <c r="H634" s="172"/>
    </row>
    <row r="635" spans="1:8" x14ac:dyDescent="0.25">
      <c r="A635" s="177"/>
      <c r="B635" s="177"/>
      <c r="C635" s="177"/>
      <c r="D635" s="177"/>
      <c r="E635" s="181"/>
      <c r="F635" s="177"/>
      <c r="G635" s="179"/>
      <c r="H635" s="172"/>
    </row>
    <row r="636" spans="1:8" x14ac:dyDescent="0.25">
      <c r="A636" s="177"/>
      <c r="B636" s="177"/>
      <c r="C636" s="177"/>
      <c r="D636" s="177"/>
      <c r="E636" s="181"/>
      <c r="F636" s="177"/>
      <c r="G636" s="179"/>
      <c r="H636" s="172"/>
    </row>
    <row r="637" spans="1:8" x14ac:dyDescent="0.25">
      <c r="A637" s="177"/>
      <c r="B637" s="177"/>
      <c r="C637" s="177"/>
      <c r="D637" s="177"/>
      <c r="E637" s="181"/>
      <c r="F637" s="177"/>
      <c r="G637" s="179"/>
      <c r="H637" s="172"/>
    </row>
    <row r="638" spans="1:8" x14ac:dyDescent="0.25">
      <c r="A638" s="177"/>
      <c r="B638" s="177"/>
      <c r="C638" s="177"/>
      <c r="D638" s="177"/>
      <c r="E638" s="181"/>
      <c r="F638" s="177"/>
      <c r="G638" s="179"/>
      <c r="H638" s="172"/>
    </row>
    <row r="639" spans="1:8" x14ac:dyDescent="0.25">
      <c r="A639" s="177"/>
      <c r="B639" s="177"/>
      <c r="C639" s="177"/>
      <c r="D639" s="177"/>
      <c r="E639" s="181"/>
      <c r="F639" s="177"/>
      <c r="G639" s="179"/>
      <c r="H639" s="172"/>
    </row>
    <row r="640" spans="1:8" x14ac:dyDescent="0.25">
      <c r="A640" s="177"/>
      <c r="B640" s="177"/>
      <c r="C640" s="177"/>
      <c r="D640" s="177"/>
      <c r="E640" s="181"/>
      <c r="F640" s="177"/>
      <c r="G640" s="179"/>
      <c r="H640" s="172"/>
    </row>
    <row r="641" spans="1:8" x14ac:dyDescent="0.25">
      <c r="A641" s="177"/>
      <c r="B641" s="177"/>
      <c r="C641" s="177"/>
      <c r="D641" s="177"/>
      <c r="E641" s="181"/>
      <c r="F641" s="177"/>
      <c r="G641" s="179"/>
      <c r="H641" s="172"/>
    </row>
    <row r="642" spans="1:8" x14ac:dyDescent="0.25">
      <c r="A642" s="177"/>
      <c r="B642" s="177"/>
      <c r="C642" s="177"/>
      <c r="D642" s="177"/>
      <c r="E642" s="181"/>
      <c r="F642" s="177"/>
      <c r="G642" s="179"/>
      <c r="H642" s="172"/>
    </row>
    <row r="643" spans="1:8" x14ac:dyDescent="0.25">
      <c r="A643" s="177"/>
      <c r="B643" s="177"/>
      <c r="C643" s="177"/>
      <c r="D643" s="177"/>
      <c r="E643" s="181"/>
      <c r="F643" s="177"/>
      <c r="G643" s="179"/>
      <c r="H643" s="172"/>
    </row>
    <row r="644" spans="1:8" x14ac:dyDescent="0.25">
      <c r="A644" s="177"/>
      <c r="B644" s="177"/>
      <c r="C644" s="177"/>
      <c r="D644" s="177"/>
      <c r="E644" s="181"/>
      <c r="F644" s="177"/>
      <c r="G644" s="179"/>
      <c r="H644" s="172"/>
    </row>
    <row r="645" spans="1:8" x14ac:dyDescent="0.25">
      <c r="A645" s="177"/>
      <c r="B645" s="177"/>
      <c r="C645" s="177"/>
      <c r="D645" s="177"/>
      <c r="E645" s="181"/>
      <c r="F645" s="177"/>
      <c r="G645" s="179"/>
      <c r="H645" s="172"/>
    </row>
    <row r="646" spans="1:8" x14ac:dyDescent="0.25">
      <c r="A646" s="177"/>
      <c r="B646" s="177"/>
      <c r="C646" s="177"/>
      <c r="D646" s="177"/>
      <c r="E646" s="181"/>
      <c r="F646" s="177"/>
      <c r="G646" s="179"/>
      <c r="H646" s="172"/>
    </row>
    <row r="647" spans="1:8" x14ac:dyDescent="0.25">
      <c r="A647" s="177"/>
      <c r="B647" s="177"/>
      <c r="C647" s="177"/>
      <c r="D647" s="177"/>
      <c r="E647" s="181"/>
      <c r="F647" s="177"/>
      <c r="G647" s="179"/>
      <c r="H647" s="172"/>
    </row>
    <row r="648" spans="1:8" x14ac:dyDescent="0.25">
      <c r="A648" s="177"/>
      <c r="B648" s="177"/>
      <c r="C648" s="177"/>
      <c r="D648" s="177"/>
      <c r="E648" s="181"/>
      <c r="F648" s="177"/>
      <c r="G648" s="179"/>
      <c r="H648" s="172"/>
    </row>
    <row r="649" spans="1:8" x14ac:dyDescent="0.25">
      <c r="A649" s="177"/>
      <c r="B649" s="177"/>
      <c r="C649" s="177"/>
      <c r="D649" s="177"/>
      <c r="E649" s="181"/>
      <c r="F649" s="177"/>
      <c r="G649" s="179"/>
      <c r="H649" s="172"/>
    </row>
    <row r="650" spans="1:8" x14ac:dyDescent="0.25">
      <c r="A650" s="177"/>
      <c r="B650" s="177"/>
      <c r="C650" s="177"/>
      <c r="D650" s="177"/>
      <c r="E650" s="181"/>
      <c r="F650" s="177"/>
      <c r="G650" s="179"/>
      <c r="H650" s="172"/>
    </row>
    <row r="651" spans="1:8" x14ac:dyDescent="0.25">
      <c r="A651" s="177"/>
      <c r="B651" s="177"/>
      <c r="C651" s="177"/>
      <c r="D651" s="177"/>
      <c r="E651" s="181"/>
      <c r="F651" s="177"/>
      <c r="G651" s="179"/>
      <c r="H651" s="172"/>
    </row>
    <row r="652" spans="1:8" x14ac:dyDescent="0.25">
      <c r="A652" s="177"/>
      <c r="B652" s="177"/>
      <c r="C652" s="177"/>
      <c r="D652" s="177"/>
      <c r="E652" s="181"/>
      <c r="F652" s="177"/>
      <c r="G652" s="179"/>
      <c r="H652" s="172"/>
    </row>
    <row r="653" spans="1:8" x14ac:dyDescent="0.25">
      <c r="A653" s="177"/>
      <c r="B653" s="177"/>
      <c r="C653" s="177"/>
      <c r="D653" s="177"/>
      <c r="E653" s="181"/>
      <c r="F653" s="177"/>
      <c r="G653" s="179"/>
      <c r="H653" s="172"/>
    </row>
    <row r="654" spans="1:8" x14ac:dyDescent="0.25">
      <c r="A654" s="177"/>
      <c r="B654" s="177"/>
      <c r="C654" s="177"/>
      <c r="D654" s="177"/>
      <c r="E654" s="181"/>
      <c r="F654" s="177"/>
      <c r="G654" s="179"/>
      <c r="H654" s="172"/>
    </row>
    <row r="655" spans="1:8" x14ac:dyDescent="0.25">
      <c r="A655" s="177"/>
      <c r="B655" s="177"/>
      <c r="C655" s="177"/>
      <c r="D655" s="177"/>
      <c r="E655" s="181"/>
      <c r="F655" s="177"/>
      <c r="G655" s="179"/>
      <c r="H655" s="172"/>
    </row>
    <row r="656" spans="1:8" x14ac:dyDescent="0.25">
      <c r="A656" s="177"/>
      <c r="B656" s="177"/>
      <c r="C656" s="177"/>
      <c r="D656" s="177"/>
      <c r="E656" s="181"/>
      <c r="F656" s="177"/>
      <c r="G656" s="179"/>
      <c r="H656" s="172"/>
    </row>
    <row r="657" spans="1:8" x14ac:dyDescent="0.25">
      <c r="A657" s="177"/>
      <c r="B657" s="177"/>
      <c r="C657" s="177"/>
      <c r="D657" s="177"/>
      <c r="E657" s="181"/>
      <c r="F657" s="177"/>
      <c r="G657" s="179"/>
      <c r="H657" s="172"/>
    </row>
    <row r="658" spans="1:8" x14ac:dyDescent="0.25">
      <c r="A658" s="177"/>
      <c r="B658" s="177"/>
      <c r="C658" s="177"/>
      <c r="D658" s="177"/>
      <c r="E658" s="181"/>
      <c r="F658" s="177"/>
      <c r="G658" s="179"/>
      <c r="H658" s="172"/>
    </row>
    <row r="659" spans="1:8" x14ac:dyDescent="0.25">
      <c r="A659" s="177"/>
      <c r="B659" s="177"/>
      <c r="C659" s="177"/>
      <c r="D659" s="177"/>
      <c r="E659" s="181"/>
      <c r="F659" s="177"/>
      <c r="G659" s="179"/>
      <c r="H659" s="172"/>
    </row>
    <row r="660" spans="1:8" x14ac:dyDescent="0.25">
      <c r="A660" s="177"/>
      <c r="B660" s="177"/>
      <c r="C660" s="177"/>
      <c r="D660" s="177"/>
      <c r="E660" s="181"/>
      <c r="F660" s="177"/>
      <c r="G660" s="179"/>
      <c r="H660" s="172"/>
    </row>
    <row r="661" spans="1:8" x14ac:dyDescent="0.25">
      <c r="A661" s="177"/>
      <c r="B661" s="177"/>
      <c r="C661" s="177"/>
      <c r="D661" s="177"/>
      <c r="E661" s="181"/>
      <c r="F661" s="177"/>
      <c r="G661" s="179"/>
      <c r="H661" s="172"/>
    </row>
    <row r="662" spans="1:8" x14ac:dyDescent="0.25">
      <c r="A662" s="177"/>
      <c r="B662" s="177"/>
      <c r="C662" s="177"/>
      <c r="D662" s="177"/>
      <c r="E662" s="181"/>
      <c r="F662" s="177"/>
      <c r="G662" s="179"/>
      <c r="H662" s="172"/>
    </row>
    <row r="663" spans="1:8" x14ac:dyDescent="0.25">
      <c r="A663" s="177"/>
      <c r="B663" s="177"/>
      <c r="C663" s="177"/>
      <c r="D663" s="177"/>
      <c r="E663" s="181"/>
      <c r="F663" s="177"/>
      <c r="G663" s="179"/>
      <c r="H663" s="172"/>
    </row>
    <row r="664" spans="1:8" x14ac:dyDescent="0.25">
      <c r="A664" s="177"/>
      <c r="B664" s="177"/>
      <c r="C664" s="177"/>
      <c r="D664" s="177"/>
      <c r="E664" s="181"/>
      <c r="F664" s="177"/>
      <c r="G664" s="179"/>
      <c r="H664" s="172"/>
    </row>
    <row r="665" spans="1:8" x14ac:dyDescent="0.25">
      <c r="A665" s="177"/>
      <c r="B665" s="177"/>
      <c r="C665" s="177"/>
      <c r="D665" s="177"/>
      <c r="E665" s="181"/>
      <c r="F665" s="177"/>
      <c r="G665" s="179"/>
      <c r="H665" s="172"/>
    </row>
    <row r="666" spans="1:8" x14ac:dyDescent="0.25">
      <c r="A666" s="177"/>
      <c r="B666" s="177"/>
      <c r="C666" s="177"/>
      <c r="D666" s="177"/>
      <c r="E666" s="181"/>
      <c r="F666" s="177"/>
      <c r="G666" s="179"/>
      <c r="H666" s="172"/>
    </row>
    <row r="667" spans="1:8" x14ac:dyDescent="0.25">
      <c r="A667" s="177"/>
      <c r="B667" s="177"/>
      <c r="C667" s="177"/>
      <c r="D667" s="177"/>
      <c r="E667" s="181"/>
      <c r="F667" s="177"/>
      <c r="G667" s="179"/>
      <c r="H667" s="172"/>
    </row>
    <row r="668" spans="1:8" x14ac:dyDescent="0.25">
      <c r="A668" s="177"/>
      <c r="B668" s="177"/>
      <c r="C668" s="177"/>
      <c r="D668" s="177"/>
      <c r="E668" s="181"/>
      <c r="F668" s="177"/>
      <c r="G668" s="179"/>
      <c r="H668" s="172"/>
    </row>
    <row r="669" spans="1:8" x14ac:dyDescent="0.25">
      <c r="A669" s="177"/>
      <c r="B669" s="177"/>
      <c r="C669" s="177"/>
      <c r="D669" s="177"/>
      <c r="E669" s="181"/>
      <c r="F669" s="177"/>
      <c r="G669" s="179"/>
      <c r="H669" s="172"/>
    </row>
    <row r="670" spans="1:8" x14ac:dyDescent="0.25">
      <c r="A670" s="177"/>
      <c r="B670" s="177"/>
      <c r="C670" s="177"/>
      <c r="D670" s="177"/>
      <c r="E670" s="181"/>
      <c r="F670" s="177"/>
      <c r="G670" s="179"/>
      <c r="H670" s="172"/>
    </row>
    <row r="671" spans="1:8" x14ac:dyDescent="0.25">
      <c r="A671" s="177"/>
      <c r="B671" s="177"/>
      <c r="C671" s="177"/>
      <c r="D671" s="177"/>
      <c r="E671" s="181"/>
      <c r="F671" s="177"/>
      <c r="G671" s="179"/>
      <c r="H671" s="172"/>
    </row>
    <row r="672" spans="1:8" x14ac:dyDescent="0.25">
      <c r="A672" s="177"/>
      <c r="B672" s="177"/>
      <c r="C672" s="177"/>
      <c r="D672" s="177"/>
      <c r="E672" s="181"/>
      <c r="F672" s="177"/>
      <c r="G672" s="179"/>
      <c r="H672" s="172"/>
    </row>
    <row r="673" spans="1:8" x14ac:dyDescent="0.25">
      <c r="A673" s="177"/>
      <c r="B673" s="177"/>
      <c r="C673" s="177"/>
      <c r="D673" s="177"/>
      <c r="E673" s="181"/>
      <c r="F673" s="177"/>
      <c r="G673" s="179"/>
      <c r="H673" s="172"/>
    </row>
    <row r="674" spans="1:8" x14ac:dyDescent="0.25">
      <c r="A674" s="177"/>
      <c r="B674" s="177"/>
      <c r="C674" s="177"/>
      <c r="D674" s="177"/>
      <c r="E674" s="181"/>
      <c r="F674" s="177"/>
      <c r="G674" s="179"/>
      <c r="H674" s="172"/>
    </row>
    <row r="675" spans="1:8" x14ac:dyDescent="0.25">
      <c r="A675" s="177"/>
      <c r="B675" s="177"/>
      <c r="C675" s="177"/>
      <c r="D675" s="177"/>
      <c r="E675" s="181"/>
      <c r="F675" s="177"/>
      <c r="G675" s="179"/>
      <c r="H675" s="172"/>
    </row>
    <row r="676" spans="1:8" x14ac:dyDescent="0.25">
      <c r="A676" s="177"/>
      <c r="B676" s="177"/>
      <c r="C676" s="177"/>
      <c r="D676" s="177"/>
      <c r="E676" s="181"/>
      <c r="F676" s="177"/>
      <c r="G676" s="179"/>
      <c r="H676" s="172"/>
    </row>
    <row r="677" spans="1:8" x14ac:dyDescent="0.25">
      <c r="A677" s="177"/>
      <c r="B677" s="177"/>
      <c r="C677" s="177"/>
      <c r="D677" s="177"/>
      <c r="E677" s="181"/>
      <c r="F677" s="177"/>
      <c r="G677" s="179"/>
      <c r="H677" s="172"/>
    </row>
    <row r="678" spans="1:8" x14ac:dyDescent="0.25">
      <c r="A678" s="177"/>
      <c r="B678" s="177"/>
      <c r="C678" s="177"/>
      <c r="D678" s="177"/>
      <c r="E678" s="181"/>
      <c r="F678" s="177"/>
      <c r="G678" s="179"/>
      <c r="H678" s="172"/>
    </row>
    <row r="679" spans="1:8" x14ac:dyDescent="0.25">
      <c r="A679" s="177"/>
      <c r="B679" s="177"/>
      <c r="C679" s="177"/>
      <c r="D679" s="177"/>
      <c r="E679" s="181"/>
      <c r="F679" s="177"/>
      <c r="G679" s="179"/>
      <c r="H679" s="172"/>
    </row>
    <row r="680" spans="1:8" x14ac:dyDescent="0.25">
      <c r="A680" s="177"/>
      <c r="B680" s="177"/>
      <c r="C680" s="177"/>
      <c r="D680" s="177"/>
      <c r="E680" s="181"/>
      <c r="F680" s="177"/>
      <c r="G680" s="179"/>
      <c r="H680" s="180"/>
    </row>
    <row r="681" spans="1:8" x14ac:dyDescent="0.25">
      <c r="A681" s="177"/>
      <c r="B681" s="177"/>
      <c r="C681" s="177"/>
      <c r="D681" s="177"/>
      <c r="E681" s="181"/>
      <c r="F681" s="177"/>
      <c r="G681" s="179"/>
      <c r="H681" s="180"/>
    </row>
    <row r="682" spans="1:8" x14ac:dyDescent="0.25">
      <c r="A682" s="177"/>
      <c r="B682" s="177"/>
      <c r="C682" s="177"/>
      <c r="D682" s="177"/>
      <c r="E682" s="181"/>
      <c r="F682" s="177"/>
      <c r="G682" s="179"/>
      <c r="H682" s="180"/>
    </row>
    <row r="683" spans="1:8" x14ac:dyDescent="0.25">
      <c r="A683" s="177"/>
      <c r="B683" s="177"/>
      <c r="C683" s="177"/>
      <c r="D683" s="177"/>
      <c r="E683" s="181"/>
      <c r="F683" s="177"/>
      <c r="G683" s="179"/>
      <c r="H683" s="180"/>
    </row>
    <row r="684" spans="1:8" x14ac:dyDescent="0.25">
      <c r="A684" s="177"/>
      <c r="B684" s="177"/>
      <c r="C684" s="177"/>
      <c r="D684" s="177"/>
      <c r="E684" s="181"/>
      <c r="F684" s="177"/>
      <c r="G684" s="179"/>
      <c r="H684" s="180"/>
    </row>
    <row r="685" spans="1:8" x14ac:dyDescent="0.25">
      <c r="A685" s="177"/>
      <c r="B685" s="177"/>
      <c r="C685" s="177"/>
      <c r="D685" s="177"/>
      <c r="E685" s="181"/>
      <c r="F685" s="177"/>
      <c r="G685" s="179"/>
      <c r="H685" s="180"/>
    </row>
    <row r="686" spans="1:8" x14ac:dyDescent="0.25">
      <c r="A686" s="177"/>
      <c r="B686" s="177"/>
      <c r="C686" s="177"/>
      <c r="D686" s="177"/>
      <c r="E686" s="181"/>
      <c r="F686" s="177"/>
      <c r="G686" s="179"/>
      <c r="H686" s="180"/>
    </row>
    <row r="687" spans="1:8" x14ac:dyDescent="0.25">
      <c r="A687" s="177"/>
      <c r="B687" s="177"/>
      <c r="C687" s="177"/>
      <c r="D687" s="177"/>
      <c r="E687" s="181"/>
      <c r="F687" s="177"/>
      <c r="G687" s="179"/>
      <c r="H687" s="180"/>
    </row>
    <row r="688" spans="1:8" x14ac:dyDescent="0.25">
      <c r="A688" s="177"/>
      <c r="B688" s="177"/>
      <c r="C688" s="177"/>
      <c r="D688" s="177"/>
      <c r="E688" s="181"/>
      <c r="F688" s="177"/>
      <c r="G688" s="179"/>
      <c r="H688" s="180"/>
    </row>
    <row r="689" spans="1:8" x14ac:dyDescent="0.25">
      <c r="A689" s="177"/>
      <c r="B689" s="177"/>
      <c r="C689" s="177"/>
      <c r="D689" s="177"/>
      <c r="E689" s="181"/>
      <c r="F689" s="177"/>
      <c r="G689" s="179"/>
      <c r="H689" s="180"/>
    </row>
    <row r="690" spans="1:8" x14ac:dyDescent="0.25">
      <c r="A690" s="177"/>
      <c r="B690" s="177"/>
      <c r="C690" s="177"/>
      <c r="D690" s="177"/>
      <c r="E690" s="181"/>
      <c r="F690" s="177"/>
      <c r="G690" s="179"/>
      <c r="H690" s="180"/>
    </row>
    <row r="691" spans="1:8" x14ac:dyDescent="0.25">
      <c r="A691" s="177"/>
      <c r="B691" s="177"/>
      <c r="C691" s="177"/>
      <c r="D691" s="177"/>
      <c r="E691" s="181"/>
      <c r="F691" s="177"/>
      <c r="G691" s="179"/>
      <c r="H691" s="180"/>
    </row>
    <row r="692" spans="1:8" x14ac:dyDescent="0.25">
      <c r="A692" s="177"/>
      <c r="B692" s="177"/>
      <c r="C692" s="177"/>
      <c r="D692" s="177"/>
      <c r="E692" s="181"/>
      <c r="F692" s="177"/>
      <c r="G692" s="179"/>
      <c r="H692" s="180"/>
    </row>
    <row r="693" spans="1:8" x14ac:dyDescent="0.25">
      <c r="A693" s="177"/>
      <c r="B693" s="177"/>
      <c r="C693" s="177"/>
      <c r="D693" s="177"/>
      <c r="E693" s="181"/>
      <c r="F693" s="177"/>
      <c r="G693" s="179"/>
      <c r="H693" s="180"/>
    </row>
    <row r="694" spans="1:8" x14ac:dyDescent="0.25">
      <c r="A694" s="177"/>
      <c r="B694" s="177"/>
      <c r="C694" s="177"/>
      <c r="D694" s="177"/>
      <c r="E694" s="181"/>
      <c r="F694" s="177"/>
      <c r="G694" s="179"/>
      <c r="H694" s="180"/>
    </row>
    <row r="695" spans="1:8" x14ac:dyDescent="0.25">
      <c r="A695" s="177"/>
      <c r="B695" s="177"/>
      <c r="C695" s="177"/>
      <c r="D695" s="177"/>
      <c r="E695" s="181"/>
      <c r="F695" s="177"/>
      <c r="G695" s="179"/>
      <c r="H695" s="180"/>
    </row>
    <row r="696" spans="1:8" x14ac:dyDescent="0.25">
      <c r="A696" s="177"/>
      <c r="B696" s="177"/>
      <c r="C696" s="177"/>
      <c r="D696" s="177"/>
      <c r="E696" s="181"/>
      <c r="F696" s="177"/>
      <c r="G696" s="179"/>
      <c r="H696" s="180"/>
    </row>
    <row r="697" spans="1:8" x14ac:dyDescent="0.25">
      <c r="A697" s="177"/>
      <c r="B697" s="177"/>
      <c r="C697" s="177"/>
      <c r="D697" s="177"/>
      <c r="E697" s="181"/>
      <c r="F697" s="177"/>
      <c r="G697" s="179"/>
      <c r="H697" s="180"/>
    </row>
    <row r="698" spans="1:8" x14ac:dyDescent="0.25">
      <c r="A698" s="177"/>
      <c r="B698" s="177"/>
      <c r="C698" s="177"/>
      <c r="D698" s="177"/>
      <c r="E698" s="181"/>
      <c r="F698" s="177"/>
      <c r="G698" s="179"/>
      <c r="H698" s="180"/>
    </row>
    <row r="699" spans="1:8" x14ac:dyDescent="0.25">
      <c r="A699" s="177"/>
      <c r="B699" s="177"/>
      <c r="C699" s="177"/>
      <c r="D699" s="177"/>
      <c r="E699" s="181"/>
      <c r="F699" s="177"/>
      <c r="G699" s="179"/>
      <c r="H699" s="180"/>
    </row>
    <row r="700" spans="1:8" x14ac:dyDescent="0.25">
      <c r="A700" s="177"/>
      <c r="B700" s="177"/>
      <c r="C700" s="177"/>
      <c r="D700" s="177"/>
      <c r="E700" s="181"/>
      <c r="F700" s="177"/>
      <c r="G700" s="179"/>
      <c r="H700" s="180"/>
    </row>
    <row r="701" spans="1:8" x14ac:dyDescent="0.25">
      <c r="A701" s="177"/>
      <c r="B701" s="177"/>
      <c r="C701" s="177"/>
      <c r="D701" s="177"/>
      <c r="E701" s="181"/>
      <c r="F701" s="177"/>
      <c r="G701" s="179"/>
      <c r="H701" s="180"/>
    </row>
    <row r="702" spans="1:8" x14ac:dyDescent="0.25">
      <c r="A702" s="177"/>
      <c r="B702" s="177"/>
      <c r="C702" s="177"/>
      <c r="D702" s="177"/>
      <c r="E702" s="181"/>
      <c r="F702" s="177"/>
      <c r="G702" s="179"/>
      <c r="H702" s="180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73" fitToHeight="2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37BEB-67C7-4FC0-852C-5A00CFE0786F}">
  <sheetPr>
    <pageSetUpPr fitToPage="1"/>
  </sheetPr>
  <dimension ref="A1:L90"/>
  <sheetViews>
    <sheetView tabSelected="1" topLeftCell="A76" zoomScaleNormal="100" workbookViewId="0">
      <selection activeCell="F22" sqref="F22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8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8" x14ac:dyDescent="0.2">
      <c r="A2" s="1"/>
      <c r="B2" s="2"/>
      <c r="C2" s="3"/>
      <c r="D2" s="3"/>
      <c r="E2" s="3"/>
      <c r="F2" s="4"/>
      <c r="G2" s="3"/>
      <c r="H2" s="5"/>
    </row>
    <row r="3" spans="1:8" x14ac:dyDescent="0.2">
      <c r="A3" s="1"/>
      <c r="B3" s="2"/>
      <c r="C3" s="3"/>
      <c r="D3" s="3"/>
      <c r="E3" s="3"/>
      <c r="F3" s="4"/>
      <c r="G3" s="3"/>
      <c r="H3" s="5"/>
    </row>
    <row r="4" spans="1:8" x14ac:dyDescent="0.2">
      <c r="A4" s="1" t="s">
        <v>1</v>
      </c>
      <c r="B4" s="1"/>
      <c r="D4" s="6"/>
      <c r="E4" s="6"/>
      <c r="G4" s="6"/>
    </row>
    <row r="5" spans="1:8" x14ac:dyDescent="0.2">
      <c r="A5" s="8"/>
      <c r="B5" s="2"/>
      <c r="C5" s="3"/>
      <c r="D5" s="3"/>
      <c r="E5" s="3"/>
      <c r="F5" s="4"/>
      <c r="G5" s="3"/>
      <c r="H5" s="5"/>
    </row>
    <row r="6" spans="1:8" x14ac:dyDescent="0.2">
      <c r="A6" s="8"/>
      <c r="B6" s="2"/>
      <c r="C6" s="3"/>
      <c r="D6" s="3"/>
      <c r="E6" s="3"/>
      <c r="F6" s="4"/>
      <c r="G6" s="3"/>
      <c r="H6" s="5"/>
    </row>
    <row r="7" spans="1:8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8" x14ac:dyDescent="0.2">
      <c r="A8" s="8"/>
      <c r="B8" s="2"/>
      <c r="C8" s="3"/>
      <c r="D8" s="3"/>
      <c r="E8" s="3"/>
      <c r="F8" s="4"/>
      <c r="G8" s="3"/>
      <c r="H8" s="5"/>
    </row>
    <row r="9" spans="1:8" ht="13.5" customHeight="1" x14ac:dyDescent="0.2">
      <c r="A9" s="10" t="s">
        <v>27464</v>
      </c>
      <c r="B9" s="10"/>
      <c r="C9" s="11"/>
      <c r="D9" s="3"/>
      <c r="E9" s="3"/>
      <c r="F9" s="4"/>
      <c r="G9" s="12" t="s">
        <v>4</v>
      </c>
      <c r="H9" s="13">
        <v>38638.870000000003</v>
      </c>
    </row>
    <row r="10" spans="1:8" x14ac:dyDescent="0.2">
      <c r="A10" s="3"/>
      <c r="B10" s="9"/>
      <c r="C10" s="3"/>
      <c r="D10" s="3"/>
      <c r="E10" s="3"/>
      <c r="F10" s="4"/>
      <c r="G10" s="3"/>
      <c r="H10" s="5"/>
    </row>
    <row r="11" spans="1:8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8" ht="12.75" customHeight="1" x14ac:dyDescent="0.2">
      <c r="A12" s="14"/>
      <c r="B12" s="18" t="s">
        <v>19988</v>
      </c>
      <c r="C12" s="3"/>
      <c r="D12" s="16"/>
      <c r="E12" s="16"/>
      <c r="F12" s="17"/>
      <c r="G12" s="3"/>
      <c r="H12" s="5"/>
    </row>
    <row r="13" spans="1:8" x14ac:dyDescent="0.2">
      <c r="A13" s="14"/>
      <c r="B13" s="9"/>
      <c r="C13" s="3"/>
      <c r="D13" s="16"/>
      <c r="E13" s="16"/>
      <c r="F13" s="17"/>
      <c r="G13" s="3"/>
      <c r="H13" s="5"/>
    </row>
    <row r="14" spans="1:8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8" x14ac:dyDescent="0.2">
      <c r="A15" s="23"/>
      <c r="B15" s="24"/>
      <c r="C15" s="34"/>
      <c r="D15" s="35"/>
      <c r="E15" s="26"/>
      <c r="F15" s="36"/>
      <c r="G15" s="3"/>
      <c r="H15" s="5"/>
    </row>
    <row r="16" spans="1:8" x14ac:dyDescent="0.2">
      <c r="A16" s="37"/>
      <c r="B16" s="38"/>
      <c r="C16" s="39"/>
      <c r="D16" s="40"/>
      <c r="E16" s="22"/>
      <c r="F16" s="41"/>
      <c r="G16" s="3"/>
      <c r="H16" s="13">
        <f>SUM(F15:F15)</f>
        <v>0</v>
      </c>
    </row>
    <row r="17" spans="1:9" x14ac:dyDescent="0.2">
      <c r="A17" s="19"/>
      <c r="B17" s="42"/>
      <c r="C17" s="3"/>
      <c r="D17" s="22"/>
      <c r="E17" s="22"/>
      <c r="F17" s="43"/>
      <c r="G17" s="12"/>
      <c r="H17" s="5"/>
    </row>
    <row r="18" spans="1:9" x14ac:dyDescent="0.2">
      <c r="A18" s="3"/>
      <c r="B18" s="44" t="s">
        <v>5</v>
      </c>
      <c r="C18" s="3"/>
      <c r="D18" s="16"/>
      <c r="E18" s="16"/>
      <c r="F18" s="22" t="s">
        <v>11</v>
      </c>
      <c r="G18" s="3"/>
      <c r="H18" s="5"/>
    </row>
    <row r="19" spans="1:9" ht="13.5" customHeight="1" x14ac:dyDescent="0.2">
      <c r="A19" s="21" t="s">
        <v>7</v>
      </c>
      <c r="B19" s="18" t="s">
        <v>14</v>
      </c>
      <c r="C19" s="3"/>
      <c r="D19" s="16"/>
      <c r="E19" s="16"/>
      <c r="F19" s="43"/>
      <c r="G19" s="3"/>
      <c r="H19" s="5"/>
    </row>
    <row r="20" spans="1:9" ht="21" customHeight="1" x14ac:dyDescent="0.2">
      <c r="A20" s="385"/>
      <c r="B20" s="386"/>
      <c r="C20" s="387"/>
      <c r="D20" s="387"/>
      <c r="E20" s="388"/>
      <c r="F20" s="389"/>
      <c r="H20" s="57"/>
    </row>
    <row r="21" spans="1:9" x14ac:dyDescent="0.2">
      <c r="A21" s="58"/>
      <c r="D21" s="51"/>
      <c r="E21" s="51"/>
      <c r="F21" s="57"/>
      <c r="H21" s="60">
        <f>SUM(F20:F20)</f>
        <v>0</v>
      </c>
    </row>
    <row r="22" spans="1:9" s="64" customFormat="1" x14ac:dyDescent="0.2">
      <c r="A22" s="61"/>
      <c r="B22" s="62" t="s">
        <v>29</v>
      </c>
      <c r="C22" s="63"/>
      <c r="D22" s="63"/>
      <c r="E22" s="63"/>
      <c r="G22" s="65"/>
    </row>
    <row r="23" spans="1:9" s="64" customFormat="1" x14ac:dyDescent="0.2">
      <c r="A23" s="21" t="s">
        <v>7</v>
      </c>
      <c r="B23" s="62" t="s">
        <v>30</v>
      </c>
      <c r="C23" s="63"/>
      <c r="D23" s="63"/>
      <c r="E23" s="63"/>
      <c r="F23" s="22" t="s">
        <v>11</v>
      </c>
      <c r="G23" s="65"/>
    </row>
    <row r="24" spans="1:9" s="69" customFormat="1" x14ac:dyDescent="0.2">
      <c r="A24" s="45"/>
      <c r="B24" s="66"/>
      <c r="C24" s="67"/>
      <c r="D24" s="68"/>
      <c r="E24" s="51"/>
      <c r="F24" s="32"/>
      <c r="G24" s="3"/>
      <c r="I24" s="33"/>
    </row>
    <row r="25" spans="1:9" x14ac:dyDescent="0.2">
      <c r="A25" s="45"/>
      <c r="B25" s="66"/>
      <c r="D25" s="51"/>
      <c r="E25" s="51"/>
      <c r="F25" s="56"/>
      <c r="G25" s="3"/>
      <c r="H25" s="5"/>
    </row>
    <row r="26" spans="1:9" x14ac:dyDescent="0.2">
      <c r="A26" s="75"/>
      <c r="B26" s="2"/>
      <c r="C26" s="3"/>
      <c r="D26" s="16"/>
      <c r="E26" s="16"/>
      <c r="F26" s="76"/>
      <c r="G26" s="3"/>
      <c r="H26" s="60">
        <f>SUM(F24:F25)</f>
        <v>0</v>
      </c>
    </row>
    <row r="27" spans="1:9" x14ac:dyDescent="0.2">
      <c r="C27" s="3"/>
      <c r="D27" s="16"/>
      <c r="E27" s="16"/>
      <c r="F27" s="76"/>
      <c r="G27" s="3"/>
      <c r="H27" s="5"/>
    </row>
    <row r="28" spans="1:9" x14ac:dyDescent="0.2">
      <c r="B28" s="62" t="s">
        <v>29</v>
      </c>
      <c r="C28" s="3"/>
      <c r="D28" s="16"/>
      <c r="E28" s="16"/>
      <c r="F28" s="22" t="s">
        <v>11</v>
      </c>
      <c r="G28" s="3"/>
      <c r="H28" s="5"/>
    </row>
    <row r="29" spans="1:9" x14ac:dyDescent="0.2">
      <c r="A29" s="21" t="s">
        <v>7</v>
      </c>
      <c r="B29" s="18" t="s">
        <v>44</v>
      </c>
      <c r="C29" s="3"/>
      <c r="D29" s="16"/>
      <c r="E29" s="16"/>
      <c r="F29" s="12"/>
      <c r="G29" s="3"/>
      <c r="H29" s="5"/>
    </row>
    <row r="30" spans="1:9" ht="12.75" x14ac:dyDescent="0.2">
      <c r="A30" s="390">
        <v>43902</v>
      </c>
      <c r="B30" s="391" t="s">
        <v>16923</v>
      </c>
      <c r="C30" s="392" t="s">
        <v>16924</v>
      </c>
      <c r="D30" s="393"/>
      <c r="E30" s="394"/>
      <c r="F30" s="395">
        <v>8.3800000000000008</v>
      </c>
      <c r="G30" s="3"/>
      <c r="I30" s="33"/>
    </row>
    <row r="31" spans="1:9" ht="25.5" x14ac:dyDescent="0.2">
      <c r="A31" s="390">
        <v>43902</v>
      </c>
      <c r="B31" s="391" t="s">
        <v>16921</v>
      </c>
      <c r="C31" s="392" t="s">
        <v>16922</v>
      </c>
      <c r="D31" s="393"/>
      <c r="E31" s="394"/>
      <c r="F31" s="395">
        <v>15.32</v>
      </c>
      <c r="G31" s="3"/>
      <c r="I31" s="33"/>
    </row>
    <row r="32" spans="1:9" ht="12.75" x14ac:dyDescent="0.2">
      <c r="A32" s="390">
        <v>43902</v>
      </c>
      <c r="B32" s="391" t="s">
        <v>16919</v>
      </c>
      <c r="C32" s="392" t="s">
        <v>16920</v>
      </c>
      <c r="D32" s="393"/>
      <c r="E32" s="394"/>
      <c r="F32" s="395">
        <v>15.3</v>
      </c>
      <c r="G32" s="3"/>
      <c r="I32" s="33"/>
    </row>
    <row r="33" spans="1:9" ht="12.75" x14ac:dyDescent="0.2">
      <c r="A33" s="390">
        <v>43902</v>
      </c>
      <c r="B33" s="391" t="s">
        <v>16917</v>
      </c>
      <c r="C33" s="392" t="s">
        <v>16918</v>
      </c>
      <c r="D33" s="393"/>
      <c r="E33" s="394"/>
      <c r="F33" s="395">
        <v>1</v>
      </c>
      <c r="G33" s="3"/>
      <c r="I33" s="33"/>
    </row>
    <row r="34" spans="1:9" ht="12.75" x14ac:dyDescent="0.2">
      <c r="A34" s="390">
        <v>43902</v>
      </c>
      <c r="B34" s="391" t="s">
        <v>16915</v>
      </c>
      <c r="C34" s="392" t="s">
        <v>16916</v>
      </c>
      <c r="D34" s="393"/>
      <c r="E34" s="394"/>
      <c r="F34" s="395">
        <v>30.16</v>
      </c>
      <c r="G34" s="3"/>
      <c r="I34" s="33"/>
    </row>
    <row r="35" spans="1:9" ht="25.5" x14ac:dyDescent="0.2">
      <c r="A35" s="390">
        <v>43902</v>
      </c>
      <c r="B35" s="391" t="s">
        <v>16913</v>
      </c>
      <c r="C35" s="392" t="s">
        <v>16914</v>
      </c>
      <c r="D35" s="393"/>
      <c r="E35" s="394"/>
      <c r="F35" s="395">
        <v>9.82</v>
      </c>
      <c r="G35" s="3"/>
      <c r="I35" s="33"/>
    </row>
    <row r="36" spans="1:9" ht="25.5" x14ac:dyDescent="0.2">
      <c r="A36" s="390">
        <v>43903</v>
      </c>
      <c r="B36" s="391" t="s">
        <v>16785</v>
      </c>
      <c r="C36" s="392" t="s">
        <v>16786</v>
      </c>
      <c r="D36" s="393"/>
      <c r="E36" s="394"/>
      <c r="F36" s="395">
        <v>47.67</v>
      </c>
      <c r="G36" s="3"/>
      <c r="I36" s="33"/>
    </row>
    <row r="37" spans="1:9" ht="25.5" x14ac:dyDescent="0.2">
      <c r="A37" s="390">
        <v>43903</v>
      </c>
      <c r="B37" s="391" t="s">
        <v>16783</v>
      </c>
      <c r="C37" s="392" t="s">
        <v>16784</v>
      </c>
      <c r="D37" s="393"/>
      <c r="E37" s="394"/>
      <c r="F37" s="395">
        <v>44.13</v>
      </c>
      <c r="G37" s="3"/>
      <c r="I37" s="33"/>
    </row>
    <row r="38" spans="1:9" ht="12.75" x14ac:dyDescent="0.2">
      <c r="A38" s="390">
        <v>43903</v>
      </c>
      <c r="B38" s="391" t="s">
        <v>16777</v>
      </c>
      <c r="C38" s="392" t="s">
        <v>16778</v>
      </c>
      <c r="D38" s="393"/>
      <c r="E38" s="394"/>
      <c r="F38" s="395">
        <v>15.3</v>
      </c>
      <c r="G38" s="3"/>
      <c r="I38" s="33"/>
    </row>
    <row r="39" spans="1:9" ht="12.75" x14ac:dyDescent="0.2">
      <c r="A39" s="390">
        <v>43903</v>
      </c>
      <c r="B39" s="391" t="s">
        <v>16775</v>
      </c>
      <c r="C39" s="392" t="s">
        <v>16776</v>
      </c>
      <c r="D39" s="393"/>
      <c r="E39" s="394"/>
      <c r="F39" s="395">
        <v>75.319999999999993</v>
      </c>
      <c r="G39" s="3"/>
      <c r="I39" s="33"/>
    </row>
    <row r="40" spans="1:9" ht="12.75" x14ac:dyDescent="0.2">
      <c r="A40" s="390">
        <v>44105</v>
      </c>
      <c r="B40" s="391" t="s">
        <v>26144</v>
      </c>
      <c r="C40" s="392" t="s">
        <v>26145</v>
      </c>
      <c r="D40" s="393"/>
      <c r="E40" s="394"/>
      <c r="F40" s="395">
        <v>1.68</v>
      </c>
      <c r="G40" s="3"/>
      <c r="I40" s="33"/>
    </row>
    <row r="41" spans="1:9" ht="12.75" x14ac:dyDescent="0.2">
      <c r="A41" s="390">
        <v>44106</v>
      </c>
      <c r="B41" s="391" t="s">
        <v>26018</v>
      </c>
      <c r="C41" s="392" t="s">
        <v>26019</v>
      </c>
      <c r="D41" s="393"/>
      <c r="E41" s="394"/>
      <c r="F41" s="395">
        <v>2.11</v>
      </c>
      <c r="G41" s="3"/>
      <c r="I41" s="33"/>
    </row>
    <row r="42" spans="1:9" ht="12.75" x14ac:dyDescent="0.2">
      <c r="A42" s="390">
        <v>44134</v>
      </c>
      <c r="B42" s="391" t="s">
        <v>25067</v>
      </c>
      <c r="C42" s="392" t="s">
        <v>25068</v>
      </c>
      <c r="D42" s="393"/>
      <c r="E42" s="394"/>
      <c r="F42" s="397">
        <v>1.78</v>
      </c>
      <c r="G42" s="3"/>
      <c r="I42" s="33"/>
    </row>
    <row r="43" spans="1:9" ht="25.5" x14ac:dyDescent="0.2">
      <c r="A43" s="390">
        <v>44134</v>
      </c>
      <c r="B43" s="391" t="s">
        <v>25065</v>
      </c>
      <c r="C43" s="392" t="s">
        <v>25066</v>
      </c>
      <c r="D43" s="393"/>
      <c r="E43" s="394"/>
      <c r="F43" s="397">
        <v>4.7300000000000004</v>
      </c>
      <c r="G43" s="3"/>
      <c r="I43" s="33"/>
    </row>
    <row r="44" spans="1:9" ht="25.5" x14ac:dyDescent="0.2">
      <c r="A44" s="390">
        <v>44134</v>
      </c>
      <c r="B44" s="391" t="s">
        <v>25063</v>
      </c>
      <c r="C44" s="392" t="s">
        <v>25064</v>
      </c>
      <c r="D44" s="393"/>
      <c r="E44" s="394"/>
      <c r="F44" s="397">
        <v>15.07</v>
      </c>
      <c r="G44" s="3"/>
      <c r="I44" s="33"/>
    </row>
    <row r="45" spans="1:9" ht="12.75" x14ac:dyDescent="0.2">
      <c r="A45" s="390">
        <v>44134</v>
      </c>
      <c r="B45" s="391" t="s">
        <v>25061</v>
      </c>
      <c r="C45" s="392" t="s">
        <v>25062</v>
      </c>
      <c r="D45" s="393"/>
      <c r="E45" s="394"/>
      <c r="F45" s="397">
        <v>4.57</v>
      </c>
      <c r="G45" s="3"/>
      <c r="I45" s="33"/>
    </row>
    <row r="46" spans="1:9" ht="25.5" x14ac:dyDescent="0.2">
      <c r="A46" s="390">
        <v>44134</v>
      </c>
      <c r="B46" s="391" t="s">
        <v>25059</v>
      </c>
      <c r="C46" s="392" t="s">
        <v>25060</v>
      </c>
      <c r="D46" s="393"/>
      <c r="E46" s="394"/>
      <c r="F46" s="397">
        <v>3.4</v>
      </c>
      <c r="G46" s="3"/>
      <c r="I46" s="33"/>
    </row>
    <row r="47" spans="1:9" ht="12.75" x14ac:dyDescent="0.2">
      <c r="A47" s="390">
        <v>44134</v>
      </c>
      <c r="B47" s="391" t="s">
        <v>25057</v>
      </c>
      <c r="C47" s="392" t="s">
        <v>25058</v>
      </c>
      <c r="D47" s="393"/>
      <c r="E47" s="394"/>
      <c r="F47" s="397">
        <v>8.4700000000000006</v>
      </c>
      <c r="G47" s="3"/>
      <c r="I47" s="33"/>
    </row>
    <row r="48" spans="1:9" ht="25.5" x14ac:dyDescent="0.2">
      <c r="A48" s="390">
        <v>44134</v>
      </c>
      <c r="B48" s="391" t="s">
        <v>25055</v>
      </c>
      <c r="C48" s="392" t="s">
        <v>25056</v>
      </c>
      <c r="D48" s="393"/>
      <c r="E48" s="394"/>
      <c r="F48" s="397">
        <v>6.3</v>
      </c>
      <c r="G48" s="3"/>
      <c r="I48" s="33"/>
    </row>
    <row r="49" spans="1:9" ht="12.75" x14ac:dyDescent="0.2">
      <c r="A49" s="390">
        <v>44134</v>
      </c>
      <c r="B49" s="391" t="s">
        <v>25053</v>
      </c>
      <c r="C49" s="392" t="s">
        <v>25054</v>
      </c>
      <c r="D49" s="393"/>
      <c r="E49" s="394"/>
      <c r="F49" s="397">
        <v>4.8899999999999997</v>
      </c>
      <c r="G49" s="3"/>
      <c r="I49" s="33"/>
    </row>
    <row r="50" spans="1:9" ht="25.5" x14ac:dyDescent="0.2">
      <c r="A50" s="390">
        <v>44134</v>
      </c>
      <c r="B50" s="391" t="s">
        <v>25051</v>
      </c>
      <c r="C50" s="392" t="s">
        <v>25052</v>
      </c>
      <c r="D50" s="393"/>
      <c r="E50" s="394"/>
      <c r="F50" s="397">
        <v>4.21</v>
      </c>
      <c r="G50" s="3"/>
      <c r="I50" s="33"/>
    </row>
    <row r="51" spans="1:9" ht="12.75" x14ac:dyDescent="0.2">
      <c r="A51" s="390">
        <v>44134</v>
      </c>
      <c r="B51" s="391" t="s">
        <v>25049</v>
      </c>
      <c r="C51" s="392" t="s">
        <v>25050</v>
      </c>
      <c r="D51" s="393"/>
      <c r="E51" s="394"/>
      <c r="F51" s="397">
        <v>5.51</v>
      </c>
      <c r="G51" s="3"/>
      <c r="I51" s="33"/>
    </row>
    <row r="52" spans="1:9" ht="25.5" x14ac:dyDescent="0.2">
      <c r="A52" s="390">
        <v>44134</v>
      </c>
      <c r="B52" s="391" t="s">
        <v>25047</v>
      </c>
      <c r="C52" s="392" t="s">
        <v>25048</v>
      </c>
      <c r="D52" s="393"/>
      <c r="E52" s="394"/>
      <c r="F52" s="397">
        <v>14.82</v>
      </c>
      <c r="G52" s="3"/>
      <c r="I52" s="33"/>
    </row>
    <row r="53" spans="1:9" ht="25.5" x14ac:dyDescent="0.2">
      <c r="A53" s="390">
        <v>44134</v>
      </c>
      <c r="B53" s="391" t="s">
        <v>25045</v>
      </c>
      <c r="C53" s="392" t="s">
        <v>25046</v>
      </c>
      <c r="D53" s="393"/>
      <c r="E53" s="394"/>
      <c r="F53" s="397">
        <v>12.51</v>
      </c>
      <c r="G53" s="3"/>
      <c r="I53" s="33"/>
    </row>
    <row r="54" spans="1:9" ht="12.75" x14ac:dyDescent="0.2">
      <c r="A54" s="390">
        <v>44134</v>
      </c>
      <c r="B54" s="391" t="s">
        <v>25043</v>
      </c>
      <c r="C54" s="392" t="s">
        <v>25044</v>
      </c>
      <c r="D54" s="393"/>
      <c r="E54" s="394"/>
      <c r="F54" s="397">
        <v>8.84</v>
      </c>
      <c r="G54" s="3"/>
      <c r="I54" s="33"/>
    </row>
    <row r="55" spans="1:9" ht="25.5" x14ac:dyDescent="0.2">
      <c r="A55" s="390">
        <v>44134</v>
      </c>
      <c r="B55" s="391" t="s">
        <v>25041</v>
      </c>
      <c r="C55" s="392" t="s">
        <v>25042</v>
      </c>
      <c r="D55" s="393"/>
      <c r="E55" s="394"/>
      <c r="F55" s="397">
        <v>4.93</v>
      </c>
      <c r="G55" s="3"/>
      <c r="I55" s="33"/>
    </row>
    <row r="56" spans="1:9" ht="12.75" x14ac:dyDescent="0.2">
      <c r="A56" s="390">
        <v>44134</v>
      </c>
      <c r="B56" s="391" t="s">
        <v>25039</v>
      </c>
      <c r="C56" s="392" t="s">
        <v>25040</v>
      </c>
      <c r="D56" s="393"/>
      <c r="E56" s="394"/>
      <c r="F56" s="397">
        <v>2.48</v>
      </c>
      <c r="G56" s="3"/>
      <c r="I56" s="33"/>
    </row>
    <row r="57" spans="1:9" ht="25.5" x14ac:dyDescent="0.2">
      <c r="A57" s="390">
        <v>44134</v>
      </c>
      <c r="B57" s="391" t="s">
        <v>25037</v>
      </c>
      <c r="C57" s="392" t="s">
        <v>25038</v>
      </c>
      <c r="D57" s="393"/>
      <c r="E57" s="394"/>
      <c r="F57" s="397">
        <v>10.16</v>
      </c>
      <c r="G57" s="3"/>
      <c r="I57" s="33"/>
    </row>
    <row r="58" spans="1:9" ht="12.75" x14ac:dyDescent="0.2">
      <c r="A58" s="390">
        <v>44134</v>
      </c>
      <c r="B58" s="391" t="s">
        <v>25035</v>
      </c>
      <c r="C58" s="392" t="s">
        <v>25036</v>
      </c>
      <c r="D58" s="393"/>
      <c r="E58" s="394"/>
      <c r="F58" s="397">
        <v>4.3600000000000003</v>
      </c>
      <c r="G58" s="3"/>
      <c r="I58" s="33"/>
    </row>
    <row r="59" spans="1:9" ht="12.75" x14ac:dyDescent="0.2">
      <c r="A59" s="390">
        <v>44134</v>
      </c>
      <c r="B59" s="391" t="s">
        <v>25033</v>
      </c>
      <c r="C59" s="392" t="s">
        <v>25034</v>
      </c>
      <c r="D59" s="393"/>
      <c r="E59" s="394"/>
      <c r="F59" s="397">
        <v>2.78</v>
      </c>
      <c r="G59" s="3"/>
      <c r="I59" s="33"/>
    </row>
    <row r="60" spans="1:9" ht="25.5" x14ac:dyDescent="0.2">
      <c r="A60" s="390">
        <v>44134</v>
      </c>
      <c r="B60" s="391" t="s">
        <v>25031</v>
      </c>
      <c r="C60" s="392" t="s">
        <v>25032</v>
      </c>
      <c r="D60" s="393"/>
      <c r="E60" s="394"/>
      <c r="F60" s="397">
        <v>12.91</v>
      </c>
      <c r="G60" s="3"/>
      <c r="I60" s="33"/>
    </row>
    <row r="61" spans="1:9" ht="12.75" x14ac:dyDescent="0.2">
      <c r="A61" s="390">
        <v>44134</v>
      </c>
      <c r="B61" s="391" t="s">
        <v>25029</v>
      </c>
      <c r="C61" s="392" t="s">
        <v>25030</v>
      </c>
      <c r="D61" s="393"/>
      <c r="E61" s="394"/>
      <c r="F61" s="397">
        <v>4.83</v>
      </c>
      <c r="G61" s="3"/>
      <c r="I61" s="33"/>
    </row>
    <row r="62" spans="1:9" ht="25.5" x14ac:dyDescent="0.2">
      <c r="A62" s="390">
        <v>44134</v>
      </c>
      <c r="B62" s="391" t="s">
        <v>25027</v>
      </c>
      <c r="C62" s="392" t="s">
        <v>25028</v>
      </c>
      <c r="D62" s="393"/>
      <c r="E62" s="394"/>
      <c r="F62" s="397">
        <v>13.56</v>
      </c>
      <c r="G62" s="3"/>
      <c r="I62" s="33"/>
    </row>
    <row r="63" spans="1:9" ht="25.5" x14ac:dyDescent="0.2">
      <c r="A63" s="390">
        <v>44134</v>
      </c>
      <c r="B63" s="391" t="s">
        <v>25025</v>
      </c>
      <c r="C63" s="392" t="s">
        <v>25026</v>
      </c>
      <c r="D63" s="393"/>
      <c r="E63" s="394"/>
      <c r="F63" s="397">
        <v>9.26</v>
      </c>
      <c r="G63" s="3"/>
      <c r="I63" s="33"/>
    </row>
    <row r="64" spans="1:9" ht="12.75" x14ac:dyDescent="0.2">
      <c r="A64" s="390">
        <v>44134</v>
      </c>
      <c r="B64" s="391" t="s">
        <v>25023</v>
      </c>
      <c r="C64" s="392" t="s">
        <v>25024</v>
      </c>
      <c r="D64" s="393"/>
      <c r="E64" s="394"/>
      <c r="F64" s="397">
        <v>3.92</v>
      </c>
      <c r="G64" s="3"/>
      <c r="I64" s="33"/>
    </row>
    <row r="65" spans="1:10" ht="12.75" x14ac:dyDescent="0.2">
      <c r="A65" s="390">
        <v>44135</v>
      </c>
      <c r="B65" s="391" t="s">
        <v>24997</v>
      </c>
      <c r="C65" s="392" t="s">
        <v>24998</v>
      </c>
      <c r="D65" s="393"/>
      <c r="E65" s="394"/>
      <c r="F65" s="397">
        <v>7.75</v>
      </c>
      <c r="G65" s="3"/>
      <c r="I65" s="33"/>
    </row>
    <row r="66" spans="1:10" ht="12.75" x14ac:dyDescent="0.2">
      <c r="A66" s="390">
        <v>44135</v>
      </c>
      <c r="B66" s="391" t="s">
        <v>24995</v>
      </c>
      <c r="C66" s="392" t="s">
        <v>24996</v>
      </c>
      <c r="D66" s="393"/>
      <c r="E66" s="394"/>
      <c r="F66" s="397">
        <v>9.9600000000000009</v>
      </c>
      <c r="G66" s="3"/>
      <c r="I66" s="33"/>
    </row>
    <row r="67" spans="1:10" ht="25.5" x14ac:dyDescent="0.2">
      <c r="A67" s="390">
        <v>44135</v>
      </c>
      <c r="B67" s="391" t="s">
        <v>24993</v>
      </c>
      <c r="C67" s="392" t="s">
        <v>24994</v>
      </c>
      <c r="D67" s="393"/>
      <c r="E67" s="394"/>
      <c r="F67" s="397">
        <v>26.27</v>
      </c>
      <c r="G67" s="3"/>
      <c r="I67" s="33"/>
    </row>
    <row r="68" spans="1:10" ht="12.75" x14ac:dyDescent="0.2">
      <c r="A68" s="390">
        <v>44135</v>
      </c>
      <c r="B68" s="391" t="s">
        <v>24991</v>
      </c>
      <c r="C68" s="392" t="s">
        <v>24992</v>
      </c>
      <c r="D68" s="393"/>
      <c r="E68" s="394"/>
      <c r="F68" s="397">
        <v>1.7</v>
      </c>
      <c r="G68" s="3"/>
      <c r="I68" s="33"/>
    </row>
    <row r="69" spans="1:10" ht="25.5" x14ac:dyDescent="0.2">
      <c r="A69" s="390">
        <v>44135</v>
      </c>
      <c r="B69" s="391" t="s">
        <v>24989</v>
      </c>
      <c r="C69" s="392" t="s">
        <v>24990</v>
      </c>
      <c r="D69" s="393"/>
      <c r="E69" s="394"/>
      <c r="F69" s="397">
        <v>5.97</v>
      </c>
      <c r="G69" s="3"/>
      <c r="I69" s="33"/>
    </row>
    <row r="70" spans="1:10" ht="12.75" x14ac:dyDescent="0.2">
      <c r="A70" s="390">
        <v>44135</v>
      </c>
      <c r="B70" s="391" t="s">
        <v>24987</v>
      </c>
      <c r="C70" s="392" t="s">
        <v>24988</v>
      </c>
      <c r="D70" s="393"/>
      <c r="E70" s="394"/>
      <c r="F70" s="397">
        <v>10.61</v>
      </c>
      <c r="G70" s="3"/>
      <c r="I70" s="33"/>
    </row>
    <row r="71" spans="1:10" ht="12.75" x14ac:dyDescent="0.2">
      <c r="A71" s="390">
        <v>44135</v>
      </c>
      <c r="B71" s="391" t="s">
        <v>24985</v>
      </c>
      <c r="C71" s="392" t="s">
        <v>24986</v>
      </c>
      <c r="D71" s="393"/>
      <c r="E71" s="394"/>
      <c r="F71" s="397">
        <v>2.08</v>
      </c>
      <c r="G71" s="3"/>
      <c r="I71" s="33"/>
    </row>
    <row r="72" spans="1:10" ht="12.75" x14ac:dyDescent="0.2">
      <c r="A72" s="390">
        <v>44135</v>
      </c>
      <c r="B72" s="391" t="s">
        <v>24983</v>
      </c>
      <c r="C72" s="392" t="s">
        <v>24984</v>
      </c>
      <c r="D72" s="393"/>
      <c r="E72" s="394"/>
      <c r="F72" s="397">
        <v>4.2</v>
      </c>
      <c r="G72" s="3"/>
      <c r="I72" s="33"/>
    </row>
    <row r="73" spans="1:10" ht="12.75" x14ac:dyDescent="0.2">
      <c r="A73" s="390">
        <v>44135</v>
      </c>
      <c r="B73" s="391" t="s">
        <v>24981</v>
      </c>
      <c r="C73" s="392" t="s">
        <v>24982</v>
      </c>
      <c r="D73" s="393"/>
      <c r="E73" s="394"/>
      <c r="F73" s="397">
        <v>9.32</v>
      </c>
      <c r="G73" s="3"/>
      <c r="I73" s="33"/>
    </row>
    <row r="74" spans="1:10" ht="12.75" x14ac:dyDescent="0.2">
      <c r="A74" s="390">
        <v>44135</v>
      </c>
      <c r="B74" s="391" t="s">
        <v>24979</v>
      </c>
      <c r="C74" s="392" t="s">
        <v>24980</v>
      </c>
      <c r="D74" s="393"/>
      <c r="E74" s="394"/>
      <c r="F74" s="397">
        <v>24.95</v>
      </c>
      <c r="G74" s="3"/>
      <c r="I74" s="33"/>
    </row>
    <row r="75" spans="1:10" ht="25.5" x14ac:dyDescent="0.2">
      <c r="A75" s="390">
        <v>44135</v>
      </c>
      <c r="B75" s="391" t="s">
        <v>24977</v>
      </c>
      <c r="C75" s="392" t="s">
        <v>24978</v>
      </c>
      <c r="D75" s="393"/>
      <c r="E75" s="394"/>
      <c r="F75" s="397">
        <v>21.28</v>
      </c>
      <c r="G75" s="3"/>
      <c r="I75" s="33"/>
    </row>
    <row r="76" spans="1:10" ht="12.75" x14ac:dyDescent="0.2">
      <c r="A76" s="390">
        <v>44135</v>
      </c>
      <c r="B76" s="391" t="s">
        <v>24975</v>
      </c>
      <c r="C76" s="392" t="s">
        <v>24976</v>
      </c>
      <c r="D76" s="393"/>
      <c r="E76" s="394"/>
      <c r="F76" s="397">
        <v>1.46</v>
      </c>
      <c r="G76" s="3"/>
      <c r="I76" s="33"/>
    </row>
    <row r="77" spans="1:10" ht="25.5" x14ac:dyDescent="0.2">
      <c r="A77" s="390">
        <v>44135</v>
      </c>
      <c r="B77" s="391" t="s">
        <v>24973</v>
      </c>
      <c r="C77" s="392" t="s">
        <v>24974</v>
      </c>
      <c r="D77" s="393"/>
      <c r="E77" s="394"/>
      <c r="F77" s="397">
        <v>8.4</v>
      </c>
      <c r="G77" s="3"/>
      <c r="I77" s="33"/>
    </row>
    <row r="78" spans="1:10" ht="12.75" x14ac:dyDescent="0.2">
      <c r="A78" s="37"/>
      <c r="B78" s="91"/>
      <c r="C78" s="39"/>
      <c r="D78" s="16"/>
      <c r="E78" s="16"/>
      <c r="F78" s="92"/>
      <c r="G78" s="3"/>
      <c r="H78" s="301">
        <f>SUM(F30:F78)</f>
        <v>564.42999999999995</v>
      </c>
    </row>
    <row r="79" spans="1:10" x14ac:dyDescent="0.2">
      <c r="A79" s="3"/>
      <c r="B79" s="2"/>
      <c r="C79" s="3"/>
      <c r="D79" s="3"/>
      <c r="E79" s="3"/>
      <c r="F79" s="5"/>
      <c r="G79" s="3"/>
      <c r="H79" s="5"/>
    </row>
    <row r="80" spans="1:10" s="99" customFormat="1" ht="20.25" customHeight="1" thickBot="1" x14ac:dyDescent="0.3">
      <c r="A80" s="93"/>
      <c r="B80" s="94" t="s">
        <v>27465</v>
      </c>
      <c r="C80" s="95"/>
      <c r="D80" s="93"/>
      <c r="E80" s="93"/>
      <c r="F80" s="96"/>
      <c r="G80" s="97" t="s">
        <v>4</v>
      </c>
      <c r="H80" s="302">
        <f>+H9-H16-H21+H26+H78</f>
        <v>39203.300000000003</v>
      </c>
      <c r="I80" s="303"/>
      <c r="J80" s="303"/>
    </row>
    <row r="81" spans="1:12" ht="13.5" thickTop="1" x14ac:dyDescent="0.2">
      <c r="A81" s="3"/>
      <c r="B81" s="2"/>
      <c r="C81" s="3"/>
      <c r="D81" s="3"/>
      <c r="E81" s="3"/>
      <c r="F81" s="5"/>
      <c r="G81" s="3"/>
      <c r="H81" s="304"/>
      <c r="I81" s="305"/>
      <c r="J81" s="306">
        <f>+'BP OCT-20'!I645</f>
        <v>41088.169999999969</v>
      </c>
    </row>
    <row r="82" spans="1:12" ht="12.75" x14ac:dyDescent="0.2">
      <c r="A82" s="3"/>
      <c r="B82" s="2"/>
      <c r="C82" s="3"/>
      <c r="D82" s="3"/>
      <c r="E82" s="3"/>
      <c r="F82" s="5"/>
      <c r="G82" s="3"/>
      <c r="H82" s="305"/>
      <c r="I82" s="305"/>
      <c r="J82" s="304"/>
    </row>
    <row r="83" spans="1:12" ht="12.75" x14ac:dyDescent="0.2">
      <c r="A83" s="3"/>
      <c r="B83" s="2"/>
      <c r="C83" s="3"/>
      <c r="D83" s="3"/>
      <c r="E83" s="3"/>
      <c r="G83" s="3"/>
      <c r="H83" s="305"/>
      <c r="I83" s="305"/>
      <c r="J83" s="304"/>
    </row>
    <row r="84" spans="1:12" ht="23.25" customHeight="1" thickBot="1" x14ac:dyDescent="0.25">
      <c r="A84" s="3"/>
      <c r="C84" s="100"/>
      <c r="D84" s="101"/>
      <c r="E84" s="3"/>
      <c r="F84" s="102"/>
      <c r="G84" s="3"/>
      <c r="H84" s="304"/>
      <c r="I84" s="305"/>
      <c r="J84" s="302">
        <f>+H80-J81</f>
        <v>-1884.8699999999662</v>
      </c>
      <c r="L84" s="57"/>
    </row>
    <row r="85" spans="1:12" ht="26.25" customHeight="1" thickTop="1" x14ac:dyDescent="0.2">
      <c r="A85" s="3"/>
      <c r="C85" s="378" t="s">
        <v>314</v>
      </c>
      <c r="D85" s="378"/>
      <c r="E85" s="3"/>
      <c r="F85" s="378" t="s">
        <v>315</v>
      </c>
      <c r="G85" s="378"/>
      <c r="H85" s="304"/>
      <c r="I85" s="305"/>
      <c r="J85" s="305"/>
    </row>
    <row r="86" spans="1:12" ht="23.25" customHeight="1" thickBot="1" x14ac:dyDescent="0.25">
      <c r="H86" s="305"/>
      <c r="I86" s="305"/>
      <c r="J86" s="302">
        <f>+H80-J84</f>
        <v>41088.169999999969</v>
      </c>
    </row>
    <row r="87" spans="1:12" ht="13.5" thickTop="1" x14ac:dyDescent="0.2">
      <c r="H87" s="305"/>
      <c r="I87" s="305"/>
      <c r="J87" s="305"/>
      <c r="L87" s="57"/>
    </row>
    <row r="89" spans="1:12" x14ac:dyDescent="0.2">
      <c r="L89" s="57"/>
    </row>
    <row r="90" spans="1:12" x14ac:dyDescent="0.2">
      <c r="A90" s="6"/>
      <c r="B90" s="6"/>
      <c r="C90" s="6"/>
      <c r="D90" s="6"/>
      <c r="E90" s="6"/>
      <c r="G90" s="6"/>
      <c r="J90" s="57"/>
    </row>
  </sheetData>
  <mergeCells count="2">
    <mergeCell ref="C85:D85"/>
    <mergeCell ref="F85:G85"/>
  </mergeCells>
  <pageMargins left="0.70866141732283472" right="0.70866141732283472" top="0.74803149606299213" bottom="0.74803149606299213" header="0.31496062992125984" footer="0.31496062992125984"/>
  <pageSetup paperSize="9" scale="67" fitToHeight="3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9D2B7-9F9B-490B-9F36-153ADA9FB977}">
  <dimension ref="A2:K673"/>
  <sheetViews>
    <sheetView topLeftCell="B607" zoomScale="98" zoomScaleNormal="98" workbookViewId="0">
      <selection activeCell="H626" sqref="H626"/>
    </sheetView>
  </sheetViews>
  <sheetFormatPr baseColWidth="10" defaultRowHeight="12.75" x14ac:dyDescent="0.2"/>
  <cols>
    <col min="1" max="7" width="11.42578125" style="103"/>
    <col min="8" max="8" width="11.42578125" style="364"/>
    <col min="9" max="16384" width="11.42578125" style="103"/>
  </cols>
  <sheetData>
    <row r="2" spans="1:11" ht="19.5" x14ac:dyDescent="0.2">
      <c r="F2" s="110" t="s">
        <v>2771</v>
      </c>
      <c r="J2" s="104" t="s">
        <v>2770</v>
      </c>
      <c r="K2" s="312">
        <v>1</v>
      </c>
    </row>
    <row r="3" spans="1:11" x14ac:dyDescent="0.2">
      <c r="J3" s="104" t="s">
        <v>2769</v>
      </c>
      <c r="K3" s="311">
        <v>44180</v>
      </c>
    </row>
    <row r="5" spans="1:11" x14ac:dyDescent="0.2">
      <c r="E5" s="310" t="s">
        <v>2768</v>
      </c>
      <c r="F5" s="307" t="s">
        <v>27463</v>
      </c>
      <c r="G5" s="310" t="s">
        <v>2767</v>
      </c>
      <c r="H5" s="310" t="s">
        <v>27463</v>
      </c>
      <c r="J5" s="365">
        <v>0.60439814814814818</v>
      </c>
    </row>
    <row r="7" spans="1:11" x14ac:dyDescent="0.2">
      <c r="J7" s="104" t="s">
        <v>2765</v>
      </c>
      <c r="K7" s="106" t="s">
        <v>28281</v>
      </c>
    </row>
    <row r="8" spans="1:11" x14ac:dyDescent="0.2">
      <c r="C8" s="308" t="s">
        <v>2763</v>
      </c>
      <c r="D8" s="307" t="s">
        <v>2762</v>
      </c>
      <c r="F8" s="308" t="s">
        <v>2761</v>
      </c>
      <c r="G8" s="307" t="s">
        <v>2759</v>
      </c>
      <c r="I8" s="308" t="s">
        <v>2760</v>
      </c>
      <c r="J8" s="307" t="s">
        <v>2759</v>
      </c>
    </row>
    <row r="10" spans="1:11" x14ac:dyDescent="0.2">
      <c r="A10" s="108" t="s">
        <v>2753</v>
      </c>
      <c r="B10" s="366" t="s">
        <v>2752</v>
      </c>
    </row>
    <row r="12" spans="1:11" x14ac:dyDescent="0.2">
      <c r="A12" s="107" t="s">
        <v>2751</v>
      </c>
      <c r="B12" s="106" t="s">
        <v>2750</v>
      </c>
      <c r="J12" s="104" t="s">
        <v>323</v>
      </c>
      <c r="K12" s="105">
        <v>39179.839999999997</v>
      </c>
    </row>
    <row r="13" spans="1:11" x14ac:dyDescent="0.2">
      <c r="A13" s="108" t="s">
        <v>2758</v>
      </c>
      <c r="C13" s="107" t="s">
        <v>2757</v>
      </c>
      <c r="D13" s="107" t="s">
        <v>2756</v>
      </c>
      <c r="F13" s="109" t="s">
        <v>2755</v>
      </c>
      <c r="I13" s="104" t="s">
        <v>322</v>
      </c>
      <c r="J13" s="104" t="s">
        <v>321</v>
      </c>
      <c r="K13" s="104" t="s">
        <v>2754</v>
      </c>
    </row>
    <row r="14" spans="1:11" x14ac:dyDescent="0.2">
      <c r="C14" s="106" t="s">
        <v>27462</v>
      </c>
      <c r="D14" s="367">
        <v>44136</v>
      </c>
      <c r="E14" s="366" t="s">
        <v>27461</v>
      </c>
      <c r="H14" s="364" t="s">
        <v>14408</v>
      </c>
      <c r="I14" s="368">
        <v>6.03</v>
      </c>
      <c r="K14" s="105">
        <v>39185.870000000003</v>
      </c>
    </row>
    <row r="15" spans="1:11" x14ac:dyDescent="0.2">
      <c r="C15" s="106" t="s">
        <v>27460</v>
      </c>
      <c r="D15" s="367">
        <v>44136</v>
      </c>
      <c r="E15" s="366" t="s">
        <v>27459</v>
      </c>
      <c r="H15" s="364" t="s">
        <v>14408</v>
      </c>
      <c r="I15" s="368">
        <v>20.03</v>
      </c>
      <c r="K15" s="105">
        <v>39205.9</v>
      </c>
    </row>
    <row r="16" spans="1:11" x14ac:dyDescent="0.2">
      <c r="C16" s="106" t="s">
        <v>27458</v>
      </c>
      <c r="D16" s="367">
        <v>44136</v>
      </c>
      <c r="E16" s="366" t="s">
        <v>27457</v>
      </c>
      <c r="H16" s="364" t="s">
        <v>14408</v>
      </c>
      <c r="I16" s="368">
        <v>2.95</v>
      </c>
      <c r="K16" s="105">
        <v>39208.85</v>
      </c>
    </row>
    <row r="17" spans="3:11" x14ac:dyDescent="0.2">
      <c r="C17" s="106" t="s">
        <v>27456</v>
      </c>
      <c r="D17" s="367">
        <v>44136</v>
      </c>
      <c r="E17" s="366" t="s">
        <v>27455</v>
      </c>
      <c r="H17" s="364" t="s">
        <v>14408</v>
      </c>
      <c r="I17" s="368">
        <v>1.68</v>
      </c>
      <c r="K17" s="105">
        <v>39210.53</v>
      </c>
    </row>
    <row r="18" spans="3:11" x14ac:dyDescent="0.2">
      <c r="C18" s="106" t="s">
        <v>27454</v>
      </c>
      <c r="D18" s="367">
        <v>44136</v>
      </c>
      <c r="E18" s="366" t="s">
        <v>27453</v>
      </c>
      <c r="H18" s="364" t="s">
        <v>14408</v>
      </c>
      <c r="I18" s="368">
        <v>3.58</v>
      </c>
      <c r="K18" s="105">
        <v>39214.11</v>
      </c>
    </row>
    <row r="19" spans="3:11" x14ac:dyDescent="0.2">
      <c r="C19" s="106" t="s">
        <v>27452</v>
      </c>
      <c r="D19" s="367">
        <v>44136</v>
      </c>
      <c r="E19" s="366" t="s">
        <v>27451</v>
      </c>
      <c r="H19" s="364" t="s">
        <v>14408</v>
      </c>
      <c r="I19" s="368">
        <v>3.63</v>
      </c>
      <c r="K19" s="105">
        <v>39217.74</v>
      </c>
    </row>
    <row r="20" spans="3:11" x14ac:dyDescent="0.2">
      <c r="C20" s="106" t="s">
        <v>27450</v>
      </c>
      <c r="D20" s="367">
        <v>44136</v>
      </c>
      <c r="E20" s="366" t="s">
        <v>27449</v>
      </c>
      <c r="I20" s="368">
        <v>27.76</v>
      </c>
      <c r="K20" s="105">
        <v>39245.5</v>
      </c>
    </row>
    <row r="21" spans="3:11" x14ac:dyDescent="0.2">
      <c r="C21" s="106" t="s">
        <v>27448</v>
      </c>
      <c r="D21" s="367">
        <v>44137</v>
      </c>
      <c r="E21" s="366" t="s">
        <v>27447</v>
      </c>
      <c r="H21" s="364" t="s">
        <v>14408</v>
      </c>
      <c r="I21" s="368">
        <v>9.06</v>
      </c>
      <c r="K21" s="105">
        <v>39254.559999999998</v>
      </c>
    </row>
    <row r="22" spans="3:11" x14ac:dyDescent="0.2">
      <c r="C22" s="106" t="s">
        <v>27446</v>
      </c>
      <c r="D22" s="367">
        <v>44137</v>
      </c>
      <c r="E22" s="366" t="s">
        <v>27445</v>
      </c>
      <c r="H22" s="364" t="s">
        <v>14408</v>
      </c>
      <c r="I22" s="368">
        <v>4.09</v>
      </c>
      <c r="K22" s="105">
        <v>39258.65</v>
      </c>
    </row>
    <row r="23" spans="3:11" x14ac:dyDescent="0.2">
      <c r="C23" s="106" t="s">
        <v>27444</v>
      </c>
      <c r="D23" s="367">
        <v>44137</v>
      </c>
      <c r="E23" s="366" t="s">
        <v>27443</v>
      </c>
      <c r="H23" s="364" t="s">
        <v>14408</v>
      </c>
      <c r="I23" s="368">
        <v>5.24</v>
      </c>
      <c r="K23" s="105">
        <v>39263.89</v>
      </c>
    </row>
    <row r="24" spans="3:11" x14ac:dyDescent="0.2">
      <c r="C24" s="106" t="s">
        <v>27442</v>
      </c>
      <c r="D24" s="367">
        <v>44137</v>
      </c>
      <c r="E24" s="366" t="s">
        <v>27441</v>
      </c>
      <c r="H24" s="364" t="s">
        <v>14408</v>
      </c>
      <c r="I24" s="368">
        <v>47.87</v>
      </c>
      <c r="K24" s="105">
        <v>39311.760000000002</v>
      </c>
    </row>
    <row r="25" spans="3:11" x14ac:dyDescent="0.2">
      <c r="C25" s="106" t="s">
        <v>27440</v>
      </c>
      <c r="D25" s="367">
        <v>44137</v>
      </c>
      <c r="E25" s="366" t="s">
        <v>27439</v>
      </c>
      <c r="H25" s="364" t="s">
        <v>14408</v>
      </c>
      <c r="I25" s="368">
        <v>5.22</v>
      </c>
      <c r="K25" s="105">
        <v>39316.980000000003</v>
      </c>
    </row>
    <row r="26" spans="3:11" x14ac:dyDescent="0.2">
      <c r="C26" s="106" t="s">
        <v>27438</v>
      </c>
      <c r="D26" s="367">
        <v>44137</v>
      </c>
      <c r="E26" s="366" t="s">
        <v>27437</v>
      </c>
      <c r="H26" s="364" t="s">
        <v>14408</v>
      </c>
      <c r="I26" s="368">
        <v>7.53</v>
      </c>
      <c r="K26" s="105">
        <v>39324.51</v>
      </c>
    </row>
    <row r="27" spans="3:11" x14ac:dyDescent="0.2">
      <c r="C27" s="106" t="s">
        <v>27436</v>
      </c>
      <c r="D27" s="367">
        <v>44137</v>
      </c>
      <c r="E27" s="366" t="s">
        <v>27435</v>
      </c>
      <c r="H27" s="364" t="s">
        <v>14408</v>
      </c>
      <c r="I27" s="368">
        <v>2.0299999999999998</v>
      </c>
      <c r="K27" s="105">
        <v>39326.54</v>
      </c>
    </row>
    <row r="28" spans="3:11" x14ac:dyDescent="0.2">
      <c r="C28" s="106" t="s">
        <v>27434</v>
      </c>
      <c r="D28" s="367">
        <v>44137</v>
      </c>
      <c r="E28" s="366" t="s">
        <v>27433</v>
      </c>
      <c r="H28" s="364" t="s">
        <v>14408</v>
      </c>
      <c r="I28" s="368">
        <v>1.69</v>
      </c>
      <c r="K28" s="105">
        <v>39328.230000000003</v>
      </c>
    </row>
    <row r="29" spans="3:11" x14ac:dyDescent="0.2">
      <c r="C29" s="106" t="s">
        <v>27432</v>
      </c>
      <c r="D29" s="367">
        <v>44137</v>
      </c>
      <c r="E29" s="366" t="s">
        <v>27431</v>
      </c>
      <c r="H29" s="364" t="s">
        <v>14408</v>
      </c>
      <c r="I29" s="368">
        <v>2.77</v>
      </c>
      <c r="K29" s="105">
        <v>39331</v>
      </c>
    </row>
    <row r="30" spans="3:11" x14ac:dyDescent="0.2">
      <c r="C30" s="106" t="s">
        <v>27430</v>
      </c>
      <c r="D30" s="367">
        <v>44137</v>
      </c>
      <c r="E30" s="366" t="s">
        <v>27429</v>
      </c>
      <c r="H30" s="364" t="s">
        <v>14408</v>
      </c>
      <c r="I30" s="368">
        <v>6.74</v>
      </c>
      <c r="K30" s="105">
        <v>39337.74</v>
      </c>
    </row>
    <row r="31" spans="3:11" x14ac:dyDescent="0.2">
      <c r="C31" s="106" t="s">
        <v>27428</v>
      </c>
      <c r="D31" s="367">
        <v>44137</v>
      </c>
      <c r="E31" s="366" t="s">
        <v>27427</v>
      </c>
      <c r="H31" s="364" t="s">
        <v>14408</v>
      </c>
      <c r="I31" s="368">
        <v>1.88</v>
      </c>
      <c r="K31" s="105">
        <v>39339.620000000003</v>
      </c>
    </row>
    <row r="32" spans="3:11" x14ac:dyDescent="0.2">
      <c r="C32" s="106" t="s">
        <v>27426</v>
      </c>
      <c r="D32" s="367">
        <v>44137</v>
      </c>
      <c r="E32" s="366" t="s">
        <v>27425</v>
      </c>
      <c r="H32" s="364" t="s">
        <v>14408</v>
      </c>
      <c r="I32" s="368">
        <v>1.68</v>
      </c>
      <c r="K32" s="105">
        <v>39341.300000000003</v>
      </c>
    </row>
    <row r="33" spans="3:11" x14ac:dyDescent="0.2">
      <c r="C33" s="106" t="s">
        <v>27424</v>
      </c>
      <c r="D33" s="367">
        <v>44137</v>
      </c>
      <c r="E33" s="366" t="s">
        <v>27423</v>
      </c>
      <c r="H33" s="364" t="s">
        <v>14408</v>
      </c>
      <c r="I33" s="368">
        <v>13.88</v>
      </c>
      <c r="K33" s="105">
        <v>39355.18</v>
      </c>
    </row>
    <row r="34" spans="3:11" x14ac:dyDescent="0.2">
      <c r="C34" s="106" t="s">
        <v>27422</v>
      </c>
      <c r="D34" s="367">
        <v>44138</v>
      </c>
      <c r="E34" s="366" t="s">
        <v>27421</v>
      </c>
      <c r="H34" s="364" t="s">
        <v>14408</v>
      </c>
      <c r="I34" s="368">
        <v>16.059999999999999</v>
      </c>
      <c r="K34" s="105">
        <v>39371.24</v>
      </c>
    </row>
    <row r="35" spans="3:11" x14ac:dyDescent="0.2">
      <c r="C35" s="106" t="s">
        <v>27420</v>
      </c>
      <c r="D35" s="367">
        <v>44138</v>
      </c>
      <c r="E35" s="366" t="s">
        <v>27419</v>
      </c>
      <c r="H35" s="364" t="s">
        <v>14408</v>
      </c>
      <c r="I35" s="368">
        <v>10.39</v>
      </c>
      <c r="K35" s="105">
        <v>39381.629999999997</v>
      </c>
    </row>
    <row r="36" spans="3:11" x14ac:dyDescent="0.2">
      <c r="C36" s="106" t="s">
        <v>27418</v>
      </c>
      <c r="D36" s="367">
        <v>44138</v>
      </c>
      <c r="E36" s="366" t="s">
        <v>27417</v>
      </c>
      <c r="H36" s="364" t="s">
        <v>14408</v>
      </c>
      <c r="I36" s="368">
        <v>2.56</v>
      </c>
      <c r="K36" s="105">
        <v>39384.19</v>
      </c>
    </row>
    <row r="37" spans="3:11" x14ac:dyDescent="0.2">
      <c r="C37" s="106" t="s">
        <v>27416</v>
      </c>
      <c r="D37" s="367">
        <v>44138</v>
      </c>
      <c r="E37" s="366" t="s">
        <v>27415</v>
      </c>
      <c r="H37" s="364" t="s">
        <v>14408</v>
      </c>
      <c r="I37" s="368">
        <v>3.19</v>
      </c>
      <c r="K37" s="105">
        <v>39387.379999999997</v>
      </c>
    </row>
    <row r="38" spans="3:11" x14ac:dyDescent="0.2">
      <c r="C38" s="106" t="s">
        <v>27414</v>
      </c>
      <c r="D38" s="367">
        <v>44138</v>
      </c>
      <c r="E38" s="366" t="s">
        <v>27413</v>
      </c>
      <c r="H38" s="364" t="s">
        <v>14408</v>
      </c>
      <c r="I38" s="368">
        <v>1.96</v>
      </c>
      <c r="K38" s="105">
        <v>39389.339999999997</v>
      </c>
    </row>
    <row r="39" spans="3:11" x14ac:dyDescent="0.2">
      <c r="C39" s="106" t="s">
        <v>27412</v>
      </c>
      <c r="D39" s="367">
        <v>44138</v>
      </c>
      <c r="E39" s="366" t="s">
        <v>27411</v>
      </c>
      <c r="H39" s="364" t="s">
        <v>14408</v>
      </c>
      <c r="I39" s="368">
        <v>3.84</v>
      </c>
      <c r="K39" s="105">
        <v>39393.18</v>
      </c>
    </row>
    <row r="40" spans="3:11" x14ac:dyDescent="0.2">
      <c r="C40" s="106" t="s">
        <v>27410</v>
      </c>
      <c r="D40" s="367">
        <v>44139</v>
      </c>
      <c r="E40" s="366" t="s">
        <v>27409</v>
      </c>
      <c r="I40" s="368">
        <v>6.64</v>
      </c>
      <c r="K40" s="105">
        <v>39399.82</v>
      </c>
    </row>
    <row r="41" spans="3:11" x14ac:dyDescent="0.2">
      <c r="C41" s="106" t="s">
        <v>27408</v>
      </c>
      <c r="D41" s="367">
        <v>44139</v>
      </c>
      <c r="E41" s="366" t="s">
        <v>27407</v>
      </c>
      <c r="I41" s="368">
        <v>14.75</v>
      </c>
      <c r="K41" s="105">
        <v>39414.57</v>
      </c>
    </row>
    <row r="42" spans="3:11" x14ac:dyDescent="0.2">
      <c r="C42" s="106" t="s">
        <v>27406</v>
      </c>
      <c r="D42" s="367">
        <v>44139</v>
      </c>
      <c r="E42" s="366" t="s">
        <v>27405</v>
      </c>
      <c r="I42" s="368">
        <v>4.18</v>
      </c>
      <c r="K42" s="105">
        <v>39418.75</v>
      </c>
    </row>
    <row r="43" spans="3:11" x14ac:dyDescent="0.2">
      <c r="C43" s="106" t="s">
        <v>27404</v>
      </c>
      <c r="D43" s="367">
        <v>44139</v>
      </c>
      <c r="E43" s="366" t="s">
        <v>27403</v>
      </c>
      <c r="H43" s="364" t="s">
        <v>14408</v>
      </c>
      <c r="I43" s="368">
        <v>1.68</v>
      </c>
      <c r="K43" s="105">
        <v>39420.43</v>
      </c>
    </row>
    <row r="44" spans="3:11" x14ac:dyDescent="0.2">
      <c r="C44" s="106" t="s">
        <v>27402</v>
      </c>
      <c r="D44" s="367">
        <v>44139</v>
      </c>
      <c r="E44" s="366" t="s">
        <v>27401</v>
      </c>
      <c r="H44" s="364" t="s">
        <v>14408</v>
      </c>
      <c r="I44" s="368">
        <v>35.9</v>
      </c>
      <c r="K44" s="105">
        <v>39456.33</v>
      </c>
    </row>
    <row r="45" spans="3:11" x14ac:dyDescent="0.2">
      <c r="C45" s="106" t="s">
        <v>27400</v>
      </c>
      <c r="D45" s="367">
        <v>44139</v>
      </c>
      <c r="E45" s="366" t="s">
        <v>27399</v>
      </c>
      <c r="H45" s="364" t="s">
        <v>14408</v>
      </c>
      <c r="I45" s="368">
        <v>6.1</v>
      </c>
      <c r="K45" s="105">
        <v>39462.43</v>
      </c>
    </row>
    <row r="46" spans="3:11" x14ac:dyDescent="0.2">
      <c r="C46" s="106" t="s">
        <v>27398</v>
      </c>
      <c r="D46" s="367">
        <v>44139</v>
      </c>
      <c r="E46" s="366" t="s">
        <v>27397</v>
      </c>
      <c r="H46" s="364" t="s">
        <v>14408</v>
      </c>
      <c r="I46" s="368">
        <v>4.91</v>
      </c>
      <c r="K46" s="105">
        <v>39467.339999999997</v>
      </c>
    </row>
    <row r="47" spans="3:11" x14ac:dyDescent="0.2">
      <c r="C47" s="106" t="s">
        <v>27396</v>
      </c>
      <c r="D47" s="367">
        <v>44139</v>
      </c>
      <c r="E47" s="366" t="s">
        <v>27395</v>
      </c>
      <c r="H47" s="364" t="s">
        <v>14408</v>
      </c>
      <c r="I47" s="368">
        <v>7.32</v>
      </c>
      <c r="K47" s="105">
        <v>39474.660000000003</v>
      </c>
    </row>
    <row r="48" spans="3:11" x14ac:dyDescent="0.2">
      <c r="C48" s="106" t="s">
        <v>27394</v>
      </c>
      <c r="D48" s="367">
        <v>44139</v>
      </c>
      <c r="E48" s="366" t="s">
        <v>27393</v>
      </c>
      <c r="H48" s="364" t="s">
        <v>14408</v>
      </c>
      <c r="I48" s="368">
        <v>13.72</v>
      </c>
      <c r="K48" s="105">
        <v>39488.379999999997</v>
      </c>
    </row>
    <row r="49" spans="3:11" x14ac:dyDescent="0.2">
      <c r="C49" s="106" t="s">
        <v>27392</v>
      </c>
      <c r="D49" s="367">
        <v>44139</v>
      </c>
      <c r="E49" s="366" t="s">
        <v>27391</v>
      </c>
      <c r="H49" s="364" t="s">
        <v>14408</v>
      </c>
      <c r="I49" s="368">
        <v>17.579999999999998</v>
      </c>
      <c r="K49" s="105">
        <v>39505.96</v>
      </c>
    </row>
    <row r="50" spans="3:11" x14ac:dyDescent="0.2">
      <c r="C50" s="106" t="s">
        <v>27390</v>
      </c>
      <c r="D50" s="367">
        <v>44139</v>
      </c>
      <c r="E50" s="366" t="s">
        <v>27389</v>
      </c>
      <c r="H50" s="364" t="s">
        <v>14408</v>
      </c>
      <c r="I50" s="368">
        <v>2.2000000000000002</v>
      </c>
      <c r="K50" s="105">
        <v>39508.160000000003</v>
      </c>
    </row>
    <row r="51" spans="3:11" x14ac:dyDescent="0.2">
      <c r="C51" s="106" t="s">
        <v>27388</v>
      </c>
      <c r="D51" s="367">
        <v>44139</v>
      </c>
      <c r="E51" s="366" t="s">
        <v>27387</v>
      </c>
      <c r="H51" s="364" t="s">
        <v>14408</v>
      </c>
      <c r="I51" s="368">
        <v>1.94</v>
      </c>
      <c r="K51" s="105">
        <v>39510.1</v>
      </c>
    </row>
    <row r="52" spans="3:11" x14ac:dyDescent="0.2">
      <c r="C52" s="106" t="s">
        <v>27386</v>
      </c>
      <c r="D52" s="367">
        <v>44139</v>
      </c>
      <c r="E52" s="366" t="s">
        <v>27385</v>
      </c>
      <c r="H52" s="364" t="s">
        <v>14408</v>
      </c>
      <c r="I52" s="368">
        <v>3.62</v>
      </c>
      <c r="K52" s="105">
        <v>39513.72</v>
      </c>
    </row>
    <row r="53" spans="3:11" x14ac:dyDescent="0.2">
      <c r="C53" s="106" t="s">
        <v>27384</v>
      </c>
      <c r="D53" s="367">
        <v>44139</v>
      </c>
      <c r="E53" s="366" t="s">
        <v>27383</v>
      </c>
      <c r="H53" s="364" t="s">
        <v>14408</v>
      </c>
      <c r="I53" s="368">
        <v>0.78</v>
      </c>
      <c r="K53" s="105">
        <v>39514.5</v>
      </c>
    </row>
    <row r="54" spans="3:11" x14ac:dyDescent="0.2">
      <c r="C54" s="106" t="s">
        <v>27382</v>
      </c>
      <c r="D54" s="367">
        <v>44139</v>
      </c>
      <c r="E54" s="366" t="s">
        <v>27381</v>
      </c>
      <c r="H54" s="364" t="s">
        <v>14408</v>
      </c>
      <c r="I54" s="368">
        <v>9.01</v>
      </c>
      <c r="K54" s="105">
        <v>39523.51</v>
      </c>
    </row>
    <row r="55" spans="3:11" x14ac:dyDescent="0.2">
      <c r="C55" s="106" t="s">
        <v>27380</v>
      </c>
      <c r="D55" s="367">
        <v>44139</v>
      </c>
      <c r="E55" s="366" t="s">
        <v>27379</v>
      </c>
      <c r="H55" s="364" t="s">
        <v>14408</v>
      </c>
      <c r="I55" s="368">
        <v>20.82</v>
      </c>
      <c r="K55" s="105">
        <v>39544.33</v>
      </c>
    </row>
    <row r="56" spans="3:11" x14ac:dyDescent="0.2">
      <c r="C56" s="106" t="s">
        <v>27378</v>
      </c>
      <c r="D56" s="367">
        <v>44139</v>
      </c>
      <c r="E56" s="366" t="s">
        <v>27377</v>
      </c>
      <c r="H56" s="364" t="s">
        <v>14408</v>
      </c>
      <c r="I56" s="368">
        <v>11.91</v>
      </c>
      <c r="K56" s="105">
        <v>39556.239999999998</v>
      </c>
    </row>
    <row r="57" spans="3:11" x14ac:dyDescent="0.2">
      <c r="C57" s="106" t="s">
        <v>27376</v>
      </c>
      <c r="D57" s="367">
        <v>44139</v>
      </c>
      <c r="E57" s="366" t="s">
        <v>27375</v>
      </c>
      <c r="H57" s="364" t="s">
        <v>14408</v>
      </c>
      <c r="I57" s="368">
        <v>12.83</v>
      </c>
      <c r="K57" s="105">
        <v>39569.07</v>
      </c>
    </row>
    <row r="58" spans="3:11" x14ac:dyDescent="0.2">
      <c r="C58" s="106" t="s">
        <v>27374</v>
      </c>
      <c r="D58" s="367">
        <v>44139</v>
      </c>
      <c r="E58" s="366" t="s">
        <v>27373</v>
      </c>
      <c r="H58" s="364" t="s">
        <v>14408</v>
      </c>
      <c r="I58" s="368">
        <v>6.73</v>
      </c>
      <c r="K58" s="105">
        <v>39575.800000000003</v>
      </c>
    </row>
    <row r="59" spans="3:11" x14ac:dyDescent="0.2">
      <c r="C59" s="106" t="s">
        <v>27372</v>
      </c>
      <c r="D59" s="367">
        <v>44139</v>
      </c>
      <c r="E59" s="366" t="s">
        <v>27371</v>
      </c>
      <c r="H59" s="364" t="s">
        <v>14408</v>
      </c>
      <c r="I59" s="368">
        <v>34.909999999999997</v>
      </c>
      <c r="K59" s="105">
        <v>39610.71</v>
      </c>
    </row>
    <row r="60" spans="3:11" x14ac:dyDescent="0.2">
      <c r="C60" s="106" t="s">
        <v>27370</v>
      </c>
      <c r="D60" s="367">
        <v>44139</v>
      </c>
      <c r="E60" s="366" t="s">
        <v>27369</v>
      </c>
      <c r="H60" s="364" t="s">
        <v>14408</v>
      </c>
      <c r="I60" s="368">
        <v>12.86</v>
      </c>
      <c r="K60" s="105">
        <v>39623.57</v>
      </c>
    </row>
    <row r="61" spans="3:11" x14ac:dyDescent="0.2">
      <c r="C61" s="106" t="s">
        <v>27368</v>
      </c>
      <c r="D61" s="367">
        <v>44139</v>
      </c>
      <c r="E61" s="366" t="s">
        <v>27367</v>
      </c>
      <c r="H61" s="364" t="s">
        <v>14408</v>
      </c>
      <c r="I61" s="368">
        <v>6.54</v>
      </c>
      <c r="K61" s="105">
        <v>39630.11</v>
      </c>
    </row>
    <row r="62" spans="3:11" x14ac:dyDescent="0.2">
      <c r="C62" s="106" t="s">
        <v>27366</v>
      </c>
      <c r="D62" s="367">
        <v>44139</v>
      </c>
      <c r="E62" s="366" t="s">
        <v>27365</v>
      </c>
      <c r="H62" s="364" t="s">
        <v>14408</v>
      </c>
      <c r="I62" s="368">
        <v>2.2000000000000002</v>
      </c>
      <c r="K62" s="105">
        <v>39632.31</v>
      </c>
    </row>
    <row r="63" spans="3:11" x14ac:dyDescent="0.2">
      <c r="C63" s="106" t="s">
        <v>27364</v>
      </c>
      <c r="D63" s="367">
        <v>44139</v>
      </c>
      <c r="E63" s="366" t="s">
        <v>27363</v>
      </c>
      <c r="I63" s="368">
        <v>2.65</v>
      </c>
      <c r="K63" s="105">
        <v>39634.959999999999</v>
      </c>
    </row>
    <row r="64" spans="3:11" s="374" customFormat="1" x14ac:dyDescent="0.2">
      <c r="C64" s="369" t="s">
        <v>27362</v>
      </c>
      <c r="D64" s="370">
        <v>44139</v>
      </c>
      <c r="E64" s="371" t="s">
        <v>27361</v>
      </c>
      <c r="F64" s="372"/>
      <c r="G64" s="372"/>
      <c r="H64" s="373">
        <v>1</v>
      </c>
      <c r="I64" s="368">
        <v>4.13</v>
      </c>
      <c r="K64" s="368">
        <v>39639.089999999997</v>
      </c>
    </row>
    <row r="65" spans="3:11" s="374" customFormat="1" x14ac:dyDescent="0.2">
      <c r="C65" s="369" t="s">
        <v>27360</v>
      </c>
      <c r="D65" s="370">
        <v>44139</v>
      </c>
      <c r="E65" s="371" t="s">
        <v>27359</v>
      </c>
      <c r="F65" s="372"/>
      <c r="G65" s="372"/>
      <c r="H65" s="373">
        <v>1</v>
      </c>
      <c r="I65" s="368">
        <v>6.72</v>
      </c>
      <c r="K65" s="368">
        <v>39645.81</v>
      </c>
    </row>
    <row r="66" spans="3:11" s="374" customFormat="1" x14ac:dyDescent="0.2">
      <c r="C66" s="369" t="s">
        <v>27358</v>
      </c>
      <c r="D66" s="370">
        <v>44139</v>
      </c>
      <c r="E66" s="371" t="s">
        <v>27357</v>
      </c>
      <c r="F66" s="372"/>
      <c r="G66" s="372"/>
      <c r="H66" s="373">
        <v>1</v>
      </c>
      <c r="I66" s="368">
        <v>16.760000000000002</v>
      </c>
      <c r="K66" s="368">
        <v>39662.57</v>
      </c>
    </row>
    <row r="67" spans="3:11" s="374" customFormat="1" x14ac:dyDescent="0.2">
      <c r="C67" s="369" t="s">
        <v>27356</v>
      </c>
      <c r="D67" s="370">
        <v>44139</v>
      </c>
      <c r="E67" s="371" t="s">
        <v>27355</v>
      </c>
      <c r="F67" s="372"/>
      <c r="G67" s="372"/>
      <c r="H67" s="373">
        <v>1</v>
      </c>
      <c r="I67" s="368">
        <v>8.3800000000000008</v>
      </c>
      <c r="K67" s="368">
        <v>39670.949999999997</v>
      </c>
    </row>
    <row r="68" spans="3:11" s="374" customFormat="1" x14ac:dyDescent="0.2">
      <c r="C68" s="369" t="s">
        <v>27354</v>
      </c>
      <c r="D68" s="370">
        <v>44139</v>
      </c>
      <c r="E68" s="371" t="s">
        <v>27353</v>
      </c>
      <c r="F68" s="372"/>
      <c r="G68" s="372"/>
      <c r="H68" s="373">
        <v>1</v>
      </c>
      <c r="I68" s="368">
        <v>8.3800000000000008</v>
      </c>
      <c r="K68" s="368">
        <v>39679.33</v>
      </c>
    </row>
    <row r="69" spans="3:11" s="374" customFormat="1" x14ac:dyDescent="0.2">
      <c r="C69" s="369" t="s">
        <v>27352</v>
      </c>
      <c r="D69" s="370">
        <v>44139</v>
      </c>
      <c r="E69" s="371" t="s">
        <v>27351</v>
      </c>
      <c r="F69" s="372"/>
      <c r="G69" s="372"/>
      <c r="H69" s="373">
        <v>1</v>
      </c>
      <c r="I69" s="368">
        <v>3.82</v>
      </c>
      <c r="K69" s="368">
        <v>39683.15</v>
      </c>
    </row>
    <row r="70" spans="3:11" s="374" customFormat="1" x14ac:dyDescent="0.2">
      <c r="C70" s="369" t="s">
        <v>27350</v>
      </c>
      <c r="D70" s="370">
        <v>44139</v>
      </c>
      <c r="E70" s="371" t="s">
        <v>27349</v>
      </c>
      <c r="F70" s="372"/>
      <c r="G70" s="372"/>
      <c r="H70" s="373">
        <v>1</v>
      </c>
      <c r="I70" s="368">
        <v>17.53</v>
      </c>
      <c r="K70" s="368">
        <v>39700.68</v>
      </c>
    </row>
    <row r="71" spans="3:11" s="374" customFormat="1" x14ac:dyDescent="0.2">
      <c r="C71" s="369" t="s">
        <v>27348</v>
      </c>
      <c r="D71" s="370">
        <v>44139</v>
      </c>
      <c r="E71" s="371" t="s">
        <v>27347</v>
      </c>
      <c r="F71" s="372"/>
      <c r="G71" s="372"/>
      <c r="H71" s="373">
        <v>1</v>
      </c>
      <c r="I71" s="368">
        <v>15.64</v>
      </c>
      <c r="K71" s="368">
        <v>39716.32</v>
      </c>
    </row>
    <row r="72" spans="3:11" s="374" customFormat="1" x14ac:dyDescent="0.2">
      <c r="C72" s="369" t="s">
        <v>27346</v>
      </c>
      <c r="D72" s="370">
        <v>44139</v>
      </c>
      <c r="E72" s="371" t="s">
        <v>27345</v>
      </c>
      <c r="F72" s="372"/>
      <c r="G72" s="372"/>
      <c r="H72" s="373">
        <v>1</v>
      </c>
      <c r="I72" s="368">
        <v>24.6</v>
      </c>
      <c r="K72" s="368">
        <v>39740.92</v>
      </c>
    </row>
    <row r="73" spans="3:11" s="374" customFormat="1" x14ac:dyDescent="0.2">
      <c r="C73" s="369" t="s">
        <v>27344</v>
      </c>
      <c r="D73" s="370">
        <v>44139</v>
      </c>
      <c r="E73" s="371" t="s">
        <v>27343</v>
      </c>
      <c r="F73" s="372"/>
      <c r="G73" s="372"/>
      <c r="H73" s="373">
        <v>1</v>
      </c>
      <c r="I73" s="368">
        <v>3.63</v>
      </c>
      <c r="K73" s="368">
        <v>39744.550000000003</v>
      </c>
    </row>
    <row r="74" spans="3:11" s="374" customFormat="1" x14ac:dyDescent="0.2">
      <c r="C74" s="369" t="s">
        <v>27342</v>
      </c>
      <c r="D74" s="370">
        <v>44139</v>
      </c>
      <c r="E74" s="371" t="s">
        <v>27341</v>
      </c>
      <c r="F74" s="372"/>
      <c r="G74" s="372"/>
      <c r="H74" s="373">
        <v>1</v>
      </c>
      <c r="I74" s="368">
        <v>3.45</v>
      </c>
      <c r="K74" s="368">
        <v>39748</v>
      </c>
    </row>
    <row r="75" spans="3:11" s="374" customFormat="1" x14ac:dyDescent="0.2">
      <c r="C75" s="369" t="s">
        <v>27340</v>
      </c>
      <c r="D75" s="370">
        <v>44139</v>
      </c>
      <c r="E75" s="371" t="s">
        <v>27339</v>
      </c>
      <c r="F75" s="372"/>
      <c r="G75" s="372"/>
      <c r="H75" s="373">
        <v>1</v>
      </c>
      <c r="I75" s="368">
        <v>3.37</v>
      </c>
      <c r="K75" s="368">
        <v>39751.370000000003</v>
      </c>
    </row>
    <row r="76" spans="3:11" s="374" customFormat="1" x14ac:dyDescent="0.2">
      <c r="C76" s="369" t="s">
        <v>27338</v>
      </c>
      <c r="D76" s="370">
        <v>44139</v>
      </c>
      <c r="E76" s="371" t="s">
        <v>27337</v>
      </c>
      <c r="F76" s="372"/>
      <c r="G76" s="372"/>
      <c r="H76" s="373">
        <v>1</v>
      </c>
      <c r="I76" s="368">
        <v>15.61</v>
      </c>
      <c r="K76" s="368">
        <v>39766.980000000003</v>
      </c>
    </row>
    <row r="77" spans="3:11" s="374" customFormat="1" x14ac:dyDescent="0.2">
      <c r="C77" s="369" t="s">
        <v>27336</v>
      </c>
      <c r="D77" s="370">
        <v>44139</v>
      </c>
      <c r="E77" s="371" t="s">
        <v>27335</v>
      </c>
      <c r="F77" s="372"/>
      <c r="G77" s="372"/>
      <c r="H77" s="373">
        <v>1</v>
      </c>
      <c r="I77" s="368">
        <v>8.3800000000000008</v>
      </c>
      <c r="K77" s="368">
        <v>39775.360000000001</v>
      </c>
    </row>
    <row r="78" spans="3:11" s="374" customFormat="1" x14ac:dyDescent="0.2">
      <c r="C78" s="369" t="s">
        <v>27334</v>
      </c>
      <c r="D78" s="370">
        <v>44139</v>
      </c>
      <c r="E78" s="371" t="s">
        <v>27333</v>
      </c>
      <c r="F78" s="372"/>
      <c r="G78" s="372"/>
      <c r="H78" s="373">
        <v>1</v>
      </c>
      <c r="I78" s="368">
        <v>15.64</v>
      </c>
      <c r="K78" s="368">
        <v>39791</v>
      </c>
    </row>
    <row r="79" spans="3:11" s="374" customFormat="1" x14ac:dyDescent="0.2">
      <c r="C79" s="369" t="s">
        <v>27332</v>
      </c>
      <c r="D79" s="370">
        <v>44139</v>
      </c>
      <c r="E79" s="371" t="s">
        <v>27331</v>
      </c>
      <c r="F79" s="372"/>
      <c r="G79" s="372"/>
      <c r="H79" s="373">
        <v>1</v>
      </c>
      <c r="I79" s="368">
        <v>3.36</v>
      </c>
      <c r="K79" s="368">
        <v>39794.36</v>
      </c>
    </row>
    <row r="80" spans="3:11" s="374" customFormat="1" x14ac:dyDescent="0.2">
      <c r="C80" s="369" t="s">
        <v>27330</v>
      </c>
      <c r="D80" s="370">
        <v>44139</v>
      </c>
      <c r="E80" s="371" t="s">
        <v>27329</v>
      </c>
      <c r="F80" s="372"/>
      <c r="G80" s="372"/>
      <c r="H80" s="373">
        <v>1</v>
      </c>
      <c r="I80" s="368">
        <v>35.799999999999997</v>
      </c>
      <c r="K80" s="368">
        <v>39830.160000000003</v>
      </c>
    </row>
    <row r="81" spans="3:11" s="374" customFormat="1" x14ac:dyDescent="0.2">
      <c r="C81" s="369" t="s">
        <v>27328</v>
      </c>
      <c r="D81" s="370">
        <v>44139</v>
      </c>
      <c r="E81" s="371" t="s">
        <v>27327</v>
      </c>
      <c r="F81" s="372"/>
      <c r="G81" s="372"/>
      <c r="H81" s="373">
        <v>1</v>
      </c>
      <c r="I81" s="368">
        <v>17.739999999999998</v>
      </c>
      <c r="K81" s="368">
        <v>39847.9</v>
      </c>
    </row>
    <row r="82" spans="3:11" s="374" customFormat="1" x14ac:dyDescent="0.2">
      <c r="C82" s="369" t="s">
        <v>27326</v>
      </c>
      <c r="D82" s="370">
        <v>44139</v>
      </c>
      <c r="E82" s="371" t="s">
        <v>27325</v>
      </c>
      <c r="F82" s="372"/>
      <c r="G82" s="372"/>
      <c r="H82" s="373">
        <v>1</v>
      </c>
      <c r="I82" s="368">
        <v>35.22</v>
      </c>
      <c r="K82" s="368">
        <v>39883.120000000003</v>
      </c>
    </row>
    <row r="83" spans="3:11" s="374" customFormat="1" x14ac:dyDescent="0.2">
      <c r="C83" s="369" t="s">
        <v>27324</v>
      </c>
      <c r="D83" s="370">
        <v>44139</v>
      </c>
      <c r="E83" s="371" t="s">
        <v>27323</v>
      </c>
      <c r="F83" s="372"/>
      <c r="G83" s="372"/>
      <c r="H83" s="373">
        <v>1</v>
      </c>
      <c r="I83" s="368">
        <v>21.51</v>
      </c>
      <c r="K83" s="368">
        <v>39904.629999999997</v>
      </c>
    </row>
    <row r="84" spans="3:11" s="374" customFormat="1" x14ac:dyDescent="0.2">
      <c r="C84" s="369" t="s">
        <v>27322</v>
      </c>
      <c r="D84" s="370">
        <v>44139</v>
      </c>
      <c r="E84" s="371" t="s">
        <v>27321</v>
      </c>
      <c r="F84" s="372"/>
      <c r="G84" s="372"/>
      <c r="H84" s="373">
        <v>1</v>
      </c>
      <c r="I84" s="368">
        <v>3.36</v>
      </c>
      <c r="K84" s="368">
        <v>39907.99</v>
      </c>
    </row>
    <row r="85" spans="3:11" s="374" customFormat="1" x14ac:dyDescent="0.2">
      <c r="C85" s="369" t="s">
        <v>27320</v>
      </c>
      <c r="D85" s="370">
        <v>44139</v>
      </c>
      <c r="E85" s="371" t="s">
        <v>27319</v>
      </c>
      <c r="F85" s="372"/>
      <c r="G85" s="372"/>
      <c r="H85" s="373">
        <v>1</v>
      </c>
      <c r="I85" s="368">
        <v>16.760000000000002</v>
      </c>
      <c r="K85" s="368">
        <v>39924.75</v>
      </c>
    </row>
    <row r="86" spans="3:11" s="374" customFormat="1" x14ac:dyDescent="0.2">
      <c r="C86" s="369" t="s">
        <v>27318</v>
      </c>
      <c r="D86" s="370">
        <v>44139</v>
      </c>
      <c r="E86" s="371" t="s">
        <v>27317</v>
      </c>
      <c r="F86" s="372"/>
      <c r="G86" s="372"/>
      <c r="H86" s="373">
        <v>1</v>
      </c>
      <c r="I86" s="368">
        <v>13.88</v>
      </c>
      <c r="K86" s="368">
        <v>39938.629999999997</v>
      </c>
    </row>
    <row r="87" spans="3:11" s="374" customFormat="1" x14ac:dyDescent="0.2">
      <c r="C87" s="369" t="s">
        <v>27316</v>
      </c>
      <c r="D87" s="370">
        <v>44139</v>
      </c>
      <c r="E87" s="371" t="s">
        <v>27315</v>
      </c>
      <c r="F87" s="372"/>
      <c r="G87" s="372"/>
      <c r="H87" s="373">
        <v>1</v>
      </c>
      <c r="I87" s="368">
        <v>4.13</v>
      </c>
      <c r="K87" s="368">
        <v>39942.76</v>
      </c>
    </row>
    <row r="88" spans="3:11" s="374" customFormat="1" x14ac:dyDescent="0.2">
      <c r="C88" s="369" t="s">
        <v>27314</v>
      </c>
      <c r="D88" s="370">
        <v>44139</v>
      </c>
      <c r="E88" s="371" t="s">
        <v>27313</v>
      </c>
      <c r="F88" s="372"/>
      <c r="G88" s="372"/>
      <c r="H88" s="373">
        <v>1</v>
      </c>
      <c r="I88" s="368">
        <v>13.88</v>
      </c>
      <c r="K88" s="368">
        <v>39956.639999999999</v>
      </c>
    </row>
    <row r="89" spans="3:11" s="374" customFormat="1" x14ac:dyDescent="0.2">
      <c r="C89" s="369" t="s">
        <v>27312</v>
      </c>
      <c r="D89" s="370">
        <v>44139</v>
      </c>
      <c r="E89" s="371" t="s">
        <v>27311</v>
      </c>
      <c r="F89" s="372"/>
      <c r="G89" s="372"/>
      <c r="H89" s="373">
        <v>1</v>
      </c>
      <c r="I89" s="368">
        <v>16.760000000000002</v>
      </c>
      <c r="K89" s="368">
        <v>39973.4</v>
      </c>
    </row>
    <row r="90" spans="3:11" s="374" customFormat="1" x14ac:dyDescent="0.2">
      <c r="C90" s="369" t="s">
        <v>27310</v>
      </c>
      <c r="D90" s="370">
        <v>44139</v>
      </c>
      <c r="E90" s="371" t="s">
        <v>27309</v>
      </c>
      <c r="F90" s="372"/>
      <c r="G90" s="372"/>
      <c r="H90" s="373">
        <v>1</v>
      </c>
      <c r="I90" s="368">
        <v>16.760000000000002</v>
      </c>
      <c r="K90" s="368">
        <v>39990.160000000003</v>
      </c>
    </row>
    <row r="91" spans="3:11" s="374" customFormat="1" x14ac:dyDescent="0.2">
      <c r="C91" s="369" t="s">
        <v>27308</v>
      </c>
      <c r="D91" s="370">
        <v>44139</v>
      </c>
      <c r="E91" s="371" t="s">
        <v>27307</v>
      </c>
      <c r="F91" s="372"/>
      <c r="G91" s="372"/>
      <c r="H91" s="373">
        <v>1</v>
      </c>
      <c r="I91" s="368">
        <v>3.36</v>
      </c>
      <c r="K91" s="368">
        <v>39993.519999999997</v>
      </c>
    </row>
    <row r="92" spans="3:11" s="374" customFormat="1" x14ac:dyDescent="0.2">
      <c r="C92" s="369" t="s">
        <v>27306</v>
      </c>
      <c r="D92" s="370">
        <v>44139</v>
      </c>
      <c r="E92" s="371" t="s">
        <v>27305</v>
      </c>
      <c r="F92" s="372"/>
      <c r="G92" s="372"/>
      <c r="H92" s="373">
        <v>1</v>
      </c>
      <c r="I92" s="368">
        <v>16.760000000000002</v>
      </c>
      <c r="K92" s="368">
        <v>40010.28</v>
      </c>
    </row>
    <row r="93" spans="3:11" s="374" customFormat="1" x14ac:dyDescent="0.2">
      <c r="C93" s="369" t="s">
        <v>27304</v>
      </c>
      <c r="D93" s="370">
        <v>44139</v>
      </c>
      <c r="E93" s="371" t="s">
        <v>27303</v>
      </c>
      <c r="F93" s="372"/>
      <c r="G93" s="372"/>
      <c r="H93" s="373">
        <v>1</v>
      </c>
      <c r="I93" s="368">
        <v>6.2</v>
      </c>
      <c r="K93" s="368">
        <v>40016.480000000003</v>
      </c>
    </row>
    <row r="94" spans="3:11" s="374" customFormat="1" x14ac:dyDescent="0.2">
      <c r="C94" s="369" t="s">
        <v>27302</v>
      </c>
      <c r="D94" s="370">
        <v>44139</v>
      </c>
      <c r="E94" s="371" t="s">
        <v>27301</v>
      </c>
      <c r="F94" s="372"/>
      <c r="G94" s="372"/>
      <c r="H94" s="373">
        <v>1</v>
      </c>
      <c r="I94" s="368">
        <v>17.62</v>
      </c>
      <c r="K94" s="368">
        <v>40034.1</v>
      </c>
    </row>
    <row r="95" spans="3:11" s="374" customFormat="1" x14ac:dyDescent="0.2">
      <c r="C95" s="369" t="s">
        <v>27300</v>
      </c>
      <c r="D95" s="370">
        <v>44139</v>
      </c>
      <c r="E95" s="371" t="s">
        <v>27299</v>
      </c>
      <c r="F95" s="372"/>
      <c r="G95" s="372"/>
      <c r="H95" s="373">
        <v>1</v>
      </c>
      <c r="I95" s="368">
        <v>13.23</v>
      </c>
      <c r="K95" s="368">
        <v>40047.33</v>
      </c>
    </row>
    <row r="96" spans="3:11" s="374" customFormat="1" x14ac:dyDescent="0.2">
      <c r="C96" s="369" t="s">
        <v>27298</v>
      </c>
      <c r="D96" s="370">
        <v>44139</v>
      </c>
      <c r="E96" s="371" t="s">
        <v>27297</v>
      </c>
      <c r="F96" s="372"/>
      <c r="G96" s="372"/>
      <c r="H96" s="373">
        <v>1</v>
      </c>
      <c r="I96" s="368">
        <v>13.16</v>
      </c>
      <c r="K96" s="368">
        <v>40060.49</v>
      </c>
    </row>
    <row r="97" spans="3:11" s="374" customFormat="1" x14ac:dyDescent="0.2">
      <c r="C97" s="369" t="s">
        <v>27296</v>
      </c>
      <c r="D97" s="370">
        <v>44139</v>
      </c>
      <c r="E97" s="371" t="s">
        <v>27295</v>
      </c>
      <c r="F97" s="372"/>
      <c r="G97" s="372"/>
      <c r="H97" s="373">
        <v>1</v>
      </c>
      <c r="I97" s="368">
        <v>5.78</v>
      </c>
      <c r="K97" s="368">
        <v>40066.269999999997</v>
      </c>
    </row>
    <row r="98" spans="3:11" s="374" customFormat="1" x14ac:dyDescent="0.2">
      <c r="C98" s="369" t="s">
        <v>27294</v>
      </c>
      <c r="D98" s="370">
        <v>44139</v>
      </c>
      <c r="E98" s="371" t="s">
        <v>27293</v>
      </c>
      <c r="F98" s="372"/>
      <c r="G98" s="372"/>
      <c r="H98" s="373">
        <v>1</v>
      </c>
      <c r="I98" s="368">
        <v>15.47</v>
      </c>
      <c r="K98" s="368">
        <v>40081.74</v>
      </c>
    </row>
    <row r="99" spans="3:11" s="374" customFormat="1" x14ac:dyDescent="0.2">
      <c r="C99" s="369" t="s">
        <v>27292</v>
      </c>
      <c r="D99" s="370">
        <v>44139</v>
      </c>
      <c r="E99" s="371" t="s">
        <v>27291</v>
      </c>
      <c r="F99" s="372"/>
      <c r="G99" s="372"/>
      <c r="H99" s="373">
        <v>1</v>
      </c>
      <c r="I99" s="368">
        <v>6.66</v>
      </c>
      <c r="K99" s="368">
        <v>40088.400000000001</v>
      </c>
    </row>
    <row r="100" spans="3:11" s="374" customFormat="1" x14ac:dyDescent="0.2">
      <c r="C100" s="369" t="s">
        <v>27290</v>
      </c>
      <c r="D100" s="370">
        <v>44139</v>
      </c>
      <c r="E100" s="371" t="s">
        <v>27289</v>
      </c>
      <c r="F100" s="372"/>
      <c r="G100" s="372"/>
      <c r="H100" s="373">
        <v>1</v>
      </c>
      <c r="I100" s="368">
        <v>7.58</v>
      </c>
      <c r="K100" s="368">
        <v>40095.980000000003</v>
      </c>
    </row>
    <row r="101" spans="3:11" s="374" customFormat="1" x14ac:dyDescent="0.2">
      <c r="C101" s="369" t="s">
        <v>27288</v>
      </c>
      <c r="D101" s="370">
        <v>44139</v>
      </c>
      <c r="E101" s="371" t="s">
        <v>27287</v>
      </c>
      <c r="F101" s="372"/>
      <c r="G101" s="372"/>
      <c r="H101" s="373">
        <v>1</v>
      </c>
      <c r="I101" s="368">
        <v>3.36</v>
      </c>
      <c r="K101" s="368">
        <v>40099.339999999997</v>
      </c>
    </row>
    <row r="102" spans="3:11" s="374" customFormat="1" x14ac:dyDescent="0.2">
      <c r="C102" s="369" t="s">
        <v>27286</v>
      </c>
      <c r="D102" s="370">
        <v>44139</v>
      </c>
      <c r="E102" s="371" t="s">
        <v>27285</v>
      </c>
      <c r="F102" s="372"/>
      <c r="G102" s="372"/>
      <c r="H102" s="373">
        <v>1</v>
      </c>
      <c r="I102" s="368">
        <v>4.03</v>
      </c>
      <c r="K102" s="368">
        <v>40103.370000000003</v>
      </c>
    </row>
    <row r="103" spans="3:11" s="374" customFormat="1" x14ac:dyDescent="0.2">
      <c r="C103" s="369" t="s">
        <v>27284</v>
      </c>
      <c r="D103" s="370">
        <v>44139</v>
      </c>
      <c r="E103" s="371" t="s">
        <v>27283</v>
      </c>
      <c r="F103" s="372"/>
      <c r="G103" s="372"/>
      <c r="H103" s="373">
        <v>1</v>
      </c>
      <c r="I103" s="368">
        <v>3.57</v>
      </c>
      <c r="K103" s="368">
        <v>40106.94</v>
      </c>
    </row>
    <row r="104" spans="3:11" s="374" customFormat="1" x14ac:dyDescent="0.2">
      <c r="C104" s="369" t="s">
        <v>27282</v>
      </c>
      <c r="D104" s="370">
        <v>44139</v>
      </c>
      <c r="E104" s="371" t="s">
        <v>27281</v>
      </c>
      <c r="F104" s="372"/>
      <c r="G104" s="372"/>
      <c r="H104" s="373">
        <v>1</v>
      </c>
      <c r="I104" s="368">
        <v>5.51</v>
      </c>
      <c r="K104" s="368">
        <v>40112.449999999997</v>
      </c>
    </row>
    <row r="105" spans="3:11" s="374" customFormat="1" x14ac:dyDescent="0.2">
      <c r="C105" s="369" t="s">
        <v>27280</v>
      </c>
      <c r="D105" s="370">
        <v>44139</v>
      </c>
      <c r="E105" s="371" t="s">
        <v>27279</v>
      </c>
      <c r="F105" s="372"/>
      <c r="G105" s="372"/>
      <c r="H105" s="373">
        <v>1</v>
      </c>
      <c r="I105" s="368">
        <v>30.6</v>
      </c>
      <c r="K105" s="368">
        <v>40143.050000000003</v>
      </c>
    </row>
    <row r="106" spans="3:11" s="374" customFormat="1" x14ac:dyDescent="0.2">
      <c r="C106" s="369" t="s">
        <v>27278</v>
      </c>
      <c r="D106" s="370">
        <v>44139</v>
      </c>
      <c r="E106" s="371" t="s">
        <v>27277</v>
      </c>
      <c r="F106" s="372"/>
      <c r="G106" s="372"/>
      <c r="H106" s="373">
        <v>1</v>
      </c>
      <c r="I106" s="368">
        <v>61.2</v>
      </c>
      <c r="K106" s="368">
        <v>40204.25</v>
      </c>
    </row>
    <row r="107" spans="3:11" s="374" customFormat="1" x14ac:dyDescent="0.2">
      <c r="C107" s="369" t="s">
        <v>27276</v>
      </c>
      <c r="D107" s="370">
        <v>44139</v>
      </c>
      <c r="E107" s="371" t="s">
        <v>27275</v>
      </c>
      <c r="F107" s="372"/>
      <c r="G107" s="372"/>
      <c r="H107" s="373">
        <v>1</v>
      </c>
      <c r="I107" s="368">
        <v>30.6</v>
      </c>
      <c r="K107" s="368">
        <v>40234.85</v>
      </c>
    </row>
    <row r="108" spans="3:11" s="374" customFormat="1" x14ac:dyDescent="0.2">
      <c r="C108" s="369" t="s">
        <v>27274</v>
      </c>
      <c r="D108" s="370">
        <v>44139</v>
      </c>
      <c r="E108" s="371" t="s">
        <v>27273</v>
      </c>
      <c r="F108" s="372"/>
      <c r="G108" s="372"/>
      <c r="H108" s="373">
        <v>1</v>
      </c>
      <c r="I108" s="368">
        <v>3.36</v>
      </c>
      <c r="K108" s="368">
        <v>40238.21</v>
      </c>
    </row>
    <row r="109" spans="3:11" s="374" customFormat="1" x14ac:dyDescent="0.2">
      <c r="C109" s="369" t="s">
        <v>27272</v>
      </c>
      <c r="D109" s="370">
        <v>44139</v>
      </c>
      <c r="E109" s="371" t="s">
        <v>27271</v>
      </c>
      <c r="F109" s="372"/>
      <c r="G109" s="372"/>
      <c r="H109" s="373">
        <v>1</v>
      </c>
      <c r="I109" s="368">
        <v>14.2</v>
      </c>
      <c r="K109" s="368">
        <v>40252.410000000003</v>
      </c>
    </row>
    <row r="110" spans="3:11" s="374" customFormat="1" x14ac:dyDescent="0.2">
      <c r="C110" s="369" t="s">
        <v>27270</v>
      </c>
      <c r="D110" s="370">
        <v>44139</v>
      </c>
      <c r="E110" s="371" t="s">
        <v>27269</v>
      </c>
      <c r="F110" s="372"/>
      <c r="G110" s="372"/>
      <c r="H110" s="373">
        <v>1</v>
      </c>
      <c r="I110" s="368">
        <v>18.82</v>
      </c>
      <c r="K110" s="368">
        <v>40271.230000000003</v>
      </c>
    </row>
    <row r="111" spans="3:11" s="374" customFormat="1" x14ac:dyDescent="0.2">
      <c r="C111" s="369" t="s">
        <v>27268</v>
      </c>
      <c r="D111" s="370">
        <v>44139</v>
      </c>
      <c r="E111" s="371" t="s">
        <v>27267</v>
      </c>
      <c r="F111" s="372"/>
      <c r="G111" s="372"/>
      <c r="H111" s="373">
        <v>1</v>
      </c>
      <c r="I111" s="368">
        <v>4.25</v>
      </c>
      <c r="K111" s="368">
        <v>40275.480000000003</v>
      </c>
    </row>
    <row r="112" spans="3:11" s="374" customFormat="1" x14ac:dyDescent="0.2">
      <c r="C112" s="369" t="s">
        <v>27266</v>
      </c>
      <c r="D112" s="370">
        <v>44139</v>
      </c>
      <c r="E112" s="371" t="s">
        <v>27265</v>
      </c>
      <c r="F112" s="372"/>
      <c r="G112" s="372"/>
      <c r="H112" s="373">
        <v>1</v>
      </c>
      <c r="I112" s="368">
        <v>2.46</v>
      </c>
      <c r="K112" s="368">
        <v>40277.94</v>
      </c>
    </row>
    <row r="113" spans="3:11" s="374" customFormat="1" x14ac:dyDescent="0.2">
      <c r="C113" s="369" t="s">
        <v>27264</v>
      </c>
      <c r="D113" s="370">
        <v>44139</v>
      </c>
      <c r="E113" s="371" t="s">
        <v>27263</v>
      </c>
      <c r="F113" s="372"/>
      <c r="G113" s="372"/>
      <c r="H113" s="373">
        <v>1</v>
      </c>
      <c r="I113" s="368">
        <v>3.86</v>
      </c>
      <c r="K113" s="368">
        <v>40281.800000000003</v>
      </c>
    </row>
    <row r="114" spans="3:11" s="374" customFormat="1" x14ac:dyDescent="0.2">
      <c r="C114" s="369" t="s">
        <v>27262</v>
      </c>
      <c r="D114" s="370">
        <v>44139</v>
      </c>
      <c r="E114" s="371" t="s">
        <v>27261</v>
      </c>
      <c r="F114" s="372"/>
      <c r="G114" s="372"/>
      <c r="H114" s="373">
        <v>1</v>
      </c>
      <c r="I114" s="368">
        <v>14.25</v>
      </c>
      <c r="K114" s="368">
        <v>40296.050000000003</v>
      </c>
    </row>
    <row r="115" spans="3:11" x14ac:dyDescent="0.2">
      <c r="C115" s="106" t="s">
        <v>27260</v>
      </c>
      <c r="D115" s="367">
        <v>44140</v>
      </c>
      <c r="E115" s="366" t="s">
        <v>27259</v>
      </c>
      <c r="I115" s="368">
        <v>10.65</v>
      </c>
      <c r="K115" s="105">
        <v>40306.699999999997</v>
      </c>
    </row>
    <row r="116" spans="3:11" x14ac:dyDescent="0.2">
      <c r="C116" s="106" t="s">
        <v>27258</v>
      </c>
      <c r="D116" s="367">
        <v>44140</v>
      </c>
      <c r="E116" s="366" t="s">
        <v>27257</v>
      </c>
      <c r="I116" s="368">
        <v>1.99</v>
      </c>
      <c r="K116" s="105">
        <v>40308.69</v>
      </c>
    </row>
    <row r="117" spans="3:11" x14ac:dyDescent="0.2">
      <c r="C117" s="106" t="s">
        <v>27256</v>
      </c>
      <c r="D117" s="367">
        <v>44140</v>
      </c>
      <c r="E117" s="366" t="s">
        <v>27255</v>
      </c>
      <c r="H117" s="364">
        <v>2</v>
      </c>
      <c r="I117" s="368">
        <v>6.94</v>
      </c>
      <c r="K117" s="105">
        <v>40315.629999999997</v>
      </c>
    </row>
    <row r="118" spans="3:11" x14ac:dyDescent="0.2">
      <c r="C118" s="106" t="s">
        <v>27254</v>
      </c>
      <c r="D118" s="367">
        <v>44140</v>
      </c>
      <c r="E118" s="366" t="s">
        <v>27253</v>
      </c>
      <c r="H118" s="364">
        <v>2</v>
      </c>
      <c r="I118" s="368">
        <v>4.72</v>
      </c>
      <c r="K118" s="105">
        <v>40320.35</v>
      </c>
    </row>
    <row r="119" spans="3:11" x14ac:dyDescent="0.2">
      <c r="C119" s="106" t="s">
        <v>27252</v>
      </c>
      <c r="D119" s="367">
        <v>44140</v>
      </c>
      <c r="E119" s="366" t="s">
        <v>27251</v>
      </c>
      <c r="H119" s="364">
        <v>2</v>
      </c>
      <c r="I119" s="368">
        <v>12.62</v>
      </c>
      <c r="K119" s="105">
        <v>40332.97</v>
      </c>
    </row>
    <row r="120" spans="3:11" x14ac:dyDescent="0.2">
      <c r="C120" s="106" t="s">
        <v>27250</v>
      </c>
      <c r="D120" s="367">
        <v>44140</v>
      </c>
      <c r="E120" s="366" t="s">
        <v>27249</v>
      </c>
      <c r="H120" s="364">
        <v>2</v>
      </c>
      <c r="I120" s="368">
        <v>8.3800000000000008</v>
      </c>
      <c r="K120" s="105">
        <v>40341.35</v>
      </c>
    </row>
    <row r="121" spans="3:11" x14ac:dyDescent="0.2">
      <c r="C121" s="106" t="s">
        <v>27248</v>
      </c>
      <c r="D121" s="367">
        <v>44140</v>
      </c>
      <c r="E121" s="366" t="s">
        <v>27247</v>
      </c>
      <c r="H121" s="364">
        <v>2</v>
      </c>
      <c r="I121" s="368">
        <v>1.94</v>
      </c>
      <c r="K121" s="105">
        <v>40343.29</v>
      </c>
    </row>
    <row r="122" spans="3:11" x14ac:dyDescent="0.2">
      <c r="C122" s="106" t="s">
        <v>27246</v>
      </c>
      <c r="D122" s="367">
        <v>44140</v>
      </c>
      <c r="E122" s="366" t="s">
        <v>27245</v>
      </c>
      <c r="H122" s="364">
        <v>2</v>
      </c>
      <c r="I122" s="368">
        <v>4</v>
      </c>
      <c r="K122" s="105">
        <v>40347.29</v>
      </c>
    </row>
    <row r="123" spans="3:11" x14ac:dyDescent="0.2">
      <c r="C123" s="106" t="s">
        <v>27244</v>
      </c>
      <c r="D123" s="367">
        <v>44140</v>
      </c>
      <c r="E123" s="366" t="s">
        <v>27243</v>
      </c>
      <c r="H123" s="364">
        <v>2</v>
      </c>
      <c r="I123" s="368">
        <v>6.94</v>
      </c>
      <c r="K123" s="105">
        <v>40354.230000000003</v>
      </c>
    </row>
    <row r="124" spans="3:11" x14ac:dyDescent="0.2">
      <c r="C124" s="106" t="s">
        <v>27242</v>
      </c>
      <c r="D124" s="367">
        <v>44140</v>
      </c>
      <c r="E124" s="366" t="s">
        <v>27241</v>
      </c>
      <c r="H124" s="364">
        <v>2</v>
      </c>
      <c r="I124" s="368">
        <v>67.31</v>
      </c>
      <c r="K124" s="105">
        <v>40421.54</v>
      </c>
    </row>
    <row r="125" spans="3:11" x14ac:dyDescent="0.2">
      <c r="C125" s="106" t="s">
        <v>27240</v>
      </c>
      <c r="D125" s="367">
        <v>44140</v>
      </c>
      <c r="E125" s="366" t="s">
        <v>27239</v>
      </c>
      <c r="H125" s="364">
        <v>2</v>
      </c>
      <c r="I125" s="368">
        <v>107.21</v>
      </c>
      <c r="K125" s="105">
        <v>40528.75</v>
      </c>
    </row>
    <row r="126" spans="3:11" x14ac:dyDescent="0.2">
      <c r="C126" s="106" t="s">
        <v>27238</v>
      </c>
      <c r="D126" s="367">
        <v>44140</v>
      </c>
      <c r="E126" s="366" t="s">
        <v>27237</v>
      </c>
      <c r="H126" s="364">
        <v>2</v>
      </c>
      <c r="I126" s="368">
        <v>3.36</v>
      </c>
      <c r="K126" s="105">
        <v>40532.11</v>
      </c>
    </row>
    <row r="127" spans="3:11" x14ac:dyDescent="0.2">
      <c r="C127" s="106" t="s">
        <v>27236</v>
      </c>
      <c r="D127" s="367">
        <v>44140</v>
      </c>
      <c r="E127" s="366" t="s">
        <v>27235</v>
      </c>
      <c r="H127" s="364">
        <v>2</v>
      </c>
      <c r="I127" s="368">
        <v>36.76</v>
      </c>
      <c r="K127" s="105">
        <v>40568.870000000003</v>
      </c>
    </row>
    <row r="128" spans="3:11" x14ac:dyDescent="0.2">
      <c r="C128" s="106" t="s">
        <v>27234</v>
      </c>
      <c r="D128" s="367">
        <v>44140</v>
      </c>
      <c r="E128" s="366" t="s">
        <v>27233</v>
      </c>
      <c r="H128" s="364" t="s">
        <v>14408</v>
      </c>
      <c r="I128" s="368">
        <v>1.77</v>
      </c>
      <c r="K128" s="105">
        <v>40570.639999999999</v>
      </c>
    </row>
    <row r="129" spans="3:11" x14ac:dyDescent="0.2">
      <c r="C129" s="106" t="s">
        <v>27232</v>
      </c>
      <c r="D129" s="367">
        <v>44140</v>
      </c>
      <c r="E129" s="366" t="s">
        <v>27231</v>
      </c>
      <c r="H129" s="364" t="s">
        <v>14408</v>
      </c>
      <c r="I129" s="368">
        <v>4.79</v>
      </c>
      <c r="K129" s="105">
        <v>40575.43</v>
      </c>
    </row>
    <row r="130" spans="3:11" x14ac:dyDescent="0.2">
      <c r="C130" s="106" t="s">
        <v>27230</v>
      </c>
      <c r="D130" s="367">
        <v>44140</v>
      </c>
      <c r="E130" s="366" t="s">
        <v>27229</v>
      </c>
      <c r="H130" s="364" t="s">
        <v>14408</v>
      </c>
      <c r="I130" s="368">
        <v>5.04</v>
      </c>
      <c r="K130" s="105">
        <v>40580.47</v>
      </c>
    </row>
    <row r="131" spans="3:11" x14ac:dyDescent="0.2">
      <c r="C131" s="106" t="s">
        <v>27228</v>
      </c>
      <c r="D131" s="367">
        <v>44140</v>
      </c>
      <c r="E131" s="366" t="s">
        <v>27227</v>
      </c>
      <c r="H131" s="364" t="s">
        <v>14408</v>
      </c>
      <c r="I131" s="368">
        <v>3.65</v>
      </c>
      <c r="K131" s="105">
        <v>40584.120000000003</v>
      </c>
    </row>
    <row r="132" spans="3:11" x14ac:dyDescent="0.2">
      <c r="C132" s="106" t="s">
        <v>27226</v>
      </c>
      <c r="D132" s="367">
        <v>44140</v>
      </c>
      <c r="E132" s="366" t="s">
        <v>27225</v>
      </c>
      <c r="H132" s="364" t="s">
        <v>14408</v>
      </c>
      <c r="I132" s="368">
        <v>1.97</v>
      </c>
      <c r="K132" s="105">
        <v>40586.089999999997</v>
      </c>
    </row>
    <row r="133" spans="3:11" x14ac:dyDescent="0.2">
      <c r="C133" s="106" t="s">
        <v>27224</v>
      </c>
      <c r="D133" s="367">
        <v>44140</v>
      </c>
      <c r="E133" s="366" t="s">
        <v>27223</v>
      </c>
      <c r="H133" s="364" t="s">
        <v>14408</v>
      </c>
      <c r="I133" s="368">
        <v>10.09</v>
      </c>
      <c r="K133" s="105">
        <v>40596.18</v>
      </c>
    </row>
    <row r="134" spans="3:11" x14ac:dyDescent="0.2">
      <c r="C134" s="106" t="s">
        <v>27222</v>
      </c>
      <c r="D134" s="367">
        <v>44140</v>
      </c>
      <c r="E134" s="366" t="s">
        <v>27221</v>
      </c>
      <c r="H134" s="364" t="s">
        <v>14408</v>
      </c>
      <c r="I134" s="368">
        <v>7</v>
      </c>
      <c r="K134" s="105">
        <v>40603.18</v>
      </c>
    </row>
    <row r="135" spans="3:11" x14ac:dyDescent="0.2">
      <c r="C135" s="106" t="s">
        <v>27220</v>
      </c>
      <c r="D135" s="367">
        <v>44140</v>
      </c>
      <c r="E135" s="366" t="s">
        <v>27219</v>
      </c>
      <c r="H135" s="364" t="s">
        <v>14408</v>
      </c>
      <c r="I135" s="368">
        <v>5.53</v>
      </c>
      <c r="K135" s="105">
        <v>40608.71</v>
      </c>
    </row>
    <row r="136" spans="3:11" x14ac:dyDescent="0.2">
      <c r="C136" s="106" t="s">
        <v>27218</v>
      </c>
      <c r="D136" s="367">
        <v>44140</v>
      </c>
      <c r="E136" s="366" t="s">
        <v>27217</v>
      </c>
      <c r="H136" s="364" t="s">
        <v>14408</v>
      </c>
      <c r="I136" s="368">
        <v>2.89</v>
      </c>
      <c r="K136" s="105">
        <v>40611.599999999999</v>
      </c>
    </row>
    <row r="137" spans="3:11" x14ac:dyDescent="0.2">
      <c r="C137" s="106" t="s">
        <v>27216</v>
      </c>
      <c r="D137" s="367">
        <v>44140</v>
      </c>
      <c r="E137" s="366" t="s">
        <v>27215</v>
      </c>
      <c r="H137" s="364" t="s">
        <v>14408</v>
      </c>
      <c r="I137" s="368">
        <v>3.57</v>
      </c>
      <c r="K137" s="105">
        <v>40615.17</v>
      </c>
    </row>
    <row r="138" spans="3:11" x14ac:dyDescent="0.2">
      <c r="C138" s="106" t="s">
        <v>27214</v>
      </c>
      <c r="D138" s="367">
        <v>44140</v>
      </c>
      <c r="E138" s="366" t="s">
        <v>27213</v>
      </c>
      <c r="H138" s="364" t="s">
        <v>14408</v>
      </c>
      <c r="I138" s="368">
        <v>3.73</v>
      </c>
      <c r="K138" s="105">
        <v>40618.9</v>
      </c>
    </row>
    <row r="139" spans="3:11" x14ac:dyDescent="0.2">
      <c r="C139" s="106" t="s">
        <v>27212</v>
      </c>
      <c r="D139" s="367">
        <v>44140</v>
      </c>
      <c r="E139" s="366" t="s">
        <v>27211</v>
      </c>
      <c r="H139" s="364" t="s">
        <v>14408</v>
      </c>
      <c r="I139" s="368">
        <v>29.11</v>
      </c>
      <c r="K139" s="105">
        <v>40648.01</v>
      </c>
    </row>
    <row r="140" spans="3:11" x14ac:dyDescent="0.2">
      <c r="C140" s="106" t="s">
        <v>27210</v>
      </c>
      <c r="D140" s="367">
        <v>44140</v>
      </c>
      <c r="E140" s="366" t="s">
        <v>27209</v>
      </c>
      <c r="H140" s="364" t="s">
        <v>14408</v>
      </c>
      <c r="I140" s="368">
        <v>29.55</v>
      </c>
      <c r="K140" s="105">
        <v>40677.56</v>
      </c>
    </row>
    <row r="141" spans="3:11" x14ac:dyDescent="0.2">
      <c r="C141" s="106" t="s">
        <v>27208</v>
      </c>
      <c r="D141" s="367">
        <v>44140</v>
      </c>
      <c r="E141" s="366" t="s">
        <v>27207</v>
      </c>
      <c r="H141" s="364" t="s">
        <v>14408</v>
      </c>
      <c r="I141" s="368">
        <v>4.6500000000000004</v>
      </c>
      <c r="K141" s="105">
        <v>40682.21</v>
      </c>
    </row>
    <row r="142" spans="3:11" x14ac:dyDescent="0.2">
      <c r="C142" s="106" t="s">
        <v>27206</v>
      </c>
      <c r="D142" s="367">
        <v>44140</v>
      </c>
      <c r="E142" s="366" t="s">
        <v>27205</v>
      </c>
      <c r="H142" s="364" t="s">
        <v>14408</v>
      </c>
      <c r="I142" s="368">
        <v>2.99</v>
      </c>
      <c r="K142" s="105">
        <v>40685.199999999997</v>
      </c>
    </row>
    <row r="143" spans="3:11" x14ac:dyDescent="0.2">
      <c r="C143" s="106" t="s">
        <v>27204</v>
      </c>
      <c r="D143" s="367">
        <v>44140</v>
      </c>
      <c r="E143" s="366" t="s">
        <v>27203</v>
      </c>
      <c r="H143" s="364" t="s">
        <v>14408</v>
      </c>
      <c r="I143" s="368">
        <v>6.72</v>
      </c>
      <c r="K143" s="105">
        <v>40691.919999999998</v>
      </c>
    </row>
    <row r="144" spans="3:11" x14ac:dyDescent="0.2">
      <c r="C144" s="106" t="s">
        <v>27202</v>
      </c>
      <c r="D144" s="367">
        <v>44140</v>
      </c>
      <c r="E144" s="366" t="s">
        <v>27201</v>
      </c>
      <c r="H144" s="364" t="s">
        <v>14408</v>
      </c>
      <c r="I144" s="368">
        <v>3.49</v>
      </c>
      <c r="K144" s="105">
        <v>40695.410000000003</v>
      </c>
    </row>
    <row r="145" spans="3:11" x14ac:dyDescent="0.2">
      <c r="C145" s="106" t="s">
        <v>27200</v>
      </c>
      <c r="D145" s="367">
        <v>44140</v>
      </c>
      <c r="E145" s="366" t="s">
        <v>27199</v>
      </c>
      <c r="H145" s="364" t="s">
        <v>14408</v>
      </c>
      <c r="I145" s="368">
        <v>2.93</v>
      </c>
      <c r="K145" s="105">
        <v>40698.339999999997</v>
      </c>
    </row>
    <row r="146" spans="3:11" x14ac:dyDescent="0.2">
      <c r="C146" s="106" t="s">
        <v>27198</v>
      </c>
      <c r="D146" s="367">
        <v>44140</v>
      </c>
      <c r="E146" s="366" t="s">
        <v>27197</v>
      </c>
      <c r="H146" s="364" t="s">
        <v>14408</v>
      </c>
      <c r="I146" s="368">
        <v>11.31</v>
      </c>
      <c r="K146" s="105">
        <v>40709.65</v>
      </c>
    </row>
    <row r="147" spans="3:11" x14ac:dyDescent="0.2">
      <c r="C147" s="106" t="s">
        <v>15972</v>
      </c>
      <c r="D147" s="367">
        <v>44140</v>
      </c>
      <c r="E147" s="366" t="s">
        <v>27196</v>
      </c>
      <c r="H147" s="364" t="s">
        <v>28282</v>
      </c>
      <c r="I147" s="368">
        <v>374.35</v>
      </c>
      <c r="K147" s="105">
        <v>41084</v>
      </c>
    </row>
    <row r="148" spans="3:11" x14ac:dyDescent="0.2">
      <c r="C148" s="106" t="s">
        <v>1926</v>
      </c>
      <c r="D148" s="367">
        <v>44140</v>
      </c>
      <c r="E148" s="366" t="s">
        <v>27195</v>
      </c>
      <c r="H148" s="364" t="s">
        <v>28282</v>
      </c>
      <c r="I148" s="368">
        <v>52.2</v>
      </c>
      <c r="K148" s="105">
        <v>41136.199999999997</v>
      </c>
    </row>
    <row r="149" spans="3:11" x14ac:dyDescent="0.2">
      <c r="C149" s="106" t="s">
        <v>27194</v>
      </c>
      <c r="D149" s="367">
        <v>44141</v>
      </c>
      <c r="E149" s="366" t="s">
        <v>27193</v>
      </c>
      <c r="I149" s="368">
        <v>2</v>
      </c>
      <c r="K149" s="105">
        <v>41138.199999999997</v>
      </c>
    </row>
    <row r="150" spans="3:11" x14ac:dyDescent="0.2">
      <c r="C150" s="106" t="s">
        <v>27192</v>
      </c>
      <c r="D150" s="367">
        <v>44141</v>
      </c>
      <c r="E150" s="366" t="s">
        <v>27191</v>
      </c>
      <c r="H150" s="364" t="s">
        <v>14409</v>
      </c>
      <c r="I150" s="368">
        <v>2.91</v>
      </c>
      <c r="K150" s="105">
        <v>41141.11</v>
      </c>
    </row>
    <row r="151" spans="3:11" x14ac:dyDescent="0.2">
      <c r="C151" s="106" t="s">
        <v>27190</v>
      </c>
      <c r="D151" s="367">
        <v>44141</v>
      </c>
      <c r="E151" s="366" t="s">
        <v>27189</v>
      </c>
      <c r="H151" s="364" t="s">
        <v>14409</v>
      </c>
      <c r="I151" s="368">
        <v>18.16</v>
      </c>
      <c r="K151" s="105">
        <v>41159.269999999997</v>
      </c>
    </row>
    <row r="152" spans="3:11" x14ac:dyDescent="0.2">
      <c r="C152" s="106" t="s">
        <v>27188</v>
      </c>
      <c r="D152" s="367">
        <v>44141</v>
      </c>
      <c r="E152" s="366" t="s">
        <v>27187</v>
      </c>
      <c r="H152" s="364" t="s">
        <v>14409</v>
      </c>
      <c r="I152" s="368">
        <v>1.68</v>
      </c>
      <c r="K152" s="105">
        <v>41160.949999999997</v>
      </c>
    </row>
    <row r="153" spans="3:11" x14ac:dyDescent="0.2">
      <c r="C153" s="106" t="s">
        <v>27186</v>
      </c>
      <c r="D153" s="367">
        <v>44141</v>
      </c>
      <c r="E153" s="366" t="s">
        <v>27185</v>
      </c>
      <c r="H153" s="364" t="s">
        <v>14409</v>
      </c>
      <c r="I153" s="368">
        <v>3.36</v>
      </c>
      <c r="K153" s="105">
        <v>41164.31</v>
      </c>
    </row>
    <row r="154" spans="3:11" x14ac:dyDescent="0.2">
      <c r="C154" s="106" t="s">
        <v>27184</v>
      </c>
      <c r="D154" s="367">
        <v>44141</v>
      </c>
      <c r="E154" s="366" t="s">
        <v>27183</v>
      </c>
      <c r="H154" s="364" t="s">
        <v>14409</v>
      </c>
      <c r="I154" s="368">
        <v>13.32</v>
      </c>
      <c r="K154" s="105">
        <v>41177.629999999997</v>
      </c>
    </row>
    <row r="155" spans="3:11" x14ac:dyDescent="0.2">
      <c r="C155" s="106" t="s">
        <v>27182</v>
      </c>
      <c r="D155" s="367">
        <v>44141</v>
      </c>
      <c r="E155" s="366" t="s">
        <v>27181</v>
      </c>
      <c r="H155" s="364" t="s">
        <v>14409</v>
      </c>
      <c r="I155" s="368">
        <v>10.74</v>
      </c>
      <c r="K155" s="105">
        <v>41188.370000000003</v>
      </c>
    </row>
    <row r="156" spans="3:11" x14ac:dyDescent="0.2">
      <c r="C156" s="106" t="s">
        <v>27180</v>
      </c>
      <c r="D156" s="367">
        <v>44141</v>
      </c>
      <c r="E156" s="366" t="s">
        <v>27179</v>
      </c>
      <c r="H156" s="364" t="s">
        <v>14409</v>
      </c>
      <c r="I156" s="368">
        <v>16.93</v>
      </c>
      <c r="K156" s="105">
        <v>41205.300000000003</v>
      </c>
    </row>
    <row r="157" spans="3:11" x14ac:dyDescent="0.2">
      <c r="C157" s="106" t="s">
        <v>27178</v>
      </c>
      <c r="D157" s="367">
        <v>44141</v>
      </c>
      <c r="E157" s="366" t="s">
        <v>27177</v>
      </c>
      <c r="H157" s="364" t="s">
        <v>14409</v>
      </c>
      <c r="I157" s="368">
        <v>2.4500000000000002</v>
      </c>
      <c r="K157" s="105">
        <v>41207.75</v>
      </c>
    </row>
    <row r="158" spans="3:11" x14ac:dyDescent="0.2">
      <c r="C158" s="106" t="s">
        <v>27176</v>
      </c>
      <c r="D158" s="367">
        <v>44141</v>
      </c>
      <c r="E158" s="366" t="s">
        <v>27175</v>
      </c>
      <c r="H158" s="364" t="s">
        <v>14409</v>
      </c>
      <c r="I158" s="368">
        <v>3.66</v>
      </c>
      <c r="K158" s="105">
        <v>41211.410000000003</v>
      </c>
    </row>
    <row r="159" spans="3:11" x14ac:dyDescent="0.2">
      <c r="C159" s="106" t="s">
        <v>27174</v>
      </c>
      <c r="D159" s="367">
        <v>44141</v>
      </c>
      <c r="E159" s="366" t="s">
        <v>27173</v>
      </c>
      <c r="H159" s="364" t="s">
        <v>14409</v>
      </c>
      <c r="I159" s="368">
        <v>3.88</v>
      </c>
      <c r="K159" s="105">
        <v>41215.29</v>
      </c>
    </row>
    <row r="160" spans="3:11" x14ac:dyDescent="0.2">
      <c r="C160" s="106" t="s">
        <v>27172</v>
      </c>
      <c r="D160" s="367">
        <v>44141</v>
      </c>
      <c r="E160" s="366" t="s">
        <v>27171</v>
      </c>
      <c r="H160" s="364" t="s">
        <v>14409</v>
      </c>
      <c r="I160" s="368">
        <v>3.42</v>
      </c>
      <c r="K160" s="105">
        <v>41218.71</v>
      </c>
    </row>
    <row r="161" spans="3:11" x14ac:dyDescent="0.2">
      <c r="C161" s="106" t="s">
        <v>27170</v>
      </c>
      <c r="D161" s="367">
        <v>44141</v>
      </c>
      <c r="E161" s="366" t="s">
        <v>27169</v>
      </c>
      <c r="H161" s="364" t="s">
        <v>14409</v>
      </c>
      <c r="I161" s="368">
        <v>2.2200000000000002</v>
      </c>
      <c r="K161" s="105">
        <v>41220.93</v>
      </c>
    </row>
    <row r="162" spans="3:11" x14ac:dyDescent="0.2">
      <c r="C162" s="106" t="s">
        <v>27168</v>
      </c>
      <c r="D162" s="367">
        <v>44141</v>
      </c>
      <c r="E162" s="366" t="s">
        <v>27167</v>
      </c>
      <c r="H162" s="364" t="s">
        <v>14409</v>
      </c>
      <c r="I162" s="368">
        <v>20.68</v>
      </c>
      <c r="K162" s="105">
        <v>41241.61</v>
      </c>
    </row>
    <row r="163" spans="3:11" x14ac:dyDescent="0.2">
      <c r="C163" s="106" t="s">
        <v>27166</v>
      </c>
      <c r="D163" s="367">
        <v>44141</v>
      </c>
      <c r="E163" s="366" t="s">
        <v>27165</v>
      </c>
      <c r="H163" s="364" t="s">
        <v>14409</v>
      </c>
      <c r="I163" s="368">
        <v>3.91</v>
      </c>
      <c r="K163" s="105">
        <v>41245.519999999997</v>
      </c>
    </row>
    <row r="164" spans="3:11" x14ac:dyDescent="0.2">
      <c r="C164" s="106" t="s">
        <v>27164</v>
      </c>
      <c r="D164" s="367">
        <v>44141</v>
      </c>
      <c r="E164" s="366" t="s">
        <v>27163</v>
      </c>
      <c r="H164" s="364" t="s">
        <v>14409</v>
      </c>
      <c r="I164" s="368">
        <v>19.02</v>
      </c>
      <c r="K164" s="105">
        <v>41264.54</v>
      </c>
    </row>
    <row r="165" spans="3:11" x14ac:dyDescent="0.2">
      <c r="C165" s="106" t="s">
        <v>27162</v>
      </c>
      <c r="D165" s="367">
        <v>44141</v>
      </c>
      <c r="E165" s="366" t="s">
        <v>27161</v>
      </c>
      <c r="H165" s="364">
        <v>3</v>
      </c>
      <c r="I165" s="368">
        <v>15.3</v>
      </c>
      <c r="K165" s="105">
        <v>41279.839999999997</v>
      </c>
    </row>
    <row r="166" spans="3:11" x14ac:dyDescent="0.2">
      <c r="C166" s="106" t="s">
        <v>27160</v>
      </c>
      <c r="D166" s="367">
        <v>44141</v>
      </c>
      <c r="E166" s="366" t="s">
        <v>27159</v>
      </c>
      <c r="H166" s="364">
        <v>3</v>
      </c>
      <c r="I166" s="368">
        <v>4.45</v>
      </c>
      <c r="K166" s="105">
        <v>41284.29</v>
      </c>
    </row>
    <row r="167" spans="3:11" x14ac:dyDescent="0.2">
      <c r="C167" s="106" t="s">
        <v>27158</v>
      </c>
      <c r="D167" s="367">
        <v>44141</v>
      </c>
      <c r="E167" s="366" t="s">
        <v>27157</v>
      </c>
      <c r="H167" s="364">
        <v>3</v>
      </c>
      <c r="I167" s="368">
        <v>2.2599999999999998</v>
      </c>
      <c r="K167" s="105">
        <v>41286.550000000003</v>
      </c>
    </row>
    <row r="168" spans="3:11" x14ac:dyDescent="0.2">
      <c r="C168" s="106" t="s">
        <v>27156</v>
      </c>
      <c r="D168" s="367">
        <v>44141</v>
      </c>
      <c r="E168" s="366" t="s">
        <v>27155</v>
      </c>
      <c r="H168" s="364">
        <v>3</v>
      </c>
      <c r="I168" s="368">
        <v>16.760000000000002</v>
      </c>
      <c r="K168" s="105">
        <v>41303.31</v>
      </c>
    </row>
    <row r="169" spans="3:11" x14ac:dyDescent="0.2">
      <c r="C169" s="106" t="s">
        <v>27154</v>
      </c>
      <c r="D169" s="367">
        <v>44141</v>
      </c>
      <c r="E169" s="366" t="s">
        <v>27153</v>
      </c>
      <c r="H169" s="364">
        <v>3</v>
      </c>
      <c r="I169" s="368">
        <v>11.27</v>
      </c>
      <c r="K169" s="105">
        <v>41314.58</v>
      </c>
    </row>
    <row r="170" spans="3:11" x14ac:dyDescent="0.2">
      <c r="C170" s="106" t="s">
        <v>27152</v>
      </c>
      <c r="D170" s="367">
        <v>44141</v>
      </c>
      <c r="E170" s="366" t="s">
        <v>27151</v>
      </c>
      <c r="H170" s="364">
        <v>3</v>
      </c>
      <c r="I170" s="368">
        <v>8.3800000000000008</v>
      </c>
      <c r="K170" s="105">
        <v>41322.959999999999</v>
      </c>
    </row>
    <row r="171" spans="3:11" x14ac:dyDescent="0.2">
      <c r="C171" s="106" t="s">
        <v>27150</v>
      </c>
      <c r="D171" s="367">
        <v>44141</v>
      </c>
      <c r="E171" s="366" t="s">
        <v>27149</v>
      </c>
      <c r="H171" s="364">
        <v>3</v>
      </c>
      <c r="I171" s="368">
        <v>11.64</v>
      </c>
      <c r="K171" s="105">
        <v>41334.6</v>
      </c>
    </row>
    <row r="172" spans="3:11" x14ac:dyDescent="0.2">
      <c r="C172" s="106" t="s">
        <v>27148</v>
      </c>
      <c r="D172" s="367">
        <v>44141</v>
      </c>
      <c r="E172" s="366" t="s">
        <v>27147</v>
      </c>
      <c r="I172" s="368">
        <v>3882.45</v>
      </c>
      <c r="K172" s="105">
        <v>45217.05</v>
      </c>
    </row>
    <row r="173" spans="3:11" x14ac:dyDescent="0.2">
      <c r="C173" s="106" t="s">
        <v>27146</v>
      </c>
      <c r="D173" s="367">
        <v>44141</v>
      </c>
      <c r="E173" s="366" t="s">
        <v>27145</v>
      </c>
      <c r="I173" s="368">
        <v>5178.1000000000004</v>
      </c>
      <c r="K173" s="105">
        <v>50395.15</v>
      </c>
    </row>
    <row r="174" spans="3:11" x14ac:dyDescent="0.2">
      <c r="C174" s="106" t="s">
        <v>27144</v>
      </c>
      <c r="D174" s="367">
        <v>44142</v>
      </c>
      <c r="E174" s="366" t="s">
        <v>27143</v>
      </c>
      <c r="H174" s="364" t="s">
        <v>14409</v>
      </c>
      <c r="I174" s="368">
        <v>47.28</v>
      </c>
      <c r="K174" s="105">
        <v>50442.43</v>
      </c>
    </row>
    <row r="175" spans="3:11" x14ac:dyDescent="0.2">
      <c r="C175" s="106" t="s">
        <v>27142</v>
      </c>
      <c r="D175" s="367">
        <v>44142</v>
      </c>
      <c r="E175" s="366" t="s">
        <v>27141</v>
      </c>
      <c r="H175" s="364" t="s">
        <v>14409</v>
      </c>
      <c r="I175" s="368">
        <v>3.17</v>
      </c>
      <c r="K175" s="105">
        <v>50445.599999999999</v>
      </c>
    </row>
    <row r="176" spans="3:11" x14ac:dyDescent="0.2">
      <c r="C176" s="106" t="s">
        <v>27140</v>
      </c>
      <c r="D176" s="367">
        <v>44142</v>
      </c>
      <c r="E176" s="366" t="s">
        <v>27139</v>
      </c>
      <c r="H176" s="364" t="s">
        <v>14409</v>
      </c>
      <c r="I176" s="368">
        <v>1.84</v>
      </c>
      <c r="K176" s="105">
        <v>50447.44</v>
      </c>
    </row>
    <row r="177" spans="3:11" x14ac:dyDescent="0.2">
      <c r="C177" s="106" t="s">
        <v>27138</v>
      </c>
      <c r="D177" s="367">
        <v>44142</v>
      </c>
      <c r="E177" s="366" t="s">
        <v>27137</v>
      </c>
      <c r="H177" s="364" t="s">
        <v>14409</v>
      </c>
      <c r="I177" s="368">
        <v>19.8</v>
      </c>
      <c r="K177" s="105">
        <v>50467.24</v>
      </c>
    </row>
    <row r="178" spans="3:11" x14ac:dyDescent="0.2">
      <c r="C178" s="106" t="s">
        <v>27136</v>
      </c>
      <c r="D178" s="367">
        <v>44142</v>
      </c>
      <c r="E178" s="366" t="s">
        <v>27135</v>
      </c>
      <c r="H178" s="364" t="s">
        <v>14409</v>
      </c>
      <c r="I178" s="368">
        <v>30.74</v>
      </c>
      <c r="K178" s="105">
        <v>50497.98</v>
      </c>
    </row>
    <row r="179" spans="3:11" x14ac:dyDescent="0.2">
      <c r="C179" s="106" t="s">
        <v>27134</v>
      </c>
      <c r="D179" s="367">
        <v>44142</v>
      </c>
      <c r="E179" s="366" t="s">
        <v>27133</v>
      </c>
      <c r="H179" s="364" t="s">
        <v>14409</v>
      </c>
      <c r="I179" s="368">
        <v>3.06</v>
      </c>
      <c r="K179" s="105">
        <v>50501.04</v>
      </c>
    </row>
    <row r="180" spans="3:11" x14ac:dyDescent="0.2">
      <c r="C180" s="106" t="s">
        <v>27132</v>
      </c>
      <c r="D180" s="367">
        <v>44142</v>
      </c>
      <c r="E180" s="366" t="s">
        <v>27131</v>
      </c>
      <c r="H180" s="364" t="s">
        <v>14409</v>
      </c>
      <c r="I180" s="368">
        <v>1.71</v>
      </c>
      <c r="K180" s="105">
        <v>50502.75</v>
      </c>
    </row>
    <row r="181" spans="3:11" x14ac:dyDescent="0.2">
      <c r="C181" s="106" t="s">
        <v>27130</v>
      </c>
      <c r="D181" s="367">
        <v>44142</v>
      </c>
      <c r="E181" s="366" t="s">
        <v>27129</v>
      </c>
      <c r="H181" s="364" t="s">
        <v>14409</v>
      </c>
      <c r="I181" s="368">
        <v>3.71</v>
      </c>
      <c r="K181" s="105">
        <v>50506.46</v>
      </c>
    </row>
    <row r="182" spans="3:11" x14ac:dyDescent="0.2">
      <c r="C182" s="106" t="s">
        <v>27128</v>
      </c>
      <c r="D182" s="367">
        <v>44142</v>
      </c>
      <c r="E182" s="366" t="s">
        <v>27127</v>
      </c>
      <c r="I182" s="368">
        <v>8.68</v>
      </c>
      <c r="K182" s="105">
        <v>50515.14</v>
      </c>
    </row>
    <row r="183" spans="3:11" x14ac:dyDescent="0.2">
      <c r="C183" s="106" t="s">
        <v>27126</v>
      </c>
      <c r="D183" s="367">
        <v>44142</v>
      </c>
      <c r="E183" s="366" t="s">
        <v>27125</v>
      </c>
      <c r="I183" s="368">
        <v>1.68</v>
      </c>
      <c r="K183" s="105">
        <v>50516.82</v>
      </c>
    </row>
    <row r="184" spans="3:11" x14ac:dyDescent="0.2">
      <c r="C184" s="106" t="s">
        <v>27124</v>
      </c>
      <c r="D184" s="367">
        <v>44143</v>
      </c>
      <c r="E184" s="366" t="s">
        <v>27123</v>
      </c>
      <c r="H184" s="364" t="s">
        <v>14409</v>
      </c>
      <c r="I184" s="368">
        <v>23.98</v>
      </c>
      <c r="K184" s="105">
        <v>50540.800000000003</v>
      </c>
    </row>
    <row r="185" spans="3:11" x14ac:dyDescent="0.2">
      <c r="C185" s="106" t="s">
        <v>27122</v>
      </c>
      <c r="D185" s="367">
        <v>44143</v>
      </c>
      <c r="E185" s="366" t="s">
        <v>27121</v>
      </c>
      <c r="H185" s="364" t="s">
        <v>14409</v>
      </c>
      <c r="I185" s="368">
        <v>2.36</v>
      </c>
      <c r="K185" s="105">
        <v>50543.16</v>
      </c>
    </row>
    <row r="186" spans="3:11" x14ac:dyDescent="0.2">
      <c r="C186" s="106" t="s">
        <v>27120</v>
      </c>
      <c r="D186" s="367">
        <v>44143</v>
      </c>
      <c r="E186" s="366" t="s">
        <v>27119</v>
      </c>
      <c r="H186" s="364" t="s">
        <v>14409</v>
      </c>
      <c r="I186" s="368">
        <v>22.84</v>
      </c>
      <c r="K186" s="105">
        <v>50566</v>
      </c>
    </row>
    <row r="187" spans="3:11" x14ac:dyDescent="0.2">
      <c r="C187" s="106" t="s">
        <v>27118</v>
      </c>
      <c r="D187" s="367">
        <v>44143</v>
      </c>
      <c r="E187" s="366" t="s">
        <v>27117</v>
      </c>
      <c r="H187" s="364" t="s">
        <v>14409</v>
      </c>
      <c r="I187" s="368">
        <v>2.39</v>
      </c>
      <c r="K187" s="105">
        <v>50568.39</v>
      </c>
    </row>
    <row r="188" spans="3:11" x14ac:dyDescent="0.2">
      <c r="C188" s="106" t="s">
        <v>27116</v>
      </c>
      <c r="D188" s="367">
        <v>44143</v>
      </c>
      <c r="E188" s="366" t="s">
        <v>27115</v>
      </c>
      <c r="H188" s="364" t="s">
        <v>14409</v>
      </c>
      <c r="I188" s="368">
        <v>6.26</v>
      </c>
      <c r="K188" s="105">
        <v>50574.65</v>
      </c>
    </row>
    <row r="189" spans="3:11" x14ac:dyDescent="0.2">
      <c r="C189" s="106" t="s">
        <v>27114</v>
      </c>
      <c r="D189" s="367">
        <v>44144</v>
      </c>
      <c r="E189" s="366" t="s">
        <v>27113</v>
      </c>
      <c r="I189" s="368">
        <v>10.51</v>
      </c>
      <c r="K189" s="105">
        <v>50585.16</v>
      </c>
    </row>
    <row r="190" spans="3:11" x14ac:dyDescent="0.2">
      <c r="C190" s="106" t="s">
        <v>27112</v>
      </c>
      <c r="D190" s="367">
        <v>44144</v>
      </c>
      <c r="E190" s="366" t="s">
        <v>27111</v>
      </c>
      <c r="I190" s="368">
        <v>16.760000000000002</v>
      </c>
      <c r="K190" s="105">
        <v>50601.919999999998</v>
      </c>
    </row>
    <row r="191" spans="3:11" x14ac:dyDescent="0.2">
      <c r="C191" s="106" t="s">
        <v>27110</v>
      </c>
      <c r="D191" s="367">
        <v>44144</v>
      </c>
      <c r="E191" s="366" t="s">
        <v>27109</v>
      </c>
      <c r="I191" s="368">
        <v>4.41</v>
      </c>
      <c r="K191" s="105">
        <v>50606.33</v>
      </c>
    </row>
    <row r="192" spans="3:11" x14ac:dyDescent="0.2">
      <c r="C192" s="106" t="s">
        <v>27108</v>
      </c>
      <c r="D192" s="367">
        <v>44144</v>
      </c>
      <c r="E192" s="366" t="s">
        <v>27107</v>
      </c>
      <c r="H192" s="364" t="s">
        <v>14409</v>
      </c>
      <c r="I192" s="368">
        <v>36.409999999999997</v>
      </c>
      <c r="K192" s="105">
        <v>50642.74</v>
      </c>
    </row>
    <row r="193" spans="3:11" x14ac:dyDescent="0.2">
      <c r="C193" s="106" t="s">
        <v>27106</v>
      </c>
      <c r="D193" s="367">
        <v>44144</v>
      </c>
      <c r="E193" s="366" t="s">
        <v>27105</v>
      </c>
      <c r="H193" s="364" t="s">
        <v>14409</v>
      </c>
      <c r="I193" s="368">
        <v>9.43</v>
      </c>
      <c r="K193" s="105">
        <v>50652.17</v>
      </c>
    </row>
    <row r="194" spans="3:11" x14ac:dyDescent="0.2">
      <c r="C194" s="106" t="s">
        <v>27104</v>
      </c>
      <c r="D194" s="367">
        <v>44144</v>
      </c>
      <c r="E194" s="366" t="s">
        <v>27103</v>
      </c>
      <c r="H194" s="364" t="s">
        <v>14409</v>
      </c>
      <c r="I194" s="368">
        <v>13.78</v>
      </c>
      <c r="K194" s="105">
        <v>50665.95</v>
      </c>
    </row>
    <row r="195" spans="3:11" x14ac:dyDescent="0.2">
      <c r="C195" s="106" t="s">
        <v>27102</v>
      </c>
      <c r="D195" s="367">
        <v>44144</v>
      </c>
      <c r="E195" s="366" t="s">
        <v>27101</v>
      </c>
      <c r="H195" s="364" t="s">
        <v>14409</v>
      </c>
      <c r="I195" s="368">
        <v>1.94</v>
      </c>
      <c r="K195" s="105">
        <v>50667.89</v>
      </c>
    </row>
    <row r="196" spans="3:11" x14ac:dyDescent="0.2">
      <c r="C196" s="106" t="s">
        <v>27100</v>
      </c>
      <c r="D196" s="367">
        <v>44144</v>
      </c>
      <c r="E196" s="366" t="s">
        <v>27099</v>
      </c>
      <c r="H196" s="364" t="s">
        <v>14409</v>
      </c>
      <c r="I196" s="368">
        <v>17.78</v>
      </c>
      <c r="K196" s="105">
        <v>50685.67</v>
      </c>
    </row>
    <row r="197" spans="3:11" x14ac:dyDescent="0.2">
      <c r="C197" s="106" t="s">
        <v>27098</v>
      </c>
      <c r="D197" s="367">
        <v>44144</v>
      </c>
      <c r="E197" s="366" t="s">
        <v>27097</v>
      </c>
      <c r="H197" s="364" t="s">
        <v>14409</v>
      </c>
      <c r="I197" s="368">
        <v>7.41</v>
      </c>
      <c r="K197" s="105">
        <v>50693.08</v>
      </c>
    </row>
    <row r="198" spans="3:11" x14ac:dyDescent="0.2">
      <c r="C198" s="106" t="s">
        <v>27096</v>
      </c>
      <c r="D198" s="367">
        <v>44144</v>
      </c>
      <c r="E198" s="366" t="s">
        <v>27095</v>
      </c>
      <c r="H198" s="364" t="s">
        <v>14409</v>
      </c>
      <c r="I198" s="368">
        <v>13.52</v>
      </c>
      <c r="K198" s="105">
        <v>50706.6</v>
      </c>
    </row>
    <row r="199" spans="3:11" x14ac:dyDescent="0.2">
      <c r="C199" s="106" t="s">
        <v>27094</v>
      </c>
      <c r="D199" s="367">
        <v>44144</v>
      </c>
      <c r="E199" s="366" t="s">
        <v>27093</v>
      </c>
      <c r="H199" s="364" t="s">
        <v>14409</v>
      </c>
      <c r="I199" s="368">
        <v>15</v>
      </c>
      <c r="K199" s="105">
        <v>50721.599999999999</v>
      </c>
    </row>
    <row r="200" spans="3:11" x14ac:dyDescent="0.2">
      <c r="C200" s="106" t="s">
        <v>27092</v>
      </c>
      <c r="D200" s="367">
        <v>44144</v>
      </c>
      <c r="E200" s="366" t="s">
        <v>27091</v>
      </c>
      <c r="H200" s="364" t="s">
        <v>14409</v>
      </c>
      <c r="I200" s="368">
        <v>31.28</v>
      </c>
      <c r="K200" s="105">
        <v>50752.88</v>
      </c>
    </row>
    <row r="201" spans="3:11" x14ac:dyDescent="0.2">
      <c r="C201" s="106" t="s">
        <v>27090</v>
      </c>
      <c r="D201" s="367">
        <v>44144</v>
      </c>
      <c r="E201" s="366" t="s">
        <v>27089</v>
      </c>
      <c r="H201" s="364" t="s">
        <v>14409</v>
      </c>
      <c r="I201" s="368">
        <v>24.62</v>
      </c>
      <c r="K201" s="105">
        <v>50777.5</v>
      </c>
    </row>
    <row r="202" spans="3:11" x14ac:dyDescent="0.2">
      <c r="C202" s="106" t="s">
        <v>27088</v>
      </c>
      <c r="D202" s="367">
        <v>44144</v>
      </c>
      <c r="E202" s="366" t="s">
        <v>27087</v>
      </c>
      <c r="H202" s="364" t="s">
        <v>14409</v>
      </c>
      <c r="I202" s="368">
        <v>3.19</v>
      </c>
      <c r="K202" s="105">
        <v>50780.69</v>
      </c>
    </row>
    <row r="203" spans="3:11" x14ac:dyDescent="0.2">
      <c r="C203" s="106" t="s">
        <v>27086</v>
      </c>
      <c r="D203" s="367">
        <v>44144</v>
      </c>
      <c r="E203" s="366" t="s">
        <v>27085</v>
      </c>
      <c r="H203" s="364" t="s">
        <v>14409</v>
      </c>
      <c r="I203" s="368">
        <v>16.7</v>
      </c>
      <c r="K203" s="105">
        <v>50797.39</v>
      </c>
    </row>
    <row r="204" spans="3:11" x14ac:dyDescent="0.2">
      <c r="C204" s="106" t="s">
        <v>27084</v>
      </c>
      <c r="D204" s="367">
        <v>44144</v>
      </c>
      <c r="E204" s="366" t="s">
        <v>27083</v>
      </c>
      <c r="H204" s="364" t="s">
        <v>14409</v>
      </c>
      <c r="I204" s="368">
        <v>16.760000000000002</v>
      </c>
      <c r="K204" s="105">
        <v>50814.15</v>
      </c>
    </row>
    <row r="205" spans="3:11" x14ac:dyDescent="0.2">
      <c r="C205" s="106" t="s">
        <v>27082</v>
      </c>
      <c r="D205" s="367">
        <v>44144</v>
      </c>
      <c r="E205" s="366" t="s">
        <v>27081</v>
      </c>
      <c r="H205" s="364" t="s">
        <v>14409</v>
      </c>
      <c r="I205" s="368">
        <v>5.04</v>
      </c>
      <c r="K205" s="105">
        <v>50819.19</v>
      </c>
    </row>
    <row r="206" spans="3:11" x14ac:dyDescent="0.2">
      <c r="C206" s="106" t="s">
        <v>27080</v>
      </c>
      <c r="D206" s="367">
        <v>44144</v>
      </c>
      <c r="E206" s="366" t="s">
        <v>27079</v>
      </c>
      <c r="H206" s="364" t="s">
        <v>14409</v>
      </c>
      <c r="I206" s="368">
        <v>8.1</v>
      </c>
      <c r="K206" s="105">
        <v>50827.29</v>
      </c>
    </row>
    <row r="207" spans="3:11" x14ac:dyDescent="0.2">
      <c r="C207" s="106" t="s">
        <v>27078</v>
      </c>
      <c r="D207" s="367">
        <v>44144</v>
      </c>
      <c r="E207" s="366" t="s">
        <v>27077</v>
      </c>
      <c r="H207" s="364" t="s">
        <v>14409</v>
      </c>
      <c r="I207" s="368">
        <v>4.09</v>
      </c>
      <c r="K207" s="105">
        <v>50831.38</v>
      </c>
    </row>
    <row r="208" spans="3:11" x14ac:dyDescent="0.2">
      <c r="C208" s="106" t="s">
        <v>27076</v>
      </c>
      <c r="D208" s="367">
        <v>44144</v>
      </c>
      <c r="E208" s="366" t="s">
        <v>27075</v>
      </c>
      <c r="H208" s="364" t="s">
        <v>14409</v>
      </c>
      <c r="I208" s="368">
        <v>5.14</v>
      </c>
      <c r="K208" s="105">
        <v>50836.52</v>
      </c>
    </row>
    <row r="209" spans="3:11" x14ac:dyDescent="0.2">
      <c r="C209" s="106" t="s">
        <v>27074</v>
      </c>
      <c r="D209" s="367">
        <v>44144</v>
      </c>
      <c r="E209" s="366" t="s">
        <v>27073</v>
      </c>
      <c r="H209" s="364">
        <v>4</v>
      </c>
      <c r="I209" s="368">
        <v>2.27</v>
      </c>
      <c r="K209" s="105">
        <v>50838.79</v>
      </c>
    </row>
    <row r="210" spans="3:11" x14ac:dyDescent="0.2">
      <c r="C210" s="106" t="s">
        <v>27072</v>
      </c>
      <c r="D210" s="367">
        <v>44144</v>
      </c>
      <c r="E210" s="366" t="s">
        <v>27071</v>
      </c>
      <c r="H210" s="364">
        <v>4</v>
      </c>
      <c r="I210" s="368">
        <v>4.1900000000000004</v>
      </c>
      <c r="K210" s="105">
        <v>50842.98</v>
      </c>
    </row>
    <row r="211" spans="3:11" x14ac:dyDescent="0.2">
      <c r="C211" s="106" t="s">
        <v>27070</v>
      </c>
      <c r="D211" s="367">
        <v>44144</v>
      </c>
      <c r="E211" s="366" t="s">
        <v>27069</v>
      </c>
      <c r="H211" s="364">
        <v>4</v>
      </c>
      <c r="I211" s="368">
        <v>11.93</v>
      </c>
      <c r="K211" s="105">
        <v>50854.91</v>
      </c>
    </row>
    <row r="212" spans="3:11" x14ac:dyDescent="0.2">
      <c r="C212" s="106" t="s">
        <v>27068</v>
      </c>
      <c r="D212" s="367">
        <v>44144</v>
      </c>
      <c r="E212" s="366" t="s">
        <v>27067</v>
      </c>
      <c r="H212" s="364">
        <v>4</v>
      </c>
      <c r="I212" s="368">
        <v>41.9</v>
      </c>
      <c r="K212" s="105">
        <v>50896.81</v>
      </c>
    </row>
    <row r="213" spans="3:11" x14ac:dyDescent="0.2">
      <c r="C213" s="106" t="s">
        <v>27066</v>
      </c>
      <c r="D213" s="367">
        <v>44144</v>
      </c>
      <c r="E213" s="366" t="s">
        <v>27065</v>
      </c>
      <c r="H213" s="364">
        <v>4</v>
      </c>
      <c r="I213" s="368">
        <v>1.97</v>
      </c>
      <c r="K213" s="105">
        <v>50898.78</v>
      </c>
    </row>
    <row r="214" spans="3:11" x14ac:dyDescent="0.2">
      <c r="C214" s="106" t="s">
        <v>27064</v>
      </c>
      <c r="D214" s="367">
        <v>44144</v>
      </c>
      <c r="E214" s="366" t="s">
        <v>27063</v>
      </c>
      <c r="H214" s="364">
        <v>4</v>
      </c>
      <c r="I214" s="368">
        <v>2.09</v>
      </c>
      <c r="K214" s="105">
        <v>50900.87</v>
      </c>
    </row>
    <row r="215" spans="3:11" x14ac:dyDescent="0.2">
      <c r="C215" s="106" t="s">
        <v>27062</v>
      </c>
      <c r="D215" s="367">
        <v>44144</v>
      </c>
      <c r="E215" s="366" t="s">
        <v>27061</v>
      </c>
      <c r="H215" s="364">
        <v>4</v>
      </c>
      <c r="I215" s="368">
        <v>26.96</v>
      </c>
      <c r="K215" s="105">
        <v>50927.83</v>
      </c>
    </row>
    <row r="216" spans="3:11" x14ac:dyDescent="0.2">
      <c r="C216" s="106" t="s">
        <v>27060</v>
      </c>
      <c r="D216" s="367">
        <v>44144</v>
      </c>
      <c r="E216" s="366" t="s">
        <v>27059</v>
      </c>
      <c r="H216" s="364">
        <v>4</v>
      </c>
      <c r="I216" s="368">
        <v>1.68</v>
      </c>
      <c r="K216" s="105">
        <v>50929.51</v>
      </c>
    </row>
    <row r="217" spans="3:11" x14ac:dyDescent="0.2">
      <c r="C217" s="106" t="s">
        <v>27058</v>
      </c>
      <c r="D217" s="367">
        <v>44144</v>
      </c>
      <c r="E217" s="366" t="s">
        <v>27057</v>
      </c>
      <c r="H217" s="364">
        <v>4</v>
      </c>
      <c r="I217" s="368">
        <v>33.94</v>
      </c>
      <c r="K217" s="105">
        <v>50963.45</v>
      </c>
    </row>
    <row r="218" spans="3:11" x14ac:dyDescent="0.2">
      <c r="C218" s="106" t="s">
        <v>27056</v>
      </c>
      <c r="D218" s="367">
        <v>44144</v>
      </c>
      <c r="E218" s="366" t="s">
        <v>27055</v>
      </c>
      <c r="H218" s="364">
        <v>4</v>
      </c>
      <c r="I218" s="368">
        <v>1.68</v>
      </c>
      <c r="K218" s="105">
        <v>50965.13</v>
      </c>
    </row>
    <row r="219" spans="3:11" x14ac:dyDescent="0.2">
      <c r="C219" s="106" t="s">
        <v>27054</v>
      </c>
      <c r="D219" s="367">
        <v>44144</v>
      </c>
      <c r="E219" s="366" t="s">
        <v>27053</v>
      </c>
      <c r="H219" s="364">
        <v>4</v>
      </c>
      <c r="I219" s="368">
        <v>20.61</v>
      </c>
      <c r="K219" s="105">
        <v>50985.74</v>
      </c>
    </row>
    <row r="220" spans="3:11" x14ac:dyDescent="0.2">
      <c r="C220" s="106" t="s">
        <v>27052</v>
      </c>
      <c r="D220" s="367">
        <v>44144</v>
      </c>
      <c r="E220" s="366" t="s">
        <v>27051</v>
      </c>
      <c r="H220" s="364">
        <v>4</v>
      </c>
      <c r="I220" s="368">
        <v>25.69</v>
      </c>
      <c r="K220" s="105">
        <v>51011.43</v>
      </c>
    </row>
    <row r="221" spans="3:11" x14ac:dyDescent="0.2">
      <c r="C221" s="106" t="s">
        <v>27050</v>
      </c>
      <c r="D221" s="367">
        <v>44144</v>
      </c>
      <c r="E221" s="366" t="s">
        <v>27049</v>
      </c>
      <c r="I221" s="368">
        <v>20</v>
      </c>
      <c r="K221" s="105">
        <v>51031.43</v>
      </c>
    </row>
    <row r="222" spans="3:11" x14ac:dyDescent="0.2">
      <c r="C222" s="106" t="s">
        <v>1428</v>
      </c>
      <c r="D222" s="367">
        <v>44144</v>
      </c>
      <c r="E222" s="366" t="s">
        <v>27048</v>
      </c>
      <c r="J222" s="375">
        <v>15997.5</v>
      </c>
      <c r="K222" s="105">
        <v>35033.93</v>
      </c>
    </row>
    <row r="223" spans="3:11" x14ac:dyDescent="0.2">
      <c r="C223" s="106" t="s">
        <v>18388</v>
      </c>
      <c r="D223" s="367">
        <v>44144</v>
      </c>
      <c r="E223" s="366" t="s">
        <v>27047</v>
      </c>
      <c r="J223" s="375">
        <v>1174.8800000000001</v>
      </c>
      <c r="K223" s="105">
        <v>33859.050000000003</v>
      </c>
    </row>
    <row r="224" spans="3:11" x14ac:dyDescent="0.2">
      <c r="C224" s="106" t="s">
        <v>18386</v>
      </c>
      <c r="D224" s="367">
        <v>44144</v>
      </c>
      <c r="E224" s="366" t="s">
        <v>27046</v>
      </c>
      <c r="J224" s="375">
        <v>15.47</v>
      </c>
      <c r="K224" s="105">
        <v>33843.58</v>
      </c>
    </row>
    <row r="225" spans="3:11" x14ac:dyDescent="0.2">
      <c r="C225" s="106" t="s">
        <v>27045</v>
      </c>
      <c r="D225" s="367">
        <v>44145</v>
      </c>
      <c r="E225" s="366" t="s">
        <v>27044</v>
      </c>
      <c r="H225" s="364" t="s">
        <v>14409</v>
      </c>
      <c r="I225" s="368">
        <v>1.72</v>
      </c>
      <c r="K225" s="105">
        <v>33845.300000000003</v>
      </c>
    </row>
    <row r="226" spans="3:11" x14ac:dyDescent="0.2">
      <c r="C226" s="106" t="s">
        <v>27043</v>
      </c>
      <c r="D226" s="367">
        <v>44145</v>
      </c>
      <c r="E226" s="366" t="s">
        <v>27042</v>
      </c>
      <c r="H226" s="364" t="s">
        <v>14409</v>
      </c>
      <c r="I226" s="368">
        <v>5.48</v>
      </c>
      <c r="K226" s="105">
        <v>33850.78</v>
      </c>
    </row>
    <row r="227" spans="3:11" x14ac:dyDescent="0.2">
      <c r="C227" s="106" t="s">
        <v>27041</v>
      </c>
      <c r="D227" s="367">
        <v>44145</v>
      </c>
      <c r="E227" s="366" t="s">
        <v>27040</v>
      </c>
      <c r="H227" s="364" t="s">
        <v>14409</v>
      </c>
      <c r="I227" s="368">
        <v>5.04</v>
      </c>
      <c r="K227" s="105">
        <v>33855.82</v>
      </c>
    </row>
    <row r="228" spans="3:11" x14ac:dyDescent="0.2">
      <c r="C228" s="106" t="s">
        <v>27039</v>
      </c>
      <c r="D228" s="367">
        <v>44145</v>
      </c>
      <c r="E228" s="366" t="s">
        <v>27038</v>
      </c>
      <c r="H228" s="364" t="s">
        <v>14409</v>
      </c>
      <c r="I228" s="368">
        <v>3.36</v>
      </c>
      <c r="K228" s="105">
        <v>33859.18</v>
      </c>
    </row>
    <row r="229" spans="3:11" x14ac:dyDescent="0.2">
      <c r="C229" s="106" t="s">
        <v>27037</v>
      </c>
      <c r="D229" s="367">
        <v>44145</v>
      </c>
      <c r="E229" s="366" t="s">
        <v>27036</v>
      </c>
      <c r="H229" s="364" t="s">
        <v>14409</v>
      </c>
      <c r="I229" s="368">
        <v>1.97</v>
      </c>
      <c r="K229" s="105">
        <v>33861.15</v>
      </c>
    </row>
    <row r="230" spans="3:11" x14ac:dyDescent="0.2">
      <c r="C230" s="106" t="s">
        <v>27035</v>
      </c>
      <c r="D230" s="367">
        <v>44145</v>
      </c>
      <c r="E230" s="366" t="s">
        <v>27034</v>
      </c>
      <c r="H230" s="364" t="s">
        <v>14409</v>
      </c>
      <c r="I230" s="368">
        <v>45.43</v>
      </c>
      <c r="K230" s="105">
        <v>33906.58</v>
      </c>
    </row>
    <row r="231" spans="3:11" x14ac:dyDescent="0.2">
      <c r="C231" s="106" t="s">
        <v>27033</v>
      </c>
      <c r="D231" s="367">
        <v>44145</v>
      </c>
      <c r="E231" s="366" t="s">
        <v>27032</v>
      </c>
      <c r="H231" s="364" t="s">
        <v>14409</v>
      </c>
      <c r="I231" s="368">
        <v>22.02</v>
      </c>
      <c r="K231" s="105">
        <v>33928.6</v>
      </c>
    </row>
    <row r="232" spans="3:11" x14ac:dyDescent="0.2">
      <c r="C232" s="106" t="s">
        <v>27031</v>
      </c>
      <c r="D232" s="367">
        <v>44145</v>
      </c>
      <c r="E232" s="366" t="s">
        <v>27030</v>
      </c>
      <c r="H232" s="364" t="s">
        <v>14409</v>
      </c>
      <c r="I232" s="368">
        <v>4.4800000000000004</v>
      </c>
      <c r="K232" s="105">
        <v>33933.08</v>
      </c>
    </row>
    <row r="233" spans="3:11" x14ac:dyDescent="0.2">
      <c r="C233" s="106" t="s">
        <v>27029</v>
      </c>
      <c r="D233" s="367">
        <v>44145</v>
      </c>
      <c r="E233" s="366" t="s">
        <v>27028</v>
      </c>
      <c r="H233" s="364" t="s">
        <v>14409</v>
      </c>
      <c r="I233" s="368">
        <v>6.83</v>
      </c>
      <c r="K233" s="105">
        <v>33939.910000000003</v>
      </c>
    </row>
    <row r="234" spans="3:11" x14ac:dyDescent="0.2">
      <c r="C234" s="106" t="s">
        <v>27027</v>
      </c>
      <c r="D234" s="367">
        <v>44145</v>
      </c>
      <c r="E234" s="366" t="s">
        <v>27026</v>
      </c>
      <c r="H234" s="364" t="s">
        <v>14409</v>
      </c>
      <c r="I234" s="368">
        <v>3.42</v>
      </c>
      <c r="K234" s="105">
        <v>33943.33</v>
      </c>
    </row>
    <row r="235" spans="3:11" x14ac:dyDescent="0.2">
      <c r="C235" s="106" t="s">
        <v>27025</v>
      </c>
      <c r="D235" s="367">
        <v>44145</v>
      </c>
      <c r="E235" s="366" t="s">
        <v>27024</v>
      </c>
      <c r="H235" s="364" t="s">
        <v>14409</v>
      </c>
      <c r="I235" s="368">
        <v>6.6</v>
      </c>
      <c r="K235" s="105">
        <v>33949.93</v>
      </c>
    </row>
    <row r="236" spans="3:11" x14ac:dyDescent="0.2">
      <c r="C236" s="106" t="s">
        <v>27023</v>
      </c>
      <c r="D236" s="367">
        <v>44145</v>
      </c>
      <c r="E236" s="366" t="s">
        <v>27022</v>
      </c>
      <c r="I236" s="368">
        <v>15.23</v>
      </c>
      <c r="K236" s="105">
        <v>33965.160000000003</v>
      </c>
    </row>
    <row r="237" spans="3:11" x14ac:dyDescent="0.2">
      <c r="C237" s="106" t="s">
        <v>27021</v>
      </c>
      <c r="D237" s="367">
        <v>44145</v>
      </c>
      <c r="E237" s="366" t="s">
        <v>27020</v>
      </c>
      <c r="H237" s="364">
        <v>5</v>
      </c>
      <c r="I237" s="368">
        <v>11.66</v>
      </c>
      <c r="K237" s="105">
        <v>33976.82</v>
      </c>
    </row>
    <row r="238" spans="3:11" x14ac:dyDescent="0.2">
      <c r="C238" s="106" t="s">
        <v>27019</v>
      </c>
      <c r="D238" s="367">
        <v>44145</v>
      </c>
      <c r="E238" s="366" t="s">
        <v>27018</v>
      </c>
      <c r="H238" s="364">
        <v>5</v>
      </c>
      <c r="I238" s="368">
        <v>6.14</v>
      </c>
      <c r="K238" s="105">
        <v>33982.959999999999</v>
      </c>
    </row>
    <row r="239" spans="3:11" x14ac:dyDescent="0.2">
      <c r="C239" s="106" t="s">
        <v>27017</v>
      </c>
      <c r="D239" s="367">
        <v>44145</v>
      </c>
      <c r="E239" s="366" t="s">
        <v>27016</v>
      </c>
      <c r="H239" s="364">
        <v>5</v>
      </c>
      <c r="I239" s="368">
        <v>8.3800000000000008</v>
      </c>
      <c r="K239" s="105">
        <v>33991.339999999997</v>
      </c>
    </row>
    <row r="240" spans="3:11" x14ac:dyDescent="0.2">
      <c r="C240" s="106" t="s">
        <v>27015</v>
      </c>
      <c r="D240" s="367">
        <v>44145</v>
      </c>
      <c r="E240" s="366" t="s">
        <v>27014</v>
      </c>
      <c r="H240" s="364">
        <v>5</v>
      </c>
      <c r="I240" s="368">
        <v>4.01</v>
      </c>
      <c r="K240" s="105">
        <v>33995.35</v>
      </c>
    </row>
    <row r="241" spans="3:11" x14ac:dyDescent="0.2">
      <c r="C241" s="106" t="s">
        <v>15200</v>
      </c>
      <c r="D241" s="367">
        <v>44145</v>
      </c>
      <c r="E241" s="366" t="s">
        <v>27013</v>
      </c>
      <c r="J241" s="375">
        <v>1634.38</v>
      </c>
      <c r="K241" s="105">
        <v>32360.97</v>
      </c>
    </row>
    <row r="242" spans="3:11" x14ac:dyDescent="0.2">
      <c r="C242" s="106" t="s">
        <v>14518</v>
      </c>
      <c r="D242" s="367">
        <v>44145</v>
      </c>
      <c r="E242" s="366" t="s">
        <v>27012</v>
      </c>
      <c r="J242" s="375">
        <v>21.9</v>
      </c>
      <c r="K242" s="105">
        <v>32339.07</v>
      </c>
    </row>
    <row r="243" spans="3:11" x14ac:dyDescent="0.2">
      <c r="C243" s="106" t="s">
        <v>407</v>
      </c>
      <c r="D243" s="367">
        <v>44145</v>
      </c>
      <c r="E243" s="366" t="s">
        <v>27011</v>
      </c>
      <c r="J243" s="375">
        <v>116.99</v>
      </c>
      <c r="K243" s="105">
        <v>32222.080000000002</v>
      </c>
    </row>
    <row r="244" spans="3:11" x14ac:dyDescent="0.2">
      <c r="C244" s="106" t="s">
        <v>405</v>
      </c>
      <c r="D244" s="367">
        <v>44145</v>
      </c>
      <c r="E244" s="366" t="s">
        <v>27010</v>
      </c>
      <c r="J244" s="375">
        <v>594.79</v>
      </c>
      <c r="K244" s="105">
        <v>31627.29</v>
      </c>
    </row>
    <row r="245" spans="3:11" x14ac:dyDescent="0.2">
      <c r="C245" s="106" t="s">
        <v>19346</v>
      </c>
      <c r="D245" s="367">
        <v>44145</v>
      </c>
      <c r="E245" s="366" t="s">
        <v>27009</v>
      </c>
      <c r="J245" s="375">
        <v>312.58</v>
      </c>
      <c r="K245" s="105">
        <v>31314.71</v>
      </c>
    </row>
    <row r="246" spans="3:11" x14ac:dyDescent="0.2">
      <c r="C246" s="106" t="s">
        <v>18390</v>
      </c>
      <c r="D246" s="367">
        <v>44145</v>
      </c>
      <c r="E246" s="366" t="s">
        <v>27008</v>
      </c>
      <c r="J246" s="375">
        <v>88</v>
      </c>
      <c r="K246" s="105">
        <v>31226.71</v>
      </c>
    </row>
    <row r="247" spans="3:11" x14ac:dyDescent="0.2">
      <c r="C247" s="106" t="s">
        <v>27007</v>
      </c>
      <c r="D247" s="367">
        <v>44146</v>
      </c>
      <c r="E247" s="366" t="s">
        <v>27006</v>
      </c>
      <c r="I247" s="368">
        <v>1</v>
      </c>
      <c r="K247" s="105">
        <v>31227.71</v>
      </c>
    </row>
    <row r="248" spans="3:11" x14ac:dyDescent="0.2">
      <c r="C248" s="106" t="s">
        <v>27005</v>
      </c>
      <c r="D248" s="367">
        <v>44146</v>
      </c>
      <c r="E248" s="366" t="s">
        <v>27004</v>
      </c>
      <c r="I248" s="368">
        <v>2.0099999999999998</v>
      </c>
      <c r="K248" s="105">
        <v>31229.72</v>
      </c>
    </row>
    <row r="249" spans="3:11" x14ac:dyDescent="0.2">
      <c r="C249" s="106" t="s">
        <v>27003</v>
      </c>
      <c r="D249" s="367">
        <v>44146</v>
      </c>
      <c r="E249" s="366" t="s">
        <v>27002</v>
      </c>
      <c r="H249" s="364">
        <v>6</v>
      </c>
      <c r="I249" s="368">
        <v>30.6</v>
      </c>
      <c r="K249" s="105">
        <v>31260.32</v>
      </c>
    </row>
    <row r="250" spans="3:11" x14ac:dyDescent="0.2">
      <c r="C250" s="106" t="s">
        <v>27001</v>
      </c>
      <c r="D250" s="367">
        <v>44146</v>
      </c>
      <c r="E250" s="366" t="s">
        <v>27000</v>
      </c>
      <c r="H250" s="364">
        <v>6</v>
      </c>
      <c r="I250" s="368">
        <v>30.6</v>
      </c>
      <c r="K250" s="105">
        <v>31290.92</v>
      </c>
    </row>
    <row r="251" spans="3:11" x14ac:dyDescent="0.2">
      <c r="C251" s="106" t="s">
        <v>26999</v>
      </c>
      <c r="D251" s="367">
        <v>44146</v>
      </c>
      <c r="E251" s="366" t="s">
        <v>26998</v>
      </c>
      <c r="H251" s="364">
        <v>6</v>
      </c>
      <c r="I251" s="368">
        <v>1.96</v>
      </c>
      <c r="K251" s="105">
        <v>31292.880000000001</v>
      </c>
    </row>
    <row r="252" spans="3:11" x14ac:dyDescent="0.2">
      <c r="C252" s="106" t="s">
        <v>26997</v>
      </c>
      <c r="D252" s="367">
        <v>44146</v>
      </c>
      <c r="E252" s="366" t="s">
        <v>26996</v>
      </c>
      <c r="H252" s="364">
        <v>6</v>
      </c>
      <c r="I252" s="368">
        <v>5.49</v>
      </c>
      <c r="K252" s="105">
        <v>31298.37</v>
      </c>
    </row>
    <row r="253" spans="3:11" x14ac:dyDescent="0.2">
      <c r="C253" s="106" t="s">
        <v>26995</v>
      </c>
      <c r="D253" s="367">
        <v>44146</v>
      </c>
      <c r="E253" s="366" t="s">
        <v>26994</v>
      </c>
      <c r="I253" s="368">
        <v>20</v>
      </c>
      <c r="K253" s="105">
        <v>31318.37</v>
      </c>
    </row>
    <row r="254" spans="3:11" x14ac:dyDescent="0.2">
      <c r="C254" s="106" t="s">
        <v>26993</v>
      </c>
      <c r="D254" s="367">
        <v>44146</v>
      </c>
      <c r="E254" s="366" t="s">
        <v>26992</v>
      </c>
      <c r="H254" s="364" t="s">
        <v>14409</v>
      </c>
      <c r="I254" s="368">
        <v>4.17</v>
      </c>
      <c r="K254" s="105">
        <v>31322.54</v>
      </c>
    </row>
    <row r="255" spans="3:11" x14ac:dyDescent="0.2">
      <c r="C255" s="106" t="s">
        <v>26991</v>
      </c>
      <c r="D255" s="367">
        <v>44146</v>
      </c>
      <c r="E255" s="366" t="s">
        <v>26990</v>
      </c>
      <c r="H255" s="364" t="s">
        <v>14409</v>
      </c>
      <c r="I255" s="368">
        <v>5.29</v>
      </c>
      <c r="K255" s="105">
        <v>31327.83</v>
      </c>
    </row>
    <row r="256" spans="3:11" x14ac:dyDescent="0.2">
      <c r="C256" s="106" t="s">
        <v>26989</v>
      </c>
      <c r="D256" s="367">
        <v>44146</v>
      </c>
      <c r="E256" s="366" t="s">
        <v>26988</v>
      </c>
      <c r="H256" s="364" t="s">
        <v>14409</v>
      </c>
      <c r="I256" s="368">
        <v>1.71</v>
      </c>
      <c r="K256" s="105">
        <v>31329.54</v>
      </c>
    </row>
    <row r="257" spans="3:11" x14ac:dyDescent="0.2">
      <c r="C257" s="106" t="s">
        <v>26987</v>
      </c>
      <c r="D257" s="367">
        <v>44146</v>
      </c>
      <c r="E257" s="366" t="s">
        <v>26986</v>
      </c>
      <c r="H257" s="364" t="s">
        <v>14409</v>
      </c>
      <c r="I257" s="368">
        <v>1.85</v>
      </c>
      <c r="K257" s="105">
        <v>31331.39</v>
      </c>
    </row>
    <row r="258" spans="3:11" x14ac:dyDescent="0.2">
      <c r="C258" s="106" t="s">
        <v>26985</v>
      </c>
      <c r="D258" s="367">
        <v>44146</v>
      </c>
      <c r="E258" s="366" t="s">
        <v>26984</v>
      </c>
      <c r="H258" s="364" t="s">
        <v>14409</v>
      </c>
      <c r="I258" s="368">
        <v>4.18</v>
      </c>
      <c r="K258" s="105">
        <v>31335.57</v>
      </c>
    </row>
    <row r="259" spans="3:11" x14ac:dyDescent="0.2">
      <c r="C259" s="106" t="s">
        <v>26983</v>
      </c>
      <c r="D259" s="367">
        <v>44146</v>
      </c>
      <c r="E259" s="366" t="s">
        <v>26982</v>
      </c>
      <c r="H259" s="364" t="s">
        <v>14409</v>
      </c>
      <c r="I259" s="368">
        <v>2.82</v>
      </c>
      <c r="K259" s="105">
        <v>31338.39</v>
      </c>
    </row>
    <row r="260" spans="3:11" x14ac:dyDescent="0.2">
      <c r="C260" s="106" t="s">
        <v>26981</v>
      </c>
      <c r="D260" s="367">
        <v>44146</v>
      </c>
      <c r="E260" s="366" t="s">
        <v>26980</v>
      </c>
      <c r="H260" s="364" t="s">
        <v>14409</v>
      </c>
      <c r="I260" s="368">
        <v>5.55</v>
      </c>
      <c r="K260" s="105">
        <v>31343.94</v>
      </c>
    </row>
    <row r="261" spans="3:11" x14ac:dyDescent="0.2">
      <c r="C261" s="106" t="s">
        <v>26979</v>
      </c>
      <c r="D261" s="367">
        <v>44146</v>
      </c>
      <c r="E261" s="366" t="s">
        <v>26978</v>
      </c>
      <c r="H261" s="364" t="s">
        <v>14409</v>
      </c>
      <c r="I261" s="368">
        <v>4.0999999999999996</v>
      </c>
      <c r="K261" s="105">
        <v>31348.04</v>
      </c>
    </row>
    <row r="262" spans="3:11" x14ac:dyDescent="0.2">
      <c r="C262" s="106" t="s">
        <v>26977</v>
      </c>
      <c r="D262" s="367">
        <v>44146</v>
      </c>
      <c r="E262" s="366" t="s">
        <v>26976</v>
      </c>
      <c r="H262" s="364" t="s">
        <v>14409</v>
      </c>
      <c r="I262" s="368">
        <v>17.43</v>
      </c>
      <c r="K262" s="105">
        <v>31365.47</v>
      </c>
    </row>
    <row r="263" spans="3:11" x14ac:dyDescent="0.2">
      <c r="C263" s="106" t="s">
        <v>26975</v>
      </c>
      <c r="D263" s="367">
        <v>44146</v>
      </c>
      <c r="E263" s="366" t="s">
        <v>26974</v>
      </c>
      <c r="H263" s="364" t="s">
        <v>14409</v>
      </c>
      <c r="I263" s="368">
        <v>5.75</v>
      </c>
      <c r="K263" s="105">
        <v>31371.22</v>
      </c>
    </row>
    <row r="264" spans="3:11" x14ac:dyDescent="0.2">
      <c r="C264" s="106" t="s">
        <v>26973</v>
      </c>
      <c r="D264" s="367">
        <v>44146</v>
      </c>
      <c r="E264" s="366" t="s">
        <v>26972</v>
      </c>
      <c r="H264" s="364" t="s">
        <v>14409</v>
      </c>
      <c r="I264" s="368">
        <v>16.760000000000002</v>
      </c>
      <c r="K264" s="105">
        <v>31387.98</v>
      </c>
    </row>
    <row r="265" spans="3:11" x14ac:dyDescent="0.2">
      <c r="C265" s="106" t="s">
        <v>26971</v>
      </c>
      <c r="D265" s="367">
        <v>44146</v>
      </c>
      <c r="E265" s="366" t="s">
        <v>26970</v>
      </c>
      <c r="H265" s="364" t="s">
        <v>14409</v>
      </c>
      <c r="I265" s="368">
        <v>43.15</v>
      </c>
      <c r="K265" s="105">
        <v>31431.13</v>
      </c>
    </row>
    <row r="266" spans="3:11" x14ac:dyDescent="0.2">
      <c r="C266" s="106" t="s">
        <v>26969</v>
      </c>
      <c r="D266" s="367">
        <v>44146</v>
      </c>
      <c r="E266" s="366" t="s">
        <v>26968</v>
      </c>
      <c r="I266" s="368">
        <v>2.5499999999999998</v>
      </c>
      <c r="K266" s="105">
        <v>31433.68</v>
      </c>
    </row>
    <row r="267" spans="3:11" x14ac:dyDescent="0.2">
      <c r="C267" s="106" t="s">
        <v>26967</v>
      </c>
      <c r="D267" s="367">
        <v>44147</v>
      </c>
      <c r="E267" s="366" t="s">
        <v>26966</v>
      </c>
      <c r="H267" s="364" t="s">
        <v>14409</v>
      </c>
      <c r="I267" s="368">
        <v>3.88</v>
      </c>
      <c r="K267" s="105">
        <v>31437.56</v>
      </c>
    </row>
    <row r="268" spans="3:11" x14ac:dyDescent="0.2">
      <c r="C268" s="106" t="s">
        <v>26965</v>
      </c>
      <c r="D268" s="367">
        <v>44147</v>
      </c>
      <c r="E268" s="366" t="s">
        <v>26964</v>
      </c>
      <c r="H268" s="364" t="s">
        <v>14409</v>
      </c>
      <c r="I268" s="368">
        <v>79.2</v>
      </c>
      <c r="K268" s="105">
        <v>31516.76</v>
      </c>
    </row>
    <row r="269" spans="3:11" x14ac:dyDescent="0.2">
      <c r="C269" s="106" t="s">
        <v>26963</v>
      </c>
      <c r="D269" s="367">
        <v>44147</v>
      </c>
      <c r="E269" s="366" t="s">
        <v>26962</v>
      </c>
      <c r="H269" s="364" t="s">
        <v>14409</v>
      </c>
      <c r="I269" s="368">
        <v>120.77</v>
      </c>
      <c r="K269" s="105">
        <v>31637.53</v>
      </c>
    </row>
    <row r="270" spans="3:11" x14ac:dyDescent="0.2">
      <c r="C270" s="106" t="s">
        <v>26961</v>
      </c>
      <c r="D270" s="367">
        <v>44147</v>
      </c>
      <c r="E270" s="366" t="s">
        <v>26960</v>
      </c>
      <c r="H270" s="364" t="s">
        <v>14409</v>
      </c>
      <c r="I270" s="368">
        <v>19.75</v>
      </c>
      <c r="K270" s="105">
        <v>31657.279999999999</v>
      </c>
    </row>
    <row r="271" spans="3:11" x14ac:dyDescent="0.2">
      <c r="C271" s="106" t="s">
        <v>26959</v>
      </c>
      <c r="D271" s="367">
        <v>44147</v>
      </c>
      <c r="E271" s="366" t="s">
        <v>26958</v>
      </c>
      <c r="H271" s="364" t="s">
        <v>14409</v>
      </c>
      <c r="I271" s="368">
        <v>9.7200000000000006</v>
      </c>
      <c r="K271" s="105">
        <v>31667</v>
      </c>
    </row>
    <row r="272" spans="3:11" x14ac:dyDescent="0.2">
      <c r="C272" s="106" t="s">
        <v>26957</v>
      </c>
      <c r="D272" s="367">
        <v>44147</v>
      </c>
      <c r="E272" s="366" t="s">
        <v>26956</v>
      </c>
      <c r="H272" s="364" t="s">
        <v>14409</v>
      </c>
      <c r="I272" s="368">
        <v>142.29</v>
      </c>
      <c r="K272" s="105">
        <v>31809.29</v>
      </c>
    </row>
    <row r="273" spans="3:11" x14ac:dyDescent="0.2">
      <c r="C273" s="106" t="s">
        <v>26955</v>
      </c>
      <c r="D273" s="367">
        <v>44147</v>
      </c>
      <c r="E273" s="366" t="s">
        <v>26954</v>
      </c>
      <c r="H273" s="364" t="s">
        <v>14409</v>
      </c>
      <c r="I273" s="368">
        <v>12.3</v>
      </c>
      <c r="K273" s="105">
        <v>31821.59</v>
      </c>
    </row>
    <row r="274" spans="3:11" x14ac:dyDescent="0.2">
      <c r="C274" s="106" t="s">
        <v>26953</v>
      </c>
      <c r="D274" s="367">
        <v>44147</v>
      </c>
      <c r="E274" s="366" t="s">
        <v>26952</v>
      </c>
      <c r="H274" s="364" t="s">
        <v>14409</v>
      </c>
      <c r="I274" s="368">
        <v>10.37</v>
      </c>
      <c r="K274" s="105">
        <v>31831.96</v>
      </c>
    </row>
    <row r="275" spans="3:11" x14ac:dyDescent="0.2">
      <c r="C275" s="106" t="s">
        <v>26951</v>
      </c>
      <c r="D275" s="367">
        <v>44147</v>
      </c>
      <c r="E275" s="366" t="s">
        <v>26950</v>
      </c>
      <c r="H275" s="364" t="s">
        <v>14409</v>
      </c>
      <c r="I275" s="368">
        <v>39.42</v>
      </c>
      <c r="K275" s="105">
        <v>31871.38</v>
      </c>
    </row>
    <row r="276" spans="3:11" x14ac:dyDescent="0.2">
      <c r="C276" s="106" t="s">
        <v>26949</v>
      </c>
      <c r="D276" s="367">
        <v>44147</v>
      </c>
      <c r="E276" s="366" t="s">
        <v>26948</v>
      </c>
      <c r="H276" s="364" t="s">
        <v>14409</v>
      </c>
      <c r="I276" s="368">
        <v>3.36</v>
      </c>
      <c r="K276" s="105">
        <v>31874.74</v>
      </c>
    </row>
    <row r="277" spans="3:11" x14ac:dyDescent="0.2">
      <c r="C277" s="106" t="s">
        <v>26947</v>
      </c>
      <c r="D277" s="367">
        <v>44147</v>
      </c>
      <c r="E277" s="366" t="s">
        <v>26946</v>
      </c>
      <c r="H277" s="364" t="s">
        <v>14409</v>
      </c>
      <c r="I277" s="368">
        <v>1.8</v>
      </c>
      <c r="K277" s="105">
        <v>31876.54</v>
      </c>
    </row>
    <row r="278" spans="3:11" x14ac:dyDescent="0.2">
      <c r="C278" s="106" t="s">
        <v>26945</v>
      </c>
      <c r="D278" s="367">
        <v>44147</v>
      </c>
      <c r="E278" s="366" t="s">
        <v>26944</v>
      </c>
      <c r="H278" s="364">
        <v>7</v>
      </c>
      <c r="I278" s="368">
        <v>4</v>
      </c>
      <c r="K278" s="105">
        <v>31880.54</v>
      </c>
    </row>
    <row r="279" spans="3:11" x14ac:dyDescent="0.2">
      <c r="C279" s="106" t="s">
        <v>26943</v>
      </c>
      <c r="D279" s="367">
        <v>44147</v>
      </c>
      <c r="E279" s="366" t="s">
        <v>26942</v>
      </c>
      <c r="H279" s="364">
        <v>7</v>
      </c>
      <c r="I279" s="368">
        <v>17.79</v>
      </c>
      <c r="K279" s="105">
        <v>31898.33</v>
      </c>
    </row>
    <row r="280" spans="3:11" x14ac:dyDescent="0.2">
      <c r="C280" s="106" t="s">
        <v>26941</v>
      </c>
      <c r="D280" s="367">
        <v>44147</v>
      </c>
      <c r="E280" s="366" t="s">
        <v>26940</v>
      </c>
      <c r="H280" s="364">
        <v>7</v>
      </c>
      <c r="I280" s="368">
        <v>13.11</v>
      </c>
      <c r="K280" s="105">
        <v>31911.439999999999</v>
      </c>
    </row>
    <row r="281" spans="3:11" x14ac:dyDescent="0.2">
      <c r="C281" s="106" t="s">
        <v>26939</v>
      </c>
      <c r="D281" s="367">
        <v>44147</v>
      </c>
      <c r="E281" s="366" t="s">
        <v>26938</v>
      </c>
      <c r="H281" s="364">
        <v>7</v>
      </c>
      <c r="I281" s="368">
        <v>3.16</v>
      </c>
      <c r="K281" s="105">
        <v>31914.6</v>
      </c>
    </row>
    <row r="282" spans="3:11" x14ac:dyDescent="0.2">
      <c r="C282" s="106" t="s">
        <v>26937</v>
      </c>
      <c r="D282" s="367">
        <v>44147</v>
      </c>
      <c r="E282" s="366" t="s">
        <v>26936</v>
      </c>
      <c r="H282" s="364">
        <v>7</v>
      </c>
      <c r="I282" s="368">
        <v>28.48</v>
      </c>
      <c r="K282" s="105">
        <v>31943.08</v>
      </c>
    </row>
    <row r="283" spans="3:11" x14ac:dyDescent="0.2">
      <c r="C283" s="106" t="s">
        <v>26935</v>
      </c>
      <c r="D283" s="367">
        <v>44147</v>
      </c>
      <c r="E283" s="366" t="s">
        <v>26934</v>
      </c>
      <c r="H283" s="364">
        <v>7</v>
      </c>
      <c r="I283" s="368">
        <v>10.84</v>
      </c>
      <c r="K283" s="105">
        <v>31953.919999999998</v>
      </c>
    </row>
    <row r="284" spans="3:11" x14ac:dyDescent="0.2">
      <c r="C284" s="106" t="s">
        <v>26933</v>
      </c>
      <c r="D284" s="367">
        <v>44147</v>
      </c>
      <c r="E284" s="366" t="s">
        <v>26932</v>
      </c>
      <c r="H284" s="364">
        <v>7</v>
      </c>
      <c r="I284" s="368">
        <v>3.36</v>
      </c>
      <c r="K284" s="105">
        <v>31957.279999999999</v>
      </c>
    </row>
    <row r="285" spans="3:11" x14ac:dyDescent="0.2">
      <c r="C285" s="106" t="s">
        <v>26931</v>
      </c>
      <c r="D285" s="367">
        <v>44147</v>
      </c>
      <c r="E285" s="366" t="s">
        <v>26930</v>
      </c>
      <c r="H285" s="364">
        <v>7</v>
      </c>
      <c r="I285" s="368">
        <v>29.41</v>
      </c>
      <c r="K285" s="105">
        <v>31986.69</v>
      </c>
    </row>
    <row r="286" spans="3:11" x14ac:dyDescent="0.2">
      <c r="C286" s="106" t="s">
        <v>26929</v>
      </c>
      <c r="D286" s="367">
        <v>44147</v>
      </c>
      <c r="E286" s="366" t="s">
        <v>26928</v>
      </c>
      <c r="I286" s="368">
        <v>25.14</v>
      </c>
      <c r="K286" s="105">
        <v>32011.83</v>
      </c>
    </row>
    <row r="287" spans="3:11" x14ac:dyDescent="0.2">
      <c r="C287" s="106" t="s">
        <v>26927</v>
      </c>
      <c r="D287" s="367">
        <v>44147</v>
      </c>
      <c r="E287" s="366" t="s">
        <v>26926</v>
      </c>
      <c r="I287" s="368">
        <v>2.42</v>
      </c>
      <c r="K287" s="105">
        <v>32014.25</v>
      </c>
    </row>
    <row r="288" spans="3:11" x14ac:dyDescent="0.2">
      <c r="C288" s="106" t="s">
        <v>26925</v>
      </c>
      <c r="D288" s="367">
        <v>44148</v>
      </c>
      <c r="E288" s="366" t="s">
        <v>26924</v>
      </c>
      <c r="I288" s="368">
        <v>27.65</v>
      </c>
      <c r="K288" s="105">
        <v>32041.9</v>
      </c>
    </row>
    <row r="289" spans="3:11" x14ac:dyDescent="0.2">
      <c r="C289" s="106" t="s">
        <v>26923</v>
      </c>
      <c r="D289" s="367">
        <v>44148</v>
      </c>
      <c r="E289" s="366" t="s">
        <v>26922</v>
      </c>
      <c r="I289" s="368">
        <v>1.39</v>
      </c>
      <c r="K289" s="105">
        <v>32043.29</v>
      </c>
    </row>
    <row r="290" spans="3:11" x14ac:dyDescent="0.2">
      <c r="C290" s="106" t="s">
        <v>26921</v>
      </c>
      <c r="D290" s="367">
        <v>44148</v>
      </c>
      <c r="E290" s="366" t="s">
        <v>26920</v>
      </c>
      <c r="H290" s="364" t="s">
        <v>14412</v>
      </c>
      <c r="I290" s="368">
        <v>57.61</v>
      </c>
      <c r="K290" s="105">
        <v>32100.9</v>
      </c>
    </row>
    <row r="291" spans="3:11" x14ac:dyDescent="0.2">
      <c r="C291" s="106" t="s">
        <v>26919</v>
      </c>
      <c r="D291" s="367">
        <v>44148</v>
      </c>
      <c r="E291" s="366" t="s">
        <v>26918</v>
      </c>
      <c r="H291" s="364" t="s">
        <v>14412</v>
      </c>
      <c r="I291" s="368">
        <v>5.99</v>
      </c>
      <c r="K291" s="105">
        <v>32106.89</v>
      </c>
    </row>
    <row r="292" spans="3:11" x14ac:dyDescent="0.2">
      <c r="C292" s="106" t="s">
        <v>26917</v>
      </c>
      <c r="D292" s="367">
        <v>44148</v>
      </c>
      <c r="E292" s="366" t="s">
        <v>26916</v>
      </c>
      <c r="H292" s="364" t="s">
        <v>14412</v>
      </c>
      <c r="I292" s="368">
        <v>3.36</v>
      </c>
      <c r="K292" s="105">
        <v>32110.25</v>
      </c>
    </row>
    <row r="293" spans="3:11" x14ac:dyDescent="0.2">
      <c r="C293" s="106" t="s">
        <v>26915</v>
      </c>
      <c r="D293" s="367">
        <v>44148</v>
      </c>
      <c r="E293" s="366" t="s">
        <v>26914</v>
      </c>
      <c r="H293" s="364" t="s">
        <v>14412</v>
      </c>
      <c r="I293" s="368">
        <v>11.56</v>
      </c>
      <c r="K293" s="105">
        <v>32121.81</v>
      </c>
    </row>
    <row r="294" spans="3:11" x14ac:dyDescent="0.2">
      <c r="C294" s="106" t="s">
        <v>26913</v>
      </c>
      <c r="D294" s="367">
        <v>44148</v>
      </c>
      <c r="E294" s="366" t="s">
        <v>26912</v>
      </c>
      <c r="H294" s="364" t="s">
        <v>14412</v>
      </c>
      <c r="I294" s="368">
        <v>3.62</v>
      </c>
      <c r="K294" s="105">
        <v>32125.43</v>
      </c>
    </row>
    <row r="295" spans="3:11" x14ac:dyDescent="0.2">
      <c r="C295" s="106" t="s">
        <v>26911</v>
      </c>
      <c r="D295" s="367">
        <v>44148</v>
      </c>
      <c r="E295" s="366" t="s">
        <v>26910</v>
      </c>
      <c r="H295" s="364" t="s">
        <v>14412</v>
      </c>
      <c r="I295" s="368">
        <v>3.18</v>
      </c>
      <c r="K295" s="105">
        <v>32128.61</v>
      </c>
    </row>
    <row r="296" spans="3:11" x14ac:dyDescent="0.2">
      <c r="C296" s="106" t="s">
        <v>26909</v>
      </c>
      <c r="D296" s="367">
        <v>44148</v>
      </c>
      <c r="E296" s="366" t="s">
        <v>26908</v>
      </c>
      <c r="H296" s="364" t="s">
        <v>14412</v>
      </c>
      <c r="I296" s="368">
        <v>24.36</v>
      </c>
      <c r="K296" s="105">
        <v>32152.97</v>
      </c>
    </row>
    <row r="297" spans="3:11" x14ac:dyDescent="0.2">
      <c r="C297" s="106" t="s">
        <v>26907</v>
      </c>
      <c r="D297" s="367">
        <v>44148</v>
      </c>
      <c r="E297" s="366" t="s">
        <v>26906</v>
      </c>
      <c r="H297" s="364" t="s">
        <v>14412</v>
      </c>
      <c r="I297" s="368">
        <v>2.67</v>
      </c>
      <c r="K297" s="105">
        <v>32155.64</v>
      </c>
    </row>
    <row r="298" spans="3:11" x14ac:dyDescent="0.2">
      <c r="C298" s="106" t="s">
        <v>26905</v>
      </c>
      <c r="D298" s="367">
        <v>44148</v>
      </c>
      <c r="E298" s="366" t="s">
        <v>26904</v>
      </c>
      <c r="H298" s="364" t="s">
        <v>14412</v>
      </c>
      <c r="I298" s="368">
        <v>7.41</v>
      </c>
      <c r="K298" s="105">
        <v>32163.05</v>
      </c>
    </row>
    <row r="299" spans="3:11" x14ac:dyDescent="0.2">
      <c r="C299" s="106" t="s">
        <v>26903</v>
      </c>
      <c r="D299" s="367">
        <v>44148</v>
      </c>
      <c r="E299" s="366" t="s">
        <v>26902</v>
      </c>
      <c r="H299" s="364" t="s">
        <v>14412</v>
      </c>
      <c r="I299" s="368">
        <v>15.78</v>
      </c>
      <c r="K299" s="105">
        <v>32178.83</v>
      </c>
    </row>
    <row r="300" spans="3:11" x14ac:dyDescent="0.2">
      <c r="C300" s="106" t="s">
        <v>26901</v>
      </c>
      <c r="D300" s="367">
        <v>44148</v>
      </c>
      <c r="E300" s="366" t="s">
        <v>26900</v>
      </c>
      <c r="H300" s="364" t="s">
        <v>14412</v>
      </c>
      <c r="I300" s="368">
        <v>4.6399999999999997</v>
      </c>
      <c r="K300" s="105">
        <v>32183.47</v>
      </c>
    </row>
    <row r="301" spans="3:11" x14ac:dyDescent="0.2">
      <c r="C301" s="106" t="s">
        <v>26899</v>
      </c>
      <c r="D301" s="367">
        <v>44148</v>
      </c>
      <c r="E301" s="366" t="s">
        <v>26898</v>
      </c>
      <c r="H301" s="364" t="s">
        <v>14412</v>
      </c>
      <c r="I301" s="368">
        <v>9.14</v>
      </c>
      <c r="K301" s="105">
        <v>32192.61</v>
      </c>
    </row>
    <row r="302" spans="3:11" x14ac:dyDescent="0.2">
      <c r="C302" s="106" t="s">
        <v>26897</v>
      </c>
      <c r="D302" s="367">
        <v>44148</v>
      </c>
      <c r="E302" s="366" t="s">
        <v>26896</v>
      </c>
      <c r="H302" s="364" t="s">
        <v>14412</v>
      </c>
      <c r="I302" s="368">
        <v>25.14</v>
      </c>
      <c r="K302" s="105">
        <v>32217.75</v>
      </c>
    </row>
    <row r="303" spans="3:11" x14ac:dyDescent="0.2">
      <c r="C303" s="106" t="s">
        <v>26895</v>
      </c>
      <c r="D303" s="367">
        <v>44148</v>
      </c>
      <c r="E303" s="366" t="s">
        <v>26894</v>
      </c>
      <c r="H303" s="364" t="s">
        <v>14412</v>
      </c>
      <c r="I303" s="368">
        <v>2.12</v>
      </c>
      <c r="K303" s="105">
        <v>32219.87</v>
      </c>
    </row>
    <row r="304" spans="3:11" x14ac:dyDescent="0.2">
      <c r="C304" s="106" t="s">
        <v>26893</v>
      </c>
      <c r="D304" s="367">
        <v>44148</v>
      </c>
      <c r="E304" s="366" t="s">
        <v>26892</v>
      </c>
      <c r="H304" s="364">
        <v>8</v>
      </c>
      <c r="I304" s="368">
        <v>7.91</v>
      </c>
      <c r="K304" s="105">
        <v>32227.78</v>
      </c>
    </row>
    <row r="305" spans="3:11" x14ac:dyDescent="0.2">
      <c r="C305" s="106" t="s">
        <v>26891</v>
      </c>
      <c r="D305" s="367">
        <v>44148</v>
      </c>
      <c r="E305" s="366" t="s">
        <v>26890</v>
      </c>
      <c r="H305" s="364">
        <v>8</v>
      </c>
      <c r="I305" s="368">
        <v>15.3</v>
      </c>
      <c r="K305" s="105">
        <v>32243.08</v>
      </c>
    </row>
    <row r="306" spans="3:11" x14ac:dyDescent="0.2">
      <c r="C306" s="106" t="s">
        <v>26889</v>
      </c>
      <c r="D306" s="367">
        <v>44148</v>
      </c>
      <c r="E306" s="366" t="s">
        <v>26888</v>
      </c>
      <c r="H306" s="364">
        <v>8</v>
      </c>
      <c r="I306" s="368">
        <v>3.36</v>
      </c>
      <c r="K306" s="105">
        <v>32246.44</v>
      </c>
    </row>
    <row r="307" spans="3:11" x14ac:dyDescent="0.2">
      <c r="C307" s="106" t="s">
        <v>26887</v>
      </c>
      <c r="D307" s="367">
        <v>44148</v>
      </c>
      <c r="E307" s="366" t="s">
        <v>26886</v>
      </c>
      <c r="H307" s="364">
        <v>8</v>
      </c>
      <c r="I307" s="368">
        <v>75.42</v>
      </c>
      <c r="K307" s="105">
        <v>32321.86</v>
      </c>
    </row>
    <row r="308" spans="3:11" x14ac:dyDescent="0.2">
      <c r="C308" s="106" t="s">
        <v>26885</v>
      </c>
      <c r="D308" s="367">
        <v>44148</v>
      </c>
      <c r="E308" s="366" t="s">
        <v>26884</v>
      </c>
      <c r="H308" s="364">
        <v>8</v>
      </c>
      <c r="I308" s="368">
        <v>17.11</v>
      </c>
      <c r="K308" s="105">
        <v>32338.97</v>
      </c>
    </row>
    <row r="309" spans="3:11" x14ac:dyDescent="0.2">
      <c r="C309" s="106" t="s">
        <v>26883</v>
      </c>
      <c r="D309" s="367">
        <v>44148</v>
      </c>
      <c r="E309" s="366" t="s">
        <v>26882</v>
      </c>
      <c r="I309" s="368">
        <v>12.02</v>
      </c>
      <c r="K309" s="105">
        <v>32350.99</v>
      </c>
    </row>
    <row r="310" spans="3:11" x14ac:dyDescent="0.2">
      <c r="C310" s="106" t="s">
        <v>26881</v>
      </c>
      <c r="D310" s="367">
        <v>44148</v>
      </c>
      <c r="E310" s="366" t="s">
        <v>26880</v>
      </c>
      <c r="I310" s="368">
        <v>72.680000000000007</v>
      </c>
      <c r="K310" s="105">
        <v>32423.67</v>
      </c>
    </row>
    <row r="311" spans="3:11" x14ac:dyDescent="0.2">
      <c r="C311" s="106" t="s">
        <v>26879</v>
      </c>
      <c r="D311" s="367">
        <v>44148</v>
      </c>
      <c r="E311" s="366" t="s">
        <v>26878</v>
      </c>
      <c r="I311" s="368">
        <v>2.72</v>
      </c>
      <c r="K311" s="105">
        <v>32426.39</v>
      </c>
    </row>
    <row r="312" spans="3:11" x14ac:dyDescent="0.2">
      <c r="C312" s="106" t="s">
        <v>26877</v>
      </c>
      <c r="D312" s="367">
        <v>44148</v>
      </c>
      <c r="E312" s="366" t="s">
        <v>26876</v>
      </c>
      <c r="I312" s="368">
        <v>3.58</v>
      </c>
      <c r="K312" s="105">
        <v>32429.97</v>
      </c>
    </row>
    <row r="313" spans="3:11" x14ac:dyDescent="0.2">
      <c r="C313" s="106" t="s">
        <v>26875</v>
      </c>
      <c r="D313" s="367">
        <v>44148</v>
      </c>
      <c r="E313" s="366" t="s">
        <v>26874</v>
      </c>
      <c r="I313" s="368">
        <v>17.3</v>
      </c>
      <c r="K313" s="105">
        <v>32447.27</v>
      </c>
    </row>
    <row r="314" spans="3:11" x14ac:dyDescent="0.2">
      <c r="C314" s="106" t="s">
        <v>26873</v>
      </c>
      <c r="D314" s="367">
        <v>44148</v>
      </c>
      <c r="E314" s="366" t="s">
        <v>26872</v>
      </c>
      <c r="I314" s="368">
        <v>68.66</v>
      </c>
      <c r="K314" s="105">
        <v>32515.93</v>
      </c>
    </row>
    <row r="315" spans="3:11" x14ac:dyDescent="0.2">
      <c r="C315" s="106" t="s">
        <v>16362</v>
      </c>
      <c r="D315" s="367">
        <v>44148</v>
      </c>
      <c r="E315" s="366" t="s">
        <v>26871</v>
      </c>
      <c r="J315" s="375">
        <v>2800</v>
      </c>
      <c r="K315" s="105">
        <v>29715.93</v>
      </c>
    </row>
    <row r="316" spans="3:11" x14ac:dyDescent="0.2">
      <c r="C316" s="106" t="s">
        <v>16358</v>
      </c>
      <c r="D316" s="367">
        <v>44148</v>
      </c>
      <c r="E316" s="366" t="s">
        <v>26870</v>
      </c>
      <c r="J316" s="375">
        <v>1800</v>
      </c>
      <c r="K316" s="105">
        <v>27915.93</v>
      </c>
    </row>
    <row r="317" spans="3:11" x14ac:dyDescent="0.2">
      <c r="C317" s="106" t="s">
        <v>16356</v>
      </c>
      <c r="D317" s="367">
        <v>44148</v>
      </c>
      <c r="E317" s="366" t="s">
        <v>26869</v>
      </c>
      <c r="J317" s="375">
        <v>521.77</v>
      </c>
      <c r="K317" s="105">
        <v>27394.16</v>
      </c>
    </row>
    <row r="318" spans="3:11" x14ac:dyDescent="0.2">
      <c r="C318" s="106" t="s">
        <v>26868</v>
      </c>
      <c r="D318" s="367">
        <v>44149</v>
      </c>
      <c r="E318" s="366" t="s">
        <v>26867</v>
      </c>
      <c r="H318" s="364" t="s">
        <v>14412</v>
      </c>
      <c r="I318" s="368">
        <v>2.93</v>
      </c>
      <c r="K318" s="105">
        <v>27397.09</v>
      </c>
    </row>
    <row r="319" spans="3:11" x14ac:dyDescent="0.2">
      <c r="C319" s="106" t="s">
        <v>26866</v>
      </c>
      <c r="D319" s="367">
        <v>44149</v>
      </c>
      <c r="E319" s="366" t="s">
        <v>26865</v>
      </c>
      <c r="H319" s="364" t="s">
        <v>14412</v>
      </c>
      <c r="I319" s="368">
        <v>3.52</v>
      </c>
      <c r="K319" s="105">
        <v>27400.61</v>
      </c>
    </row>
    <row r="320" spans="3:11" x14ac:dyDescent="0.2">
      <c r="C320" s="106" t="s">
        <v>26864</v>
      </c>
      <c r="D320" s="367">
        <v>44149</v>
      </c>
      <c r="E320" s="366" t="s">
        <v>26863</v>
      </c>
      <c r="H320" s="364" t="s">
        <v>14412</v>
      </c>
      <c r="I320" s="368">
        <v>5.23</v>
      </c>
      <c r="K320" s="105">
        <v>27405.84</v>
      </c>
    </row>
    <row r="321" spans="3:11" x14ac:dyDescent="0.2">
      <c r="C321" s="106" t="s">
        <v>26862</v>
      </c>
      <c r="D321" s="367">
        <v>44149</v>
      </c>
      <c r="E321" s="366" t="s">
        <v>26861</v>
      </c>
      <c r="H321" s="364" t="s">
        <v>14412</v>
      </c>
      <c r="I321" s="368">
        <v>3.25</v>
      </c>
      <c r="K321" s="105">
        <v>27409.09</v>
      </c>
    </row>
    <row r="322" spans="3:11" x14ac:dyDescent="0.2">
      <c r="C322" s="106" t="s">
        <v>26860</v>
      </c>
      <c r="D322" s="367">
        <v>44149</v>
      </c>
      <c r="E322" s="366" t="s">
        <v>26859</v>
      </c>
      <c r="H322" s="364" t="s">
        <v>14412</v>
      </c>
      <c r="I322" s="368">
        <v>3.51</v>
      </c>
      <c r="K322" s="105">
        <v>27412.6</v>
      </c>
    </row>
    <row r="323" spans="3:11" x14ac:dyDescent="0.2">
      <c r="C323" s="106" t="s">
        <v>26858</v>
      </c>
      <c r="D323" s="367">
        <v>44149</v>
      </c>
      <c r="E323" s="366" t="s">
        <v>26857</v>
      </c>
      <c r="H323" s="364" t="s">
        <v>14412</v>
      </c>
      <c r="I323" s="368">
        <v>15.62</v>
      </c>
      <c r="K323" s="105">
        <v>27428.22</v>
      </c>
    </row>
    <row r="324" spans="3:11" x14ac:dyDescent="0.2">
      <c r="C324" s="106" t="s">
        <v>26856</v>
      </c>
      <c r="D324" s="367">
        <v>44149</v>
      </c>
      <c r="E324" s="366" t="s">
        <v>26855</v>
      </c>
      <c r="H324" s="364" t="s">
        <v>14412</v>
      </c>
      <c r="I324" s="368">
        <v>3.7</v>
      </c>
      <c r="K324" s="105">
        <v>27431.919999999998</v>
      </c>
    </row>
    <row r="325" spans="3:11" x14ac:dyDescent="0.2">
      <c r="C325" s="106" t="s">
        <v>26854</v>
      </c>
      <c r="D325" s="367">
        <v>44149</v>
      </c>
      <c r="E325" s="366" t="s">
        <v>26853</v>
      </c>
      <c r="H325" s="364" t="s">
        <v>14412</v>
      </c>
      <c r="I325" s="368">
        <v>115.29</v>
      </c>
      <c r="K325" s="105">
        <v>27547.21</v>
      </c>
    </row>
    <row r="326" spans="3:11" x14ac:dyDescent="0.2">
      <c r="C326" s="106" t="s">
        <v>26852</v>
      </c>
      <c r="D326" s="367">
        <v>44149</v>
      </c>
      <c r="E326" s="366" t="s">
        <v>26851</v>
      </c>
      <c r="H326" s="364" t="s">
        <v>14412</v>
      </c>
      <c r="I326" s="368">
        <v>6.53</v>
      </c>
      <c r="K326" s="105">
        <v>27553.74</v>
      </c>
    </row>
    <row r="327" spans="3:11" x14ac:dyDescent="0.2">
      <c r="C327" s="106" t="s">
        <v>26850</v>
      </c>
      <c r="D327" s="367">
        <v>44149</v>
      </c>
      <c r="E327" s="366" t="s">
        <v>26849</v>
      </c>
      <c r="H327" s="364" t="s">
        <v>14412</v>
      </c>
      <c r="I327" s="368">
        <v>6.44</v>
      </c>
      <c r="K327" s="105">
        <v>27560.18</v>
      </c>
    </row>
    <row r="328" spans="3:11" x14ac:dyDescent="0.2">
      <c r="C328" s="106" t="s">
        <v>26848</v>
      </c>
      <c r="D328" s="367">
        <v>44149</v>
      </c>
      <c r="E328" s="366" t="s">
        <v>26847</v>
      </c>
      <c r="H328" s="364" t="s">
        <v>14412</v>
      </c>
      <c r="I328" s="368">
        <v>12.8</v>
      </c>
      <c r="K328" s="105">
        <v>27572.98</v>
      </c>
    </row>
    <row r="329" spans="3:11" x14ac:dyDescent="0.2">
      <c r="C329" s="106" t="s">
        <v>26846</v>
      </c>
      <c r="D329" s="367">
        <v>44149</v>
      </c>
      <c r="E329" s="366" t="s">
        <v>26845</v>
      </c>
      <c r="H329" s="364" t="s">
        <v>14412</v>
      </c>
      <c r="I329" s="368">
        <v>6.2</v>
      </c>
      <c r="K329" s="105">
        <v>27579.18</v>
      </c>
    </row>
    <row r="330" spans="3:11" x14ac:dyDescent="0.2">
      <c r="C330" s="106" t="s">
        <v>26844</v>
      </c>
      <c r="D330" s="367">
        <v>44150</v>
      </c>
      <c r="E330" s="366" t="s">
        <v>26843</v>
      </c>
      <c r="H330" s="364" t="s">
        <v>14412</v>
      </c>
      <c r="I330" s="368">
        <v>8.4</v>
      </c>
      <c r="K330" s="105">
        <v>27587.58</v>
      </c>
    </row>
    <row r="331" spans="3:11" x14ac:dyDescent="0.2">
      <c r="C331" s="106" t="s">
        <v>26842</v>
      </c>
      <c r="D331" s="367">
        <v>44150</v>
      </c>
      <c r="E331" s="366" t="s">
        <v>26841</v>
      </c>
      <c r="H331" s="364" t="s">
        <v>14412</v>
      </c>
      <c r="I331" s="368">
        <v>8.02</v>
      </c>
      <c r="K331" s="105">
        <v>27595.599999999999</v>
      </c>
    </row>
    <row r="332" spans="3:11" x14ac:dyDescent="0.2">
      <c r="C332" s="106" t="s">
        <v>26840</v>
      </c>
      <c r="D332" s="367">
        <v>44150</v>
      </c>
      <c r="E332" s="366" t="s">
        <v>26839</v>
      </c>
      <c r="H332" s="364" t="s">
        <v>14412</v>
      </c>
      <c r="I332" s="368">
        <v>5.2</v>
      </c>
      <c r="K332" s="105">
        <v>27600.799999999999</v>
      </c>
    </row>
    <row r="333" spans="3:11" x14ac:dyDescent="0.2">
      <c r="C333" s="106" t="s">
        <v>26838</v>
      </c>
      <c r="D333" s="367">
        <v>44151</v>
      </c>
      <c r="E333" s="366" t="s">
        <v>26837</v>
      </c>
      <c r="H333" s="364">
        <v>9</v>
      </c>
      <c r="I333" s="368">
        <v>2.33</v>
      </c>
      <c r="K333" s="105">
        <v>27603.13</v>
      </c>
    </row>
    <row r="334" spans="3:11" x14ac:dyDescent="0.2">
      <c r="C334" s="106" t="s">
        <v>26836</v>
      </c>
      <c r="D334" s="367">
        <v>44151</v>
      </c>
      <c r="E334" s="366" t="s">
        <v>26835</v>
      </c>
      <c r="I334" s="368">
        <v>1.94</v>
      </c>
      <c r="K334" s="105">
        <v>27605.07</v>
      </c>
    </row>
    <row r="335" spans="3:11" x14ac:dyDescent="0.2">
      <c r="C335" s="106" t="s">
        <v>26834</v>
      </c>
      <c r="D335" s="367">
        <v>44151</v>
      </c>
      <c r="E335" s="366" t="s">
        <v>26833</v>
      </c>
      <c r="I335" s="368">
        <v>8</v>
      </c>
      <c r="K335" s="105">
        <v>27613.07</v>
      </c>
    </row>
    <row r="336" spans="3:11" x14ac:dyDescent="0.2">
      <c r="C336" s="106" t="s">
        <v>26832</v>
      </c>
      <c r="D336" s="367">
        <v>44151</v>
      </c>
      <c r="E336" s="366" t="s">
        <v>26831</v>
      </c>
      <c r="I336" s="368">
        <v>8.9700000000000006</v>
      </c>
      <c r="K336" s="105">
        <v>27622.04</v>
      </c>
    </row>
    <row r="337" spans="3:11" x14ac:dyDescent="0.2">
      <c r="C337" s="106" t="s">
        <v>26830</v>
      </c>
      <c r="D337" s="367">
        <v>44151</v>
      </c>
      <c r="E337" s="366" t="s">
        <v>26829</v>
      </c>
      <c r="I337" s="368">
        <v>30.6</v>
      </c>
      <c r="K337" s="105">
        <v>27652.639999999999</v>
      </c>
    </row>
    <row r="338" spans="3:11" x14ac:dyDescent="0.2">
      <c r="C338" s="106" t="s">
        <v>26828</v>
      </c>
      <c r="D338" s="367">
        <v>44151</v>
      </c>
      <c r="E338" s="366" t="s">
        <v>26827</v>
      </c>
      <c r="I338" s="368">
        <v>189.08</v>
      </c>
      <c r="K338" s="105">
        <v>27841.72</v>
      </c>
    </row>
    <row r="339" spans="3:11" x14ac:dyDescent="0.2">
      <c r="C339" s="106" t="s">
        <v>26826</v>
      </c>
      <c r="D339" s="367">
        <v>44151</v>
      </c>
      <c r="E339" s="366" t="s">
        <v>26825</v>
      </c>
      <c r="H339" s="364">
        <v>9</v>
      </c>
      <c r="I339" s="368">
        <v>3.4</v>
      </c>
      <c r="K339" s="105">
        <v>27845.119999999999</v>
      </c>
    </row>
    <row r="340" spans="3:11" x14ac:dyDescent="0.2">
      <c r="C340" s="106" t="s">
        <v>26824</v>
      </c>
      <c r="D340" s="367">
        <v>44151</v>
      </c>
      <c r="E340" s="366" t="s">
        <v>26823</v>
      </c>
      <c r="H340" s="364">
        <v>9</v>
      </c>
      <c r="I340" s="368">
        <v>5.75</v>
      </c>
      <c r="K340" s="105">
        <v>27850.87</v>
      </c>
    </row>
    <row r="341" spans="3:11" x14ac:dyDescent="0.2">
      <c r="C341" s="106" t="s">
        <v>26822</v>
      </c>
      <c r="D341" s="367">
        <v>44151</v>
      </c>
      <c r="E341" s="366" t="s">
        <v>26821</v>
      </c>
      <c r="H341" s="364">
        <v>9</v>
      </c>
      <c r="I341" s="368">
        <v>8.1199999999999992</v>
      </c>
      <c r="K341" s="105">
        <v>27858.99</v>
      </c>
    </row>
    <row r="342" spans="3:11" x14ac:dyDescent="0.2">
      <c r="C342" s="106" t="s">
        <v>26820</v>
      </c>
      <c r="D342" s="367">
        <v>44151</v>
      </c>
      <c r="E342" s="366" t="s">
        <v>26819</v>
      </c>
      <c r="H342" s="364">
        <v>9</v>
      </c>
      <c r="I342" s="368">
        <v>85.35</v>
      </c>
      <c r="K342" s="105">
        <v>27944.34</v>
      </c>
    </row>
    <row r="343" spans="3:11" x14ac:dyDescent="0.2">
      <c r="C343" s="106" t="s">
        <v>26818</v>
      </c>
      <c r="D343" s="367">
        <v>44151</v>
      </c>
      <c r="E343" s="366" t="s">
        <v>26817</v>
      </c>
      <c r="H343" s="364">
        <v>9</v>
      </c>
      <c r="I343" s="368">
        <v>12.57</v>
      </c>
      <c r="K343" s="105">
        <v>27956.91</v>
      </c>
    </row>
    <row r="344" spans="3:11" x14ac:dyDescent="0.2">
      <c r="C344" s="106" t="s">
        <v>26816</v>
      </c>
      <c r="D344" s="367">
        <v>44151</v>
      </c>
      <c r="E344" s="366" t="s">
        <v>26815</v>
      </c>
      <c r="H344" s="364">
        <v>9</v>
      </c>
      <c r="I344" s="368">
        <v>8.3800000000000008</v>
      </c>
      <c r="K344" s="105">
        <v>27965.29</v>
      </c>
    </row>
    <row r="345" spans="3:11" x14ac:dyDescent="0.2">
      <c r="C345" s="106" t="s">
        <v>26814</v>
      </c>
      <c r="D345" s="367">
        <v>44151</v>
      </c>
      <c r="E345" s="366" t="s">
        <v>26813</v>
      </c>
      <c r="H345" s="364">
        <v>9</v>
      </c>
      <c r="I345" s="368">
        <v>12.3</v>
      </c>
      <c r="K345" s="105">
        <v>27977.59</v>
      </c>
    </row>
    <row r="346" spans="3:11" x14ac:dyDescent="0.2">
      <c r="C346" s="106" t="s">
        <v>26812</v>
      </c>
      <c r="D346" s="367">
        <v>44151</v>
      </c>
      <c r="E346" s="366" t="s">
        <v>26811</v>
      </c>
      <c r="H346" s="364">
        <v>9</v>
      </c>
      <c r="I346" s="368">
        <v>7.67</v>
      </c>
      <c r="K346" s="105">
        <v>27985.26</v>
      </c>
    </row>
    <row r="347" spans="3:11" x14ac:dyDescent="0.2">
      <c r="C347" s="106" t="s">
        <v>26810</v>
      </c>
      <c r="D347" s="367">
        <v>44151</v>
      </c>
      <c r="E347" s="366" t="s">
        <v>26809</v>
      </c>
      <c r="H347" s="364">
        <v>9</v>
      </c>
      <c r="I347" s="368">
        <v>2.2799999999999998</v>
      </c>
      <c r="K347" s="105">
        <v>27987.54</v>
      </c>
    </row>
    <row r="348" spans="3:11" x14ac:dyDescent="0.2">
      <c r="C348" s="106" t="s">
        <v>26808</v>
      </c>
      <c r="D348" s="367">
        <v>44151</v>
      </c>
      <c r="E348" s="366" t="s">
        <v>26807</v>
      </c>
      <c r="H348" s="364">
        <v>9</v>
      </c>
      <c r="I348" s="368">
        <v>2.34</v>
      </c>
      <c r="K348" s="105">
        <v>27989.88</v>
      </c>
    </row>
    <row r="349" spans="3:11" x14ac:dyDescent="0.2">
      <c r="C349" s="106" t="s">
        <v>26806</v>
      </c>
      <c r="D349" s="367">
        <v>44151</v>
      </c>
      <c r="E349" s="366" t="s">
        <v>26805</v>
      </c>
      <c r="H349" s="364">
        <v>9</v>
      </c>
      <c r="I349" s="368">
        <v>5.32</v>
      </c>
      <c r="K349" s="105">
        <v>27995.200000000001</v>
      </c>
    </row>
    <row r="350" spans="3:11" x14ac:dyDescent="0.2">
      <c r="C350" s="106" t="s">
        <v>26804</v>
      </c>
      <c r="D350" s="367">
        <v>44151</v>
      </c>
      <c r="E350" s="366" t="s">
        <v>26803</v>
      </c>
      <c r="H350" s="364">
        <v>9</v>
      </c>
      <c r="I350" s="368">
        <v>6.12</v>
      </c>
      <c r="K350" s="105">
        <v>28001.32</v>
      </c>
    </row>
    <row r="351" spans="3:11" x14ac:dyDescent="0.2">
      <c r="C351" s="106" t="s">
        <v>26802</v>
      </c>
      <c r="D351" s="367">
        <v>44151</v>
      </c>
      <c r="E351" s="366" t="s">
        <v>26801</v>
      </c>
      <c r="H351" s="364">
        <v>9</v>
      </c>
      <c r="I351" s="368">
        <v>5.63</v>
      </c>
      <c r="K351" s="105">
        <v>28006.95</v>
      </c>
    </row>
    <row r="352" spans="3:11" x14ac:dyDescent="0.2">
      <c r="C352" s="106" t="s">
        <v>26800</v>
      </c>
      <c r="D352" s="367">
        <v>44151</v>
      </c>
      <c r="E352" s="366" t="s">
        <v>26799</v>
      </c>
      <c r="H352" s="364">
        <v>9</v>
      </c>
      <c r="I352" s="368">
        <v>19.21</v>
      </c>
      <c r="K352" s="105">
        <v>28026.16</v>
      </c>
    </row>
    <row r="353" spans="3:11" x14ac:dyDescent="0.2">
      <c r="C353" s="106" t="s">
        <v>26798</v>
      </c>
      <c r="D353" s="367">
        <v>44151</v>
      </c>
      <c r="E353" s="366" t="s">
        <v>26797</v>
      </c>
      <c r="H353" s="364">
        <v>9</v>
      </c>
      <c r="I353" s="368">
        <v>79.86</v>
      </c>
      <c r="K353" s="105">
        <v>28106.02</v>
      </c>
    </row>
    <row r="354" spans="3:11" x14ac:dyDescent="0.2">
      <c r="C354" s="106" t="s">
        <v>26796</v>
      </c>
      <c r="D354" s="367">
        <v>44151</v>
      </c>
      <c r="E354" s="366" t="s">
        <v>26795</v>
      </c>
      <c r="H354" s="364" t="s">
        <v>14412</v>
      </c>
      <c r="I354" s="368">
        <v>2.09</v>
      </c>
      <c r="K354" s="105">
        <v>28108.11</v>
      </c>
    </row>
    <row r="355" spans="3:11" x14ac:dyDescent="0.2">
      <c r="C355" s="106" t="s">
        <v>26794</v>
      </c>
      <c r="D355" s="367">
        <v>44151</v>
      </c>
      <c r="E355" s="366" t="s">
        <v>26793</v>
      </c>
      <c r="H355" s="364" t="s">
        <v>14412</v>
      </c>
      <c r="I355" s="368">
        <v>5.27</v>
      </c>
      <c r="K355" s="105">
        <v>28113.38</v>
      </c>
    </row>
    <row r="356" spans="3:11" x14ac:dyDescent="0.2">
      <c r="C356" s="106" t="s">
        <v>26792</v>
      </c>
      <c r="D356" s="367">
        <v>44151</v>
      </c>
      <c r="E356" s="366" t="s">
        <v>26791</v>
      </c>
      <c r="H356" s="364" t="s">
        <v>14412</v>
      </c>
      <c r="I356" s="368">
        <v>7.4</v>
      </c>
      <c r="K356" s="105">
        <v>28120.78</v>
      </c>
    </row>
    <row r="357" spans="3:11" x14ac:dyDescent="0.2">
      <c r="C357" s="106" t="s">
        <v>26790</v>
      </c>
      <c r="D357" s="367">
        <v>44151</v>
      </c>
      <c r="E357" s="366" t="s">
        <v>26789</v>
      </c>
      <c r="H357" s="364" t="s">
        <v>14412</v>
      </c>
      <c r="I357" s="368">
        <v>3.89</v>
      </c>
      <c r="K357" s="105">
        <v>28124.67</v>
      </c>
    </row>
    <row r="358" spans="3:11" x14ac:dyDescent="0.2">
      <c r="C358" s="106" t="s">
        <v>26788</v>
      </c>
      <c r="D358" s="367">
        <v>44151</v>
      </c>
      <c r="E358" s="366" t="s">
        <v>26787</v>
      </c>
      <c r="H358" s="364" t="s">
        <v>14412</v>
      </c>
      <c r="I358" s="368">
        <v>14.71</v>
      </c>
      <c r="K358" s="105">
        <v>28139.38</v>
      </c>
    </row>
    <row r="359" spans="3:11" x14ac:dyDescent="0.2">
      <c r="C359" s="106" t="s">
        <v>26786</v>
      </c>
      <c r="D359" s="367">
        <v>44151</v>
      </c>
      <c r="E359" s="366" t="s">
        <v>26785</v>
      </c>
      <c r="H359" s="364" t="s">
        <v>14412</v>
      </c>
      <c r="I359" s="368">
        <v>2.0699999999999998</v>
      </c>
      <c r="K359" s="105">
        <v>28141.45</v>
      </c>
    </row>
    <row r="360" spans="3:11" x14ac:dyDescent="0.2">
      <c r="C360" s="106" t="s">
        <v>26784</v>
      </c>
      <c r="D360" s="367">
        <v>44151</v>
      </c>
      <c r="E360" s="366" t="s">
        <v>26783</v>
      </c>
      <c r="H360" s="364" t="s">
        <v>14412</v>
      </c>
      <c r="I360" s="368">
        <v>23.23</v>
      </c>
      <c r="K360" s="105">
        <v>28164.68</v>
      </c>
    </row>
    <row r="361" spans="3:11" x14ac:dyDescent="0.2">
      <c r="C361" s="106" t="s">
        <v>26782</v>
      </c>
      <c r="D361" s="367">
        <v>44151</v>
      </c>
      <c r="E361" s="366" t="s">
        <v>26781</v>
      </c>
      <c r="H361" s="364" t="s">
        <v>14412</v>
      </c>
      <c r="I361" s="368">
        <v>22.64</v>
      </c>
      <c r="K361" s="105">
        <v>28187.32</v>
      </c>
    </row>
    <row r="362" spans="3:11" x14ac:dyDescent="0.2">
      <c r="C362" s="106" t="s">
        <v>26780</v>
      </c>
      <c r="D362" s="367">
        <v>44151</v>
      </c>
      <c r="E362" s="366" t="s">
        <v>26779</v>
      </c>
      <c r="H362" s="364" t="s">
        <v>14412</v>
      </c>
      <c r="I362" s="368">
        <v>79.45</v>
      </c>
      <c r="K362" s="105">
        <v>28266.77</v>
      </c>
    </row>
    <row r="363" spans="3:11" x14ac:dyDescent="0.2">
      <c r="C363" s="106" t="s">
        <v>26778</v>
      </c>
      <c r="D363" s="367">
        <v>44151</v>
      </c>
      <c r="E363" s="366" t="s">
        <v>26777</v>
      </c>
      <c r="H363" s="364" t="s">
        <v>14412</v>
      </c>
      <c r="I363" s="368">
        <v>11.11</v>
      </c>
      <c r="K363" s="105">
        <v>28277.88</v>
      </c>
    </row>
    <row r="364" spans="3:11" x14ac:dyDescent="0.2">
      <c r="C364" s="106" t="s">
        <v>26776</v>
      </c>
      <c r="D364" s="367">
        <v>44151</v>
      </c>
      <c r="E364" s="366" t="s">
        <v>26775</v>
      </c>
      <c r="H364" s="364" t="s">
        <v>14412</v>
      </c>
      <c r="I364" s="368">
        <v>3.51</v>
      </c>
      <c r="K364" s="105">
        <v>28281.39</v>
      </c>
    </row>
    <row r="365" spans="3:11" x14ac:dyDescent="0.2">
      <c r="C365" s="106" t="s">
        <v>26774</v>
      </c>
      <c r="D365" s="367">
        <v>44151</v>
      </c>
      <c r="E365" s="366" t="s">
        <v>26773</v>
      </c>
      <c r="H365" s="364" t="s">
        <v>14412</v>
      </c>
      <c r="I365" s="368">
        <v>3.56</v>
      </c>
      <c r="K365" s="105">
        <v>28284.95</v>
      </c>
    </row>
    <row r="366" spans="3:11" x14ac:dyDescent="0.2">
      <c r="C366" s="106" t="s">
        <v>26772</v>
      </c>
      <c r="D366" s="367">
        <v>44151</v>
      </c>
      <c r="E366" s="366" t="s">
        <v>26771</v>
      </c>
      <c r="H366" s="364" t="s">
        <v>14412</v>
      </c>
      <c r="I366" s="368">
        <v>2.17</v>
      </c>
      <c r="K366" s="105">
        <v>28287.119999999999</v>
      </c>
    </row>
    <row r="367" spans="3:11" x14ac:dyDescent="0.2">
      <c r="C367" s="106" t="s">
        <v>26770</v>
      </c>
      <c r="D367" s="367">
        <v>44151</v>
      </c>
      <c r="E367" s="366" t="s">
        <v>26769</v>
      </c>
      <c r="H367" s="364" t="s">
        <v>14412</v>
      </c>
      <c r="I367" s="368">
        <v>4.3899999999999997</v>
      </c>
      <c r="K367" s="105">
        <v>28291.51</v>
      </c>
    </row>
    <row r="368" spans="3:11" x14ac:dyDescent="0.2">
      <c r="C368" s="106" t="s">
        <v>26768</v>
      </c>
      <c r="D368" s="367">
        <v>44151</v>
      </c>
      <c r="E368" s="366" t="s">
        <v>26767</v>
      </c>
      <c r="H368" s="364" t="s">
        <v>14412</v>
      </c>
      <c r="I368" s="368">
        <v>11.73</v>
      </c>
      <c r="K368" s="105">
        <v>28303.24</v>
      </c>
    </row>
    <row r="369" spans="3:11" x14ac:dyDescent="0.2">
      <c r="C369" s="106" t="s">
        <v>26766</v>
      </c>
      <c r="D369" s="367">
        <v>44151</v>
      </c>
      <c r="E369" s="366" t="s">
        <v>26765</v>
      </c>
      <c r="H369" s="364" t="s">
        <v>14412</v>
      </c>
      <c r="I369" s="368">
        <v>6.23</v>
      </c>
      <c r="K369" s="105">
        <v>28309.47</v>
      </c>
    </row>
    <row r="370" spans="3:11" x14ac:dyDescent="0.2">
      <c r="C370" s="106" t="s">
        <v>26764</v>
      </c>
      <c r="D370" s="367">
        <v>44151</v>
      </c>
      <c r="E370" s="366" t="s">
        <v>26763</v>
      </c>
      <c r="H370" s="364" t="s">
        <v>14412</v>
      </c>
      <c r="I370" s="368">
        <v>7.29</v>
      </c>
      <c r="K370" s="105">
        <v>28316.76</v>
      </c>
    </row>
    <row r="371" spans="3:11" x14ac:dyDescent="0.2">
      <c r="C371" s="106" t="s">
        <v>26762</v>
      </c>
      <c r="D371" s="367">
        <v>44151</v>
      </c>
      <c r="E371" s="366" t="s">
        <v>26761</v>
      </c>
      <c r="H371" s="364" t="s">
        <v>14412</v>
      </c>
      <c r="I371" s="368">
        <v>3.36</v>
      </c>
      <c r="K371" s="105">
        <v>28320.12</v>
      </c>
    </row>
    <row r="372" spans="3:11" x14ac:dyDescent="0.2">
      <c r="C372" s="106" t="s">
        <v>26760</v>
      </c>
      <c r="D372" s="367">
        <v>44151</v>
      </c>
      <c r="E372" s="366" t="s">
        <v>26759</v>
      </c>
      <c r="H372" s="364">
        <v>9</v>
      </c>
      <c r="I372" s="368">
        <v>34.47</v>
      </c>
      <c r="K372" s="105">
        <v>28354.59</v>
      </c>
    </row>
    <row r="373" spans="3:11" x14ac:dyDescent="0.2">
      <c r="C373" s="106" t="s">
        <v>26758</v>
      </c>
      <c r="D373" s="367">
        <v>44152</v>
      </c>
      <c r="E373" s="366" t="s">
        <v>26757</v>
      </c>
      <c r="H373" s="364" t="s">
        <v>14412</v>
      </c>
      <c r="I373" s="368">
        <v>16.760000000000002</v>
      </c>
      <c r="K373" s="105">
        <v>28371.35</v>
      </c>
    </row>
    <row r="374" spans="3:11" x14ac:dyDescent="0.2">
      <c r="C374" s="106" t="s">
        <v>26756</v>
      </c>
      <c r="D374" s="367">
        <v>44152</v>
      </c>
      <c r="E374" s="366" t="s">
        <v>26755</v>
      </c>
      <c r="I374" s="368">
        <v>27.81</v>
      </c>
      <c r="K374" s="105">
        <v>28399.16</v>
      </c>
    </row>
    <row r="375" spans="3:11" x14ac:dyDescent="0.2">
      <c r="C375" s="106" t="s">
        <v>26754</v>
      </c>
      <c r="D375" s="367">
        <v>44152</v>
      </c>
      <c r="E375" s="366" t="s">
        <v>26753</v>
      </c>
      <c r="I375" s="368">
        <v>9.4499999999999993</v>
      </c>
      <c r="K375" s="105">
        <v>28408.61</v>
      </c>
    </row>
    <row r="376" spans="3:11" x14ac:dyDescent="0.2">
      <c r="C376" s="106" t="s">
        <v>26752</v>
      </c>
      <c r="D376" s="367">
        <v>44152</v>
      </c>
      <c r="E376" s="366" t="s">
        <v>26751</v>
      </c>
      <c r="H376" s="364" t="s">
        <v>14412</v>
      </c>
      <c r="I376" s="368">
        <v>6.54</v>
      </c>
      <c r="K376" s="105">
        <v>28415.15</v>
      </c>
    </row>
    <row r="377" spans="3:11" x14ac:dyDescent="0.2">
      <c r="C377" s="106" t="s">
        <v>26750</v>
      </c>
      <c r="D377" s="367">
        <v>44152</v>
      </c>
      <c r="E377" s="366" t="s">
        <v>26749</v>
      </c>
      <c r="H377" s="364" t="s">
        <v>14412</v>
      </c>
      <c r="I377" s="368">
        <v>10.14</v>
      </c>
      <c r="K377" s="105">
        <v>28425.29</v>
      </c>
    </row>
    <row r="378" spans="3:11" x14ac:dyDescent="0.2">
      <c r="C378" s="106" t="s">
        <v>26748</v>
      </c>
      <c r="D378" s="367">
        <v>44152</v>
      </c>
      <c r="E378" s="366" t="s">
        <v>26747</v>
      </c>
      <c r="H378" s="364" t="s">
        <v>14412</v>
      </c>
      <c r="I378" s="368">
        <v>1.79</v>
      </c>
      <c r="K378" s="105">
        <v>28427.08</v>
      </c>
    </row>
    <row r="379" spans="3:11" x14ac:dyDescent="0.2">
      <c r="C379" s="106" t="s">
        <v>26746</v>
      </c>
      <c r="D379" s="367">
        <v>44152</v>
      </c>
      <c r="E379" s="366" t="s">
        <v>26745</v>
      </c>
      <c r="H379" s="364" t="s">
        <v>14412</v>
      </c>
      <c r="I379" s="368">
        <v>53.55</v>
      </c>
      <c r="K379" s="105">
        <v>28480.63</v>
      </c>
    </row>
    <row r="380" spans="3:11" x14ac:dyDescent="0.2">
      <c r="C380" s="106" t="s">
        <v>26744</v>
      </c>
      <c r="D380" s="367">
        <v>44152</v>
      </c>
      <c r="E380" s="366" t="s">
        <v>26743</v>
      </c>
      <c r="H380" s="364" t="s">
        <v>14412</v>
      </c>
      <c r="I380" s="368">
        <v>5.77</v>
      </c>
      <c r="K380" s="105">
        <v>28486.400000000001</v>
      </c>
    </row>
    <row r="381" spans="3:11" x14ac:dyDescent="0.2">
      <c r="C381" s="106" t="s">
        <v>26742</v>
      </c>
      <c r="D381" s="367">
        <v>44152</v>
      </c>
      <c r="E381" s="366" t="s">
        <v>26741</v>
      </c>
      <c r="H381" s="364" t="s">
        <v>14412</v>
      </c>
      <c r="I381" s="368">
        <v>116.73</v>
      </c>
      <c r="K381" s="105">
        <v>28603.13</v>
      </c>
    </row>
    <row r="382" spans="3:11" x14ac:dyDescent="0.2">
      <c r="C382" s="106" t="s">
        <v>26740</v>
      </c>
      <c r="D382" s="367">
        <v>44152</v>
      </c>
      <c r="E382" s="366" t="s">
        <v>26739</v>
      </c>
      <c r="H382" s="364" t="s">
        <v>14412</v>
      </c>
      <c r="I382" s="368">
        <v>33.85</v>
      </c>
      <c r="K382" s="105">
        <v>28636.98</v>
      </c>
    </row>
    <row r="383" spans="3:11" x14ac:dyDescent="0.2">
      <c r="C383" s="106" t="s">
        <v>26738</v>
      </c>
      <c r="D383" s="367">
        <v>44152</v>
      </c>
      <c r="E383" s="366" t="s">
        <v>26737</v>
      </c>
      <c r="H383" s="364" t="s">
        <v>14412</v>
      </c>
      <c r="I383" s="368">
        <v>16.78</v>
      </c>
      <c r="K383" s="105">
        <v>28653.759999999998</v>
      </c>
    </row>
    <row r="384" spans="3:11" x14ac:dyDescent="0.2">
      <c r="C384" s="106" t="s">
        <v>26736</v>
      </c>
      <c r="D384" s="367">
        <v>44152</v>
      </c>
      <c r="E384" s="366" t="s">
        <v>26735</v>
      </c>
      <c r="H384" s="364" t="s">
        <v>14412</v>
      </c>
      <c r="I384" s="368">
        <v>14.26</v>
      </c>
      <c r="K384" s="105">
        <v>28668.02</v>
      </c>
    </row>
    <row r="385" spans="3:11" x14ac:dyDescent="0.2">
      <c r="C385" s="106" t="s">
        <v>26734</v>
      </c>
      <c r="D385" s="367">
        <v>44152</v>
      </c>
      <c r="E385" s="366" t="s">
        <v>26733</v>
      </c>
      <c r="H385" s="364" t="s">
        <v>14412</v>
      </c>
      <c r="I385" s="368">
        <v>22.79</v>
      </c>
      <c r="K385" s="105">
        <v>28690.81</v>
      </c>
    </row>
    <row r="386" spans="3:11" x14ac:dyDescent="0.2">
      <c r="C386" s="106" t="s">
        <v>26732</v>
      </c>
      <c r="D386" s="367">
        <v>44152</v>
      </c>
      <c r="E386" s="366" t="s">
        <v>26731</v>
      </c>
      <c r="H386" s="364" t="s">
        <v>14412</v>
      </c>
      <c r="I386" s="368">
        <v>10.26</v>
      </c>
      <c r="K386" s="105">
        <v>28701.07</v>
      </c>
    </row>
    <row r="387" spans="3:11" x14ac:dyDescent="0.2">
      <c r="C387" s="106" t="s">
        <v>26730</v>
      </c>
      <c r="D387" s="367">
        <v>44152</v>
      </c>
      <c r="E387" s="366" t="s">
        <v>26729</v>
      </c>
      <c r="H387" s="364" t="s">
        <v>14412</v>
      </c>
      <c r="I387" s="368">
        <v>16.559999999999999</v>
      </c>
      <c r="K387" s="105">
        <v>28717.63</v>
      </c>
    </row>
    <row r="388" spans="3:11" x14ac:dyDescent="0.2">
      <c r="C388" s="106" t="s">
        <v>26728</v>
      </c>
      <c r="D388" s="367">
        <v>44152</v>
      </c>
      <c r="E388" s="366" t="s">
        <v>26727</v>
      </c>
      <c r="H388" s="364" t="s">
        <v>14412</v>
      </c>
      <c r="I388" s="368">
        <v>8.4</v>
      </c>
      <c r="K388" s="105">
        <v>28726.03</v>
      </c>
    </row>
    <row r="389" spans="3:11" x14ac:dyDescent="0.2">
      <c r="C389" s="106" t="s">
        <v>26726</v>
      </c>
      <c r="D389" s="367">
        <v>44152</v>
      </c>
      <c r="E389" s="366" t="s">
        <v>26725</v>
      </c>
      <c r="H389" s="364" t="s">
        <v>14412</v>
      </c>
      <c r="I389" s="368">
        <v>5.89</v>
      </c>
      <c r="K389" s="105">
        <v>28731.919999999998</v>
      </c>
    </row>
    <row r="390" spans="3:11" x14ac:dyDescent="0.2">
      <c r="C390" s="106" t="s">
        <v>26724</v>
      </c>
      <c r="D390" s="367">
        <v>44152</v>
      </c>
      <c r="E390" s="366" t="s">
        <v>26723</v>
      </c>
      <c r="H390" s="364" t="s">
        <v>14412</v>
      </c>
      <c r="I390" s="368">
        <v>3.46</v>
      </c>
      <c r="K390" s="105">
        <v>28735.38</v>
      </c>
    </row>
    <row r="391" spans="3:11" x14ac:dyDescent="0.2">
      <c r="C391" s="106" t="s">
        <v>26722</v>
      </c>
      <c r="D391" s="367">
        <v>44152</v>
      </c>
      <c r="E391" s="366" t="s">
        <v>26721</v>
      </c>
      <c r="H391" s="364" t="s">
        <v>14412</v>
      </c>
      <c r="I391" s="368">
        <v>24.18</v>
      </c>
      <c r="K391" s="105">
        <v>28759.56</v>
      </c>
    </row>
    <row r="392" spans="3:11" x14ac:dyDescent="0.2">
      <c r="C392" s="106" t="s">
        <v>26720</v>
      </c>
      <c r="D392" s="367">
        <v>44152</v>
      </c>
      <c r="E392" s="366" t="s">
        <v>26719</v>
      </c>
      <c r="H392" s="364" t="s">
        <v>14412</v>
      </c>
      <c r="I392" s="368">
        <v>2.27</v>
      </c>
      <c r="K392" s="105">
        <v>28761.83</v>
      </c>
    </row>
    <row r="393" spans="3:11" x14ac:dyDescent="0.2">
      <c r="C393" s="106" t="s">
        <v>26718</v>
      </c>
      <c r="D393" s="367">
        <v>44152</v>
      </c>
      <c r="E393" s="366" t="s">
        <v>26717</v>
      </c>
      <c r="H393" s="364" t="s">
        <v>14412</v>
      </c>
      <c r="I393" s="368">
        <v>2.68</v>
      </c>
      <c r="K393" s="105">
        <v>28764.51</v>
      </c>
    </row>
    <row r="394" spans="3:11" x14ac:dyDescent="0.2">
      <c r="C394" s="106" t="s">
        <v>26716</v>
      </c>
      <c r="D394" s="367">
        <v>44152</v>
      </c>
      <c r="E394" s="366" t="s">
        <v>26715</v>
      </c>
      <c r="H394" s="364" t="s">
        <v>14412</v>
      </c>
      <c r="I394" s="368">
        <v>35.11</v>
      </c>
      <c r="K394" s="105">
        <v>28799.62</v>
      </c>
    </row>
    <row r="395" spans="3:11" x14ac:dyDescent="0.2">
      <c r="C395" s="106" t="s">
        <v>26714</v>
      </c>
      <c r="D395" s="367">
        <v>44152</v>
      </c>
      <c r="E395" s="366" t="s">
        <v>26713</v>
      </c>
      <c r="H395" s="364" t="s">
        <v>14412</v>
      </c>
      <c r="I395" s="368">
        <v>1.68</v>
      </c>
      <c r="K395" s="105">
        <v>28801.3</v>
      </c>
    </row>
    <row r="396" spans="3:11" x14ac:dyDescent="0.2">
      <c r="C396" s="106" t="s">
        <v>26712</v>
      </c>
      <c r="D396" s="367">
        <v>44152</v>
      </c>
      <c r="E396" s="366" t="s">
        <v>26711</v>
      </c>
      <c r="H396" s="364" t="s">
        <v>14412</v>
      </c>
      <c r="I396" s="368">
        <v>5.31</v>
      </c>
      <c r="K396" s="105">
        <v>28806.61</v>
      </c>
    </row>
    <row r="397" spans="3:11" x14ac:dyDescent="0.2">
      <c r="C397" s="106" t="s">
        <v>26710</v>
      </c>
      <c r="D397" s="367">
        <v>44152</v>
      </c>
      <c r="E397" s="366" t="s">
        <v>26709</v>
      </c>
      <c r="H397" s="364" t="s">
        <v>14412</v>
      </c>
      <c r="I397" s="368">
        <v>74.22</v>
      </c>
      <c r="K397" s="105">
        <v>28880.83</v>
      </c>
    </row>
    <row r="398" spans="3:11" x14ac:dyDescent="0.2">
      <c r="C398" s="106" t="s">
        <v>26708</v>
      </c>
      <c r="D398" s="367">
        <v>44152</v>
      </c>
      <c r="E398" s="366" t="s">
        <v>26707</v>
      </c>
      <c r="H398" s="364" t="s">
        <v>14412</v>
      </c>
      <c r="I398" s="368">
        <v>34.67</v>
      </c>
      <c r="K398" s="105">
        <v>28915.5</v>
      </c>
    </row>
    <row r="399" spans="3:11" x14ac:dyDescent="0.2">
      <c r="C399" s="106" t="s">
        <v>26706</v>
      </c>
      <c r="D399" s="367">
        <v>44152</v>
      </c>
      <c r="E399" s="366" t="s">
        <v>26705</v>
      </c>
      <c r="H399" s="364" t="s">
        <v>14412</v>
      </c>
      <c r="I399" s="368">
        <v>14.11</v>
      </c>
      <c r="K399" s="105">
        <v>28929.61</v>
      </c>
    </row>
    <row r="400" spans="3:11" x14ac:dyDescent="0.2">
      <c r="C400" s="106" t="s">
        <v>26704</v>
      </c>
      <c r="D400" s="367">
        <v>44152</v>
      </c>
      <c r="E400" s="366" t="s">
        <v>26703</v>
      </c>
      <c r="H400" s="364" t="s">
        <v>14412</v>
      </c>
      <c r="I400" s="368">
        <v>10.33</v>
      </c>
      <c r="K400" s="105">
        <v>28939.94</v>
      </c>
    </row>
    <row r="401" spans="3:11" x14ac:dyDescent="0.2">
      <c r="C401" s="106" t="s">
        <v>26702</v>
      </c>
      <c r="D401" s="367">
        <v>44152</v>
      </c>
      <c r="E401" s="366" t="s">
        <v>26701</v>
      </c>
      <c r="H401" s="364" t="s">
        <v>14412</v>
      </c>
      <c r="I401" s="368">
        <v>9.0299999999999994</v>
      </c>
      <c r="K401" s="105">
        <v>28948.97</v>
      </c>
    </row>
    <row r="402" spans="3:11" x14ac:dyDescent="0.2">
      <c r="C402" s="106" t="s">
        <v>26700</v>
      </c>
      <c r="D402" s="367">
        <v>44152</v>
      </c>
      <c r="E402" s="366" t="s">
        <v>26699</v>
      </c>
      <c r="H402" s="364" t="s">
        <v>14412</v>
      </c>
      <c r="I402" s="368">
        <v>1.76</v>
      </c>
      <c r="K402" s="105">
        <v>28950.73</v>
      </c>
    </row>
    <row r="403" spans="3:11" x14ac:dyDescent="0.2">
      <c r="C403" s="106" t="s">
        <v>26698</v>
      </c>
      <c r="D403" s="367">
        <v>44152</v>
      </c>
      <c r="E403" s="366" t="s">
        <v>26697</v>
      </c>
      <c r="H403" s="364">
        <v>10</v>
      </c>
      <c r="I403" s="368">
        <v>6.25</v>
      </c>
      <c r="K403" s="105">
        <v>28956.98</v>
      </c>
    </row>
    <row r="404" spans="3:11" x14ac:dyDescent="0.2">
      <c r="C404" s="106" t="s">
        <v>26696</v>
      </c>
      <c r="D404" s="367">
        <v>44152</v>
      </c>
      <c r="E404" s="366" t="s">
        <v>26695</v>
      </c>
      <c r="H404" s="364">
        <v>10</v>
      </c>
      <c r="I404" s="368">
        <v>8.3800000000000008</v>
      </c>
      <c r="K404" s="105">
        <v>28965.360000000001</v>
      </c>
    </row>
    <row r="405" spans="3:11" x14ac:dyDescent="0.2">
      <c r="C405" s="106" t="s">
        <v>26694</v>
      </c>
      <c r="D405" s="367">
        <v>44152</v>
      </c>
      <c r="E405" s="366" t="s">
        <v>26693</v>
      </c>
      <c r="H405" s="364">
        <v>10</v>
      </c>
      <c r="I405" s="368">
        <v>1.98</v>
      </c>
      <c r="K405" s="105">
        <v>28967.34</v>
      </c>
    </row>
    <row r="406" spans="3:11" x14ac:dyDescent="0.2">
      <c r="C406" s="106" t="s">
        <v>26692</v>
      </c>
      <c r="D406" s="367">
        <v>44152</v>
      </c>
      <c r="E406" s="366" t="s">
        <v>26691</v>
      </c>
      <c r="H406" s="364">
        <v>10</v>
      </c>
      <c r="I406" s="368">
        <v>8.3800000000000008</v>
      </c>
      <c r="K406" s="105">
        <v>28975.72</v>
      </c>
    </row>
    <row r="407" spans="3:11" x14ac:dyDescent="0.2">
      <c r="C407" s="106" t="s">
        <v>26690</v>
      </c>
      <c r="D407" s="367">
        <v>44152</v>
      </c>
      <c r="E407" s="366" t="s">
        <v>26689</v>
      </c>
      <c r="H407" s="364">
        <v>10</v>
      </c>
      <c r="I407" s="368">
        <v>5.16</v>
      </c>
      <c r="K407" s="105">
        <v>28980.880000000001</v>
      </c>
    </row>
    <row r="408" spans="3:11" x14ac:dyDescent="0.2">
      <c r="C408" s="106" t="s">
        <v>26688</v>
      </c>
      <c r="D408" s="367">
        <v>44152</v>
      </c>
      <c r="E408" s="366" t="s">
        <v>26687</v>
      </c>
      <c r="H408" s="364">
        <v>10</v>
      </c>
      <c r="I408" s="368">
        <v>8.2100000000000009</v>
      </c>
      <c r="K408" s="105">
        <v>28989.09</v>
      </c>
    </row>
    <row r="409" spans="3:11" x14ac:dyDescent="0.2">
      <c r="C409" s="106" t="s">
        <v>26686</v>
      </c>
      <c r="D409" s="367">
        <v>44152</v>
      </c>
      <c r="E409" s="366" t="s">
        <v>26685</v>
      </c>
      <c r="H409" s="364">
        <v>10</v>
      </c>
      <c r="I409" s="368">
        <v>8.09</v>
      </c>
      <c r="K409" s="105">
        <v>28997.18</v>
      </c>
    </row>
    <row r="410" spans="3:11" x14ac:dyDescent="0.2">
      <c r="C410" s="106" t="s">
        <v>26684</v>
      </c>
      <c r="D410" s="367">
        <v>44152</v>
      </c>
      <c r="E410" s="366" t="s">
        <v>26683</v>
      </c>
      <c r="H410" s="364">
        <v>10</v>
      </c>
      <c r="I410" s="368">
        <v>57.28</v>
      </c>
      <c r="K410" s="105">
        <v>29054.46</v>
      </c>
    </row>
    <row r="411" spans="3:11" x14ac:dyDescent="0.2">
      <c r="C411" s="106" t="s">
        <v>26682</v>
      </c>
      <c r="D411" s="367">
        <v>44152</v>
      </c>
      <c r="E411" s="366" t="s">
        <v>26681</v>
      </c>
      <c r="H411" s="364">
        <v>10</v>
      </c>
      <c r="I411" s="368">
        <v>14.6</v>
      </c>
      <c r="K411" s="105">
        <v>29069.06</v>
      </c>
    </row>
    <row r="412" spans="3:11" x14ac:dyDescent="0.2">
      <c r="C412" s="106" t="s">
        <v>26680</v>
      </c>
      <c r="D412" s="367">
        <v>44152</v>
      </c>
      <c r="E412" s="366" t="s">
        <v>26679</v>
      </c>
      <c r="H412" s="364">
        <v>10</v>
      </c>
      <c r="I412" s="368">
        <v>3.99</v>
      </c>
      <c r="K412" s="105">
        <v>29073.05</v>
      </c>
    </row>
    <row r="413" spans="3:11" x14ac:dyDescent="0.2">
      <c r="C413" s="106" t="s">
        <v>26678</v>
      </c>
      <c r="D413" s="367">
        <v>44152</v>
      </c>
      <c r="E413" s="366" t="s">
        <v>26677</v>
      </c>
      <c r="H413" s="364">
        <v>10</v>
      </c>
      <c r="I413" s="368">
        <v>8.41</v>
      </c>
      <c r="K413" s="105">
        <v>29081.46</v>
      </c>
    </row>
    <row r="414" spans="3:11" x14ac:dyDescent="0.2">
      <c r="C414" s="106" t="s">
        <v>26676</v>
      </c>
      <c r="D414" s="367">
        <v>44152</v>
      </c>
      <c r="E414" s="366" t="s">
        <v>26675</v>
      </c>
      <c r="H414" s="364">
        <v>10</v>
      </c>
      <c r="I414" s="368">
        <v>16.47</v>
      </c>
      <c r="K414" s="105">
        <v>29097.93</v>
      </c>
    </row>
    <row r="415" spans="3:11" x14ac:dyDescent="0.2">
      <c r="C415" s="106" t="s">
        <v>26674</v>
      </c>
      <c r="D415" s="367">
        <v>44152</v>
      </c>
      <c r="E415" s="366" t="s">
        <v>26673</v>
      </c>
      <c r="H415" s="364">
        <v>10</v>
      </c>
      <c r="I415" s="368">
        <v>29.9</v>
      </c>
      <c r="K415" s="105">
        <v>29127.83</v>
      </c>
    </row>
    <row r="416" spans="3:11" x14ac:dyDescent="0.2">
      <c r="C416" s="106" t="s">
        <v>26672</v>
      </c>
      <c r="D416" s="367">
        <v>44152</v>
      </c>
      <c r="E416" s="366" t="s">
        <v>26671</v>
      </c>
      <c r="H416" s="364">
        <v>10</v>
      </c>
      <c r="I416" s="368">
        <v>21.21</v>
      </c>
      <c r="K416" s="105">
        <v>29149.040000000001</v>
      </c>
    </row>
    <row r="417" spans="3:11" x14ac:dyDescent="0.2">
      <c r="C417" s="106" t="s">
        <v>26670</v>
      </c>
      <c r="D417" s="367">
        <v>44152</v>
      </c>
      <c r="E417" s="366" t="s">
        <v>26669</v>
      </c>
      <c r="H417" s="364">
        <v>10</v>
      </c>
      <c r="I417" s="368">
        <v>5.82</v>
      </c>
      <c r="K417" s="105">
        <v>29154.86</v>
      </c>
    </row>
    <row r="418" spans="3:11" x14ac:dyDescent="0.2">
      <c r="C418" s="106" t="s">
        <v>26668</v>
      </c>
      <c r="D418" s="367">
        <v>44152</v>
      </c>
      <c r="E418" s="366" t="s">
        <v>26667</v>
      </c>
      <c r="H418" s="364">
        <v>10</v>
      </c>
      <c r="I418" s="368">
        <v>9.84</v>
      </c>
      <c r="K418" s="105">
        <v>29164.7</v>
      </c>
    </row>
    <row r="419" spans="3:11" x14ac:dyDescent="0.2">
      <c r="C419" s="106" t="s">
        <v>26666</v>
      </c>
      <c r="D419" s="367">
        <v>44152</v>
      </c>
      <c r="E419" s="366" t="s">
        <v>26665</v>
      </c>
      <c r="I419" s="368">
        <v>6.11</v>
      </c>
      <c r="K419" s="105">
        <v>29170.81</v>
      </c>
    </row>
    <row r="420" spans="3:11" x14ac:dyDescent="0.2">
      <c r="C420" s="106" t="s">
        <v>20572</v>
      </c>
      <c r="D420" s="367">
        <v>44152</v>
      </c>
      <c r="E420" s="366" t="s">
        <v>26664</v>
      </c>
      <c r="J420" s="375">
        <v>11.95</v>
      </c>
      <c r="K420" s="105">
        <v>29158.86</v>
      </c>
    </row>
    <row r="421" spans="3:11" x14ac:dyDescent="0.2">
      <c r="C421" s="106" t="s">
        <v>16372</v>
      </c>
      <c r="D421" s="367">
        <v>44152</v>
      </c>
      <c r="E421" s="366" t="s">
        <v>26663</v>
      </c>
      <c r="J421" s="375">
        <v>9.86</v>
      </c>
      <c r="K421" s="105">
        <v>29149</v>
      </c>
    </row>
    <row r="422" spans="3:11" x14ac:dyDescent="0.2">
      <c r="C422" s="106" t="s">
        <v>16657</v>
      </c>
      <c r="D422" s="367">
        <v>44152</v>
      </c>
      <c r="E422" s="366" t="s">
        <v>26662</v>
      </c>
      <c r="J422" s="375">
        <v>7.49</v>
      </c>
      <c r="K422" s="105">
        <v>29141.51</v>
      </c>
    </row>
    <row r="423" spans="3:11" x14ac:dyDescent="0.2">
      <c r="C423" s="106" t="s">
        <v>14434</v>
      </c>
      <c r="D423" s="367">
        <v>44152</v>
      </c>
      <c r="E423" s="366" t="s">
        <v>26661</v>
      </c>
      <c r="J423" s="375">
        <v>17.78</v>
      </c>
      <c r="K423" s="105">
        <v>29123.73</v>
      </c>
    </row>
    <row r="424" spans="3:11" x14ac:dyDescent="0.2">
      <c r="C424" s="106" t="s">
        <v>16370</v>
      </c>
      <c r="D424" s="367">
        <v>44152</v>
      </c>
      <c r="E424" s="366" t="s">
        <v>26660</v>
      </c>
      <c r="J424" s="375">
        <v>11.35</v>
      </c>
      <c r="K424" s="105">
        <v>29112.38</v>
      </c>
    </row>
    <row r="425" spans="3:11" x14ac:dyDescent="0.2">
      <c r="C425" s="106" t="s">
        <v>16368</v>
      </c>
      <c r="D425" s="367">
        <v>44152</v>
      </c>
      <c r="E425" s="366" t="s">
        <v>26659</v>
      </c>
      <c r="J425" s="375">
        <v>7.76</v>
      </c>
      <c r="K425" s="105">
        <v>29104.62</v>
      </c>
    </row>
    <row r="426" spans="3:11" x14ac:dyDescent="0.2">
      <c r="C426" s="106" t="s">
        <v>18039</v>
      </c>
      <c r="D426" s="367">
        <v>44152</v>
      </c>
      <c r="E426" s="366" t="s">
        <v>26658</v>
      </c>
      <c r="J426" s="375">
        <v>15.21</v>
      </c>
      <c r="K426" s="105">
        <v>29089.41</v>
      </c>
    </row>
    <row r="427" spans="3:11" x14ac:dyDescent="0.2">
      <c r="C427" s="106" t="s">
        <v>16366</v>
      </c>
      <c r="D427" s="367">
        <v>44152</v>
      </c>
      <c r="E427" s="366" t="s">
        <v>26657</v>
      </c>
      <c r="J427" s="375">
        <v>10.33</v>
      </c>
      <c r="K427" s="105">
        <v>29079.08</v>
      </c>
    </row>
    <row r="428" spans="3:11" x14ac:dyDescent="0.2">
      <c r="C428" s="106" t="s">
        <v>16699</v>
      </c>
      <c r="D428" s="367">
        <v>44152</v>
      </c>
      <c r="E428" s="366" t="s">
        <v>26656</v>
      </c>
      <c r="J428" s="375">
        <v>13.52</v>
      </c>
      <c r="K428" s="105">
        <v>29065.56</v>
      </c>
    </row>
    <row r="429" spans="3:11" x14ac:dyDescent="0.2">
      <c r="C429" s="106" t="s">
        <v>26655</v>
      </c>
      <c r="D429" s="367">
        <v>44153</v>
      </c>
      <c r="E429" s="366" t="s">
        <v>26654</v>
      </c>
      <c r="H429" s="364">
        <v>11</v>
      </c>
      <c r="I429" s="368">
        <v>26</v>
      </c>
      <c r="K429" s="105">
        <v>29091.56</v>
      </c>
    </row>
    <row r="430" spans="3:11" x14ac:dyDescent="0.2">
      <c r="C430" s="106" t="s">
        <v>26653</v>
      </c>
      <c r="D430" s="367">
        <v>44153</v>
      </c>
      <c r="E430" s="366" t="s">
        <v>26652</v>
      </c>
      <c r="H430" s="364">
        <v>11</v>
      </c>
      <c r="I430" s="368">
        <v>133.65</v>
      </c>
      <c r="K430" s="105">
        <v>29225.21</v>
      </c>
    </row>
    <row r="431" spans="3:11" x14ac:dyDescent="0.2">
      <c r="C431" s="106" t="s">
        <v>26651</v>
      </c>
      <c r="D431" s="367">
        <v>44153</v>
      </c>
      <c r="E431" s="366" t="s">
        <v>26650</v>
      </c>
      <c r="H431" s="364">
        <v>11</v>
      </c>
      <c r="I431" s="368">
        <v>110.29</v>
      </c>
      <c r="K431" s="105">
        <v>29335.5</v>
      </c>
    </row>
    <row r="432" spans="3:11" x14ac:dyDescent="0.2">
      <c r="C432" s="106" t="s">
        <v>26649</v>
      </c>
      <c r="D432" s="367">
        <v>44153</v>
      </c>
      <c r="E432" s="366" t="s">
        <v>26648</v>
      </c>
      <c r="H432" s="364">
        <v>11</v>
      </c>
      <c r="I432" s="368">
        <v>16.64</v>
      </c>
      <c r="K432" s="105">
        <v>29352.14</v>
      </c>
    </row>
    <row r="433" spans="3:11" x14ac:dyDescent="0.2">
      <c r="C433" s="106" t="s">
        <v>26647</v>
      </c>
      <c r="D433" s="367">
        <v>44153</v>
      </c>
      <c r="E433" s="366" t="s">
        <v>26646</v>
      </c>
      <c r="H433" s="364" t="s">
        <v>14412</v>
      </c>
      <c r="I433" s="368">
        <v>45.23</v>
      </c>
      <c r="K433" s="105">
        <v>29397.37</v>
      </c>
    </row>
    <row r="434" spans="3:11" x14ac:dyDescent="0.2">
      <c r="C434" s="106" t="s">
        <v>26645</v>
      </c>
      <c r="D434" s="367">
        <v>44153</v>
      </c>
      <c r="E434" s="366" t="s">
        <v>26644</v>
      </c>
      <c r="H434" s="364" t="s">
        <v>14412</v>
      </c>
      <c r="I434" s="368">
        <v>10.1</v>
      </c>
      <c r="K434" s="105">
        <v>29407.47</v>
      </c>
    </row>
    <row r="435" spans="3:11" x14ac:dyDescent="0.2">
      <c r="C435" s="106" t="s">
        <v>26643</v>
      </c>
      <c r="D435" s="367">
        <v>44153</v>
      </c>
      <c r="E435" s="366" t="s">
        <v>26642</v>
      </c>
      <c r="H435" s="364" t="s">
        <v>14412</v>
      </c>
      <c r="I435" s="368">
        <v>1.68</v>
      </c>
      <c r="K435" s="105">
        <v>29409.15</v>
      </c>
    </row>
    <row r="436" spans="3:11" x14ac:dyDescent="0.2">
      <c r="C436" s="106" t="s">
        <v>26641</v>
      </c>
      <c r="D436" s="367">
        <v>44153</v>
      </c>
      <c r="E436" s="366" t="s">
        <v>26640</v>
      </c>
      <c r="H436" s="364" t="s">
        <v>14412</v>
      </c>
      <c r="I436" s="368">
        <v>8.3800000000000008</v>
      </c>
      <c r="K436" s="105">
        <v>29417.53</v>
      </c>
    </row>
    <row r="437" spans="3:11" x14ac:dyDescent="0.2">
      <c r="C437" s="106" t="s">
        <v>26639</v>
      </c>
      <c r="D437" s="367">
        <v>44153</v>
      </c>
      <c r="E437" s="366" t="s">
        <v>26638</v>
      </c>
      <c r="H437" s="364" t="s">
        <v>14412</v>
      </c>
      <c r="I437" s="368">
        <v>15.18</v>
      </c>
      <c r="K437" s="105">
        <v>29432.71</v>
      </c>
    </row>
    <row r="438" spans="3:11" x14ac:dyDescent="0.2">
      <c r="C438" s="106" t="s">
        <v>26637</v>
      </c>
      <c r="D438" s="367">
        <v>44153</v>
      </c>
      <c r="E438" s="366" t="s">
        <v>26636</v>
      </c>
      <c r="H438" s="364" t="s">
        <v>14412</v>
      </c>
      <c r="I438" s="368">
        <v>7.38</v>
      </c>
      <c r="K438" s="105">
        <v>29440.09</v>
      </c>
    </row>
    <row r="439" spans="3:11" x14ac:dyDescent="0.2">
      <c r="C439" s="106" t="s">
        <v>26635</v>
      </c>
      <c r="D439" s="367">
        <v>44153</v>
      </c>
      <c r="E439" s="366" t="s">
        <v>26634</v>
      </c>
      <c r="H439" s="364" t="s">
        <v>14412</v>
      </c>
      <c r="I439" s="368">
        <v>5.04</v>
      </c>
      <c r="K439" s="105">
        <v>29445.13</v>
      </c>
    </row>
    <row r="440" spans="3:11" x14ac:dyDescent="0.2">
      <c r="C440" s="106" t="s">
        <v>26633</v>
      </c>
      <c r="D440" s="367">
        <v>44153</v>
      </c>
      <c r="E440" s="366" t="s">
        <v>26632</v>
      </c>
      <c r="H440" s="364" t="s">
        <v>14412</v>
      </c>
      <c r="I440" s="368">
        <v>2.81</v>
      </c>
      <c r="K440" s="105">
        <v>29447.94</v>
      </c>
    </row>
    <row r="441" spans="3:11" x14ac:dyDescent="0.2">
      <c r="C441" s="106" t="s">
        <v>26631</v>
      </c>
      <c r="D441" s="367">
        <v>44153</v>
      </c>
      <c r="E441" s="366" t="s">
        <v>26630</v>
      </c>
      <c r="H441" s="364" t="s">
        <v>14412</v>
      </c>
      <c r="I441" s="368">
        <v>5.04</v>
      </c>
      <c r="K441" s="105">
        <v>29452.98</v>
      </c>
    </row>
    <row r="442" spans="3:11" x14ac:dyDescent="0.2">
      <c r="C442" s="106" t="s">
        <v>26629</v>
      </c>
      <c r="D442" s="367">
        <v>44153</v>
      </c>
      <c r="E442" s="366" t="s">
        <v>26628</v>
      </c>
      <c r="H442" s="364" t="s">
        <v>14412</v>
      </c>
      <c r="I442" s="368">
        <v>6.3</v>
      </c>
      <c r="K442" s="105">
        <v>29459.279999999999</v>
      </c>
    </row>
    <row r="443" spans="3:11" x14ac:dyDescent="0.2">
      <c r="C443" s="106" t="s">
        <v>26627</v>
      </c>
      <c r="D443" s="367">
        <v>44153</v>
      </c>
      <c r="E443" s="366" t="s">
        <v>26626</v>
      </c>
      <c r="H443" s="364" t="s">
        <v>14412</v>
      </c>
      <c r="I443" s="368">
        <v>11.89</v>
      </c>
      <c r="K443" s="105">
        <v>29471.17</v>
      </c>
    </row>
    <row r="444" spans="3:11" x14ac:dyDescent="0.2">
      <c r="C444" s="106" t="s">
        <v>26625</v>
      </c>
      <c r="D444" s="367">
        <v>44153</v>
      </c>
      <c r="E444" s="366" t="s">
        <v>26624</v>
      </c>
      <c r="H444" s="364" t="s">
        <v>14412</v>
      </c>
      <c r="I444" s="368">
        <v>4.58</v>
      </c>
      <c r="K444" s="105">
        <v>29475.75</v>
      </c>
    </row>
    <row r="445" spans="3:11" x14ac:dyDescent="0.2">
      <c r="C445" s="106" t="s">
        <v>26623</v>
      </c>
      <c r="D445" s="367">
        <v>44153</v>
      </c>
      <c r="E445" s="366" t="s">
        <v>26622</v>
      </c>
      <c r="H445" s="364" t="s">
        <v>14412</v>
      </c>
      <c r="I445" s="368">
        <v>12.82</v>
      </c>
      <c r="K445" s="105">
        <v>29488.57</v>
      </c>
    </row>
    <row r="446" spans="3:11" x14ac:dyDescent="0.2">
      <c r="C446" s="106" t="s">
        <v>26621</v>
      </c>
      <c r="D446" s="367">
        <v>44153</v>
      </c>
      <c r="E446" s="366" t="s">
        <v>26620</v>
      </c>
      <c r="H446" s="364" t="s">
        <v>14412</v>
      </c>
      <c r="I446" s="368">
        <v>24.58</v>
      </c>
      <c r="K446" s="105">
        <v>29513.15</v>
      </c>
    </row>
    <row r="447" spans="3:11" x14ac:dyDescent="0.2">
      <c r="C447" s="106" t="s">
        <v>26619</v>
      </c>
      <c r="D447" s="367">
        <v>44153</v>
      </c>
      <c r="E447" s="366" t="s">
        <v>26618</v>
      </c>
      <c r="H447" s="364" t="s">
        <v>14412</v>
      </c>
      <c r="I447" s="368">
        <v>41.24</v>
      </c>
      <c r="K447" s="105">
        <v>29554.39</v>
      </c>
    </row>
    <row r="448" spans="3:11" x14ac:dyDescent="0.2">
      <c r="C448" s="106" t="s">
        <v>26617</v>
      </c>
      <c r="D448" s="367">
        <v>44153</v>
      </c>
      <c r="E448" s="366" t="s">
        <v>26616</v>
      </c>
      <c r="H448" s="364" t="s">
        <v>14412</v>
      </c>
      <c r="I448" s="368">
        <v>5.99</v>
      </c>
      <c r="K448" s="105">
        <v>29560.38</v>
      </c>
    </row>
    <row r="449" spans="3:11" x14ac:dyDescent="0.2">
      <c r="C449" s="106" t="s">
        <v>26615</v>
      </c>
      <c r="D449" s="367">
        <v>44153</v>
      </c>
      <c r="E449" s="366" t="s">
        <v>26614</v>
      </c>
      <c r="H449" s="364" t="s">
        <v>14412</v>
      </c>
      <c r="I449" s="368">
        <v>8.85</v>
      </c>
      <c r="K449" s="105">
        <v>29569.23</v>
      </c>
    </row>
    <row r="450" spans="3:11" x14ac:dyDescent="0.2">
      <c r="C450" s="106" t="s">
        <v>26613</v>
      </c>
      <c r="D450" s="367">
        <v>44153</v>
      </c>
      <c r="E450" s="366" t="s">
        <v>26612</v>
      </c>
      <c r="H450" s="364" t="s">
        <v>14412</v>
      </c>
      <c r="I450" s="368">
        <v>12.35</v>
      </c>
      <c r="K450" s="105">
        <v>29581.58</v>
      </c>
    </row>
    <row r="451" spans="3:11" x14ac:dyDescent="0.2">
      <c r="C451" s="106" t="s">
        <v>26611</v>
      </c>
      <c r="D451" s="367">
        <v>44153</v>
      </c>
      <c r="E451" s="366" t="s">
        <v>26610</v>
      </c>
      <c r="H451" s="364" t="s">
        <v>14412</v>
      </c>
      <c r="I451" s="368">
        <v>4.3</v>
      </c>
      <c r="K451" s="105">
        <v>29585.88</v>
      </c>
    </row>
    <row r="452" spans="3:11" x14ac:dyDescent="0.2">
      <c r="C452" s="106" t="s">
        <v>26609</v>
      </c>
      <c r="D452" s="367">
        <v>44153</v>
      </c>
      <c r="E452" s="366" t="s">
        <v>26608</v>
      </c>
      <c r="H452" s="364" t="s">
        <v>14412</v>
      </c>
      <c r="I452" s="368">
        <v>1.94</v>
      </c>
      <c r="K452" s="105">
        <v>29587.82</v>
      </c>
    </row>
    <row r="453" spans="3:11" x14ac:dyDescent="0.2">
      <c r="C453" s="106" t="s">
        <v>26607</v>
      </c>
      <c r="D453" s="367">
        <v>44153</v>
      </c>
      <c r="E453" s="366" t="s">
        <v>26606</v>
      </c>
      <c r="H453" s="364" t="s">
        <v>14412</v>
      </c>
      <c r="I453" s="368">
        <v>3.34</v>
      </c>
      <c r="K453" s="105">
        <v>29591.16</v>
      </c>
    </row>
    <row r="454" spans="3:11" x14ac:dyDescent="0.2">
      <c r="C454" s="106" t="s">
        <v>26605</v>
      </c>
      <c r="D454" s="367">
        <v>44153</v>
      </c>
      <c r="E454" s="366" t="s">
        <v>26604</v>
      </c>
      <c r="H454" s="364" t="s">
        <v>14412</v>
      </c>
      <c r="I454" s="368">
        <v>9.3800000000000008</v>
      </c>
      <c r="K454" s="105">
        <v>29600.54</v>
      </c>
    </row>
    <row r="455" spans="3:11" x14ac:dyDescent="0.2">
      <c r="C455" s="106" t="s">
        <v>26603</v>
      </c>
      <c r="D455" s="367">
        <v>44153</v>
      </c>
      <c r="E455" s="366" t="s">
        <v>26602</v>
      </c>
      <c r="H455" s="364" t="s">
        <v>14412</v>
      </c>
      <c r="I455" s="368">
        <v>10.89</v>
      </c>
      <c r="K455" s="105">
        <v>29611.43</v>
      </c>
    </row>
    <row r="456" spans="3:11" x14ac:dyDescent="0.2">
      <c r="C456" s="106" t="s">
        <v>26601</v>
      </c>
      <c r="D456" s="367">
        <v>44153</v>
      </c>
      <c r="E456" s="366" t="s">
        <v>26600</v>
      </c>
      <c r="H456" s="364" t="s">
        <v>14412</v>
      </c>
      <c r="I456" s="368">
        <v>7.02</v>
      </c>
      <c r="K456" s="105">
        <v>29618.45</v>
      </c>
    </row>
    <row r="457" spans="3:11" x14ac:dyDescent="0.2">
      <c r="C457" s="106" t="s">
        <v>26599</v>
      </c>
      <c r="D457" s="367">
        <v>44153</v>
      </c>
      <c r="E457" s="366" t="s">
        <v>26598</v>
      </c>
      <c r="H457" s="364" t="s">
        <v>14412</v>
      </c>
      <c r="I457" s="368">
        <v>6.64</v>
      </c>
      <c r="K457" s="105">
        <v>29625.09</v>
      </c>
    </row>
    <row r="458" spans="3:11" x14ac:dyDescent="0.2">
      <c r="C458" s="106" t="s">
        <v>26597</v>
      </c>
      <c r="D458" s="367">
        <v>44153</v>
      </c>
      <c r="E458" s="366" t="s">
        <v>26596</v>
      </c>
      <c r="I458" s="368">
        <v>10</v>
      </c>
      <c r="K458" s="105">
        <v>29635.09</v>
      </c>
    </row>
    <row r="459" spans="3:11" x14ac:dyDescent="0.2">
      <c r="C459" s="106" t="s">
        <v>28280</v>
      </c>
      <c r="D459" s="367">
        <v>44153</v>
      </c>
      <c r="E459" s="366" t="s">
        <v>28279</v>
      </c>
      <c r="I459" s="368">
        <v>80</v>
      </c>
      <c r="K459" s="105">
        <v>29715.09</v>
      </c>
    </row>
    <row r="460" spans="3:11" x14ac:dyDescent="0.2">
      <c r="C460" s="106" t="s">
        <v>26595</v>
      </c>
      <c r="D460" s="367">
        <v>44154</v>
      </c>
      <c r="E460" s="366" t="s">
        <v>21802</v>
      </c>
      <c r="H460" s="364" t="s">
        <v>14412</v>
      </c>
      <c r="I460" s="368">
        <v>5.29</v>
      </c>
      <c r="K460" s="105">
        <v>29720.38</v>
      </c>
    </row>
    <row r="461" spans="3:11" x14ac:dyDescent="0.2">
      <c r="C461" s="106" t="s">
        <v>26594</v>
      </c>
      <c r="D461" s="367">
        <v>44154</v>
      </c>
      <c r="E461" s="366" t="s">
        <v>26593</v>
      </c>
      <c r="I461" s="368">
        <v>10</v>
      </c>
      <c r="K461" s="105">
        <v>29730.38</v>
      </c>
    </row>
    <row r="462" spans="3:11" x14ac:dyDescent="0.2">
      <c r="C462" s="106" t="s">
        <v>26592</v>
      </c>
      <c r="D462" s="367">
        <v>44154</v>
      </c>
      <c r="E462" s="366" t="s">
        <v>26591</v>
      </c>
      <c r="H462" s="364" t="s">
        <v>14412</v>
      </c>
      <c r="I462" s="368">
        <v>6.64</v>
      </c>
      <c r="K462" s="105">
        <v>29737.02</v>
      </c>
    </row>
    <row r="463" spans="3:11" x14ac:dyDescent="0.2">
      <c r="C463" s="106" t="s">
        <v>26590</v>
      </c>
      <c r="D463" s="367">
        <v>44154</v>
      </c>
      <c r="E463" s="366" t="s">
        <v>26589</v>
      </c>
      <c r="H463" s="364" t="s">
        <v>14412</v>
      </c>
      <c r="I463" s="368">
        <v>18.03</v>
      </c>
      <c r="K463" s="105">
        <v>29755.05</v>
      </c>
    </row>
    <row r="464" spans="3:11" x14ac:dyDescent="0.2">
      <c r="C464" s="106" t="s">
        <v>26588</v>
      </c>
      <c r="D464" s="367">
        <v>44154</v>
      </c>
      <c r="E464" s="366" t="s">
        <v>26587</v>
      </c>
      <c r="H464" s="364" t="s">
        <v>14412</v>
      </c>
      <c r="I464" s="368">
        <v>5.44</v>
      </c>
      <c r="K464" s="105">
        <v>29760.49</v>
      </c>
    </row>
    <row r="465" spans="3:11" x14ac:dyDescent="0.2">
      <c r="C465" s="106" t="s">
        <v>26586</v>
      </c>
      <c r="D465" s="367">
        <v>44154</v>
      </c>
      <c r="E465" s="366" t="s">
        <v>26585</v>
      </c>
      <c r="H465" s="364" t="s">
        <v>14412</v>
      </c>
      <c r="I465" s="368">
        <v>13.77</v>
      </c>
      <c r="K465" s="105">
        <v>29774.26</v>
      </c>
    </row>
    <row r="466" spans="3:11" x14ac:dyDescent="0.2">
      <c r="C466" s="106" t="s">
        <v>26584</v>
      </c>
      <c r="D466" s="367">
        <v>44154</v>
      </c>
      <c r="E466" s="366" t="s">
        <v>26583</v>
      </c>
      <c r="H466" s="364" t="s">
        <v>14412</v>
      </c>
      <c r="I466" s="368">
        <v>11.5</v>
      </c>
      <c r="K466" s="105">
        <v>29785.759999999998</v>
      </c>
    </row>
    <row r="467" spans="3:11" x14ac:dyDescent="0.2">
      <c r="C467" s="106" t="s">
        <v>26582</v>
      </c>
      <c r="D467" s="367">
        <v>44154</v>
      </c>
      <c r="E467" s="366" t="s">
        <v>26581</v>
      </c>
      <c r="H467" s="364" t="s">
        <v>14412</v>
      </c>
      <c r="I467" s="368">
        <v>23.25</v>
      </c>
      <c r="K467" s="105">
        <v>29809.01</v>
      </c>
    </row>
    <row r="468" spans="3:11" x14ac:dyDescent="0.2">
      <c r="C468" s="106" t="s">
        <v>26580</v>
      </c>
      <c r="D468" s="367">
        <v>44154</v>
      </c>
      <c r="E468" s="366" t="s">
        <v>26579</v>
      </c>
      <c r="H468" s="364" t="s">
        <v>14412</v>
      </c>
      <c r="I468" s="368">
        <v>6.71</v>
      </c>
      <c r="K468" s="105">
        <v>29815.72</v>
      </c>
    </row>
    <row r="469" spans="3:11" x14ac:dyDescent="0.2">
      <c r="C469" s="106" t="s">
        <v>26578</v>
      </c>
      <c r="D469" s="367">
        <v>44154</v>
      </c>
      <c r="E469" s="366" t="s">
        <v>26577</v>
      </c>
      <c r="H469" s="364" t="s">
        <v>14412</v>
      </c>
      <c r="I469" s="368">
        <v>121.65</v>
      </c>
      <c r="K469" s="105">
        <v>29937.37</v>
      </c>
    </row>
    <row r="470" spans="3:11" x14ac:dyDescent="0.2">
      <c r="C470" s="106" t="s">
        <v>26576</v>
      </c>
      <c r="D470" s="367">
        <v>44154</v>
      </c>
      <c r="E470" s="366" t="s">
        <v>26575</v>
      </c>
      <c r="H470" s="364" t="s">
        <v>14412</v>
      </c>
      <c r="I470" s="368">
        <v>1.68</v>
      </c>
      <c r="K470" s="105">
        <v>29939.05</v>
      </c>
    </row>
    <row r="471" spans="3:11" x14ac:dyDescent="0.2">
      <c r="C471" s="106" t="s">
        <v>26574</v>
      </c>
      <c r="D471" s="367">
        <v>44154</v>
      </c>
      <c r="E471" s="366" t="s">
        <v>26573</v>
      </c>
      <c r="H471" s="364" t="s">
        <v>14412</v>
      </c>
      <c r="I471" s="368">
        <v>5.81</v>
      </c>
      <c r="K471" s="105">
        <v>29944.86</v>
      </c>
    </row>
    <row r="472" spans="3:11" x14ac:dyDescent="0.2">
      <c r="C472" s="106" t="s">
        <v>26572</v>
      </c>
      <c r="D472" s="367">
        <v>44154</v>
      </c>
      <c r="E472" s="366" t="s">
        <v>26571</v>
      </c>
      <c r="H472" s="364" t="s">
        <v>14412</v>
      </c>
      <c r="I472" s="368">
        <v>1.75</v>
      </c>
      <c r="K472" s="105">
        <v>29946.61</v>
      </c>
    </row>
    <row r="473" spans="3:11" x14ac:dyDescent="0.2">
      <c r="C473" s="106" t="s">
        <v>26570</v>
      </c>
      <c r="D473" s="367">
        <v>44154</v>
      </c>
      <c r="E473" s="366" t="s">
        <v>26569</v>
      </c>
      <c r="H473" s="364" t="s">
        <v>14412</v>
      </c>
      <c r="I473" s="368">
        <v>10.28</v>
      </c>
      <c r="K473" s="105">
        <v>29956.89</v>
      </c>
    </row>
    <row r="474" spans="3:11" x14ac:dyDescent="0.2">
      <c r="C474" s="106" t="s">
        <v>26568</v>
      </c>
      <c r="D474" s="367">
        <v>44154</v>
      </c>
      <c r="E474" s="366" t="s">
        <v>26567</v>
      </c>
      <c r="H474" s="364" t="s">
        <v>14412</v>
      </c>
      <c r="I474" s="368">
        <v>8.4</v>
      </c>
      <c r="K474" s="105">
        <v>29965.29</v>
      </c>
    </row>
    <row r="475" spans="3:11" x14ac:dyDescent="0.2">
      <c r="C475" s="106" t="s">
        <v>26566</v>
      </c>
      <c r="D475" s="367">
        <v>44154</v>
      </c>
      <c r="E475" s="366" t="s">
        <v>26565</v>
      </c>
      <c r="H475" s="364" t="s">
        <v>14412</v>
      </c>
      <c r="I475" s="368">
        <v>9.23</v>
      </c>
      <c r="K475" s="105">
        <v>29974.52</v>
      </c>
    </row>
    <row r="476" spans="3:11" x14ac:dyDescent="0.2">
      <c r="C476" s="106" t="s">
        <v>26564</v>
      </c>
      <c r="D476" s="367">
        <v>44154</v>
      </c>
      <c r="E476" s="366" t="s">
        <v>26563</v>
      </c>
      <c r="H476" s="364" t="s">
        <v>14412</v>
      </c>
      <c r="I476" s="368">
        <v>14.24</v>
      </c>
      <c r="K476" s="105">
        <v>29988.76</v>
      </c>
    </row>
    <row r="477" spans="3:11" x14ac:dyDescent="0.2">
      <c r="C477" s="106" t="s">
        <v>26562</v>
      </c>
      <c r="D477" s="367">
        <v>44154</v>
      </c>
      <c r="E477" s="366" t="s">
        <v>26561</v>
      </c>
      <c r="H477" s="364" t="s">
        <v>14412</v>
      </c>
      <c r="I477" s="368">
        <v>5.25</v>
      </c>
      <c r="K477" s="105">
        <v>29994.01</v>
      </c>
    </row>
    <row r="478" spans="3:11" x14ac:dyDescent="0.2">
      <c r="C478" s="106" t="s">
        <v>26560</v>
      </c>
      <c r="D478" s="367">
        <v>44154</v>
      </c>
      <c r="E478" s="366" t="s">
        <v>26559</v>
      </c>
      <c r="H478" s="364">
        <v>11</v>
      </c>
      <c r="I478" s="368">
        <v>5.04</v>
      </c>
      <c r="K478" s="105">
        <v>29999.05</v>
      </c>
    </row>
    <row r="479" spans="3:11" x14ac:dyDescent="0.2">
      <c r="C479" s="106" t="s">
        <v>26558</v>
      </c>
      <c r="D479" s="367">
        <v>44154</v>
      </c>
      <c r="E479" s="366" t="s">
        <v>26557</v>
      </c>
      <c r="H479" s="364">
        <v>11</v>
      </c>
      <c r="I479" s="368">
        <v>17.760000000000002</v>
      </c>
      <c r="K479" s="105">
        <v>30016.81</v>
      </c>
    </row>
    <row r="480" spans="3:11" x14ac:dyDescent="0.2">
      <c r="C480" s="106" t="s">
        <v>26556</v>
      </c>
      <c r="D480" s="367">
        <v>44154</v>
      </c>
      <c r="E480" s="366" t="s">
        <v>26555</v>
      </c>
      <c r="I480" s="368">
        <v>76.14</v>
      </c>
      <c r="K480" s="105">
        <v>30092.95</v>
      </c>
    </row>
    <row r="481" spans="3:11" x14ac:dyDescent="0.2">
      <c r="C481" s="106" t="s">
        <v>26554</v>
      </c>
      <c r="D481" s="367">
        <v>44155</v>
      </c>
      <c r="E481" s="366" t="s">
        <v>26553</v>
      </c>
      <c r="H481" s="364" t="s">
        <v>14413</v>
      </c>
      <c r="I481" s="368">
        <v>30.6</v>
      </c>
      <c r="K481" s="105">
        <v>30123.55</v>
      </c>
    </row>
    <row r="482" spans="3:11" x14ac:dyDescent="0.2">
      <c r="C482" s="106" t="s">
        <v>26552</v>
      </c>
      <c r="D482" s="367">
        <v>44155</v>
      </c>
      <c r="E482" s="366" t="s">
        <v>26551</v>
      </c>
      <c r="H482" s="364" t="s">
        <v>14413</v>
      </c>
      <c r="I482" s="368">
        <v>3.32</v>
      </c>
      <c r="K482" s="105">
        <v>30126.87</v>
      </c>
    </row>
    <row r="483" spans="3:11" x14ac:dyDescent="0.2">
      <c r="C483" s="106" t="s">
        <v>26550</v>
      </c>
      <c r="D483" s="367">
        <v>44155</v>
      </c>
      <c r="E483" s="366" t="s">
        <v>26549</v>
      </c>
      <c r="H483" s="364" t="s">
        <v>14413</v>
      </c>
      <c r="I483" s="368">
        <v>18.78</v>
      </c>
      <c r="K483" s="105">
        <v>30145.65</v>
      </c>
    </row>
    <row r="484" spans="3:11" x14ac:dyDescent="0.2">
      <c r="C484" s="106" t="s">
        <v>26548</v>
      </c>
      <c r="D484" s="367">
        <v>44155</v>
      </c>
      <c r="E484" s="366" t="s">
        <v>26547</v>
      </c>
      <c r="H484" s="364" t="s">
        <v>14413</v>
      </c>
      <c r="I484" s="368">
        <v>62.95</v>
      </c>
      <c r="K484" s="105">
        <v>30208.6</v>
      </c>
    </row>
    <row r="485" spans="3:11" x14ac:dyDescent="0.2">
      <c r="C485" s="106" t="s">
        <v>26546</v>
      </c>
      <c r="D485" s="367">
        <v>44155</v>
      </c>
      <c r="E485" s="366" t="s">
        <v>26545</v>
      </c>
      <c r="H485" s="364" t="s">
        <v>14413</v>
      </c>
      <c r="I485" s="368">
        <v>7.31</v>
      </c>
      <c r="K485" s="105">
        <v>30215.91</v>
      </c>
    </row>
    <row r="486" spans="3:11" x14ac:dyDescent="0.2">
      <c r="C486" s="106" t="s">
        <v>26544</v>
      </c>
      <c r="D486" s="367">
        <v>44155</v>
      </c>
      <c r="E486" s="366" t="s">
        <v>26543</v>
      </c>
      <c r="H486" s="364" t="s">
        <v>14413</v>
      </c>
      <c r="I486" s="368">
        <v>24.72</v>
      </c>
      <c r="K486" s="105">
        <v>30240.63</v>
      </c>
    </row>
    <row r="487" spans="3:11" x14ac:dyDescent="0.2">
      <c r="C487" s="106" t="s">
        <v>26542</v>
      </c>
      <c r="D487" s="367">
        <v>44155</v>
      </c>
      <c r="E487" s="366" t="s">
        <v>26541</v>
      </c>
      <c r="H487" s="364" t="s">
        <v>14413</v>
      </c>
      <c r="I487" s="368">
        <v>29.12</v>
      </c>
      <c r="K487" s="105">
        <v>30269.75</v>
      </c>
    </row>
    <row r="488" spans="3:11" x14ac:dyDescent="0.2">
      <c r="C488" s="106" t="s">
        <v>26540</v>
      </c>
      <c r="D488" s="367">
        <v>44155</v>
      </c>
      <c r="E488" s="366" t="s">
        <v>26539</v>
      </c>
      <c r="H488" s="364" t="s">
        <v>14413</v>
      </c>
      <c r="I488" s="368">
        <v>8.99</v>
      </c>
      <c r="K488" s="105">
        <v>30278.74</v>
      </c>
    </row>
    <row r="489" spans="3:11" x14ac:dyDescent="0.2">
      <c r="C489" s="106" t="s">
        <v>26538</v>
      </c>
      <c r="D489" s="367">
        <v>44155</v>
      </c>
      <c r="E489" s="366" t="s">
        <v>26537</v>
      </c>
      <c r="H489" s="364" t="s">
        <v>14413</v>
      </c>
      <c r="I489" s="368">
        <v>1.92</v>
      </c>
      <c r="K489" s="105">
        <v>30280.66</v>
      </c>
    </row>
    <row r="490" spans="3:11" x14ac:dyDescent="0.2">
      <c r="C490" s="106" t="s">
        <v>26536</v>
      </c>
      <c r="D490" s="367">
        <v>44155</v>
      </c>
      <c r="E490" s="366" t="s">
        <v>26535</v>
      </c>
      <c r="H490" s="364" t="s">
        <v>14413</v>
      </c>
      <c r="I490" s="368">
        <v>3.36</v>
      </c>
      <c r="K490" s="105">
        <v>30284.02</v>
      </c>
    </row>
    <row r="491" spans="3:11" x14ac:dyDescent="0.2">
      <c r="C491" s="106" t="s">
        <v>26534</v>
      </c>
      <c r="D491" s="367">
        <v>44155</v>
      </c>
      <c r="E491" s="366" t="s">
        <v>26533</v>
      </c>
      <c r="H491" s="364" t="s">
        <v>14413</v>
      </c>
      <c r="I491" s="368">
        <v>15.52</v>
      </c>
      <c r="K491" s="105">
        <v>30299.54</v>
      </c>
    </row>
    <row r="492" spans="3:11" x14ac:dyDescent="0.2">
      <c r="C492" s="106" t="s">
        <v>26532</v>
      </c>
      <c r="D492" s="367">
        <v>44155</v>
      </c>
      <c r="E492" s="366" t="s">
        <v>26531</v>
      </c>
      <c r="H492" s="364" t="s">
        <v>14413</v>
      </c>
      <c r="I492" s="368">
        <v>16.559999999999999</v>
      </c>
      <c r="K492" s="105">
        <v>30316.1</v>
      </c>
    </row>
    <row r="493" spans="3:11" x14ac:dyDescent="0.2">
      <c r="C493" s="106" t="s">
        <v>26530</v>
      </c>
      <c r="D493" s="367">
        <v>44155</v>
      </c>
      <c r="E493" s="366" t="s">
        <v>26529</v>
      </c>
      <c r="H493" s="364" t="s">
        <v>14413</v>
      </c>
      <c r="I493" s="368">
        <v>9.84</v>
      </c>
      <c r="K493" s="105">
        <v>30325.94</v>
      </c>
    </row>
    <row r="494" spans="3:11" x14ac:dyDescent="0.2">
      <c r="C494" s="106" t="s">
        <v>26528</v>
      </c>
      <c r="D494" s="367">
        <v>44155</v>
      </c>
      <c r="E494" s="366" t="s">
        <v>26527</v>
      </c>
      <c r="H494" s="364" t="s">
        <v>14413</v>
      </c>
      <c r="I494" s="368">
        <v>29.31</v>
      </c>
      <c r="K494" s="105">
        <v>30355.25</v>
      </c>
    </row>
    <row r="495" spans="3:11" x14ac:dyDescent="0.2">
      <c r="C495" s="106" t="s">
        <v>26526</v>
      </c>
      <c r="D495" s="367">
        <v>44155</v>
      </c>
      <c r="E495" s="366" t="s">
        <v>26525</v>
      </c>
      <c r="H495" s="364" t="s">
        <v>14413</v>
      </c>
      <c r="I495" s="368">
        <v>16.71</v>
      </c>
      <c r="K495" s="105">
        <v>30371.96</v>
      </c>
    </row>
    <row r="496" spans="3:11" x14ac:dyDescent="0.2">
      <c r="C496" s="106" t="s">
        <v>26524</v>
      </c>
      <c r="D496" s="367">
        <v>44155</v>
      </c>
      <c r="E496" s="366" t="s">
        <v>26523</v>
      </c>
      <c r="H496" s="364" t="s">
        <v>14413</v>
      </c>
      <c r="I496" s="368">
        <v>7.42</v>
      </c>
      <c r="K496" s="105">
        <v>30379.38</v>
      </c>
    </row>
    <row r="497" spans="3:11" x14ac:dyDescent="0.2">
      <c r="C497" s="106" t="s">
        <v>26522</v>
      </c>
      <c r="D497" s="367">
        <v>44155</v>
      </c>
      <c r="E497" s="366" t="s">
        <v>26521</v>
      </c>
      <c r="H497" s="364" t="s">
        <v>14413</v>
      </c>
      <c r="I497" s="368">
        <v>5.05</v>
      </c>
      <c r="K497" s="105">
        <v>30384.43</v>
      </c>
    </row>
    <row r="498" spans="3:11" x14ac:dyDescent="0.2">
      <c r="C498" s="106" t="s">
        <v>26520</v>
      </c>
      <c r="D498" s="367">
        <v>44155</v>
      </c>
      <c r="E498" s="366" t="s">
        <v>26519</v>
      </c>
      <c r="H498" s="364" t="s">
        <v>14413</v>
      </c>
      <c r="I498" s="368">
        <v>13.93</v>
      </c>
      <c r="K498" s="105">
        <v>30398.36</v>
      </c>
    </row>
    <row r="499" spans="3:11" x14ac:dyDescent="0.2">
      <c r="C499" s="106" t="s">
        <v>26518</v>
      </c>
      <c r="D499" s="367">
        <v>44155</v>
      </c>
      <c r="E499" s="366" t="s">
        <v>26517</v>
      </c>
      <c r="H499" s="364" t="s">
        <v>14413</v>
      </c>
      <c r="I499" s="368">
        <v>17.7</v>
      </c>
      <c r="K499" s="105">
        <v>30416.06</v>
      </c>
    </row>
    <row r="500" spans="3:11" x14ac:dyDescent="0.2">
      <c r="C500" s="106" t="s">
        <v>26516</v>
      </c>
      <c r="D500" s="367">
        <v>44155</v>
      </c>
      <c r="E500" s="366" t="s">
        <v>26515</v>
      </c>
      <c r="H500" s="364">
        <v>13</v>
      </c>
      <c r="I500" s="368">
        <v>1.7</v>
      </c>
      <c r="K500" s="105">
        <v>30417.759999999998</v>
      </c>
    </row>
    <row r="501" spans="3:11" x14ac:dyDescent="0.2">
      <c r="C501" s="106" t="s">
        <v>26514</v>
      </c>
      <c r="D501" s="367">
        <v>44155</v>
      </c>
      <c r="E501" s="366" t="s">
        <v>26513</v>
      </c>
      <c r="H501" s="364">
        <v>13</v>
      </c>
      <c r="I501" s="368">
        <v>9.59</v>
      </c>
      <c r="K501" s="105">
        <v>30427.35</v>
      </c>
    </row>
    <row r="502" spans="3:11" x14ac:dyDescent="0.2">
      <c r="C502" s="106" t="s">
        <v>26512</v>
      </c>
      <c r="D502" s="367">
        <v>44155</v>
      </c>
      <c r="E502" s="366" t="s">
        <v>26511</v>
      </c>
      <c r="H502" s="364">
        <v>13</v>
      </c>
      <c r="I502" s="368">
        <v>2.8</v>
      </c>
      <c r="K502" s="105">
        <v>30430.15</v>
      </c>
    </row>
    <row r="503" spans="3:11" x14ac:dyDescent="0.2">
      <c r="C503" s="106" t="s">
        <v>26510</v>
      </c>
      <c r="D503" s="367">
        <v>44155</v>
      </c>
      <c r="E503" s="366" t="s">
        <v>26509</v>
      </c>
      <c r="H503" s="364">
        <v>13</v>
      </c>
      <c r="I503" s="368">
        <v>4.49</v>
      </c>
      <c r="K503" s="105">
        <v>30434.639999999999</v>
      </c>
    </row>
    <row r="504" spans="3:11" x14ac:dyDescent="0.2">
      <c r="C504" s="106" t="s">
        <v>26508</v>
      </c>
      <c r="D504" s="367">
        <v>44155</v>
      </c>
      <c r="E504" s="366" t="s">
        <v>26507</v>
      </c>
      <c r="H504" s="364">
        <v>13</v>
      </c>
      <c r="I504" s="368">
        <v>2.12</v>
      </c>
      <c r="K504" s="105">
        <v>30436.76</v>
      </c>
    </row>
    <row r="505" spans="3:11" x14ac:dyDescent="0.2">
      <c r="C505" s="106" t="s">
        <v>26506</v>
      </c>
      <c r="D505" s="367">
        <v>44155</v>
      </c>
      <c r="E505" s="366" t="s">
        <v>26505</v>
      </c>
      <c r="H505" s="364">
        <v>13</v>
      </c>
      <c r="I505" s="368">
        <v>13.88</v>
      </c>
      <c r="K505" s="105">
        <v>30450.639999999999</v>
      </c>
    </row>
    <row r="506" spans="3:11" x14ac:dyDescent="0.2">
      <c r="C506" s="106" t="s">
        <v>26504</v>
      </c>
      <c r="D506" s="367">
        <v>44155</v>
      </c>
      <c r="E506" s="366" t="s">
        <v>26503</v>
      </c>
      <c r="H506" s="364">
        <v>13</v>
      </c>
      <c r="I506" s="368">
        <v>133.41</v>
      </c>
      <c r="K506" s="105">
        <v>30584.05</v>
      </c>
    </row>
    <row r="507" spans="3:11" x14ac:dyDescent="0.2">
      <c r="C507" s="106" t="s">
        <v>26502</v>
      </c>
      <c r="D507" s="367">
        <v>44155</v>
      </c>
      <c r="E507" s="366" t="s">
        <v>26501</v>
      </c>
      <c r="I507" s="368">
        <v>134.31</v>
      </c>
      <c r="K507" s="105">
        <v>30718.36</v>
      </c>
    </row>
    <row r="508" spans="3:11" x14ac:dyDescent="0.2">
      <c r="C508" s="106" t="s">
        <v>1744</v>
      </c>
      <c r="D508" s="367">
        <v>44155</v>
      </c>
      <c r="E508" s="366" t="s">
        <v>26500</v>
      </c>
      <c r="J508" s="375">
        <v>63.8</v>
      </c>
      <c r="K508" s="105">
        <v>30654.560000000001</v>
      </c>
    </row>
    <row r="509" spans="3:11" x14ac:dyDescent="0.2">
      <c r="C509" s="106" t="s">
        <v>26499</v>
      </c>
      <c r="D509" s="367">
        <v>44156</v>
      </c>
      <c r="E509" s="366" t="s">
        <v>26498</v>
      </c>
      <c r="I509" s="368">
        <v>16.670000000000002</v>
      </c>
      <c r="K509" s="105">
        <v>30671.23</v>
      </c>
    </row>
    <row r="510" spans="3:11" x14ac:dyDescent="0.2">
      <c r="C510" s="106" t="s">
        <v>26497</v>
      </c>
      <c r="D510" s="367">
        <v>44158</v>
      </c>
      <c r="E510" s="366" t="s">
        <v>26496</v>
      </c>
      <c r="I510" s="368">
        <v>23.99</v>
      </c>
      <c r="K510" s="105">
        <v>30695.22</v>
      </c>
    </row>
    <row r="511" spans="3:11" x14ac:dyDescent="0.2">
      <c r="C511" s="106" t="s">
        <v>26495</v>
      </c>
      <c r="D511" s="367">
        <v>44158</v>
      </c>
      <c r="E511" s="366" t="s">
        <v>26494</v>
      </c>
      <c r="I511" s="368">
        <v>48.55</v>
      </c>
      <c r="K511" s="105">
        <v>30743.77</v>
      </c>
    </row>
    <row r="512" spans="3:11" x14ac:dyDescent="0.2">
      <c r="C512" s="106" t="s">
        <v>28278</v>
      </c>
      <c r="D512" s="367">
        <v>44158</v>
      </c>
      <c r="E512" s="366" t="s">
        <v>28277</v>
      </c>
      <c r="I512" s="368">
        <v>49.26</v>
      </c>
      <c r="K512" s="105">
        <v>30793.03</v>
      </c>
    </row>
    <row r="513" spans="3:11" x14ac:dyDescent="0.2">
      <c r="C513" s="106" t="s">
        <v>16</v>
      </c>
      <c r="D513" s="367">
        <v>44158</v>
      </c>
      <c r="E513" s="366" t="s">
        <v>26493</v>
      </c>
      <c r="J513" s="375">
        <v>4208.49</v>
      </c>
      <c r="K513" s="105">
        <v>26584.54</v>
      </c>
    </row>
    <row r="514" spans="3:11" x14ac:dyDescent="0.2">
      <c r="C514" s="106" t="s">
        <v>16351</v>
      </c>
      <c r="D514" s="367">
        <v>44158</v>
      </c>
      <c r="E514" s="366" t="s">
        <v>26492</v>
      </c>
      <c r="J514" s="375">
        <v>1129.78</v>
      </c>
      <c r="K514" s="105">
        <v>25454.76</v>
      </c>
    </row>
    <row r="515" spans="3:11" x14ac:dyDescent="0.2">
      <c r="C515" s="106" t="s">
        <v>18377</v>
      </c>
      <c r="D515" s="367">
        <v>44158</v>
      </c>
      <c r="E515" s="366" t="s">
        <v>26491</v>
      </c>
      <c r="J515" s="375">
        <v>1699.35</v>
      </c>
      <c r="K515" s="105">
        <v>23755.41</v>
      </c>
    </row>
    <row r="516" spans="3:11" x14ac:dyDescent="0.2">
      <c r="C516" s="106" t="s">
        <v>23044</v>
      </c>
      <c r="D516" s="367">
        <v>44158</v>
      </c>
      <c r="E516" s="366" t="s">
        <v>28276</v>
      </c>
      <c r="J516" s="375">
        <v>117.74</v>
      </c>
      <c r="K516" s="105">
        <v>23637.67</v>
      </c>
    </row>
    <row r="517" spans="3:11" x14ac:dyDescent="0.2">
      <c r="C517" s="106" t="s">
        <v>26490</v>
      </c>
      <c r="D517" s="367">
        <v>44159</v>
      </c>
      <c r="E517" s="366" t="s">
        <v>26489</v>
      </c>
      <c r="I517" s="368">
        <v>59.64</v>
      </c>
      <c r="K517" s="105">
        <v>23697.31</v>
      </c>
    </row>
    <row r="518" spans="3:11" x14ac:dyDescent="0.2">
      <c r="C518" s="106" t="s">
        <v>26488</v>
      </c>
      <c r="D518" s="367">
        <v>44160</v>
      </c>
      <c r="E518" s="366" t="s">
        <v>26487</v>
      </c>
      <c r="I518" s="368">
        <v>29.19</v>
      </c>
      <c r="K518" s="105">
        <v>23726.5</v>
      </c>
    </row>
    <row r="519" spans="3:11" x14ac:dyDescent="0.2">
      <c r="C519" s="106" t="s">
        <v>26486</v>
      </c>
      <c r="D519" s="367">
        <v>44160</v>
      </c>
      <c r="E519" s="366" t="s">
        <v>26485</v>
      </c>
      <c r="I519" s="368">
        <v>22.92</v>
      </c>
      <c r="K519" s="105">
        <v>23749.42</v>
      </c>
    </row>
    <row r="520" spans="3:11" x14ac:dyDescent="0.2">
      <c r="C520" s="106" t="s">
        <v>26484</v>
      </c>
      <c r="D520" s="367">
        <v>44160</v>
      </c>
      <c r="E520" s="366" t="s">
        <v>26483</v>
      </c>
      <c r="I520" s="368">
        <v>5.69</v>
      </c>
      <c r="K520" s="105">
        <v>23755.11</v>
      </c>
    </row>
    <row r="521" spans="3:11" x14ac:dyDescent="0.2">
      <c r="C521" s="106" t="s">
        <v>26482</v>
      </c>
      <c r="D521" s="367">
        <v>44160</v>
      </c>
      <c r="E521" s="366" t="s">
        <v>26481</v>
      </c>
      <c r="H521" s="364">
        <v>14</v>
      </c>
      <c r="I521" s="368">
        <v>16.760000000000002</v>
      </c>
      <c r="K521" s="105">
        <v>23771.87</v>
      </c>
    </row>
    <row r="522" spans="3:11" x14ac:dyDescent="0.2">
      <c r="C522" s="106" t="s">
        <v>26480</v>
      </c>
      <c r="D522" s="367">
        <v>44160</v>
      </c>
      <c r="E522" s="366" t="s">
        <v>26479</v>
      </c>
      <c r="H522" s="364">
        <v>14</v>
      </c>
      <c r="I522" s="368">
        <v>1.94</v>
      </c>
      <c r="K522" s="105">
        <v>23773.81</v>
      </c>
    </row>
    <row r="523" spans="3:11" x14ac:dyDescent="0.2">
      <c r="C523" s="106" t="s">
        <v>26478</v>
      </c>
      <c r="D523" s="367">
        <v>44160</v>
      </c>
      <c r="E523" s="366" t="s">
        <v>26477</v>
      </c>
      <c r="H523" s="364">
        <v>14</v>
      </c>
      <c r="I523" s="368">
        <v>3.77</v>
      </c>
      <c r="K523" s="105">
        <v>23777.58</v>
      </c>
    </row>
    <row r="524" spans="3:11" x14ac:dyDescent="0.2">
      <c r="C524" s="106" t="s">
        <v>26476</v>
      </c>
      <c r="D524" s="367">
        <v>44160</v>
      </c>
      <c r="E524" s="366" t="s">
        <v>26475</v>
      </c>
      <c r="H524" s="364">
        <v>14</v>
      </c>
      <c r="I524" s="368">
        <v>18.09</v>
      </c>
      <c r="K524" s="105">
        <v>23795.67</v>
      </c>
    </row>
    <row r="525" spans="3:11" x14ac:dyDescent="0.2">
      <c r="C525" s="106" t="s">
        <v>26474</v>
      </c>
      <c r="D525" s="367">
        <v>44160</v>
      </c>
      <c r="E525" s="366" t="s">
        <v>26473</v>
      </c>
      <c r="H525" s="364">
        <v>14</v>
      </c>
      <c r="I525" s="368">
        <v>9.5399999999999991</v>
      </c>
      <c r="K525" s="105">
        <v>23805.21</v>
      </c>
    </row>
    <row r="526" spans="3:11" x14ac:dyDescent="0.2">
      <c r="C526" s="106" t="s">
        <v>26472</v>
      </c>
      <c r="D526" s="367">
        <v>44160</v>
      </c>
      <c r="E526" s="366" t="s">
        <v>26471</v>
      </c>
      <c r="H526" s="364">
        <v>14</v>
      </c>
      <c r="I526" s="368">
        <v>13.53</v>
      </c>
      <c r="K526" s="105">
        <v>23818.74</v>
      </c>
    </row>
    <row r="527" spans="3:11" x14ac:dyDescent="0.2">
      <c r="C527" s="106" t="s">
        <v>26470</v>
      </c>
      <c r="D527" s="367">
        <v>44160</v>
      </c>
      <c r="E527" s="366" t="s">
        <v>26469</v>
      </c>
      <c r="H527" s="364">
        <v>14</v>
      </c>
      <c r="I527" s="368">
        <v>12.01</v>
      </c>
      <c r="K527" s="105">
        <v>23830.75</v>
      </c>
    </row>
    <row r="528" spans="3:11" x14ac:dyDescent="0.2">
      <c r="C528" s="106" t="s">
        <v>26468</v>
      </c>
      <c r="D528" s="367">
        <v>44160</v>
      </c>
      <c r="E528" s="366" t="s">
        <v>26467</v>
      </c>
      <c r="H528" s="364">
        <v>14</v>
      </c>
      <c r="I528" s="368">
        <v>3.76</v>
      </c>
      <c r="K528" s="105">
        <v>23834.51</v>
      </c>
    </row>
    <row r="529" spans="3:11" x14ac:dyDescent="0.2">
      <c r="C529" s="106" t="s">
        <v>26466</v>
      </c>
      <c r="D529" s="367">
        <v>44160</v>
      </c>
      <c r="E529" s="366" t="s">
        <v>26465</v>
      </c>
      <c r="H529" s="364">
        <v>14</v>
      </c>
      <c r="I529" s="368">
        <v>4.9400000000000004</v>
      </c>
      <c r="K529" s="105">
        <v>23839.45</v>
      </c>
    </row>
    <row r="530" spans="3:11" x14ac:dyDescent="0.2">
      <c r="C530" s="106" t="s">
        <v>26464</v>
      </c>
      <c r="D530" s="367">
        <v>44160</v>
      </c>
      <c r="E530" s="366" t="s">
        <v>26463</v>
      </c>
      <c r="H530" s="364">
        <v>14</v>
      </c>
      <c r="I530" s="368">
        <v>7.17</v>
      </c>
      <c r="K530" s="105">
        <v>23846.62</v>
      </c>
    </row>
    <row r="531" spans="3:11" x14ac:dyDescent="0.2">
      <c r="C531" s="106" t="s">
        <v>26462</v>
      </c>
      <c r="D531" s="367">
        <v>44160</v>
      </c>
      <c r="E531" s="366" t="s">
        <v>26461</v>
      </c>
      <c r="H531" s="364">
        <v>14</v>
      </c>
      <c r="I531" s="368">
        <v>10.87</v>
      </c>
      <c r="K531" s="105">
        <v>23857.49</v>
      </c>
    </row>
    <row r="532" spans="3:11" x14ac:dyDescent="0.2">
      <c r="C532" s="106" t="s">
        <v>26460</v>
      </c>
      <c r="D532" s="367">
        <v>44160</v>
      </c>
      <c r="E532" s="366" t="s">
        <v>26459</v>
      </c>
      <c r="H532" s="364">
        <v>14</v>
      </c>
      <c r="I532" s="368">
        <v>10.67</v>
      </c>
      <c r="K532" s="105">
        <v>23868.16</v>
      </c>
    </row>
    <row r="533" spans="3:11" x14ac:dyDescent="0.2">
      <c r="C533" s="106" t="s">
        <v>26458</v>
      </c>
      <c r="D533" s="367">
        <v>44160</v>
      </c>
      <c r="E533" s="366" t="s">
        <v>26457</v>
      </c>
      <c r="H533" s="364" t="s">
        <v>14413</v>
      </c>
      <c r="I533" s="368">
        <v>23.89</v>
      </c>
      <c r="K533" s="105">
        <v>23892.05</v>
      </c>
    </row>
    <row r="534" spans="3:11" x14ac:dyDescent="0.2">
      <c r="C534" s="106" t="s">
        <v>26456</v>
      </c>
      <c r="D534" s="367">
        <v>44160</v>
      </c>
      <c r="E534" s="366" t="s">
        <v>26455</v>
      </c>
      <c r="H534" s="364" t="s">
        <v>14413</v>
      </c>
      <c r="I534" s="368">
        <v>8.9600000000000009</v>
      </c>
      <c r="K534" s="105">
        <v>23901.01</v>
      </c>
    </row>
    <row r="535" spans="3:11" x14ac:dyDescent="0.2">
      <c r="C535" s="106" t="s">
        <v>26454</v>
      </c>
      <c r="D535" s="367">
        <v>44160</v>
      </c>
      <c r="E535" s="366" t="s">
        <v>26453</v>
      </c>
      <c r="H535" s="364" t="s">
        <v>14413</v>
      </c>
      <c r="I535" s="368">
        <v>12.53</v>
      </c>
      <c r="K535" s="105">
        <v>23913.54</v>
      </c>
    </row>
    <row r="536" spans="3:11" x14ac:dyDescent="0.2">
      <c r="C536" s="106" t="s">
        <v>26452</v>
      </c>
      <c r="D536" s="367">
        <v>44160</v>
      </c>
      <c r="E536" s="366" t="s">
        <v>26451</v>
      </c>
      <c r="H536" s="364" t="s">
        <v>14413</v>
      </c>
      <c r="I536" s="368">
        <v>8.7899999999999991</v>
      </c>
      <c r="K536" s="105">
        <v>23922.33</v>
      </c>
    </row>
    <row r="537" spans="3:11" x14ac:dyDescent="0.2">
      <c r="C537" s="106" t="s">
        <v>26450</v>
      </c>
      <c r="D537" s="367">
        <v>44160</v>
      </c>
      <c r="E537" s="366" t="s">
        <v>26449</v>
      </c>
      <c r="H537" s="364" t="s">
        <v>14413</v>
      </c>
      <c r="I537" s="368">
        <v>5.61</v>
      </c>
      <c r="K537" s="105">
        <v>23927.94</v>
      </c>
    </row>
    <row r="538" spans="3:11" x14ac:dyDescent="0.2">
      <c r="C538" s="106" t="s">
        <v>26448</v>
      </c>
      <c r="D538" s="367">
        <v>44160</v>
      </c>
      <c r="E538" s="366" t="s">
        <v>26447</v>
      </c>
      <c r="H538" s="364" t="s">
        <v>14413</v>
      </c>
      <c r="I538" s="368">
        <v>5.58</v>
      </c>
      <c r="K538" s="105">
        <v>23933.52</v>
      </c>
    </row>
    <row r="539" spans="3:11" x14ac:dyDescent="0.2">
      <c r="C539" s="106" t="s">
        <v>26446</v>
      </c>
      <c r="D539" s="367">
        <v>44160</v>
      </c>
      <c r="E539" s="366" t="s">
        <v>26445</v>
      </c>
      <c r="H539" s="364" t="s">
        <v>14413</v>
      </c>
      <c r="I539" s="368">
        <v>13.44</v>
      </c>
      <c r="K539" s="105">
        <v>23946.959999999999</v>
      </c>
    </row>
    <row r="540" spans="3:11" x14ac:dyDescent="0.2">
      <c r="C540" s="106" t="s">
        <v>26444</v>
      </c>
      <c r="D540" s="367">
        <v>44160</v>
      </c>
      <c r="E540" s="366" t="s">
        <v>26443</v>
      </c>
      <c r="H540" s="364" t="s">
        <v>14413</v>
      </c>
      <c r="I540" s="368">
        <v>11.09</v>
      </c>
      <c r="K540" s="105">
        <v>23958.05</v>
      </c>
    </row>
    <row r="541" spans="3:11" x14ac:dyDescent="0.2">
      <c r="C541" s="106" t="s">
        <v>26442</v>
      </c>
      <c r="D541" s="367">
        <v>44160</v>
      </c>
      <c r="E541" s="366" t="s">
        <v>26441</v>
      </c>
      <c r="H541" s="364" t="s">
        <v>14413</v>
      </c>
      <c r="I541" s="368">
        <v>3.36</v>
      </c>
      <c r="K541" s="105">
        <v>23961.41</v>
      </c>
    </row>
    <row r="542" spans="3:11" x14ac:dyDescent="0.2">
      <c r="C542" s="106" t="s">
        <v>26440</v>
      </c>
      <c r="D542" s="367">
        <v>44160</v>
      </c>
      <c r="E542" s="366" t="s">
        <v>26439</v>
      </c>
      <c r="H542" s="364" t="s">
        <v>14413</v>
      </c>
      <c r="I542" s="368">
        <v>4</v>
      </c>
      <c r="K542" s="105">
        <v>23965.41</v>
      </c>
    </row>
    <row r="543" spans="3:11" x14ac:dyDescent="0.2">
      <c r="C543" s="106" t="s">
        <v>26438</v>
      </c>
      <c r="D543" s="367">
        <v>44160</v>
      </c>
      <c r="E543" s="366" t="s">
        <v>26437</v>
      </c>
      <c r="H543" s="364" t="s">
        <v>14413</v>
      </c>
      <c r="I543" s="368">
        <v>8.92</v>
      </c>
      <c r="K543" s="105">
        <v>23974.33</v>
      </c>
    </row>
    <row r="544" spans="3:11" x14ac:dyDescent="0.2">
      <c r="C544" s="106" t="s">
        <v>26436</v>
      </c>
      <c r="D544" s="367">
        <v>44160</v>
      </c>
      <c r="E544" s="366" t="s">
        <v>26435</v>
      </c>
      <c r="H544" s="364" t="s">
        <v>14413</v>
      </c>
      <c r="I544" s="368">
        <v>6.94</v>
      </c>
      <c r="K544" s="105">
        <v>23981.27</v>
      </c>
    </row>
    <row r="545" spans="3:11" x14ac:dyDescent="0.2">
      <c r="C545" s="106" t="s">
        <v>26434</v>
      </c>
      <c r="D545" s="367">
        <v>44160</v>
      </c>
      <c r="E545" s="366" t="s">
        <v>26433</v>
      </c>
      <c r="H545" s="364" t="s">
        <v>14413</v>
      </c>
      <c r="I545" s="368">
        <v>2.9</v>
      </c>
      <c r="K545" s="105">
        <v>23984.17</v>
      </c>
    </row>
    <row r="546" spans="3:11" x14ac:dyDescent="0.2">
      <c r="C546" s="106" t="s">
        <v>26432</v>
      </c>
      <c r="D546" s="367">
        <v>44160</v>
      </c>
      <c r="E546" s="366" t="s">
        <v>26431</v>
      </c>
      <c r="H546" s="364" t="s">
        <v>14413</v>
      </c>
      <c r="I546" s="368">
        <v>12.47</v>
      </c>
      <c r="K546" s="105">
        <v>23996.639999999999</v>
      </c>
    </row>
    <row r="547" spans="3:11" x14ac:dyDescent="0.2">
      <c r="C547" s="106" t="s">
        <v>26430</v>
      </c>
      <c r="D547" s="367">
        <v>44160</v>
      </c>
      <c r="E547" s="366" t="s">
        <v>26429</v>
      </c>
      <c r="H547" s="364" t="s">
        <v>14413</v>
      </c>
      <c r="I547" s="368">
        <v>4.63</v>
      </c>
      <c r="K547" s="105">
        <v>24001.27</v>
      </c>
    </row>
    <row r="548" spans="3:11" x14ac:dyDescent="0.2">
      <c r="C548" s="106" t="s">
        <v>26428</v>
      </c>
      <c r="D548" s="367">
        <v>44160</v>
      </c>
      <c r="E548" s="366" t="s">
        <v>26427</v>
      </c>
      <c r="H548" s="364" t="s">
        <v>14413</v>
      </c>
      <c r="I548" s="368">
        <v>17.920000000000002</v>
      </c>
      <c r="K548" s="105">
        <v>24019.19</v>
      </c>
    </row>
    <row r="549" spans="3:11" x14ac:dyDescent="0.2">
      <c r="C549" s="106" t="s">
        <v>26426</v>
      </c>
      <c r="D549" s="367">
        <v>44160</v>
      </c>
      <c r="E549" s="366" t="s">
        <v>26425</v>
      </c>
      <c r="H549" s="364" t="s">
        <v>14413</v>
      </c>
      <c r="I549" s="368">
        <v>15.42</v>
      </c>
      <c r="K549" s="105">
        <v>24034.61</v>
      </c>
    </row>
    <row r="550" spans="3:11" x14ac:dyDescent="0.2">
      <c r="C550" s="106" t="s">
        <v>26424</v>
      </c>
      <c r="D550" s="367">
        <v>44161</v>
      </c>
      <c r="E550" s="366" t="s">
        <v>26423</v>
      </c>
      <c r="I550" s="368">
        <v>10.86</v>
      </c>
      <c r="K550" s="105">
        <v>24045.47</v>
      </c>
    </row>
    <row r="551" spans="3:11" x14ac:dyDescent="0.2">
      <c r="C551" s="106" t="s">
        <v>26422</v>
      </c>
      <c r="D551" s="367">
        <v>44161</v>
      </c>
      <c r="E551" s="366" t="s">
        <v>26421</v>
      </c>
      <c r="I551" s="368">
        <v>7120.14</v>
      </c>
      <c r="K551" s="105">
        <v>31165.61</v>
      </c>
    </row>
    <row r="552" spans="3:11" x14ac:dyDescent="0.2">
      <c r="C552" s="106" t="s">
        <v>26420</v>
      </c>
      <c r="D552" s="367">
        <v>44161</v>
      </c>
      <c r="E552" s="366" t="s">
        <v>26419</v>
      </c>
      <c r="I552" s="368">
        <v>10.76</v>
      </c>
      <c r="K552" s="105">
        <v>31176.37</v>
      </c>
    </row>
    <row r="553" spans="3:11" x14ac:dyDescent="0.2">
      <c r="C553" s="106" t="s">
        <v>26418</v>
      </c>
      <c r="D553" s="367">
        <v>44161</v>
      </c>
      <c r="E553" s="366" t="s">
        <v>26417</v>
      </c>
      <c r="H553" s="364">
        <v>15</v>
      </c>
      <c r="I553" s="368">
        <v>1.69</v>
      </c>
      <c r="K553" s="105">
        <v>31178.06</v>
      </c>
    </row>
    <row r="554" spans="3:11" x14ac:dyDescent="0.2">
      <c r="C554" s="106" t="s">
        <v>26416</v>
      </c>
      <c r="D554" s="367">
        <v>44161</v>
      </c>
      <c r="E554" s="366" t="s">
        <v>26415</v>
      </c>
      <c r="H554" s="364">
        <v>15</v>
      </c>
      <c r="I554" s="368">
        <v>1.68</v>
      </c>
      <c r="K554" s="105">
        <v>31179.74</v>
      </c>
    </row>
    <row r="555" spans="3:11" x14ac:dyDescent="0.2">
      <c r="C555" s="106" t="s">
        <v>26414</v>
      </c>
      <c r="D555" s="367">
        <v>44161</v>
      </c>
      <c r="E555" s="366" t="s">
        <v>26413</v>
      </c>
      <c r="H555" s="364">
        <v>15</v>
      </c>
      <c r="I555" s="368">
        <v>6.71</v>
      </c>
      <c r="K555" s="105">
        <v>31186.45</v>
      </c>
    </row>
    <row r="556" spans="3:11" x14ac:dyDescent="0.2">
      <c r="C556" s="106" t="s">
        <v>26412</v>
      </c>
      <c r="D556" s="367">
        <v>44161</v>
      </c>
      <c r="E556" s="366" t="s">
        <v>26411</v>
      </c>
      <c r="H556" s="364">
        <v>15</v>
      </c>
      <c r="I556" s="368">
        <v>8.01</v>
      </c>
      <c r="K556" s="105">
        <v>31194.46</v>
      </c>
    </row>
    <row r="557" spans="3:11" x14ac:dyDescent="0.2">
      <c r="C557" s="106" t="s">
        <v>26410</v>
      </c>
      <c r="D557" s="367">
        <v>44161</v>
      </c>
      <c r="E557" s="366" t="s">
        <v>26409</v>
      </c>
      <c r="H557" s="364">
        <v>15</v>
      </c>
      <c r="I557" s="368">
        <v>31.76</v>
      </c>
      <c r="K557" s="105">
        <v>31226.22</v>
      </c>
    </row>
    <row r="558" spans="3:11" x14ac:dyDescent="0.2">
      <c r="C558" s="106" t="s">
        <v>26408</v>
      </c>
      <c r="D558" s="367">
        <v>44161</v>
      </c>
      <c r="E558" s="366" t="s">
        <v>26407</v>
      </c>
      <c r="H558" s="364">
        <v>15</v>
      </c>
      <c r="I558" s="368">
        <v>31.56</v>
      </c>
      <c r="K558" s="105">
        <v>31257.78</v>
      </c>
    </row>
    <row r="559" spans="3:11" x14ac:dyDescent="0.2">
      <c r="C559" s="106" t="s">
        <v>26406</v>
      </c>
      <c r="D559" s="367">
        <v>44161</v>
      </c>
      <c r="E559" s="366" t="s">
        <v>26405</v>
      </c>
      <c r="H559" s="364">
        <v>15</v>
      </c>
      <c r="I559" s="368">
        <v>1.68</v>
      </c>
      <c r="K559" s="105">
        <v>31259.46</v>
      </c>
    </row>
    <row r="560" spans="3:11" x14ac:dyDescent="0.2">
      <c r="C560" s="106" t="s">
        <v>26404</v>
      </c>
      <c r="D560" s="367">
        <v>44161</v>
      </c>
      <c r="E560" s="366" t="s">
        <v>26403</v>
      </c>
      <c r="H560" s="364" t="s">
        <v>14413</v>
      </c>
      <c r="I560" s="368">
        <v>1.68</v>
      </c>
      <c r="K560" s="105">
        <v>31261.14</v>
      </c>
    </row>
    <row r="561" spans="3:11" x14ac:dyDescent="0.2">
      <c r="C561" s="106" t="s">
        <v>26402</v>
      </c>
      <c r="D561" s="367">
        <v>44161</v>
      </c>
      <c r="E561" s="366" t="s">
        <v>26401</v>
      </c>
      <c r="H561" s="364" t="s">
        <v>14413</v>
      </c>
      <c r="I561" s="368">
        <v>3.18</v>
      </c>
      <c r="K561" s="105">
        <v>31264.32</v>
      </c>
    </row>
    <row r="562" spans="3:11" x14ac:dyDescent="0.2">
      <c r="C562" s="106" t="s">
        <v>26400</v>
      </c>
      <c r="D562" s="367">
        <v>44161</v>
      </c>
      <c r="E562" s="366" t="s">
        <v>26399</v>
      </c>
      <c r="H562" s="364" t="s">
        <v>14413</v>
      </c>
      <c r="I562" s="368">
        <v>1.68</v>
      </c>
      <c r="K562" s="105">
        <v>31266</v>
      </c>
    </row>
    <row r="563" spans="3:11" x14ac:dyDescent="0.2">
      <c r="C563" s="106" t="s">
        <v>26398</v>
      </c>
      <c r="D563" s="367">
        <v>44161</v>
      </c>
      <c r="E563" s="366" t="s">
        <v>26397</v>
      </c>
      <c r="H563" s="364" t="s">
        <v>14413</v>
      </c>
      <c r="I563" s="368">
        <v>5.1100000000000003</v>
      </c>
      <c r="K563" s="105">
        <v>31271.11</v>
      </c>
    </row>
    <row r="564" spans="3:11" x14ac:dyDescent="0.2">
      <c r="C564" s="106" t="s">
        <v>26396</v>
      </c>
      <c r="D564" s="367">
        <v>44161</v>
      </c>
      <c r="E564" s="366" t="s">
        <v>26395</v>
      </c>
      <c r="H564" s="364" t="s">
        <v>14413</v>
      </c>
      <c r="I564" s="368">
        <v>7.72</v>
      </c>
      <c r="K564" s="105">
        <v>31278.83</v>
      </c>
    </row>
    <row r="565" spans="3:11" x14ac:dyDescent="0.2">
      <c r="C565" s="106" t="s">
        <v>26394</v>
      </c>
      <c r="D565" s="367">
        <v>44161</v>
      </c>
      <c r="E565" s="366" t="s">
        <v>26393</v>
      </c>
      <c r="H565" s="364" t="s">
        <v>14413</v>
      </c>
      <c r="I565" s="368">
        <v>3.76</v>
      </c>
      <c r="K565" s="105">
        <v>31282.59</v>
      </c>
    </row>
    <row r="566" spans="3:11" x14ac:dyDescent="0.2">
      <c r="C566" s="106" t="s">
        <v>26392</v>
      </c>
      <c r="D566" s="367">
        <v>44161</v>
      </c>
      <c r="E566" s="366" t="s">
        <v>26391</v>
      </c>
      <c r="H566" s="364" t="s">
        <v>14413</v>
      </c>
      <c r="I566" s="368">
        <v>11.7</v>
      </c>
      <c r="K566" s="105">
        <v>31294.29</v>
      </c>
    </row>
    <row r="567" spans="3:11" x14ac:dyDescent="0.2">
      <c r="C567" s="106" t="s">
        <v>26390</v>
      </c>
      <c r="D567" s="367">
        <v>44161</v>
      </c>
      <c r="E567" s="366" t="s">
        <v>26389</v>
      </c>
      <c r="H567" s="364" t="s">
        <v>14413</v>
      </c>
      <c r="I567" s="368">
        <v>1.89</v>
      </c>
      <c r="K567" s="105">
        <v>31296.18</v>
      </c>
    </row>
    <row r="568" spans="3:11" x14ac:dyDescent="0.2">
      <c r="C568" s="106" t="s">
        <v>26388</v>
      </c>
      <c r="D568" s="367">
        <v>44161</v>
      </c>
      <c r="E568" s="366" t="s">
        <v>26387</v>
      </c>
      <c r="H568" s="364" t="s">
        <v>14413</v>
      </c>
      <c r="I568" s="368">
        <v>8.27</v>
      </c>
      <c r="K568" s="105">
        <v>31304.45</v>
      </c>
    </row>
    <row r="569" spans="3:11" x14ac:dyDescent="0.2">
      <c r="C569" s="106" t="s">
        <v>26386</v>
      </c>
      <c r="D569" s="367">
        <v>44161</v>
      </c>
      <c r="E569" s="366" t="s">
        <v>26385</v>
      </c>
      <c r="H569" s="364" t="s">
        <v>14413</v>
      </c>
      <c r="I569" s="368">
        <v>7.15</v>
      </c>
      <c r="K569" s="105">
        <v>31311.599999999999</v>
      </c>
    </row>
    <row r="570" spans="3:11" x14ac:dyDescent="0.2">
      <c r="C570" s="106" t="s">
        <v>26384</v>
      </c>
      <c r="D570" s="367">
        <v>44161</v>
      </c>
      <c r="E570" s="366" t="s">
        <v>26383</v>
      </c>
      <c r="H570" s="364" t="s">
        <v>14413</v>
      </c>
      <c r="I570" s="368">
        <v>7.11</v>
      </c>
      <c r="K570" s="105">
        <v>31318.71</v>
      </c>
    </row>
    <row r="571" spans="3:11" x14ac:dyDescent="0.2">
      <c r="C571" s="106" t="s">
        <v>26382</v>
      </c>
      <c r="D571" s="367">
        <v>44161</v>
      </c>
      <c r="E571" s="366" t="s">
        <v>26381</v>
      </c>
      <c r="H571" s="364" t="s">
        <v>14413</v>
      </c>
      <c r="I571" s="368">
        <v>16.760000000000002</v>
      </c>
      <c r="K571" s="105">
        <v>31335.47</v>
      </c>
    </row>
    <row r="572" spans="3:11" x14ac:dyDescent="0.2">
      <c r="C572" s="106" t="s">
        <v>26380</v>
      </c>
      <c r="D572" s="367">
        <v>44161</v>
      </c>
      <c r="E572" s="366" t="s">
        <v>26379</v>
      </c>
      <c r="H572" s="364" t="s">
        <v>14413</v>
      </c>
      <c r="I572" s="368">
        <v>5.28</v>
      </c>
      <c r="K572" s="105">
        <v>31340.75</v>
      </c>
    </row>
    <row r="573" spans="3:11" x14ac:dyDescent="0.2">
      <c r="C573" s="106" t="s">
        <v>26378</v>
      </c>
      <c r="D573" s="367">
        <v>44161</v>
      </c>
      <c r="E573" s="366" t="s">
        <v>26377</v>
      </c>
      <c r="H573" s="364" t="s">
        <v>14413</v>
      </c>
      <c r="I573" s="368">
        <v>25.14</v>
      </c>
      <c r="K573" s="105">
        <v>31365.89</v>
      </c>
    </row>
    <row r="574" spans="3:11" x14ac:dyDescent="0.2">
      <c r="C574" s="106" t="s">
        <v>26376</v>
      </c>
      <c r="D574" s="367">
        <v>44161</v>
      </c>
      <c r="E574" s="366" t="s">
        <v>26375</v>
      </c>
      <c r="H574" s="364" t="s">
        <v>14413</v>
      </c>
      <c r="I574" s="368">
        <v>4.5999999999999996</v>
      </c>
      <c r="K574" s="105">
        <v>31370.49</v>
      </c>
    </row>
    <row r="575" spans="3:11" x14ac:dyDescent="0.2">
      <c r="C575" s="106" t="s">
        <v>26374</v>
      </c>
      <c r="D575" s="367">
        <v>44161</v>
      </c>
      <c r="E575" s="366" t="s">
        <v>26373</v>
      </c>
      <c r="H575" s="364" t="s">
        <v>14413</v>
      </c>
      <c r="I575" s="368">
        <v>13.45</v>
      </c>
      <c r="K575" s="105">
        <v>31383.94</v>
      </c>
    </row>
    <row r="576" spans="3:11" x14ac:dyDescent="0.2">
      <c r="C576" s="106" t="s">
        <v>26372</v>
      </c>
      <c r="D576" s="367">
        <v>44161</v>
      </c>
      <c r="E576" s="366" t="s">
        <v>26371</v>
      </c>
      <c r="H576" s="364" t="s">
        <v>14413</v>
      </c>
      <c r="I576" s="368">
        <v>16.760000000000002</v>
      </c>
      <c r="K576" s="105">
        <v>31400.7</v>
      </c>
    </row>
    <row r="577" spans="3:11" x14ac:dyDescent="0.2">
      <c r="C577" s="106" t="s">
        <v>26370</v>
      </c>
      <c r="D577" s="367">
        <v>44161</v>
      </c>
      <c r="E577" s="366" t="s">
        <v>26369</v>
      </c>
      <c r="H577" s="364" t="s">
        <v>14413</v>
      </c>
      <c r="I577" s="368">
        <v>96.78</v>
      </c>
      <c r="K577" s="105">
        <v>31497.48</v>
      </c>
    </row>
    <row r="578" spans="3:11" x14ac:dyDescent="0.2">
      <c r="C578" s="106" t="s">
        <v>26368</v>
      </c>
      <c r="D578" s="367">
        <v>44162</v>
      </c>
      <c r="E578" s="366" t="s">
        <v>26367</v>
      </c>
      <c r="I578" s="368">
        <v>16.38</v>
      </c>
      <c r="K578" s="105">
        <v>31513.86</v>
      </c>
    </row>
    <row r="579" spans="3:11" x14ac:dyDescent="0.2">
      <c r="C579" s="106" t="s">
        <v>26366</v>
      </c>
      <c r="D579" s="367">
        <v>44162</v>
      </c>
      <c r="E579" s="366" t="s">
        <v>26365</v>
      </c>
      <c r="I579" s="368">
        <v>8.3800000000000008</v>
      </c>
      <c r="K579" s="105">
        <v>31522.240000000002</v>
      </c>
    </row>
    <row r="580" spans="3:11" x14ac:dyDescent="0.2">
      <c r="C580" s="106" t="s">
        <v>26364</v>
      </c>
      <c r="D580" s="367">
        <v>44162</v>
      </c>
      <c r="E580" s="366" t="s">
        <v>26363</v>
      </c>
      <c r="I580" s="368">
        <v>7842.77</v>
      </c>
      <c r="K580" s="105">
        <v>39365.01</v>
      </c>
    </row>
    <row r="581" spans="3:11" x14ac:dyDescent="0.2">
      <c r="C581" s="106" t="s">
        <v>26362</v>
      </c>
      <c r="D581" s="367">
        <v>44162</v>
      </c>
      <c r="E581" s="366" t="s">
        <v>26361</v>
      </c>
      <c r="I581" s="368">
        <v>253.95</v>
      </c>
      <c r="K581" s="105">
        <v>39618.959999999999</v>
      </c>
    </row>
    <row r="582" spans="3:11" x14ac:dyDescent="0.2">
      <c r="C582" s="106" t="s">
        <v>26360</v>
      </c>
      <c r="D582" s="367">
        <v>44162</v>
      </c>
      <c r="E582" s="366" t="s">
        <v>26359</v>
      </c>
      <c r="I582" s="105">
        <v>8.9</v>
      </c>
      <c r="K582" s="105">
        <v>39627.86</v>
      </c>
    </row>
    <row r="583" spans="3:11" x14ac:dyDescent="0.2">
      <c r="C583" s="106" t="s">
        <v>26358</v>
      </c>
      <c r="D583" s="367">
        <v>44162</v>
      </c>
      <c r="E583" s="366" t="s">
        <v>26357</v>
      </c>
      <c r="I583" s="105">
        <v>16.46</v>
      </c>
      <c r="K583" s="105">
        <v>39644.32</v>
      </c>
    </row>
    <row r="584" spans="3:11" x14ac:dyDescent="0.2">
      <c r="C584" s="106" t="s">
        <v>26356</v>
      </c>
      <c r="D584" s="367">
        <v>44162</v>
      </c>
      <c r="E584" s="366" t="s">
        <v>26355</v>
      </c>
      <c r="I584" s="105">
        <v>5.15</v>
      </c>
      <c r="K584" s="105">
        <v>39649.47</v>
      </c>
    </row>
    <row r="585" spans="3:11" x14ac:dyDescent="0.2">
      <c r="C585" s="106" t="s">
        <v>26354</v>
      </c>
      <c r="D585" s="367">
        <v>44162</v>
      </c>
      <c r="E585" s="366" t="s">
        <v>26353</v>
      </c>
      <c r="I585" s="105">
        <v>1.68</v>
      </c>
      <c r="K585" s="105">
        <v>39651.15</v>
      </c>
    </row>
    <row r="586" spans="3:11" x14ac:dyDescent="0.2">
      <c r="C586" s="106" t="s">
        <v>26352</v>
      </c>
      <c r="D586" s="367">
        <v>44162</v>
      </c>
      <c r="E586" s="366" t="s">
        <v>26351</v>
      </c>
      <c r="I586" s="105">
        <v>24.4</v>
      </c>
      <c r="K586" s="105">
        <v>39675.550000000003</v>
      </c>
    </row>
    <row r="587" spans="3:11" x14ac:dyDescent="0.2">
      <c r="C587" s="106" t="s">
        <v>26350</v>
      </c>
      <c r="D587" s="367">
        <v>44162</v>
      </c>
      <c r="E587" s="366" t="s">
        <v>26349</v>
      </c>
      <c r="I587" s="105">
        <v>5.82</v>
      </c>
      <c r="K587" s="105">
        <v>39681.370000000003</v>
      </c>
    </row>
    <row r="588" spans="3:11" x14ac:dyDescent="0.2">
      <c r="C588" s="106" t="s">
        <v>26348</v>
      </c>
      <c r="D588" s="367">
        <v>44162</v>
      </c>
      <c r="E588" s="366" t="s">
        <v>26347</v>
      </c>
      <c r="I588" s="105">
        <v>2.0499999999999998</v>
      </c>
      <c r="K588" s="105">
        <v>39683.42</v>
      </c>
    </row>
    <row r="589" spans="3:11" x14ac:dyDescent="0.2">
      <c r="C589" s="106" t="s">
        <v>26346</v>
      </c>
      <c r="D589" s="367">
        <v>44162</v>
      </c>
      <c r="E589" s="366" t="s">
        <v>26345</v>
      </c>
      <c r="I589" s="105">
        <v>2.59</v>
      </c>
      <c r="K589" s="105">
        <v>39686.01</v>
      </c>
    </row>
    <row r="590" spans="3:11" x14ac:dyDescent="0.2">
      <c r="C590" s="106" t="s">
        <v>26344</v>
      </c>
      <c r="D590" s="367">
        <v>44162</v>
      </c>
      <c r="E590" s="366" t="s">
        <v>26343</v>
      </c>
      <c r="I590" s="105">
        <v>8.89</v>
      </c>
      <c r="K590" s="105">
        <v>39694.9</v>
      </c>
    </row>
    <row r="591" spans="3:11" x14ac:dyDescent="0.2">
      <c r="C591" s="106" t="s">
        <v>26342</v>
      </c>
      <c r="D591" s="367">
        <v>44162</v>
      </c>
      <c r="E591" s="366" t="s">
        <v>26341</v>
      </c>
      <c r="I591" s="105">
        <v>9.02</v>
      </c>
      <c r="K591" s="105">
        <v>39703.919999999998</v>
      </c>
    </row>
    <row r="592" spans="3:11" x14ac:dyDescent="0.2">
      <c r="C592" s="106" t="s">
        <v>26340</v>
      </c>
      <c r="D592" s="367">
        <v>44162</v>
      </c>
      <c r="E592" s="366" t="s">
        <v>26339</v>
      </c>
      <c r="I592" s="105">
        <v>3.18</v>
      </c>
      <c r="K592" s="105">
        <v>39707.1</v>
      </c>
    </row>
    <row r="593" spans="3:11" x14ac:dyDescent="0.2">
      <c r="C593" s="106" t="s">
        <v>26338</v>
      </c>
      <c r="D593" s="367">
        <v>44162</v>
      </c>
      <c r="E593" s="366" t="s">
        <v>26337</v>
      </c>
      <c r="I593" s="105">
        <v>5.91</v>
      </c>
      <c r="K593" s="105">
        <v>39713.01</v>
      </c>
    </row>
    <row r="594" spans="3:11" x14ac:dyDescent="0.2">
      <c r="C594" s="106" t="s">
        <v>26336</v>
      </c>
      <c r="D594" s="367">
        <v>44162</v>
      </c>
      <c r="E594" s="366" t="s">
        <v>26335</v>
      </c>
      <c r="I594" s="105">
        <v>8.4</v>
      </c>
      <c r="K594" s="105">
        <v>39721.410000000003</v>
      </c>
    </row>
    <row r="595" spans="3:11" x14ac:dyDescent="0.2">
      <c r="C595" s="106" t="s">
        <v>26334</v>
      </c>
      <c r="D595" s="367">
        <v>44162</v>
      </c>
      <c r="E595" s="366" t="s">
        <v>26333</v>
      </c>
      <c r="I595" s="105">
        <v>1.88</v>
      </c>
      <c r="K595" s="105">
        <v>39723.29</v>
      </c>
    </row>
    <row r="596" spans="3:11" x14ac:dyDescent="0.2">
      <c r="C596" s="106" t="s">
        <v>26332</v>
      </c>
      <c r="D596" s="367">
        <v>44162</v>
      </c>
      <c r="E596" s="366" t="s">
        <v>26331</v>
      </c>
      <c r="I596" s="105">
        <v>5.04</v>
      </c>
      <c r="K596" s="105">
        <v>39728.33</v>
      </c>
    </row>
    <row r="597" spans="3:11" x14ac:dyDescent="0.2">
      <c r="C597" s="106" t="s">
        <v>26330</v>
      </c>
      <c r="D597" s="367">
        <v>44162</v>
      </c>
      <c r="E597" s="366" t="s">
        <v>26329</v>
      </c>
      <c r="I597" s="105">
        <v>3.36</v>
      </c>
      <c r="K597" s="105">
        <v>39731.69</v>
      </c>
    </row>
    <row r="598" spans="3:11" x14ac:dyDescent="0.2">
      <c r="C598" s="106" t="s">
        <v>26328</v>
      </c>
      <c r="D598" s="367">
        <v>44162</v>
      </c>
      <c r="E598" s="366" t="s">
        <v>26327</v>
      </c>
      <c r="I598" s="105">
        <v>5.22</v>
      </c>
      <c r="K598" s="105">
        <v>39736.910000000003</v>
      </c>
    </row>
    <row r="599" spans="3:11" x14ac:dyDescent="0.2">
      <c r="C599" s="106" t="s">
        <v>26326</v>
      </c>
      <c r="D599" s="367">
        <v>44162</v>
      </c>
      <c r="E599" s="366" t="s">
        <v>26325</v>
      </c>
      <c r="I599" s="105">
        <v>5.16</v>
      </c>
      <c r="K599" s="105">
        <v>39742.07</v>
      </c>
    </row>
    <row r="600" spans="3:11" x14ac:dyDescent="0.2">
      <c r="C600" s="106" t="s">
        <v>26324</v>
      </c>
      <c r="D600" s="367">
        <v>44162</v>
      </c>
      <c r="E600" s="366" t="s">
        <v>26323</v>
      </c>
      <c r="H600" s="364">
        <v>16</v>
      </c>
      <c r="I600" s="368">
        <v>3.9</v>
      </c>
      <c r="K600" s="105">
        <v>39745.97</v>
      </c>
    </row>
    <row r="601" spans="3:11" x14ac:dyDescent="0.2">
      <c r="C601" s="106" t="s">
        <v>26322</v>
      </c>
      <c r="D601" s="367">
        <v>44162</v>
      </c>
      <c r="E601" s="366" t="s">
        <v>26321</v>
      </c>
      <c r="H601" s="364">
        <v>16</v>
      </c>
      <c r="I601" s="368">
        <v>20.79</v>
      </c>
      <c r="K601" s="105">
        <v>39766.76</v>
      </c>
    </row>
    <row r="602" spans="3:11" x14ac:dyDescent="0.2">
      <c r="C602" s="106" t="s">
        <v>26320</v>
      </c>
      <c r="D602" s="367">
        <v>44162</v>
      </c>
      <c r="E602" s="366" t="s">
        <v>26319</v>
      </c>
      <c r="H602" s="364">
        <v>16</v>
      </c>
      <c r="I602" s="368">
        <v>2.46</v>
      </c>
      <c r="K602" s="105">
        <v>39769.22</v>
      </c>
    </row>
    <row r="603" spans="3:11" x14ac:dyDescent="0.2">
      <c r="C603" s="106" t="s">
        <v>26318</v>
      </c>
      <c r="D603" s="367">
        <v>44162</v>
      </c>
      <c r="E603" s="366" t="s">
        <v>26317</v>
      </c>
      <c r="H603" s="364">
        <v>16</v>
      </c>
      <c r="I603" s="368">
        <v>6.82</v>
      </c>
      <c r="K603" s="105">
        <v>39776.04</v>
      </c>
    </row>
    <row r="604" spans="3:11" x14ac:dyDescent="0.2">
      <c r="C604" s="106" t="s">
        <v>26316</v>
      </c>
      <c r="D604" s="367">
        <v>44162</v>
      </c>
      <c r="E604" s="366" t="s">
        <v>26315</v>
      </c>
      <c r="H604" s="364">
        <v>16</v>
      </c>
      <c r="I604" s="368">
        <v>1.68</v>
      </c>
      <c r="K604" s="105">
        <v>39777.72</v>
      </c>
    </row>
    <row r="605" spans="3:11" x14ac:dyDescent="0.2">
      <c r="C605" s="106" t="s">
        <v>26314</v>
      </c>
      <c r="D605" s="367">
        <v>44162</v>
      </c>
      <c r="E605" s="366" t="s">
        <v>26313</v>
      </c>
      <c r="H605" s="364">
        <v>16</v>
      </c>
      <c r="I605" s="368">
        <v>21.3</v>
      </c>
      <c r="K605" s="105">
        <v>39799.019999999997</v>
      </c>
    </row>
    <row r="606" spans="3:11" x14ac:dyDescent="0.2">
      <c r="C606" s="106" t="s">
        <v>26312</v>
      </c>
      <c r="D606" s="367">
        <v>44162</v>
      </c>
      <c r="E606" s="366" t="s">
        <v>26311</v>
      </c>
      <c r="H606" s="364">
        <v>16</v>
      </c>
      <c r="I606" s="368">
        <v>16.14</v>
      </c>
      <c r="K606" s="105">
        <v>39815.160000000003</v>
      </c>
    </row>
    <row r="607" spans="3:11" x14ac:dyDescent="0.2">
      <c r="C607" s="106" t="s">
        <v>26310</v>
      </c>
      <c r="D607" s="367">
        <v>44162</v>
      </c>
      <c r="E607" s="366" t="s">
        <v>26309</v>
      </c>
      <c r="I607" s="368">
        <v>16</v>
      </c>
      <c r="K607" s="105">
        <v>39831.160000000003</v>
      </c>
    </row>
    <row r="608" spans="3:11" x14ac:dyDescent="0.2">
      <c r="C608" s="106" t="s">
        <v>26308</v>
      </c>
      <c r="D608" s="367">
        <v>44163</v>
      </c>
      <c r="E608" s="366" t="s">
        <v>26307</v>
      </c>
      <c r="I608" s="105">
        <v>6.4</v>
      </c>
      <c r="K608" s="105">
        <v>39837.56</v>
      </c>
    </row>
    <row r="609" spans="3:11" x14ac:dyDescent="0.2">
      <c r="C609" s="106" t="s">
        <v>26306</v>
      </c>
      <c r="D609" s="367">
        <v>44163</v>
      </c>
      <c r="E609" s="366" t="s">
        <v>26305</v>
      </c>
      <c r="I609" s="105">
        <v>83.66</v>
      </c>
      <c r="K609" s="105">
        <v>39921.22</v>
      </c>
    </row>
    <row r="610" spans="3:11" x14ac:dyDescent="0.2">
      <c r="C610" s="106" t="s">
        <v>26304</v>
      </c>
      <c r="D610" s="367">
        <v>44163</v>
      </c>
      <c r="E610" s="366" t="s">
        <v>26303</v>
      </c>
      <c r="I610" s="105">
        <v>1.74</v>
      </c>
      <c r="K610" s="105">
        <v>39922.959999999999</v>
      </c>
    </row>
    <row r="611" spans="3:11" x14ac:dyDescent="0.2">
      <c r="C611" s="106" t="s">
        <v>26302</v>
      </c>
      <c r="D611" s="367">
        <v>44163</v>
      </c>
      <c r="E611" s="366" t="s">
        <v>26301</v>
      </c>
      <c r="I611" s="105">
        <v>6.59</v>
      </c>
      <c r="K611" s="105">
        <v>39929.550000000003</v>
      </c>
    </row>
    <row r="612" spans="3:11" x14ac:dyDescent="0.2">
      <c r="C612" s="106" t="s">
        <v>26300</v>
      </c>
      <c r="D612" s="367">
        <v>44163</v>
      </c>
      <c r="E612" s="366" t="s">
        <v>26299</v>
      </c>
      <c r="I612" s="105">
        <v>8.0399999999999991</v>
      </c>
      <c r="K612" s="105">
        <v>39937.589999999997</v>
      </c>
    </row>
    <row r="613" spans="3:11" x14ac:dyDescent="0.2">
      <c r="C613" s="106" t="s">
        <v>26298</v>
      </c>
      <c r="D613" s="367">
        <v>44163</v>
      </c>
      <c r="E613" s="366" t="s">
        <v>26297</v>
      </c>
      <c r="I613" s="105">
        <v>4.63</v>
      </c>
      <c r="K613" s="105">
        <v>39942.22</v>
      </c>
    </row>
    <row r="614" spans="3:11" x14ac:dyDescent="0.2">
      <c r="C614" s="106" t="s">
        <v>26296</v>
      </c>
      <c r="D614" s="367">
        <v>44163</v>
      </c>
      <c r="E614" s="366" t="s">
        <v>26295</v>
      </c>
      <c r="I614" s="105">
        <v>8.36</v>
      </c>
      <c r="K614" s="105">
        <v>39950.58</v>
      </c>
    </row>
    <row r="615" spans="3:11" x14ac:dyDescent="0.2">
      <c r="C615" s="106" t="s">
        <v>26294</v>
      </c>
      <c r="D615" s="367">
        <v>44163</v>
      </c>
      <c r="E615" s="366" t="s">
        <v>26293</v>
      </c>
      <c r="I615" s="105">
        <v>1.78</v>
      </c>
      <c r="K615" s="105">
        <v>39952.36</v>
      </c>
    </row>
    <row r="616" spans="3:11" x14ac:dyDescent="0.2">
      <c r="C616" s="106" t="s">
        <v>26292</v>
      </c>
      <c r="D616" s="367">
        <v>44163</v>
      </c>
      <c r="E616" s="366" t="s">
        <v>26291</v>
      </c>
      <c r="I616" s="105">
        <v>1.68</v>
      </c>
      <c r="K616" s="105">
        <v>39954.04</v>
      </c>
    </row>
    <row r="617" spans="3:11" x14ac:dyDescent="0.2">
      <c r="C617" s="106" t="s">
        <v>26290</v>
      </c>
      <c r="D617" s="367">
        <v>44163</v>
      </c>
      <c r="E617" s="366" t="s">
        <v>26289</v>
      </c>
      <c r="I617" s="105">
        <v>1.68</v>
      </c>
      <c r="K617" s="105">
        <v>39955.72</v>
      </c>
    </row>
    <row r="618" spans="3:11" x14ac:dyDescent="0.2">
      <c r="C618" s="106" t="s">
        <v>26288</v>
      </c>
      <c r="D618" s="367">
        <v>44163</v>
      </c>
      <c r="E618" s="366" t="s">
        <v>26287</v>
      </c>
      <c r="I618" s="105">
        <v>0.22</v>
      </c>
      <c r="K618" s="105">
        <v>39955.94</v>
      </c>
    </row>
    <row r="619" spans="3:11" x14ac:dyDescent="0.2">
      <c r="C619" s="106" t="s">
        <v>26286</v>
      </c>
      <c r="D619" s="367">
        <v>44163</v>
      </c>
      <c r="E619" s="366" t="s">
        <v>26285</v>
      </c>
      <c r="I619" s="105">
        <v>8.77</v>
      </c>
      <c r="K619" s="105">
        <v>39964.71</v>
      </c>
    </row>
    <row r="620" spans="3:11" x14ac:dyDescent="0.2">
      <c r="C620" s="106" t="s">
        <v>26284</v>
      </c>
      <c r="D620" s="367">
        <v>44164</v>
      </c>
      <c r="E620" s="366" t="s">
        <v>26283</v>
      </c>
      <c r="I620" s="105">
        <v>2.2200000000000002</v>
      </c>
      <c r="K620" s="105">
        <v>39966.93</v>
      </c>
    </row>
    <row r="621" spans="3:11" x14ac:dyDescent="0.2">
      <c r="C621" s="106" t="s">
        <v>26282</v>
      </c>
      <c r="D621" s="367">
        <v>44164</v>
      </c>
      <c r="E621" s="366" t="s">
        <v>26281</v>
      </c>
      <c r="I621" s="105">
        <v>10.09</v>
      </c>
      <c r="K621" s="105">
        <v>39977.019999999997</v>
      </c>
    </row>
    <row r="622" spans="3:11" x14ac:dyDescent="0.2">
      <c r="C622" s="106" t="s">
        <v>26280</v>
      </c>
      <c r="D622" s="367">
        <v>44164</v>
      </c>
      <c r="E622" s="366" t="s">
        <v>26279</v>
      </c>
      <c r="I622" s="105">
        <v>16.760000000000002</v>
      </c>
      <c r="K622" s="105">
        <v>39993.78</v>
      </c>
    </row>
    <row r="623" spans="3:11" x14ac:dyDescent="0.2">
      <c r="C623" s="106" t="s">
        <v>26278</v>
      </c>
      <c r="D623" s="367">
        <v>44164</v>
      </c>
      <c r="E623" s="366" t="s">
        <v>26277</v>
      </c>
      <c r="I623" s="105">
        <v>13.3</v>
      </c>
      <c r="K623" s="105">
        <v>40007.08</v>
      </c>
    </row>
    <row r="624" spans="3:11" x14ac:dyDescent="0.2">
      <c r="C624" s="106" t="s">
        <v>26276</v>
      </c>
      <c r="D624" s="367">
        <v>44164</v>
      </c>
      <c r="E624" s="366" t="s">
        <v>26275</v>
      </c>
      <c r="I624" s="105">
        <v>5.86</v>
      </c>
      <c r="K624" s="105">
        <v>40012.94</v>
      </c>
    </row>
    <row r="625" spans="3:11" x14ac:dyDescent="0.2">
      <c r="C625" s="106" t="s">
        <v>26274</v>
      </c>
      <c r="D625" s="367">
        <v>44164</v>
      </c>
      <c r="E625" s="366" t="s">
        <v>26273</v>
      </c>
      <c r="I625" s="105">
        <v>0.66</v>
      </c>
      <c r="K625" s="105">
        <v>40013.599999999999</v>
      </c>
    </row>
    <row r="626" spans="3:11" x14ac:dyDescent="0.2">
      <c r="C626" s="106" t="s">
        <v>26272</v>
      </c>
      <c r="D626" s="367">
        <v>44164</v>
      </c>
      <c r="E626" s="366" t="s">
        <v>26271</v>
      </c>
      <c r="I626" s="368">
        <v>3.89</v>
      </c>
      <c r="K626" s="105">
        <v>40017.49</v>
      </c>
    </row>
    <row r="627" spans="3:11" x14ac:dyDescent="0.2">
      <c r="C627" s="106" t="s">
        <v>28275</v>
      </c>
      <c r="D627" s="367">
        <v>44165</v>
      </c>
      <c r="E627" s="366" t="s">
        <v>28274</v>
      </c>
      <c r="J627" s="375">
        <v>158.99</v>
      </c>
      <c r="K627" s="105">
        <v>39858.5</v>
      </c>
    </row>
    <row r="628" spans="3:11" x14ac:dyDescent="0.2">
      <c r="C628" s="106" t="s">
        <v>26270</v>
      </c>
      <c r="D628" s="367">
        <v>44165</v>
      </c>
      <c r="E628" s="366" t="s">
        <v>26269</v>
      </c>
      <c r="I628" s="368">
        <v>8.1</v>
      </c>
      <c r="K628" s="105">
        <v>39866.6</v>
      </c>
    </row>
    <row r="629" spans="3:11" x14ac:dyDescent="0.2">
      <c r="C629" s="106" t="s">
        <v>26268</v>
      </c>
      <c r="D629" s="367">
        <v>44165</v>
      </c>
      <c r="E629" s="366" t="s">
        <v>26267</v>
      </c>
      <c r="I629" s="368">
        <v>175.17</v>
      </c>
      <c r="K629" s="105">
        <v>40041.769999999997</v>
      </c>
    </row>
    <row r="630" spans="3:11" x14ac:dyDescent="0.2">
      <c r="C630" s="106" t="s">
        <v>26266</v>
      </c>
      <c r="D630" s="367">
        <v>44165</v>
      </c>
      <c r="E630" s="366" t="s">
        <v>26265</v>
      </c>
      <c r="I630" s="368">
        <v>6.9</v>
      </c>
      <c r="K630" s="105">
        <v>40048.67</v>
      </c>
    </row>
    <row r="631" spans="3:11" x14ac:dyDescent="0.2">
      <c r="C631" s="106" t="s">
        <v>26264</v>
      </c>
      <c r="D631" s="367">
        <v>44165</v>
      </c>
      <c r="E631" s="366" t="s">
        <v>26263</v>
      </c>
      <c r="I631" s="368">
        <v>3.95</v>
      </c>
      <c r="K631" s="105">
        <v>40052.620000000003</v>
      </c>
    </row>
    <row r="632" spans="3:11" x14ac:dyDescent="0.2">
      <c r="C632" s="106" t="s">
        <v>26262</v>
      </c>
      <c r="D632" s="367">
        <v>44165</v>
      </c>
      <c r="E632" s="366" t="s">
        <v>26261</v>
      </c>
      <c r="H632" s="364">
        <v>17</v>
      </c>
      <c r="I632" s="368">
        <v>3.82</v>
      </c>
      <c r="K632" s="105">
        <v>40056.44</v>
      </c>
    </row>
    <row r="633" spans="3:11" x14ac:dyDescent="0.2">
      <c r="C633" s="106" t="s">
        <v>26260</v>
      </c>
      <c r="D633" s="367">
        <v>44165</v>
      </c>
      <c r="E633" s="366" t="s">
        <v>26259</v>
      </c>
      <c r="H633" s="364">
        <v>17</v>
      </c>
      <c r="I633" s="368">
        <v>1.87</v>
      </c>
      <c r="K633" s="105">
        <v>40058.31</v>
      </c>
    </row>
    <row r="634" spans="3:11" x14ac:dyDescent="0.2">
      <c r="C634" s="106" t="s">
        <v>26258</v>
      </c>
      <c r="D634" s="367">
        <v>44165</v>
      </c>
      <c r="E634" s="366" t="s">
        <v>26257</v>
      </c>
      <c r="H634" s="364">
        <v>17</v>
      </c>
      <c r="I634" s="368">
        <v>13.88</v>
      </c>
      <c r="K634" s="105">
        <v>40072.19</v>
      </c>
    </row>
    <row r="635" spans="3:11" x14ac:dyDescent="0.2">
      <c r="C635" s="106" t="s">
        <v>26256</v>
      </c>
      <c r="D635" s="367">
        <v>44165</v>
      </c>
      <c r="E635" s="366" t="s">
        <v>26255</v>
      </c>
      <c r="H635" s="364">
        <v>17</v>
      </c>
      <c r="I635" s="368">
        <v>1.7</v>
      </c>
      <c r="K635" s="105">
        <v>40073.89</v>
      </c>
    </row>
    <row r="636" spans="3:11" x14ac:dyDescent="0.2">
      <c r="C636" s="106" t="s">
        <v>26254</v>
      </c>
      <c r="D636" s="367">
        <v>44165</v>
      </c>
      <c r="E636" s="366" t="s">
        <v>26253</v>
      </c>
      <c r="H636" s="364">
        <v>17</v>
      </c>
      <c r="I636" s="368">
        <v>12.3</v>
      </c>
      <c r="K636" s="105">
        <v>40086.19</v>
      </c>
    </row>
    <row r="637" spans="3:11" x14ac:dyDescent="0.2">
      <c r="C637" s="106" t="s">
        <v>26252</v>
      </c>
      <c r="D637" s="367">
        <v>44165</v>
      </c>
      <c r="E637" s="366" t="s">
        <v>26251</v>
      </c>
      <c r="H637" s="364">
        <v>17</v>
      </c>
      <c r="I637" s="368">
        <v>5.18</v>
      </c>
      <c r="K637" s="105">
        <v>40091.370000000003</v>
      </c>
    </row>
    <row r="638" spans="3:11" x14ac:dyDescent="0.2">
      <c r="C638" s="106" t="s">
        <v>26250</v>
      </c>
      <c r="D638" s="367">
        <v>44165</v>
      </c>
      <c r="E638" s="366" t="s">
        <v>26249</v>
      </c>
      <c r="H638" s="364">
        <v>17</v>
      </c>
      <c r="I638" s="368">
        <v>379.42</v>
      </c>
      <c r="K638" s="105">
        <v>40470.79</v>
      </c>
    </row>
    <row r="639" spans="3:11" x14ac:dyDescent="0.2">
      <c r="C639" s="106" t="s">
        <v>26248</v>
      </c>
      <c r="D639" s="367">
        <v>44165</v>
      </c>
      <c r="E639" s="366" t="s">
        <v>26247</v>
      </c>
      <c r="H639" s="364">
        <v>17</v>
      </c>
      <c r="I639" s="368">
        <v>6.72</v>
      </c>
      <c r="K639" s="105">
        <v>40477.51</v>
      </c>
    </row>
    <row r="640" spans="3:11" x14ac:dyDescent="0.2">
      <c r="C640" s="106" t="s">
        <v>26246</v>
      </c>
      <c r="D640" s="367">
        <v>44165</v>
      </c>
      <c r="E640" s="366" t="s">
        <v>26245</v>
      </c>
      <c r="H640" s="364">
        <v>17</v>
      </c>
      <c r="I640" s="368">
        <v>14.97</v>
      </c>
      <c r="K640" s="105">
        <v>40492.480000000003</v>
      </c>
    </row>
    <row r="641" spans="3:11" x14ac:dyDescent="0.2">
      <c r="C641" s="106" t="s">
        <v>26244</v>
      </c>
      <c r="D641" s="367">
        <v>44165</v>
      </c>
      <c r="E641" s="366" t="s">
        <v>26243</v>
      </c>
      <c r="I641" s="105">
        <v>19.350000000000001</v>
      </c>
      <c r="K641" s="105">
        <v>40511.83</v>
      </c>
    </row>
    <row r="642" spans="3:11" x14ac:dyDescent="0.2">
      <c r="C642" s="106" t="s">
        <v>26242</v>
      </c>
      <c r="D642" s="367">
        <v>44165</v>
      </c>
      <c r="E642" s="366" t="s">
        <v>26241</v>
      </c>
      <c r="I642" s="105">
        <v>6.53</v>
      </c>
      <c r="K642" s="105">
        <v>40518.36</v>
      </c>
    </row>
    <row r="643" spans="3:11" x14ac:dyDescent="0.2">
      <c r="C643" s="106" t="s">
        <v>26240</v>
      </c>
      <c r="D643" s="367">
        <v>44165</v>
      </c>
      <c r="E643" s="366" t="s">
        <v>26239</v>
      </c>
      <c r="I643" s="105">
        <v>4.37</v>
      </c>
      <c r="K643" s="105">
        <v>40522.730000000003</v>
      </c>
    </row>
    <row r="644" spans="3:11" x14ac:dyDescent="0.2">
      <c r="C644" s="106" t="s">
        <v>26238</v>
      </c>
      <c r="D644" s="367">
        <v>44165</v>
      </c>
      <c r="E644" s="366" t="s">
        <v>26237</v>
      </c>
      <c r="I644" s="105">
        <v>6.83</v>
      </c>
      <c r="K644" s="105">
        <v>40529.56</v>
      </c>
    </row>
    <row r="645" spans="3:11" x14ac:dyDescent="0.2">
      <c r="C645" s="106" t="s">
        <v>26236</v>
      </c>
      <c r="D645" s="367">
        <v>44165</v>
      </c>
      <c r="E645" s="366" t="s">
        <v>26235</v>
      </c>
      <c r="I645" s="105">
        <v>2.99</v>
      </c>
      <c r="K645" s="105">
        <v>40532.550000000003</v>
      </c>
    </row>
    <row r="646" spans="3:11" x14ac:dyDescent="0.2">
      <c r="C646" s="106" t="s">
        <v>26234</v>
      </c>
      <c r="D646" s="367">
        <v>44165</v>
      </c>
      <c r="E646" s="366" t="s">
        <v>26233</v>
      </c>
      <c r="I646" s="105">
        <v>8.98</v>
      </c>
      <c r="K646" s="105">
        <v>40541.53</v>
      </c>
    </row>
    <row r="647" spans="3:11" x14ac:dyDescent="0.2">
      <c r="C647" s="106" t="s">
        <v>26232</v>
      </c>
      <c r="D647" s="367">
        <v>44165</v>
      </c>
      <c r="E647" s="366" t="s">
        <v>26231</v>
      </c>
      <c r="I647" s="105">
        <v>20.440000000000001</v>
      </c>
      <c r="K647" s="105">
        <v>40561.97</v>
      </c>
    </row>
    <row r="648" spans="3:11" x14ac:dyDescent="0.2">
      <c r="C648" s="106" t="s">
        <v>26230</v>
      </c>
      <c r="D648" s="367">
        <v>44165</v>
      </c>
      <c r="E648" s="366" t="s">
        <v>26229</v>
      </c>
      <c r="I648" s="105">
        <v>4.1900000000000004</v>
      </c>
      <c r="K648" s="105">
        <v>40566.160000000003</v>
      </c>
    </row>
    <row r="649" spans="3:11" x14ac:dyDescent="0.2">
      <c r="C649" s="106" t="s">
        <v>26228</v>
      </c>
      <c r="D649" s="367">
        <v>44165</v>
      </c>
      <c r="E649" s="366" t="s">
        <v>26227</v>
      </c>
      <c r="I649" s="105">
        <v>1.68</v>
      </c>
      <c r="K649" s="105">
        <v>40567.839999999997</v>
      </c>
    </row>
    <row r="650" spans="3:11" x14ac:dyDescent="0.2">
      <c r="C650" s="106" t="s">
        <v>26226</v>
      </c>
      <c r="D650" s="367">
        <v>44165</v>
      </c>
      <c r="E650" s="366" t="s">
        <v>26225</v>
      </c>
      <c r="I650" s="105">
        <v>10.36</v>
      </c>
      <c r="K650" s="105">
        <v>40578.199999999997</v>
      </c>
    </row>
    <row r="651" spans="3:11" x14ac:dyDescent="0.2">
      <c r="C651" s="106" t="s">
        <v>26224</v>
      </c>
      <c r="D651" s="367">
        <v>44165</v>
      </c>
      <c r="E651" s="366" t="s">
        <v>26223</v>
      </c>
      <c r="I651" s="105">
        <v>6.98</v>
      </c>
      <c r="K651" s="105">
        <v>40585.18</v>
      </c>
    </row>
    <row r="652" spans="3:11" x14ac:dyDescent="0.2">
      <c r="C652" s="106" t="s">
        <v>26222</v>
      </c>
      <c r="D652" s="367">
        <v>44165</v>
      </c>
      <c r="E652" s="366" t="s">
        <v>26221</v>
      </c>
      <c r="I652" s="105">
        <v>24.63</v>
      </c>
      <c r="K652" s="105">
        <v>40609.81</v>
      </c>
    </row>
    <row r="653" spans="3:11" x14ac:dyDescent="0.2">
      <c r="C653" s="106" t="s">
        <v>26220</v>
      </c>
      <c r="D653" s="367">
        <v>44165</v>
      </c>
      <c r="E653" s="366" t="s">
        <v>26219</v>
      </c>
      <c r="I653" s="105">
        <v>3.36</v>
      </c>
      <c r="K653" s="105">
        <v>40613.17</v>
      </c>
    </row>
    <row r="654" spans="3:11" x14ac:dyDescent="0.2">
      <c r="C654" s="106" t="s">
        <v>26218</v>
      </c>
      <c r="D654" s="367">
        <v>44165</v>
      </c>
      <c r="E654" s="366" t="s">
        <v>26217</v>
      </c>
      <c r="I654" s="105">
        <v>1.2</v>
      </c>
      <c r="K654" s="105">
        <v>40614.370000000003</v>
      </c>
    </row>
    <row r="655" spans="3:11" x14ac:dyDescent="0.2">
      <c r="C655" s="106" t="s">
        <v>26216</v>
      </c>
      <c r="D655" s="367">
        <v>44165</v>
      </c>
      <c r="E655" s="366" t="s">
        <v>26215</v>
      </c>
      <c r="I655" s="105">
        <v>17.12</v>
      </c>
      <c r="K655" s="105">
        <v>40631.49</v>
      </c>
    </row>
    <row r="656" spans="3:11" x14ac:dyDescent="0.2">
      <c r="C656" s="106" t="s">
        <v>26214</v>
      </c>
      <c r="D656" s="367">
        <v>44165</v>
      </c>
      <c r="E656" s="366" t="s">
        <v>26213</v>
      </c>
      <c r="I656" s="105">
        <v>4.9400000000000004</v>
      </c>
      <c r="K656" s="105">
        <v>40636.43</v>
      </c>
    </row>
    <row r="657" spans="3:11" x14ac:dyDescent="0.2">
      <c r="C657" s="106" t="s">
        <v>26212</v>
      </c>
      <c r="D657" s="367">
        <v>44165</v>
      </c>
      <c r="E657" s="366" t="s">
        <v>26211</v>
      </c>
      <c r="I657" s="105">
        <v>1.74</v>
      </c>
      <c r="K657" s="105">
        <v>40638.17</v>
      </c>
    </row>
    <row r="658" spans="3:11" x14ac:dyDescent="0.2">
      <c r="C658" s="106" t="s">
        <v>26210</v>
      </c>
      <c r="D658" s="367">
        <v>44165</v>
      </c>
      <c r="E658" s="366" t="s">
        <v>26209</v>
      </c>
      <c r="I658" s="105">
        <v>5.86</v>
      </c>
      <c r="K658" s="105">
        <v>40644.03</v>
      </c>
    </row>
    <row r="659" spans="3:11" x14ac:dyDescent="0.2">
      <c r="C659" s="106" t="s">
        <v>26208</v>
      </c>
      <c r="D659" s="367">
        <v>44165</v>
      </c>
      <c r="E659" s="366" t="s">
        <v>26207</v>
      </c>
      <c r="I659" s="105">
        <v>8.3800000000000008</v>
      </c>
      <c r="K659" s="105">
        <v>40652.410000000003</v>
      </c>
    </row>
    <row r="660" spans="3:11" x14ac:dyDescent="0.2">
      <c r="C660" s="106" t="s">
        <v>26206</v>
      </c>
      <c r="D660" s="367">
        <v>44165</v>
      </c>
      <c r="E660" s="366" t="s">
        <v>26205</v>
      </c>
      <c r="I660" s="105">
        <v>8.3800000000000008</v>
      </c>
      <c r="K660" s="105">
        <v>40660.79</v>
      </c>
    </row>
    <row r="661" spans="3:11" x14ac:dyDescent="0.2">
      <c r="C661" s="106" t="s">
        <v>26204</v>
      </c>
      <c r="D661" s="367">
        <v>44165</v>
      </c>
      <c r="E661" s="366" t="s">
        <v>26203</v>
      </c>
      <c r="I661" s="105">
        <v>8.16</v>
      </c>
      <c r="K661" s="105">
        <v>40668.949999999997</v>
      </c>
    </row>
    <row r="662" spans="3:11" x14ac:dyDescent="0.2">
      <c r="C662" s="106" t="s">
        <v>26202</v>
      </c>
      <c r="D662" s="367">
        <v>44165</v>
      </c>
      <c r="E662" s="366" t="s">
        <v>26201</v>
      </c>
      <c r="I662" s="105">
        <v>5.04</v>
      </c>
      <c r="K662" s="105">
        <v>40673.99</v>
      </c>
    </row>
    <row r="663" spans="3:11" x14ac:dyDescent="0.2">
      <c r="C663" s="106" t="s">
        <v>26200</v>
      </c>
      <c r="D663" s="367">
        <v>44165</v>
      </c>
      <c r="E663" s="366" t="s">
        <v>26199</v>
      </c>
      <c r="I663" s="105">
        <v>8.3800000000000008</v>
      </c>
      <c r="K663" s="105">
        <v>40682.370000000003</v>
      </c>
    </row>
    <row r="664" spans="3:11" x14ac:dyDescent="0.2">
      <c r="C664" s="106" t="s">
        <v>26198</v>
      </c>
      <c r="D664" s="367">
        <v>44165</v>
      </c>
      <c r="E664" s="366" t="s">
        <v>26197</v>
      </c>
      <c r="I664" s="105">
        <v>4.1100000000000003</v>
      </c>
      <c r="K664" s="105">
        <v>40686.480000000003</v>
      </c>
    </row>
    <row r="665" spans="3:11" x14ac:dyDescent="0.2">
      <c r="C665" s="106" t="s">
        <v>26196</v>
      </c>
      <c r="D665" s="367">
        <v>44165</v>
      </c>
      <c r="E665" s="366" t="s">
        <v>26195</v>
      </c>
      <c r="H665" s="364">
        <v>17</v>
      </c>
      <c r="I665" s="368">
        <v>24.05</v>
      </c>
      <c r="K665" s="105">
        <v>40710.53</v>
      </c>
    </row>
    <row r="666" spans="3:11" x14ac:dyDescent="0.2">
      <c r="C666" s="106" t="s">
        <v>18949</v>
      </c>
      <c r="D666" s="367">
        <v>44165</v>
      </c>
      <c r="E666" s="366" t="s">
        <v>28273</v>
      </c>
      <c r="J666" s="375">
        <v>210</v>
      </c>
      <c r="K666" s="105">
        <v>40500.53</v>
      </c>
    </row>
    <row r="667" spans="3:11" x14ac:dyDescent="0.2">
      <c r="C667" s="106" t="s">
        <v>18947</v>
      </c>
      <c r="D667" s="367">
        <v>44165</v>
      </c>
      <c r="E667" s="366" t="s">
        <v>28272</v>
      </c>
      <c r="J667" s="375">
        <v>400</v>
      </c>
      <c r="K667" s="105">
        <v>40100.53</v>
      </c>
    </row>
    <row r="668" spans="3:11" x14ac:dyDescent="0.2">
      <c r="C668" s="106" t="s">
        <v>24130</v>
      </c>
      <c r="D668" s="367">
        <v>44165</v>
      </c>
      <c r="E668" s="366" t="s">
        <v>28271</v>
      </c>
      <c r="J668" s="375">
        <v>1607.47</v>
      </c>
      <c r="K668" s="105">
        <v>38493.06</v>
      </c>
    </row>
    <row r="669" spans="3:11" x14ac:dyDescent="0.2">
      <c r="C669" s="106" t="s">
        <v>23825</v>
      </c>
      <c r="D669" s="367">
        <v>44165</v>
      </c>
      <c r="E669" s="366" t="s">
        <v>28270</v>
      </c>
      <c r="J669" s="375">
        <v>2971.78</v>
      </c>
      <c r="K669" s="105">
        <v>35521.279999999999</v>
      </c>
    </row>
    <row r="670" spans="3:11" x14ac:dyDescent="0.2">
      <c r="C670" s="104" t="s">
        <v>323</v>
      </c>
      <c r="D670" s="376">
        <v>39179.839999999997</v>
      </c>
      <c r="E670" s="104" t="s">
        <v>322</v>
      </c>
      <c r="F670" s="376">
        <v>34092.35</v>
      </c>
      <c r="G670" s="104" t="s">
        <v>321</v>
      </c>
      <c r="H670" s="105">
        <v>37750.910000000003</v>
      </c>
      <c r="J670" s="104" t="s">
        <v>320</v>
      </c>
      <c r="K670" s="376">
        <v>35521.279999999999</v>
      </c>
    </row>
    <row r="673" spans="5:11" x14ac:dyDescent="0.2">
      <c r="E673" s="377"/>
      <c r="K673" s="273"/>
    </row>
  </sheetData>
  <pageMargins left="0.75" right="0.75" top="1" bottom="1" header="0" footer="0"/>
  <pageSetup orientation="portrait" errors="NA" horizontalDpi="0" verticalDpi="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C2C45-81C0-4E7E-9AC2-5C49B29CDC24}">
  <sheetPr>
    <pageSetUpPr fitToPage="1"/>
  </sheetPr>
  <dimension ref="A1:G221"/>
  <sheetViews>
    <sheetView topLeftCell="B195" zoomScaleNormal="100" workbookViewId="0">
      <selection activeCell="C207" sqref="C207"/>
    </sheetView>
  </sheetViews>
  <sheetFormatPr baseColWidth="10" defaultRowHeight="15" x14ac:dyDescent="0.25"/>
  <cols>
    <col min="2" max="2" width="45.42578125" customWidth="1"/>
    <col min="3" max="3" width="8.7109375" style="169" customWidth="1"/>
    <col min="4" max="4" width="12" customWidth="1"/>
    <col min="5" max="5" width="15.7109375" bestFit="1" customWidth="1"/>
    <col min="6" max="6" width="10.28515625" bestFit="1" customWidth="1"/>
    <col min="7" max="7" width="10.7109375" customWidth="1"/>
    <col min="258" max="258" width="45.42578125" customWidth="1"/>
    <col min="259" max="259" width="7.7109375" customWidth="1"/>
    <col min="260" max="260" width="12" customWidth="1"/>
    <col min="261" max="261" width="15.7109375" bestFit="1" customWidth="1"/>
    <col min="262" max="262" width="10.28515625" bestFit="1" customWidth="1"/>
    <col min="263" max="263" width="10.7109375" customWidth="1"/>
    <col min="514" max="514" width="45.42578125" customWidth="1"/>
    <col min="515" max="515" width="7.7109375" customWidth="1"/>
    <col min="516" max="516" width="12" customWidth="1"/>
    <col min="517" max="517" width="15.7109375" bestFit="1" customWidth="1"/>
    <col min="518" max="518" width="10.28515625" bestFit="1" customWidth="1"/>
    <col min="519" max="519" width="10.7109375" customWidth="1"/>
    <col min="770" max="770" width="45.42578125" customWidth="1"/>
    <col min="771" max="771" width="7.7109375" customWidth="1"/>
    <col min="772" max="772" width="12" customWidth="1"/>
    <col min="773" max="773" width="15.7109375" bestFit="1" customWidth="1"/>
    <col min="774" max="774" width="10.28515625" bestFit="1" customWidth="1"/>
    <col min="775" max="775" width="10.7109375" customWidth="1"/>
    <col min="1026" max="1026" width="45.42578125" customWidth="1"/>
    <col min="1027" max="1027" width="7.7109375" customWidth="1"/>
    <col min="1028" max="1028" width="12" customWidth="1"/>
    <col min="1029" max="1029" width="15.7109375" bestFit="1" customWidth="1"/>
    <col min="1030" max="1030" width="10.28515625" bestFit="1" customWidth="1"/>
    <col min="1031" max="1031" width="10.7109375" customWidth="1"/>
    <col min="1282" max="1282" width="45.42578125" customWidth="1"/>
    <col min="1283" max="1283" width="7.7109375" customWidth="1"/>
    <col min="1284" max="1284" width="12" customWidth="1"/>
    <col min="1285" max="1285" width="15.7109375" bestFit="1" customWidth="1"/>
    <col min="1286" max="1286" width="10.28515625" bestFit="1" customWidth="1"/>
    <col min="1287" max="1287" width="10.7109375" customWidth="1"/>
    <col min="1538" max="1538" width="45.42578125" customWidth="1"/>
    <col min="1539" max="1539" width="7.7109375" customWidth="1"/>
    <col min="1540" max="1540" width="12" customWidth="1"/>
    <col min="1541" max="1541" width="15.7109375" bestFit="1" customWidth="1"/>
    <col min="1542" max="1542" width="10.28515625" bestFit="1" customWidth="1"/>
    <col min="1543" max="1543" width="10.7109375" customWidth="1"/>
    <col min="1794" max="1794" width="45.42578125" customWidth="1"/>
    <col min="1795" max="1795" width="7.7109375" customWidth="1"/>
    <col min="1796" max="1796" width="12" customWidth="1"/>
    <col min="1797" max="1797" width="15.7109375" bestFit="1" customWidth="1"/>
    <col min="1798" max="1798" width="10.28515625" bestFit="1" customWidth="1"/>
    <col min="1799" max="1799" width="10.7109375" customWidth="1"/>
    <col min="2050" max="2050" width="45.42578125" customWidth="1"/>
    <col min="2051" max="2051" width="7.7109375" customWidth="1"/>
    <col min="2052" max="2052" width="12" customWidth="1"/>
    <col min="2053" max="2053" width="15.7109375" bestFit="1" customWidth="1"/>
    <col min="2054" max="2054" width="10.28515625" bestFit="1" customWidth="1"/>
    <col min="2055" max="2055" width="10.7109375" customWidth="1"/>
    <col min="2306" max="2306" width="45.42578125" customWidth="1"/>
    <col min="2307" max="2307" width="7.7109375" customWidth="1"/>
    <col min="2308" max="2308" width="12" customWidth="1"/>
    <col min="2309" max="2309" width="15.7109375" bestFit="1" customWidth="1"/>
    <col min="2310" max="2310" width="10.28515625" bestFit="1" customWidth="1"/>
    <col min="2311" max="2311" width="10.7109375" customWidth="1"/>
    <col min="2562" max="2562" width="45.42578125" customWidth="1"/>
    <col min="2563" max="2563" width="7.7109375" customWidth="1"/>
    <col min="2564" max="2564" width="12" customWidth="1"/>
    <col min="2565" max="2565" width="15.7109375" bestFit="1" customWidth="1"/>
    <col min="2566" max="2566" width="10.28515625" bestFit="1" customWidth="1"/>
    <col min="2567" max="2567" width="10.7109375" customWidth="1"/>
    <col min="2818" max="2818" width="45.42578125" customWidth="1"/>
    <col min="2819" max="2819" width="7.7109375" customWidth="1"/>
    <col min="2820" max="2820" width="12" customWidth="1"/>
    <col min="2821" max="2821" width="15.7109375" bestFit="1" customWidth="1"/>
    <col min="2822" max="2822" width="10.28515625" bestFit="1" customWidth="1"/>
    <col min="2823" max="2823" width="10.7109375" customWidth="1"/>
    <col min="3074" max="3074" width="45.42578125" customWidth="1"/>
    <col min="3075" max="3075" width="7.7109375" customWidth="1"/>
    <col min="3076" max="3076" width="12" customWidth="1"/>
    <col min="3077" max="3077" width="15.7109375" bestFit="1" customWidth="1"/>
    <col min="3078" max="3078" width="10.28515625" bestFit="1" customWidth="1"/>
    <col min="3079" max="3079" width="10.7109375" customWidth="1"/>
    <col min="3330" max="3330" width="45.42578125" customWidth="1"/>
    <col min="3331" max="3331" width="7.7109375" customWidth="1"/>
    <col min="3332" max="3332" width="12" customWidth="1"/>
    <col min="3333" max="3333" width="15.7109375" bestFit="1" customWidth="1"/>
    <col min="3334" max="3334" width="10.28515625" bestFit="1" customWidth="1"/>
    <col min="3335" max="3335" width="10.7109375" customWidth="1"/>
    <col min="3586" max="3586" width="45.42578125" customWidth="1"/>
    <col min="3587" max="3587" width="7.7109375" customWidth="1"/>
    <col min="3588" max="3588" width="12" customWidth="1"/>
    <col min="3589" max="3589" width="15.7109375" bestFit="1" customWidth="1"/>
    <col min="3590" max="3590" width="10.28515625" bestFit="1" customWidth="1"/>
    <col min="3591" max="3591" width="10.7109375" customWidth="1"/>
    <col min="3842" max="3842" width="45.42578125" customWidth="1"/>
    <col min="3843" max="3843" width="7.7109375" customWidth="1"/>
    <col min="3844" max="3844" width="12" customWidth="1"/>
    <col min="3845" max="3845" width="15.7109375" bestFit="1" customWidth="1"/>
    <col min="3846" max="3846" width="10.28515625" bestFit="1" customWidth="1"/>
    <col min="3847" max="3847" width="10.7109375" customWidth="1"/>
    <col min="4098" max="4098" width="45.42578125" customWidth="1"/>
    <col min="4099" max="4099" width="7.7109375" customWidth="1"/>
    <col min="4100" max="4100" width="12" customWidth="1"/>
    <col min="4101" max="4101" width="15.7109375" bestFit="1" customWidth="1"/>
    <col min="4102" max="4102" width="10.28515625" bestFit="1" customWidth="1"/>
    <col min="4103" max="4103" width="10.7109375" customWidth="1"/>
    <col min="4354" max="4354" width="45.42578125" customWidth="1"/>
    <col min="4355" max="4355" width="7.7109375" customWidth="1"/>
    <col min="4356" max="4356" width="12" customWidth="1"/>
    <col min="4357" max="4357" width="15.7109375" bestFit="1" customWidth="1"/>
    <col min="4358" max="4358" width="10.28515625" bestFit="1" customWidth="1"/>
    <col min="4359" max="4359" width="10.7109375" customWidth="1"/>
    <col min="4610" max="4610" width="45.42578125" customWidth="1"/>
    <col min="4611" max="4611" width="7.7109375" customWidth="1"/>
    <col min="4612" max="4612" width="12" customWidth="1"/>
    <col min="4613" max="4613" width="15.7109375" bestFit="1" customWidth="1"/>
    <col min="4614" max="4614" width="10.28515625" bestFit="1" customWidth="1"/>
    <col min="4615" max="4615" width="10.7109375" customWidth="1"/>
    <col min="4866" max="4866" width="45.42578125" customWidth="1"/>
    <col min="4867" max="4867" width="7.7109375" customWidth="1"/>
    <col min="4868" max="4868" width="12" customWidth="1"/>
    <col min="4869" max="4869" width="15.7109375" bestFit="1" customWidth="1"/>
    <col min="4870" max="4870" width="10.28515625" bestFit="1" customWidth="1"/>
    <col min="4871" max="4871" width="10.7109375" customWidth="1"/>
    <col min="5122" max="5122" width="45.42578125" customWidth="1"/>
    <col min="5123" max="5123" width="7.7109375" customWidth="1"/>
    <col min="5124" max="5124" width="12" customWidth="1"/>
    <col min="5125" max="5125" width="15.7109375" bestFit="1" customWidth="1"/>
    <col min="5126" max="5126" width="10.28515625" bestFit="1" customWidth="1"/>
    <col min="5127" max="5127" width="10.7109375" customWidth="1"/>
    <col min="5378" max="5378" width="45.42578125" customWidth="1"/>
    <col min="5379" max="5379" width="7.7109375" customWidth="1"/>
    <col min="5380" max="5380" width="12" customWidth="1"/>
    <col min="5381" max="5381" width="15.7109375" bestFit="1" customWidth="1"/>
    <col min="5382" max="5382" width="10.28515625" bestFit="1" customWidth="1"/>
    <col min="5383" max="5383" width="10.7109375" customWidth="1"/>
    <col min="5634" max="5634" width="45.42578125" customWidth="1"/>
    <col min="5635" max="5635" width="7.7109375" customWidth="1"/>
    <col min="5636" max="5636" width="12" customWidth="1"/>
    <col min="5637" max="5637" width="15.7109375" bestFit="1" customWidth="1"/>
    <col min="5638" max="5638" width="10.28515625" bestFit="1" customWidth="1"/>
    <col min="5639" max="5639" width="10.7109375" customWidth="1"/>
    <col min="5890" max="5890" width="45.42578125" customWidth="1"/>
    <col min="5891" max="5891" width="7.7109375" customWidth="1"/>
    <col min="5892" max="5892" width="12" customWidth="1"/>
    <col min="5893" max="5893" width="15.7109375" bestFit="1" customWidth="1"/>
    <col min="5894" max="5894" width="10.28515625" bestFit="1" customWidth="1"/>
    <col min="5895" max="5895" width="10.7109375" customWidth="1"/>
    <col min="6146" max="6146" width="45.42578125" customWidth="1"/>
    <col min="6147" max="6147" width="7.7109375" customWidth="1"/>
    <col min="6148" max="6148" width="12" customWidth="1"/>
    <col min="6149" max="6149" width="15.7109375" bestFit="1" customWidth="1"/>
    <col min="6150" max="6150" width="10.28515625" bestFit="1" customWidth="1"/>
    <col min="6151" max="6151" width="10.7109375" customWidth="1"/>
    <col min="6402" max="6402" width="45.42578125" customWidth="1"/>
    <col min="6403" max="6403" width="7.7109375" customWidth="1"/>
    <col min="6404" max="6404" width="12" customWidth="1"/>
    <col min="6405" max="6405" width="15.7109375" bestFit="1" customWidth="1"/>
    <col min="6406" max="6406" width="10.28515625" bestFit="1" customWidth="1"/>
    <col min="6407" max="6407" width="10.7109375" customWidth="1"/>
    <col min="6658" max="6658" width="45.42578125" customWidth="1"/>
    <col min="6659" max="6659" width="7.7109375" customWidth="1"/>
    <col min="6660" max="6660" width="12" customWidth="1"/>
    <col min="6661" max="6661" width="15.7109375" bestFit="1" customWidth="1"/>
    <col min="6662" max="6662" width="10.28515625" bestFit="1" customWidth="1"/>
    <col min="6663" max="6663" width="10.7109375" customWidth="1"/>
    <col min="6914" max="6914" width="45.42578125" customWidth="1"/>
    <col min="6915" max="6915" width="7.7109375" customWidth="1"/>
    <col min="6916" max="6916" width="12" customWidth="1"/>
    <col min="6917" max="6917" width="15.7109375" bestFit="1" customWidth="1"/>
    <col min="6918" max="6918" width="10.28515625" bestFit="1" customWidth="1"/>
    <col min="6919" max="6919" width="10.7109375" customWidth="1"/>
    <col min="7170" max="7170" width="45.42578125" customWidth="1"/>
    <col min="7171" max="7171" width="7.7109375" customWidth="1"/>
    <col min="7172" max="7172" width="12" customWidth="1"/>
    <col min="7173" max="7173" width="15.7109375" bestFit="1" customWidth="1"/>
    <col min="7174" max="7174" width="10.28515625" bestFit="1" customWidth="1"/>
    <col min="7175" max="7175" width="10.7109375" customWidth="1"/>
    <col min="7426" max="7426" width="45.42578125" customWidth="1"/>
    <col min="7427" max="7427" width="7.7109375" customWidth="1"/>
    <col min="7428" max="7428" width="12" customWidth="1"/>
    <col min="7429" max="7429" width="15.7109375" bestFit="1" customWidth="1"/>
    <col min="7430" max="7430" width="10.28515625" bestFit="1" customWidth="1"/>
    <col min="7431" max="7431" width="10.7109375" customWidth="1"/>
    <col min="7682" max="7682" width="45.42578125" customWidth="1"/>
    <col min="7683" max="7683" width="7.7109375" customWidth="1"/>
    <col min="7684" max="7684" width="12" customWidth="1"/>
    <col min="7685" max="7685" width="15.7109375" bestFit="1" customWidth="1"/>
    <col min="7686" max="7686" width="10.28515625" bestFit="1" customWidth="1"/>
    <col min="7687" max="7687" width="10.7109375" customWidth="1"/>
    <col min="7938" max="7938" width="45.42578125" customWidth="1"/>
    <col min="7939" max="7939" width="7.7109375" customWidth="1"/>
    <col min="7940" max="7940" width="12" customWidth="1"/>
    <col min="7941" max="7941" width="15.7109375" bestFit="1" customWidth="1"/>
    <col min="7942" max="7942" width="10.28515625" bestFit="1" customWidth="1"/>
    <col min="7943" max="7943" width="10.7109375" customWidth="1"/>
    <col min="8194" max="8194" width="45.42578125" customWidth="1"/>
    <col min="8195" max="8195" width="7.7109375" customWidth="1"/>
    <col min="8196" max="8196" width="12" customWidth="1"/>
    <col min="8197" max="8197" width="15.7109375" bestFit="1" customWidth="1"/>
    <col min="8198" max="8198" width="10.28515625" bestFit="1" customWidth="1"/>
    <col min="8199" max="8199" width="10.7109375" customWidth="1"/>
    <col min="8450" max="8450" width="45.42578125" customWidth="1"/>
    <col min="8451" max="8451" width="7.7109375" customWidth="1"/>
    <col min="8452" max="8452" width="12" customWidth="1"/>
    <col min="8453" max="8453" width="15.7109375" bestFit="1" customWidth="1"/>
    <col min="8454" max="8454" width="10.28515625" bestFit="1" customWidth="1"/>
    <col min="8455" max="8455" width="10.7109375" customWidth="1"/>
    <col min="8706" max="8706" width="45.42578125" customWidth="1"/>
    <col min="8707" max="8707" width="7.7109375" customWidth="1"/>
    <col min="8708" max="8708" width="12" customWidth="1"/>
    <col min="8709" max="8709" width="15.7109375" bestFit="1" customWidth="1"/>
    <col min="8710" max="8710" width="10.28515625" bestFit="1" customWidth="1"/>
    <col min="8711" max="8711" width="10.7109375" customWidth="1"/>
    <col min="8962" max="8962" width="45.42578125" customWidth="1"/>
    <col min="8963" max="8963" width="7.7109375" customWidth="1"/>
    <col min="8964" max="8964" width="12" customWidth="1"/>
    <col min="8965" max="8965" width="15.7109375" bestFit="1" customWidth="1"/>
    <col min="8966" max="8966" width="10.28515625" bestFit="1" customWidth="1"/>
    <col min="8967" max="8967" width="10.7109375" customWidth="1"/>
    <col min="9218" max="9218" width="45.42578125" customWidth="1"/>
    <col min="9219" max="9219" width="7.7109375" customWidth="1"/>
    <col min="9220" max="9220" width="12" customWidth="1"/>
    <col min="9221" max="9221" width="15.7109375" bestFit="1" customWidth="1"/>
    <col min="9222" max="9222" width="10.28515625" bestFit="1" customWidth="1"/>
    <col min="9223" max="9223" width="10.7109375" customWidth="1"/>
    <col min="9474" max="9474" width="45.42578125" customWidth="1"/>
    <col min="9475" max="9475" width="7.7109375" customWidth="1"/>
    <col min="9476" max="9476" width="12" customWidth="1"/>
    <col min="9477" max="9477" width="15.7109375" bestFit="1" customWidth="1"/>
    <col min="9478" max="9478" width="10.28515625" bestFit="1" customWidth="1"/>
    <col min="9479" max="9479" width="10.7109375" customWidth="1"/>
    <col min="9730" max="9730" width="45.42578125" customWidth="1"/>
    <col min="9731" max="9731" width="7.7109375" customWidth="1"/>
    <col min="9732" max="9732" width="12" customWidth="1"/>
    <col min="9733" max="9733" width="15.7109375" bestFit="1" customWidth="1"/>
    <col min="9734" max="9734" width="10.28515625" bestFit="1" customWidth="1"/>
    <col min="9735" max="9735" width="10.7109375" customWidth="1"/>
    <col min="9986" max="9986" width="45.42578125" customWidth="1"/>
    <col min="9987" max="9987" width="7.7109375" customWidth="1"/>
    <col min="9988" max="9988" width="12" customWidth="1"/>
    <col min="9989" max="9989" width="15.7109375" bestFit="1" customWidth="1"/>
    <col min="9990" max="9990" width="10.28515625" bestFit="1" customWidth="1"/>
    <col min="9991" max="9991" width="10.7109375" customWidth="1"/>
    <col min="10242" max="10242" width="45.42578125" customWidth="1"/>
    <col min="10243" max="10243" width="7.7109375" customWidth="1"/>
    <col min="10244" max="10244" width="12" customWidth="1"/>
    <col min="10245" max="10245" width="15.7109375" bestFit="1" customWidth="1"/>
    <col min="10246" max="10246" width="10.28515625" bestFit="1" customWidth="1"/>
    <col min="10247" max="10247" width="10.7109375" customWidth="1"/>
    <col min="10498" max="10498" width="45.42578125" customWidth="1"/>
    <col min="10499" max="10499" width="7.7109375" customWidth="1"/>
    <col min="10500" max="10500" width="12" customWidth="1"/>
    <col min="10501" max="10501" width="15.7109375" bestFit="1" customWidth="1"/>
    <col min="10502" max="10502" width="10.28515625" bestFit="1" customWidth="1"/>
    <col min="10503" max="10503" width="10.7109375" customWidth="1"/>
    <col min="10754" max="10754" width="45.42578125" customWidth="1"/>
    <col min="10755" max="10755" width="7.7109375" customWidth="1"/>
    <col min="10756" max="10756" width="12" customWidth="1"/>
    <col min="10757" max="10757" width="15.7109375" bestFit="1" customWidth="1"/>
    <col min="10758" max="10758" width="10.28515625" bestFit="1" customWidth="1"/>
    <col min="10759" max="10759" width="10.7109375" customWidth="1"/>
    <col min="11010" max="11010" width="45.42578125" customWidth="1"/>
    <col min="11011" max="11011" width="7.7109375" customWidth="1"/>
    <col min="11012" max="11012" width="12" customWidth="1"/>
    <col min="11013" max="11013" width="15.7109375" bestFit="1" customWidth="1"/>
    <col min="11014" max="11014" width="10.28515625" bestFit="1" customWidth="1"/>
    <col min="11015" max="11015" width="10.7109375" customWidth="1"/>
    <col min="11266" max="11266" width="45.42578125" customWidth="1"/>
    <col min="11267" max="11267" width="7.7109375" customWidth="1"/>
    <col min="11268" max="11268" width="12" customWidth="1"/>
    <col min="11269" max="11269" width="15.7109375" bestFit="1" customWidth="1"/>
    <col min="11270" max="11270" width="10.28515625" bestFit="1" customWidth="1"/>
    <col min="11271" max="11271" width="10.7109375" customWidth="1"/>
    <col min="11522" max="11522" width="45.42578125" customWidth="1"/>
    <col min="11523" max="11523" width="7.7109375" customWidth="1"/>
    <col min="11524" max="11524" width="12" customWidth="1"/>
    <col min="11525" max="11525" width="15.7109375" bestFit="1" customWidth="1"/>
    <col min="11526" max="11526" width="10.28515625" bestFit="1" customWidth="1"/>
    <col min="11527" max="11527" width="10.7109375" customWidth="1"/>
    <col min="11778" max="11778" width="45.42578125" customWidth="1"/>
    <col min="11779" max="11779" width="7.7109375" customWidth="1"/>
    <col min="11780" max="11780" width="12" customWidth="1"/>
    <col min="11781" max="11781" width="15.7109375" bestFit="1" customWidth="1"/>
    <col min="11782" max="11782" width="10.28515625" bestFit="1" customWidth="1"/>
    <col min="11783" max="11783" width="10.7109375" customWidth="1"/>
    <col min="12034" max="12034" width="45.42578125" customWidth="1"/>
    <col min="12035" max="12035" width="7.7109375" customWidth="1"/>
    <col min="12036" max="12036" width="12" customWidth="1"/>
    <col min="12037" max="12037" width="15.7109375" bestFit="1" customWidth="1"/>
    <col min="12038" max="12038" width="10.28515625" bestFit="1" customWidth="1"/>
    <col min="12039" max="12039" width="10.7109375" customWidth="1"/>
    <col min="12290" max="12290" width="45.42578125" customWidth="1"/>
    <col min="12291" max="12291" width="7.7109375" customWidth="1"/>
    <col min="12292" max="12292" width="12" customWidth="1"/>
    <col min="12293" max="12293" width="15.7109375" bestFit="1" customWidth="1"/>
    <col min="12294" max="12294" width="10.28515625" bestFit="1" customWidth="1"/>
    <col min="12295" max="12295" width="10.7109375" customWidth="1"/>
    <col min="12546" max="12546" width="45.42578125" customWidth="1"/>
    <col min="12547" max="12547" width="7.7109375" customWidth="1"/>
    <col min="12548" max="12548" width="12" customWidth="1"/>
    <col min="12549" max="12549" width="15.7109375" bestFit="1" customWidth="1"/>
    <col min="12550" max="12550" width="10.28515625" bestFit="1" customWidth="1"/>
    <col min="12551" max="12551" width="10.7109375" customWidth="1"/>
    <col min="12802" max="12802" width="45.42578125" customWidth="1"/>
    <col min="12803" max="12803" width="7.7109375" customWidth="1"/>
    <col min="12804" max="12804" width="12" customWidth="1"/>
    <col min="12805" max="12805" width="15.7109375" bestFit="1" customWidth="1"/>
    <col min="12806" max="12806" width="10.28515625" bestFit="1" customWidth="1"/>
    <col min="12807" max="12807" width="10.7109375" customWidth="1"/>
    <col min="13058" max="13058" width="45.42578125" customWidth="1"/>
    <col min="13059" max="13059" width="7.7109375" customWidth="1"/>
    <col min="13060" max="13060" width="12" customWidth="1"/>
    <col min="13061" max="13061" width="15.7109375" bestFit="1" customWidth="1"/>
    <col min="13062" max="13062" width="10.28515625" bestFit="1" customWidth="1"/>
    <col min="13063" max="13063" width="10.7109375" customWidth="1"/>
    <col min="13314" max="13314" width="45.42578125" customWidth="1"/>
    <col min="13315" max="13315" width="7.7109375" customWidth="1"/>
    <col min="13316" max="13316" width="12" customWidth="1"/>
    <col min="13317" max="13317" width="15.7109375" bestFit="1" customWidth="1"/>
    <col min="13318" max="13318" width="10.28515625" bestFit="1" customWidth="1"/>
    <col min="13319" max="13319" width="10.7109375" customWidth="1"/>
    <col min="13570" max="13570" width="45.42578125" customWidth="1"/>
    <col min="13571" max="13571" width="7.7109375" customWidth="1"/>
    <col min="13572" max="13572" width="12" customWidth="1"/>
    <col min="13573" max="13573" width="15.7109375" bestFit="1" customWidth="1"/>
    <col min="13574" max="13574" width="10.28515625" bestFit="1" customWidth="1"/>
    <col min="13575" max="13575" width="10.7109375" customWidth="1"/>
    <col min="13826" max="13826" width="45.42578125" customWidth="1"/>
    <col min="13827" max="13827" width="7.7109375" customWidth="1"/>
    <col min="13828" max="13828" width="12" customWidth="1"/>
    <col min="13829" max="13829" width="15.7109375" bestFit="1" customWidth="1"/>
    <col min="13830" max="13830" width="10.28515625" bestFit="1" customWidth="1"/>
    <col min="13831" max="13831" width="10.7109375" customWidth="1"/>
    <col min="14082" max="14082" width="45.42578125" customWidth="1"/>
    <col min="14083" max="14083" width="7.7109375" customWidth="1"/>
    <col min="14084" max="14084" width="12" customWidth="1"/>
    <col min="14085" max="14085" width="15.7109375" bestFit="1" customWidth="1"/>
    <col min="14086" max="14086" width="10.28515625" bestFit="1" customWidth="1"/>
    <col min="14087" max="14087" width="10.7109375" customWidth="1"/>
    <col min="14338" max="14338" width="45.42578125" customWidth="1"/>
    <col min="14339" max="14339" width="7.7109375" customWidth="1"/>
    <col min="14340" max="14340" width="12" customWidth="1"/>
    <col min="14341" max="14341" width="15.7109375" bestFit="1" customWidth="1"/>
    <col min="14342" max="14342" width="10.28515625" bestFit="1" customWidth="1"/>
    <col min="14343" max="14343" width="10.7109375" customWidth="1"/>
    <col min="14594" max="14594" width="45.42578125" customWidth="1"/>
    <col min="14595" max="14595" width="7.7109375" customWidth="1"/>
    <col min="14596" max="14596" width="12" customWidth="1"/>
    <col min="14597" max="14597" width="15.7109375" bestFit="1" customWidth="1"/>
    <col min="14598" max="14598" width="10.28515625" bestFit="1" customWidth="1"/>
    <col min="14599" max="14599" width="10.7109375" customWidth="1"/>
    <col min="14850" max="14850" width="45.42578125" customWidth="1"/>
    <col min="14851" max="14851" width="7.7109375" customWidth="1"/>
    <col min="14852" max="14852" width="12" customWidth="1"/>
    <col min="14853" max="14853" width="15.7109375" bestFit="1" customWidth="1"/>
    <col min="14854" max="14854" width="10.28515625" bestFit="1" customWidth="1"/>
    <col min="14855" max="14855" width="10.7109375" customWidth="1"/>
    <col min="15106" max="15106" width="45.42578125" customWidth="1"/>
    <col min="15107" max="15107" width="7.7109375" customWidth="1"/>
    <col min="15108" max="15108" width="12" customWidth="1"/>
    <col min="15109" max="15109" width="15.7109375" bestFit="1" customWidth="1"/>
    <col min="15110" max="15110" width="10.28515625" bestFit="1" customWidth="1"/>
    <col min="15111" max="15111" width="10.7109375" customWidth="1"/>
    <col min="15362" max="15362" width="45.42578125" customWidth="1"/>
    <col min="15363" max="15363" width="7.7109375" customWidth="1"/>
    <col min="15364" max="15364" width="12" customWidth="1"/>
    <col min="15365" max="15365" width="15.7109375" bestFit="1" customWidth="1"/>
    <col min="15366" max="15366" width="10.28515625" bestFit="1" customWidth="1"/>
    <col min="15367" max="15367" width="10.7109375" customWidth="1"/>
    <col min="15618" max="15618" width="45.42578125" customWidth="1"/>
    <col min="15619" max="15619" width="7.7109375" customWidth="1"/>
    <col min="15620" max="15620" width="12" customWidth="1"/>
    <col min="15621" max="15621" width="15.7109375" bestFit="1" customWidth="1"/>
    <col min="15622" max="15622" width="10.28515625" bestFit="1" customWidth="1"/>
    <col min="15623" max="15623" width="10.7109375" customWidth="1"/>
    <col min="15874" max="15874" width="45.42578125" customWidth="1"/>
    <col min="15875" max="15875" width="7.7109375" customWidth="1"/>
    <col min="15876" max="15876" width="12" customWidth="1"/>
    <col min="15877" max="15877" width="15.7109375" bestFit="1" customWidth="1"/>
    <col min="15878" max="15878" width="10.28515625" bestFit="1" customWidth="1"/>
    <col min="15879" max="15879" width="10.7109375" customWidth="1"/>
    <col min="16130" max="16130" width="45.42578125" customWidth="1"/>
    <col min="16131" max="16131" width="7.7109375" customWidth="1"/>
    <col min="16132" max="16132" width="12" customWidth="1"/>
    <col min="16133" max="16133" width="15.7109375" bestFit="1" customWidth="1"/>
    <col min="16134" max="16134" width="10.28515625" bestFit="1" customWidth="1"/>
    <col min="16135" max="16135" width="10.7109375" customWidth="1"/>
  </cols>
  <sheetData>
    <row r="1" spans="1:6" x14ac:dyDescent="0.25">
      <c r="A1" s="379" t="s">
        <v>27467</v>
      </c>
      <c r="B1" s="379"/>
      <c r="C1" s="379"/>
      <c r="D1" s="379"/>
      <c r="E1" s="379"/>
      <c r="F1" s="379"/>
    </row>
    <row r="2" spans="1:6" x14ac:dyDescent="0.25">
      <c r="A2" s="253" t="s">
        <v>2772</v>
      </c>
      <c r="B2" s="253" t="s">
        <v>2773</v>
      </c>
      <c r="C2" s="165" t="s">
        <v>11</v>
      </c>
      <c r="D2" s="253" t="s">
        <v>2774</v>
      </c>
      <c r="E2" s="253" t="s">
        <v>7</v>
      </c>
      <c r="F2" s="253" t="s">
        <v>2775</v>
      </c>
    </row>
    <row r="3" spans="1:6" x14ac:dyDescent="0.25">
      <c r="A3" s="116" t="str">
        <f>"3909981"</f>
        <v>3909981</v>
      </c>
      <c r="B3" s="116" t="s">
        <v>2845</v>
      </c>
      <c r="C3" s="166">
        <v>4.13</v>
      </c>
      <c r="D3" s="116">
        <v>343847</v>
      </c>
      <c r="E3" s="117">
        <v>44139.788217592592</v>
      </c>
      <c r="F3" s="253">
        <v>12820</v>
      </c>
    </row>
    <row r="4" spans="1:6" x14ac:dyDescent="0.25">
      <c r="A4" s="116" t="str">
        <f>"3945262"</f>
        <v>3945262</v>
      </c>
      <c r="B4" s="116" t="s">
        <v>2857</v>
      </c>
      <c r="C4" s="166">
        <v>6.72</v>
      </c>
      <c r="D4" s="116">
        <v>343575</v>
      </c>
      <c r="E4" s="117">
        <v>44139.788217592592</v>
      </c>
      <c r="F4" s="253">
        <v>12821</v>
      </c>
    </row>
    <row r="5" spans="1:6" x14ac:dyDescent="0.25">
      <c r="A5" s="116" t="str">
        <f>"3940013"</f>
        <v>3940013</v>
      </c>
      <c r="B5" s="116" t="s">
        <v>2854</v>
      </c>
      <c r="C5" s="166">
        <v>16.760000000000002</v>
      </c>
      <c r="D5" s="116">
        <v>343374</v>
      </c>
      <c r="E5" s="117">
        <v>44139.788217592592</v>
      </c>
      <c r="F5" s="253">
        <v>12822</v>
      </c>
    </row>
    <row r="6" spans="1:6" x14ac:dyDescent="0.25">
      <c r="A6" s="116" t="str">
        <f>"3906324"</f>
        <v>3906324</v>
      </c>
      <c r="B6" s="116" t="s">
        <v>2855</v>
      </c>
      <c r="C6" s="166">
        <v>8.3800000000000008</v>
      </c>
      <c r="D6" s="116">
        <v>343592</v>
      </c>
      <c r="E6" s="117">
        <v>44139.788217592592</v>
      </c>
      <c r="F6" s="253">
        <v>12823</v>
      </c>
    </row>
    <row r="7" spans="1:6" x14ac:dyDescent="0.25">
      <c r="A7" s="116" t="str">
        <f>"3945272"</f>
        <v>3945272</v>
      </c>
      <c r="B7" s="116" t="s">
        <v>2853</v>
      </c>
      <c r="C7" s="166">
        <v>8.3800000000000008</v>
      </c>
      <c r="D7" s="116">
        <v>343572</v>
      </c>
      <c r="E7" s="117">
        <v>44139.788217592592</v>
      </c>
      <c r="F7" s="253">
        <v>12824</v>
      </c>
    </row>
    <row r="8" spans="1:6" x14ac:dyDescent="0.25">
      <c r="A8" s="116" t="str">
        <f>"3900389"</f>
        <v>3900389</v>
      </c>
      <c r="B8" s="116" t="s">
        <v>2844</v>
      </c>
      <c r="C8" s="166">
        <v>3.82</v>
      </c>
      <c r="D8" s="116">
        <v>344921</v>
      </c>
      <c r="E8" s="117">
        <v>44139.788217592592</v>
      </c>
      <c r="F8" s="253">
        <v>12825</v>
      </c>
    </row>
    <row r="9" spans="1:6" x14ac:dyDescent="0.25">
      <c r="A9" s="116" t="str">
        <f>"3950328"</f>
        <v>3950328</v>
      </c>
      <c r="B9" s="116" t="s">
        <v>2848</v>
      </c>
      <c r="C9" s="166">
        <v>17.53</v>
      </c>
      <c r="D9" s="116">
        <v>343516</v>
      </c>
      <c r="E9" s="117">
        <v>44139.788217592592</v>
      </c>
      <c r="F9" s="253">
        <v>12826</v>
      </c>
    </row>
    <row r="10" spans="1:6" x14ac:dyDescent="0.25">
      <c r="A10" s="116" t="str">
        <f>"3960264"</f>
        <v>3960264</v>
      </c>
      <c r="B10" s="116" t="s">
        <v>2858</v>
      </c>
      <c r="C10" s="166">
        <v>15.64</v>
      </c>
      <c r="D10" s="116">
        <v>343380</v>
      </c>
      <c r="E10" s="117">
        <v>44139.788217592592</v>
      </c>
      <c r="F10" s="253">
        <v>12827</v>
      </c>
    </row>
    <row r="11" spans="1:6" x14ac:dyDescent="0.25">
      <c r="A11" s="116" t="str">
        <f>"3960232"</f>
        <v>3960232</v>
      </c>
      <c r="B11" s="116" t="s">
        <v>2859</v>
      </c>
      <c r="C11" s="166">
        <v>24.6</v>
      </c>
      <c r="D11" s="116">
        <v>343445</v>
      </c>
      <c r="E11" s="117">
        <v>44139.788217592592</v>
      </c>
      <c r="F11" s="253">
        <v>12828</v>
      </c>
    </row>
    <row r="12" spans="1:6" x14ac:dyDescent="0.25">
      <c r="A12" s="116" t="str">
        <f>"3903282"</f>
        <v>3903282</v>
      </c>
      <c r="B12" s="116" t="s">
        <v>2847</v>
      </c>
      <c r="C12" s="166">
        <v>3.63</v>
      </c>
      <c r="D12" s="116">
        <v>345271</v>
      </c>
      <c r="E12" s="117">
        <v>44139.788217592592</v>
      </c>
      <c r="F12" s="253">
        <v>12829</v>
      </c>
    </row>
    <row r="13" spans="1:6" x14ac:dyDescent="0.25">
      <c r="A13" s="116" t="str">
        <f>"3901113"</f>
        <v>3901113</v>
      </c>
      <c r="B13" s="116" t="s">
        <v>2856</v>
      </c>
      <c r="C13" s="166">
        <v>3.45</v>
      </c>
      <c r="D13" s="116">
        <v>344127</v>
      </c>
      <c r="E13" s="117">
        <v>44139.788217592592</v>
      </c>
      <c r="F13" s="253">
        <v>12830</v>
      </c>
    </row>
    <row r="14" spans="1:6" x14ac:dyDescent="0.25">
      <c r="A14" s="116" t="str">
        <f>"3900676"</f>
        <v>3900676</v>
      </c>
      <c r="B14" s="116" t="s">
        <v>5795</v>
      </c>
      <c r="C14" s="166">
        <v>3.37</v>
      </c>
      <c r="D14" s="116">
        <v>345517</v>
      </c>
      <c r="E14" s="117">
        <v>44139.788217592592</v>
      </c>
      <c r="F14" s="253">
        <v>12831</v>
      </c>
    </row>
    <row r="15" spans="1:6" x14ac:dyDescent="0.25">
      <c r="A15" s="116" t="str">
        <f>"3903098"</f>
        <v>3903098</v>
      </c>
      <c r="B15" s="116" t="s">
        <v>2849</v>
      </c>
      <c r="C15" s="166">
        <v>15.61</v>
      </c>
      <c r="D15" s="116">
        <v>343683</v>
      </c>
      <c r="E15" s="117">
        <v>44139.788217592592</v>
      </c>
      <c r="F15" s="253">
        <v>12832</v>
      </c>
    </row>
    <row r="16" spans="1:6" x14ac:dyDescent="0.25">
      <c r="A16" s="116" t="str">
        <f>"3950041"</f>
        <v>3950041</v>
      </c>
      <c r="B16" s="116" t="s">
        <v>2850</v>
      </c>
      <c r="C16" s="166">
        <v>8.3800000000000008</v>
      </c>
      <c r="D16" s="116">
        <v>343394</v>
      </c>
      <c r="E16" s="117">
        <v>44139.788217592592</v>
      </c>
      <c r="F16" s="253">
        <v>12833</v>
      </c>
    </row>
    <row r="17" spans="1:6" x14ac:dyDescent="0.25">
      <c r="A17" s="116" t="str">
        <f>"3920281"</f>
        <v>3920281</v>
      </c>
      <c r="B17" s="116" t="s">
        <v>2851</v>
      </c>
      <c r="C17" s="166">
        <v>15.64</v>
      </c>
      <c r="D17" s="116">
        <v>343370</v>
      </c>
      <c r="E17" s="117">
        <v>44139.788217592592</v>
      </c>
      <c r="F17" s="253">
        <v>12835</v>
      </c>
    </row>
    <row r="18" spans="1:6" x14ac:dyDescent="0.25">
      <c r="A18" s="116" t="str">
        <f>"3908927"</f>
        <v>3908927</v>
      </c>
      <c r="B18" s="116" t="s">
        <v>2852</v>
      </c>
      <c r="C18" s="166">
        <v>3.36</v>
      </c>
      <c r="D18" s="116">
        <v>344100</v>
      </c>
      <c r="E18" s="117">
        <v>44139.788217592592</v>
      </c>
      <c r="F18" s="253">
        <v>12836</v>
      </c>
    </row>
    <row r="19" spans="1:6" x14ac:dyDescent="0.25">
      <c r="A19" s="116" t="str">
        <f>"3960256"</f>
        <v>3960256</v>
      </c>
      <c r="B19" s="116" t="s">
        <v>2843</v>
      </c>
      <c r="C19" s="166">
        <v>35.799999999999997</v>
      </c>
      <c r="D19" s="116">
        <v>343391</v>
      </c>
      <c r="E19" s="117">
        <v>44139.788217592592</v>
      </c>
      <c r="F19" s="253">
        <v>12837</v>
      </c>
    </row>
    <row r="20" spans="1:6" x14ac:dyDescent="0.25">
      <c r="A20" s="116" t="str">
        <f>"3902750"</f>
        <v>3902750</v>
      </c>
      <c r="B20" s="116" t="s">
        <v>2824</v>
      </c>
      <c r="C20" s="166">
        <v>17.739999999999998</v>
      </c>
      <c r="D20" s="116">
        <v>343561</v>
      </c>
      <c r="E20" s="117">
        <v>44139.788217592592</v>
      </c>
      <c r="F20" s="253">
        <v>12838</v>
      </c>
    </row>
    <row r="21" spans="1:6" x14ac:dyDescent="0.25">
      <c r="A21" s="116" t="str">
        <f>"3960364"</f>
        <v>3960364</v>
      </c>
      <c r="B21" s="116" t="s">
        <v>2839</v>
      </c>
      <c r="C21" s="166">
        <v>35.22</v>
      </c>
      <c r="D21" s="116">
        <v>343458</v>
      </c>
      <c r="E21" s="117">
        <v>44139.788217592592</v>
      </c>
      <c r="F21" s="253">
        <v>12839</v>
      </c>
    </row>
    <row r="22" spans="1:6" x14ac:dyDescent="0.25">
      <c r="A22" s="116" t="str">
        <f>"3945284"</f>
        <v>3945284</v>
      </c>
      <c r="B22" s="116" t="s">
        <v>2842</v>
      </c>
      <c r="C22" s="166">
        <v>21.51</v>
      </c>
      <c r="D22" s="116">
        <v>343574</v>
      </c>
      <c r="E22" s="117">
        <v>44139.788217592592</v>
      </c>
      <c r="F22" s="253">
        <v>12840</v>
      </c>
    </row>
    <row r="23" spans="1:6" x14ac:dyDescent="0.25">
      <c r="A23" s="116" t="str">
        <f>"3909936"</f>
        <v>3909936</v>
      </c>
      <c r="B23" s="116" t="s">
        <v>2820</v>
      </c>
      <c r="C23" s="166">
        <v>3.36</v>
      </c>
      <c r="D23" s="116">
        <v>343922</v>
      </c>
      <c r="E23" s="117">
        <v>44139.788217592592</v>
      </c>
      <c r="F23" s="253">
        <v>12841</v>
      </c>
    </row>
    <row r="24" spans="1:6" x14ac:dyDescent="0.25">
      <c r="A24" s="116" t="str">
        <f>"3945102"</f>
        <v>3945102</v>
      </c>
      <c r="B24" s="116" t="s">
        <v>2835</v>
      </c>
      <c r="C24" s="166">
        <v>16.760000000000002</v>
      </c>
      <c r="D24" s="116">
        <v>343444</v>
      </c>
      <c r="E24" s="117">
        <v>44139.788217592592</v>
      </c>
      <c r="F24" s="253">
        <v>12842</v>
      </c>
    </row>
    <row r="25" spans="1:6" x14ac:dyDescent="0.25">
      <c r="A25" s="116" t="str">
        <f>"3907239"</f>
        <v>3907239</v>
      </c>
      <c r="B25" s="116" t="s">
        <v>2836</v>
      </c>
      <c r="C25" s="166">
        <v>13.88</v>
      </c>
      <c r="D25" s="116">
        <v>343660</v>
      </c>
      <c r="E25" s="117">
        <v>44139.788217592592</v>
      </c>
      <c r="F25" s="253">
        <v>12843</v>
      </c>
    </row>
    <row r="26" spans="1:6" x14ac:dyDescent="0.25">
      <c r="A26" s="116" t="str">
        <f>"3900568"</f>
        <v>3900568</v>
      </c>
      <c r="B26" s="116" t="s">
        <v>5849</v>
      </c>
      <c r="C26" s="166">
        <v>4.13</v>
      </c>
      <c r="D26" s="116">
        <v>344988</v>
      </c>
      <c r="E26" s="117">
        <v>44139.788217592592</v>
      </c>
      <c r="F26" s="253">
        <v>12844</v>
      </c>
    </row>
    <row r="27" spans="1:6" x14ac:dyDescent="0.25">
      <c r="A27" s="116" t="str">
        <f>"3903061"</f>
        <v>3903061</v>
      </c>
      <c r="B27" s="116" t="s">
        <v>2832</v>
      </c>
      <c r="C27" s="166">
        <v>13.88</v>
      </c>
      <c r="D27" s="116">
        <v>343673</v>
      </c>
      <c r="E27" s="117">
        <v>44139.788217592592</v>
      </c>
      <c r="F27" s="253">
        <v>12845</v>
      </c>
    </row>
    <row r="28" spans="1:6" x14ac:dyDescent="0.25">
      <c r="A28" s="116" t="str">
        <f>"3945435"</f>
        <v>3945435</v>
      </c>
      <c r="B28" s="116" t="s">
        <v>2834</v>
      </c>
      <c r="C28" s="166">
        <v>16.760000000000002</v>
      </c>
      <c r="D28" s="116">
        <v>343487</v>
      </c>
      <c r="E28" s="117">
        <v>44139.788217592592</v>
      </c>
      <c r="F28" s="253">
        <v>12846</v>
      </c>
    </row>
    <row r="29" spans="1:6" x14ac:dyDescent="0.25">
      <c r="A29" s="116" t="str">
        <f>"3950033"</f>
        <v>3950033</v>
      </c>
      <c r="B29" s="116" t="s">
        <v>2828</v>
      </c>
      <c r="C29" s="166">
        <v>16.760000000000002</v>
      </c>
      <c r="D29" s="116">
        <v>343395</v>
      </c>
      <c r="E29" s="117">
        <v>44139.788217592592</v>
      </c>
      <c r="F29" s="253">
        <v>12847</v>
      </c>
    </row>
    <row r="30" spans="1:6" x14ac:dyDescent="0.25">
      <c r="A30" s="116" t="str">
        <f>"3903127"</f>
        <v>3903127</v>
      </c>
      <c r="B30" s="116" t="s">
        <v>2840</v>
      </c>
      <c r="C30" s="166">
        <v>3.36</v>
      </c>
      <c r="D30" s="116">
        <v>343755</v>
      </c>
      <c r="E30" s="117">
        <v>44139.788217592592</v>
      </c>
      <c r="F30" s="253">
        <v>12848</v>
      </c>
    </row>
    <row r="31" spans="1:6" x14ac:dyDescent="0.25">
      <c r="A31" s="116" t="str">
        <f>"3945105"</f>
        <v>3945105</v>
      </c>
      <c r="B31" s="116" t="s">
        <v>5750</v>
      </c>
      <c r="C31" s="166">
        <v>16.760000000000002</v>
      </c>
      <c r="D31" s="116">
        <v>343450</v>
      </c>
      <c r="E31" s="117">
        <v>44139.788217592592</v>
      </c>
      <c r="F31" s="253">
        <v>12849</v>
      </c>
    </row>
    <row r="32" spans="1:6" x14ac:dyDescent="0.25">
      <c r="A32" s="116" t="str">
        <f>"3907541"</f>
        <v>3907541</v>
      </c>
      <c r="B32" s="116" t="s">
        <v>2841</v>
      </c>
      <c r="C32" s="166">
        <v>6.2</v>
      </c>
      <c r="D32" s="116">
        <v>343777</v>
      </c>
      <c r="E32" s="117">
        <v>44139.788217592592</v>
      </c>
      <c r="F32" s="253">
        <v>12850</v>
      </c>
    </row>
    <row r="33" spans="1:7" x14ac:dyDescent="0.25">
      <c r="A33" s="116" t="str">
        <f>"3960277"</f>
        <v>3960277</v>
      </c>
      <c r="B33" s="116" t="s">
        <v>2838</v>
      </c>
      <c r="C33" s="166">
        <v>17.62</v>
      </c>
      <c r="D33" s="116">
        <v>343407</v>
      </c>
      <c r="E33" s="117">
        <v>44139.788217592592</v>
      </c>
      <c r="F33" s="253">
        <v>12851</v>
      </c>
      <c r="G33" s="171"/>
    </row>
    <row r="34" spans="1:7" x14ac:dyDescent="0.25">
      <c r="A34" s="116" t="str">
        <f>"3903364"</f>
        <v>3903364</v>
      </c>
      <c r="B34" s="116" t="s">
        <v>2825</v>
      </c>
      <c r="C34" s="166">
        <v>13.23</v>
      </c>
      <c r="D34" s="116">
        <v>344060</v>
      </c>
      <c r="E34" s="117">
        <v>44139.788217592592</v>
      </c>
      <c r="F34" s="253">
        <v>12852</v>
      </c>
    </row>
    <row r="35" spans="1:7" x14ac:dyDescent="0.25">
      <c r="A35" s="116" t="str">
        <f>"3960315"</f>
        <v>3960315</v>
      </c>
      <c r="B35" s="116" t="s">
        <v>2826</v>
      </c>
      <c r="C35" s="166">
        <v>13.16</v>
      </c>
      <c r="D35" s="116">
        <v>343512</v>
      </c>
      <c r="E35" s="117">
        <v>44139.788217592592</v>
      </c>
      <c r="F35" s="253">
        <v>12853</v>
      </c>
    </row>
    <row r="36" spans="1:7" x14ac:dyDescent="0.25">
      <c r="A36" s="116" t="str">
        <f>"3900349"</f>
        <v>3900349</v>
      </c>
      <c r="B36" s="116" t="s">
        <v>2827</v>
      </c>
      <c r="C36" s="166">
        <v>5.78</v>
      </c>
      <c r="D36" s="116">
        <v>344903</v>
      </c>
      <c r="E36" s="117">
        <v>44139.788217592592</v>
      </c>
      <c r="F36" s="253">
        <v>12854</v>
      </c>
    </row>
    <row r="37" spans="1:7" x14ac:dyDescent="0.25">
      <c r="A37" s="116" t="str">
        <f>"3960212"</f>
        <v>3960212</v>
      </c>
      <c r="B37" s="116" t="s">
        <v>2837</v>
      </c>
      <c r="C37" s="166">
        <v>15.47</v>
      </c>
      <c r="D37" s="116">
        <v>343420</v>
      </c>
      <c r="E37" s="117">
        <v>44139.788217592592</v>
      </c>
      <c r="F37" s="253">
        <v>12855</v>
      </c>
    </row>
    <row r="38" spans="1:7" x14ac:dyDescent="0.25">
      <c r="A38" s="116" t="str">
        <f>"3901398"</f>
        <v>3901398</v>
      </c>
      <c r="B38" s="116" t="s">
        <v>2829</v>
      </c>
      <c r="C38" s="166">
        <v>6.66</v>
      </c>
      <c r="D38" s="116">
        <v>345070</v>
      </c>
      <c r="E38" s="117">
        <v>44139.788217592592</v>
      </c>
      <c r="F38" s="253">
        <v>12856</v>
      </c>
    </row>
    <row r="39" spans="1:7" x14ac:dyDescent="0.25">
      <c r="A39" s="116" t="str">
        <f>"3902419"</f>
        <v>3902419</v>
      </c>
      <c r="B39" s="116" t="s">
        <v>2821</v>
      </c>
      <c r="C39" s="166">
        <v>7.58</v>
      </c>
      <c r="D39" s="116">
        <v>344649</v>
      </c>
      <c r="E39" s="117">
        <v>44139.788217592592</v>
      </c>
      <c r="F39" s="253">
        <v>12857</v>
      </c>
    </row>
    <row r="40" spans="1:7" x14ac:dyDescent="0.25">
      <c r="A40" s="116" t="str">
        <f>"3903883"</f>
        <v>3903883</v>
      </c>
      <c r="B40" s="116" t="s">
        <v>5794</v>
      </c>
      <c r="C40" s="166">
        <v>3.36</v>
      </c>
      <c r="D40" s="116">
        <v>345673</v>
      </c>
      <c r="E40" s="117">
        <v>44139.788217592592</v>
      </c>
      <c r="F40" s="253">
        <v>12858</v>
      </c>
    </row>
    <row r="41" spans="1:7" x14ac:dyDescent="0.25">
      <c r="A41" s="116" t="str">
        <f>"3909039"</f>
        <v>3909039</v>
      </c>
      <c r="B41" s="116" t="s">
        <v>2833</v>
      </c>
      <c r="C41" s="166">
        <v>4.03</v>
      </c>
      <c r="D41" s="116">
        <v>344386</v>
      </c>
      <c r="E41" s="117">
        <v>44139.788217592592</v>
      </c>
      <c r="F41" s="253">
        <v>12859</v>
      </c>
    </row>
    <row r="42" spans="1:7" x14ac:dyDescent="0.25">
      <c r="A42" s="116" t="str">
        <f>"3906802"</f>
        <v>3906802</v>
      </c>
      <c r="B42" s="116" t="s">
        <v>2822</v>
      </c>
      <c r="C42" s="166">
        <v>3.57</v>
      </c>
      <c r="D42" s="116">
        <v>344506</v>
      </c>
      <c r="E42" s="117">
        <v>44139.788217592592</v>
      </c>
      <c r="F42" s="253">
        <v>12860</v>
      </c>
    </row>
    <row r="43" spans="1:7" x14ac:dyDescent="0.25">
      <c r="A43" s="116" t="str">
        <f>"3903467"</f>
        <v>3903467</v>
      </c>
      <c r="B43" s="116" t="s">
        <v>2823</v>
      </c>
      <c r="C43" s="166">
        <v>5.51</v>
      </c>
      <c r="D43" s="116">
        <v>344008</v>
      </c>
      <c r="E43" s="117">
        <v>44139.788217592592</v>
      </c>
      <c r="F43" s="253">
        <v>12861</v>
      </c>
    </row>
    <row r="44" spans="1:7" x14ac:dyDescent="0.25">
      <c r="A44" s="116" t="str">
        <f>"3900657"</f>
        <v>3900657</v>
      </c>
      <c r="B44" s="116" t="s">
        <v>2865</v>
      </c>
      <c r="C44" s="166">
        <v>30.6</v>
      </c>
      <c r="D44" s="116">
        <v>345870</v>
      </c>
      <c r="E44" s="117">
        <v>44139.788217592592</v>
      </c>
      <c r="F44" s="253">
        <v>12862</v>
      </c>
    </row>
    <row r="45" spans="1:7" x14ac:dyDescent="0.25">
      <c r="A45" s="116" t="str">
        <f>"3901033"</f>
        <v>3901033</v>
      </c>
      <c r="B45" s="116" t="s">
        <v>2868</v>
      </c>
      <c r="C45" s="166">
        <v>61.2</v>
      </c>
      <c r="D45" s="116">
        <v>345882</v>
      </c>
      <c r="E45" s="117">
        <v>44139.788217592592</v>
      </c>
      <c r="F45" s="253">
        <v>12863</v>
      </c>
    </row>
    <row r="46" spans="1:7" x14ac:dyDescent="0.25">
      <c r="A46" s="116" t="str">
        <f>"3945038"</f>
        <v>3945038</v>
      </c>
      <c r="B46" s="116" t="s">
        <v>2867</v>
      </c>
      <c r="C46" s="166">
        <v>30.6</v>
      </c>
      <c r="D46" s="116">
        <v>345875</v>
      </c>
      <c r="E46" s="117">
        <v>44139.788217592592</v>
      </c>
      <c r="F46" s="253">
        <v>12864</v>
      </c>
    </row>
    <row r="47" spans="1:7" x14ac:dyDescent="0.25">
      <c r="A47" s="116" t="str">
        <f>"3907922"</f>
        <v>3907922</v>
      </c>
      <c r="B47" s="116" t="s">
        <v>2860</v>
      </c>
      <c r="C47" s="166">
        <v>3.36</v>
      </c>
      <c r="D47" s="116">
        <v>346090</v>
      </c>
      <c r="E47" s="117">
        <v>44139.788217592592</v>
      </c>
      <c r="F47" s="253">
        <v>12865</v>
      </c>
    </row>
    <row r="48" spans="1:7" x14ac:dyDescent="0.25">
      <c r="A48" s="116" t="str">
        <f>"3906796"</f>
        <v>3906796</v>
      </c>
      <c r="B48" s="116" t="s">
        <v>2861</v>
      </c>
      <c r="C48" s="166">
        <v>14.2</v>
      </c>
      <c r="D48" s="116">
        <v>346104</v>
      </c>
      <c r="E48" s="117">
        <v>44139.788217592592</v>
      </c>
      <c r="F48" s="253">
        <v>12866</v>
      </c>
    </row>
    <row r="49" spans="1:6" x14ac:dyDescent="0.25">
      <c r="A49" s="116" t="str">
        <f>"3908716"</f>
        <v>3908716</v>
      </c>
      <c r="B49" s="116" t="s">
        <v>2862</v>
      </c>
      <c r="C49" s="166">
        <v>18.82</v>
      </c>
      <c r="D49" s="116">
        <v>345984</v>
      </c>
      <c r="E49" s="117">
        <v>44139.788217592592</v>
      </c>
      <c r="F49" s="253">
        <v>12867</v>
      </c>
    </row>
    <row r="50" spans="1:6" x14ac:dyDescent="0.25">
      <c r="A50" s="116" t="str">
        <f>"3908672"</f>
        <v>3908672</v>
      </c>
      <c r="B50" s="116" t="s">
        <v>2863</v>
      </c>
      <c r="C50" s="361">
        <v>4.25</v>
      </c>
      <c r="D50" s="116">
        <v>345975</v>
      </c>
      <c r="E50" s="117">
        <v>44139.788217592592</v>
      </c>
      <c r="F50" s="253">
        <v>12868</v>
      </c>
    </row>
    <row r="51" spans="1:6" x14ac:dyDescent="0.25">
      <c r="A51" s="116" t="str">
        <f>"3901995"</f>
        <v>3901995</v>
      </c>
      <c r="B51" s="116" t="s">
        <v>5817</v>
      </c>
      <c r="C51" s="361">
        <v>2.46</v>
      </c>
      <c r="D51" s="116">
        <v>344814</v>
      </c>
      <c r="E51" s="117">
        <v>44139.756041666667</v>
      </c>
      <c r="F51" s="253">
        <v>12869</v>
      </c>
    </row>
    <row r="52" spans="1:6" x14ac:dyDescent="0.25">
      <c r="A52" s="116" t="str">
        <f>"3900383"</f>
        <v>3900383</v>
      </c>
      <c r="B52" s="116" t="s">
        <v>2974</v>
      </c>
      <c r="C52" s="361">
        <v>3.86</v>
      </c>
      <c r="D52" s="116">
        <v>344919</v>
      </c>
      <c r="E52" s="117">
        <v>44139.76489583333</v>
      </c>
      <c r="F52" s="253">
        <v>12870</v>
      </c>
    </row>
    <row r="53" spans="1:6" x14ac:dyDescent="0.25">
      <c r="A53" s="116" t="str">
        <f>"3909154"</f>
        <v>3909154</v>
      </c>
      <c r="B53" s="116" t="s">
        <v>5832</v>
      </c>
      <c r="C53" s="361">
        <v>14.25</v>
      </c>
      <c r="D53" s="116">
        <v>346124</v>
      </c>
      <c r="E53" s="117">
        <v>44139.859027777777</v>
      </c>
      <c r="F53" s="253">
        <v>12871</v>
      </c>
    </row>
    <row r="54" spans="1:6" s="164" customFormat="1" ht="15.75" x14ac:dyDescent="0.25">
      <c r="A54" s="253"/>
      <c r="B54" s="253" t="s">
        <v>5691</v>
      </c>
      <c r="C54" s="238">
        <f>SUM(C3:C53)</f>
        <v>661.09000000000026</v>
      </c>
      <c r="D54" s="253">
        <v>1</v>
      </c>
      <c r="E54" s="163"/>
      <c r="F54" s="253"/>
    </row>
    <row r="55" spans="1:6" ht="15.75" x14ac:dyDescent="0.25">
      <c r="A55" s="118"/>
      <c r="B55" s="116"/>
      <c r="C55" s="230"/>
      <c r="D55" s="118"/>
      <c r="E55" s="117"/>
      <c r="F55" s="118"/>
    </row>
    <row r="56" spans="1:6" x14ac:dyDescent="0.25">
      <c r="A56" s="116" t="str">
        <f>"3903064"</f>
        <v>3903064</v>
      </c>
      <c r="B56" s="116" t="s">
        <v>5760</v>
      </c>
      <c r="C56" s="361">
        <v>6.94</v>
      </c>
      <c r="D56" s="116">
        <v>343674</v>
      </c>
      <c r="E56" s="117">
        <v>44140.274733796294</v>
      </c>
      <c r="F56" s="253">
        <v>13021</v>
      </c>
    </row>
    <row r="57" spans="1:6" x14ac:dyDescent="0.25">
      <c r="A57" s="116" t="str">
        <f>"3901940"</f>
        <v>3901940</v>
      </c>
      <c r="B57" s="116" t="s">
        <v>2779</v>
      </c>
      <c r="C57" s="361">
        <v>4.72</v>
      </c>
      <c r="D57" s="116">
        <v>343767</v>
      </c>
      <c r="E57" s="117">
        <v>44140.384155092594</v>
      </c>
      <c r="F57" s="253">
        <v>13022</v>
      </c>
    </row>
    <row r="58" spans="1:6" x14ac:dyDescent="0.25">
      <c r="A58" s="116" t="str">
        <f>"3911200"</f>
        <v>3911200</v>
      </c>
      <c r="B58" s="116" t="s">
        <v>27468</v>
      </c>
      <c r="C58" s="361">
        <v>12.62</v>
      </c>
      <c r="D58" s="116">
        <v>346365</v>
      </c>
      <c r="E58" s="117">
        <v>44140.423587962963</v>
      </c>
      <c r="F58" s="253">
        <v>13023</v>
      </c>
    </row>
    <row r="59" spans="1:6" x14ac:dyDescent="0.25">
      <c r="A59" s="116" t="str">
        <f>"3945113"</f>
        <v>3945113</v>
      </c>
      <c r="B59" s="116" t="s">
        <v>2790</v>
      </c>
      <c r="C59" s="361">
        <v>8.3800000000000008</v>
      </c>
      <c r="D59" s="116">
        <v>343461</v>
      </c>
      <c r="E59" s="117">
        <v>44140.462175925924</v>
      </c>
      <c r="F59" s="253">
        <v>13024</v>
      </c>
    </row>
    <row r="60" spans="1:6" x14ac:dyDescent="0.25">
      <c r="A60" s="116" t="str">
        <f>"3908639"</f>
        <v>3908639</v>
      </c>
      <c r="B60" s="116" t="s">
        <v>2906</v>
      </c>
      <c r="C60" s="361">
        <v>1.94</v>
      </c>
      <c r="D60" s="116">
        <v>346176</v>
      </c>
      <c r="E60" s="117">
        <v>44140.534988425927</v>
      </c>
      <c r="F60" s="253">
        <v>13025</v>
      </c>
    </row>
    <row r="61" spans="1:6" x14ac:dyDescent="0.25">
      <c r="A61" s="116" t="str">
        <f>"3909086"</f>
        <v>3909086</v>
      </c>
      <c r="B61" s="116" t="s">
        <v>2962</v>
      </c>
      <c r="C61" s="361">
        <v>4</v>
      </c>
      <c r="D61" s="116">
        <v>344398</v>
      </c>
      <c r="E61" s="117">
        <v>44140.572708333333</v>
      </c>
      <c r="F61" s="253">
        <v>13026</v>
      </c>
    </row>
    <row r="62" spans="1:6" x14ac:dyDescent="0.25">
      <c r="A62" s="116" t="str">
        <f>"23923029"</f>
        <v>23923029</v>
      </c>
      <c r="B62" s="116" t="s">
        <v>2930</v>
      </c>
      <c r="C62" s="361">
        <v>6.94</v>
      </c>
      <c r="D62" s="116">
        <v>2947</v>
      </c>
      <c r="E62" s="117">
        <v>44140.652037037034</v>
      </c>
      <c r="F62" s="253">
        <v>13027</v>
      </c>
    </row>
    <row r="63" spans="1:6" x14ac:dyDescent="0.25">
      <c r="A63" s="116" t="str">
        <f>"3945304"</f>
        <v>3945304</v>
      </c>
      <c r="B63" s="116" t="s">
        <v>2782</v>
      </c>
      <c r="C63" s="361">
        <v>67.31</v>
      </c>
      <c r="D63" s="116">
        <v>343607</v>
      </c>
      <c r="E63" s="117">
        <v>44140.669710648152</v>
      </c>
      <c r="F63" s="253">
        <v>13028</v>
      </c>
    </row>
    <row r="64" spans="1:6" x14ac:dyDescent="0.25">
      <c r="A64" s="116" t="str">
        <f>"3906769"</f>
        <v>3906769</v>
      </c>
      <c r="B64" s="116" t="s">
        <v>5812</v>
      </c>
      <c r="C64" s="361">
        <v>107.21</v>
      </c>
      <c r="D64" s="116">
        <v>344321</v>
      </c>
      <c r="E64" s="117">
        <v>44140.728055555555</v>
      </c>
      <c r="F64" s="253">
        <v>13029</v>
      </c>
    </row>
    <row r="65" spans="1:6" x14ac:dyDescent="0.25">
      <c r="A65" s="116" t="str">
        <f>"3907965"</f>
        <v>3907965</v>
      </c>
      <c r="B65" s="116" t="s">
        <v>5934</v>
      </c>
      <c r="C65" s="361">
        <v>3.36</v>
      </c>
      <c r="D65" s="116">
        <v>345556</v>
      </c>
      <c r="E65" s="117">
        <v>44140.830625000002</v>
      </c>
      <c r="F65" s="253">
        <v>13030</v>
      </c>
    </row>
    <row r="66" spans="1:6" x14ac:dyDescent="0.25">
      <c r="A66" s="116" t="str">
        <f>"3900343"</f>
        <v>3900343</v>
      </c>
      <c r="B66" s="116" t="s">
        <v>5804</v>
      </c>
      <c r="C66" s="361">
        <v>36.76</v>
      </c>
      <c r="D66" s="116">
        <v>346211</v>
      </c>
      <c r="E66" s="117">
        <v>44140.859467592592</v>
      </c>
      <c r="F66" s="253">
        <v>13031</v>
      </c>
    </row>
    <row r="67" spans="1:6" s="164" customFormat="1" ht="15.75" x14ac:dyDescent="0.25">
      <c r="A67" s="253"/>
      <c r="B67" s="253" t="s">
        <v>5691</v>
      </c>
      <c r="C67" s="238">
        <f>SUM(C56:C66)</f>
        <v>260.18</v>
      </c>
      <c r="D67" s="253">
        <v>2</v>
      </c>
      <c r="E67" s="163"/>
      <c r="F67" s="253"/>
    </row>
    <row r="68" spans="1:6" ht="15.75" x14ac:dyDescent="0.25">
      <c r="A68" s="118"/>
      <c r="B68" s="116"/>
      <c r="C68" s="230"/>
      <c r="D68" s="118"/>
      <c r="E68" s="117"/>
      <c r="F68" s="118"/>
    </row>
    <row r="69" spans="1:6" x14ac:dyDescent="0.25">
      <c r="A69" s="116" t="str">
        <f>"3901461"</f>
        <v>3901461</v>
      </c>
      <c r="B69" s="116" t="s">
        <v>2931</v>
      </c>
      <c r="C69" s="361">
        <v>15.3</v>
      </c>
      <c r="D69" s="116">
        <v>345888</v>
      </c>
      <c r="E69" s="117">
        <v>44141.429155092592</v>
      </c>
      <c r="F69" s="253">
        <v>13087</v>
      </c>
    </row>
    <row r="70" spans="1:6" x14ac:dyDescent="0.25">
      <c r="A70" s="116" t="str">
        <f>"3900565"</f>
        <v>3900565</v>
      </c>
      <c r="B70" s="116" t="s">
        <v>27469</v>
      </c>
      <c r="C70" s="361">
        <v>4.45</v>
      </c>
      <c r="D70" s="116">
        <v>344985</v>
      </c>
      <c r="E70" s="117">
        <v>44141.491759259261</v>
      </c>
      <c r="F70" s="253">
        <v>13088</v>
      </c>
    </row>
    <row r="71" spans="1:6" x14ac:dyDescent="0.25">
      <c r="A71" s="116" t="str">
        <f>"3907867"</f>
        <v>3907867</v>
      </c>
      <c r="B71" s="116" t="s">
        <v>2791</v>
      </c>
      <c r="C71" s="361">
        <v>2.2599999999999998</v>
      </c>
      <c r="D71" s="116">
        <v>344209</v>
      </c>
      <c r="E71" s="117">
        <v>44141.501504629632</v>
      </c>
      <c r="F71" s="253">
        <v>13089</v>
      </c>
    </row>
    <row r="72" spans="1:6" x14ac:dyDescent="0.25">
      <c r="A72" s="116" t="str">
        <f>"3945263"</f>
        <v>3945263</v>
      </c>
      <c r="B72" s="116" t="s">
        <v>5867</v>
      </c>
      <c r="C72" s="361">
        <v>16.760000000000002</v>
      </c>
      <c r="D72" s="116">
        <v>343570</v>
      </c>
      <c r="E72" s="117">
        <v>44141.649525462963</v>
      </c>
      <c r="F72" s="253">
        <v>13090</v>
      </c>
    </row>
    <row r="73" spans="1:6" x14ac:dyDescent="0.25">
      <c r="A73" s="116" t="str">
        <f>"3907330"</f>
        <v>3907330</v>
      </c>
      <c r="B73" s="116" t="s">
        <v>2899</v>
      </c>
      <c r="C73" s="361">
        <v>11.27</v>
      </c>
      <c r="D73" s="116">
        <v>343612</v>
      </c>
      <c r="E73" s="117">
        <v>44141.688472222224</v>
      </c>
      <c r="F73" s="253">
        <v>13091</v>
      </c>
    </row>
    <row r="74" spans="1:6" x14ac:dyDescent="0.25">
      <c r="A74" s="116" t="str">
        <f>"3902041"</f>
        <v>3902041</v>
      </c>
      <c r="B74" s="116" t="s">
        <v>2898</v>
      </c>
      <c r="C74" s="361">
        <v>8.3800000000000008</v>
      </c>
      <c r="D74" s="116">
        <v>343526</v>
      </c>
      <c r="E74" s="117">
        <v>44141.690416666665</v>
      </c>
      <c r="F74" s="253">
        <v>13092</v>
      </c>
    </row>
    <row r="75" spans="1:6" x14ac:dyDescent="0.25">
      <c r="A75" s="116" t="str">
        <f>"3900953"</f>
        <v>3900953</v>
      </c>
      <c r="B75" s="116" t="s">
        <v>5841</v>
      </c>
      <c r="C75" s="361">
        <v>11.64</v>
      </c>
      <c r="D75" s="116">
        <v>343944</v>
      </c>
      <c r="E75" s="117">
        <v>44141.809374999997</v>
      </c>
      <c r="F75" s="253">
        <v>13093</v>
      </c>
    </row>
    <row r="76" spans="1:6" s="164" customFormat="1" ht="15.75" x14ac:dyDescent="0.25">
      <c r="A76" s="253"/>
      <c r="B76" s="253" t="s">
        <v>5691</v>
      </c>
      <c r="C76" s="238">
        <f>SUM(C69:C75)</f>
        <v>70.06</v>
      </c>
      <c r="D76" s="253">
        <v>3</v>
      </c>
      <c r="E76" s="163"/>
      <c r="F76" s="253"/>
    </row>
    <row r="77" spans="1:6" ht="15.75" x14ac:dyDescent="0.25">
      <c r="A77" s="118"/>
      <c r="B77" s="116"/>
      <c r="C77" s="230"/>
      <c r="D77" s="118"/>
      <c r="E77" s="117"/>
      <c r="F77" s="118"/>
    </row>
    <row r="78" spans="1:6" x14ac:dyDescent="0.25">
      <c r="A78" s="116" t="str">
        <f>"3903545"</f>
        <v>3903545</v>
      </c>
      <c r="B78" s="116" t="s">
        <v>2877</v>
      </c>
      <c r="C78" s="361">
        <v>2.27</v>
      </c>
      <c r="D78" s="116">
        <v>344309</v>
      </c>
      <c r="E78" s="117">
        <v>44144.350532407407</v>
      </c>
      <c r="F78" s="253">
        <v>13207</v>
      </c>
    </row>
    <row r="79" spans="1:6" x14ac:dyDescent="0.25">
      <c r="A79" s="116" t="str">
        <f>"3945281"</f>
        <v>3945281</v>
      </c>
      <c r="B79" s="116" t="s">
        <v>5882</v>
      </c>
      <c r="C79" s="361">
        <v>4.1900000000000004</v>
      </c>
      <c r="D79" s="116">
        <v>343573</v>
      </c>
      <c r="E79" s="117">
        <v>44144.62804398148</v>
      </c>
      <c r="F79" s="253">
        <v>13208</v>
      </c>
    </row>
    <row r="80" spans="1:6" x14ac:dyDescent="0.25">
      <c r="A80" s="116" t="str">
        <f>"3908657"</f>
        <v>3908657</v>
      </c>
      <c r="B80" s="116" t="s">
        <v>5916</v>
      </c>
      <c r="C80" s="361">
        <v>11.93</v>
      </c>
      <c r="D80" s="116">
        <v>344759</v>
      </c>
      <c r="E80" s="117">
        <v>44144.67690972222</v>
      </c>
      <c r="F80" s="253">
        <v>13209</v>
      </c>
    </row>
    <row r="81" spans="1:6" x14ac:dyDescent="0.25">
      <c r="A81" s="116" t="str">
        <f>"3904598"</f>
        <v>3904598</v>
      </c>
      <c r="B81" s="116" t="s">
        <v>2985</v>
      </c>
      <c r="C81" s="361">
        <v>41.9</v>
      </c>
      <c r="D81" s="116">
        <v>343606</v>
      </c>
      <c r="E81" s="117">
        <v>44144.74486111111</v>
      </c>
      <c r="F81" s="253">
        <v>13210</v>
      </c>
    </row>
    <row r="82" spans="1:6" x14ac:dyDescent="0.25">
      <c r="A82" s="116" t="str">
        <f>"3906034"</f>
        <v>3906034</v>
      </c>
      <c r="B82" s="116" t="s">
        <v>5769</v>
      </c>
      <c r="C82" s="361">
        <v>25.69</v>
      </c>
      <c r="D82" s="116">
        <v>316380</v>
      </c>
      <c r="E82" s="117">
        <v>44144.767476851855</v>
      </c>
      <c r="F82" s="253">
        <v>13218</v>
      </c>
    </row>
    <row r="83" spans="1:6" x14ac:dyDescent="0.25">
      <c r="A83" s="116" t="str">
        <f>"3908182"</f>
        <v>3908182</v>
      </c>
      <c r="B83" s="116" t="s">
        <v>5820</v>
      </c>
      <c r="C83" s="361">
        <v>1.97</v>
      </c>
      <c r="D83" s="116">
        <v>345628</v>
      </c>
      <c r="E83" s="117">
        <v>44144.346122685187</v>
      </c>
      <c r="F83" s="253">
        <v>13211</v>
      </c>
    </row>
    <row r="84" spans="1:6" x14ac:dyDescent="0.25">
      <c r="A84" s="116" t="str">
        <f>"3908621"</f>
        <v>3908621</v>
      </c>
      <c r="B84" s="116" t="s">
        <v>2912</v>
      </c>
      <c r="C84" s="361">
        <v>2.09</v>
      </c>
      <c r="D84" s="116">
        <v>343723</v>
      </c>
      <c r="E84" s="117">
        <v>44144.441793981481</v>
      </c>
      <c r="F84" s="253">
        <v>13212</v>
      </c>
    </row>
    <row r="85" spans="1:6" x14ac:dyDescent="0.25">
      <c r="A85" s="116" t="str">
        <f>"3906658"</f>
        <v>3906658</v>
      </c>
      <c r="B85" s="116" t="s">
        <v>2907</v>
      </c>
      <c r="C85" s="361">
        <v>26.96</v>
      </c>
      <c r="D85" s="116">
        <v>346042</v>
      </c>
      <c r="E85" s="117">
        <v>44144.594895833332</v>
      </c>
      <c r="F85" s="253">
        <v>13213</v>
      </c>
    </row>
    <row r="86" spans="1:6" x14ac:dyDescent="0.25">
      <c r="A86" s="116" t="str">
        <f>"3900593"</f>
        <v>3900593</v>
      </c>
      <c r="B86" s="116" t="s">
        <v>2797</v>
      </c>
      <c r="C86" s="361">
        <v>1.68</v>
      </c>
      <c r="D86" s="116">
        <v>345000</v>
      </c>
      <c r="E86" s="117">
        <v>44144.637002314812</v>
      </c>
      <c r="F86" s="253">
        <v>13214</v>
      </c>
    </row>
    <row r="87" spans="1:6" x14ac:dyDescent="0.25">
      <c r="A87" s="116" t="str">
        <f>"3960392"</f>
        <v>3960392</v>
      </c>
      <c r="B87" s="116" t="s">
        <v>2872</v>
      </c>
      <c r="C87" s="361">
        <v>33.94</v>
      </c>
      <c r="D87" s="116">
        <v>343504</v>
      </c>
      <c r="E87" s="117">
        <v>44144.693842592591</v>
      </c>
      <c r="F87" s="253">
        <v>13215</v>
      </c>
    </row>
    <row r="88" spans="1:6" x14ac:dyDescent="0.25">
      <c r="A88" s="116" t="str">
        <f>"3901741"</f>
        <v>3901741</v>
      </c>
      <c r="B88" s="116" t="s">
        <v>5907</v>
      </c>
      <c r="C88" s="361">
        <v>1.68</v>
      </c>
      <c r="D88" s="116">
        <v>345640</v>
      </c>
      <c r="E88" s="117">
        <v>44144.84202546296</v>
      </c>
      <c r="F88" s="253">
        <v>13216</v>
      </c>
    </row>
    <row r="89" spans="1:6" x14ac:dyDescent="0.25">
      <c r="A89" s="116" t="str">
        <f>"3907169"</f>
        <v>3907169</v>
      </c>
      <c r="B89" s="116" t="s">
        <v>5929</v>
      </c>
      <c r="C89" s="361">
        <v>20.61</v>
      </c>
      <c r="D89" s="116">
        <v>346379</v>
      </c>
      <c r="E89" s="117">
        <v>44144.843460648146</v>
      </c>
      <c r="F89" s="253">
        <v>13217</v>
      </c>
    </row>
    <row r="90" spans="1:6" s="164" customFormat="1" ht="15.75" x14ac:dyDescent="0.25">
      <c r="A90" s="253"/>
      <c r="B90" s="253" t="s">
        <v>5691</v>
      </c>
      <c r="C90" s="238">
        <f>SUM(C78:C89)</f>
        <v>174.91000000000003</v>
      </c>
      <c r="D90" s="253">
        <v>4</v>
      </c>
      <c r="E90" s="163"/>
      <c r="F90" s="253"/>
    </row>
    <row r="91" spans="1:6" ht="15.75" x14ac:dyDescent="0.25">
      <c r="A91" s="118"/>
      <c r="B91" s="116"/>
      <c r="C91" s="230"/>
      <c r="D91" s="118"/>
      <c r="E91" s="117"/>
      <c r="F91" s="118"/>
    </row>
    <row r="92" spans="1:6" x14ac:dyDescent="0.25">
      <c r="A92" s="116" t="s">
        <v>27470</v>
      </c>
      <c r="B92" s="116" t="s">
        <v>2810</v>
      </c>
      <c r="C92" s="361">
        <v>11.66</v>
      </c>
      <c r="D92" s="116">
        <v>346006</v>
      </c>
      <c r="E92" s="117">
        <v>44145.398055555554</v>
      </c>
      <c r="F92" s="253">
        <v>13280</v>
      </c>
    </row>
    <row r="93" spans="1:6" x14ac:dyDescent="0.25">
      <c r="A93" s="116" t="s">
        <v>27471</v>
      </c>
      <c r="B93" s="116" t="s">
        <v>2891</v>
      </c>
      <c r="C93" s="361">
        <v>6.14</v>
      </c>
      <c r="D93" s="116">
        <v>345170</v>
      </c>
      <c r="E93" s="117">
        <v>44145.446296296293</v>
      </c>
      <c r="F93" s="253">
        <v>13281</v>
      </c>
    </row>
    <row r="94" spans="1:6" x14ac:dyDescent="0.25">
      <c r="A94" s="116" t="s">
        <v>27472</v>
      </c>
      <c r="B94" s="116" t="s">
        <v>5915</v>
      </c>
      <c r="C94" s="361">
        <v>8.3800000000000008</v>
      </c>
      <c r="D94" s="116">
        <v>343489</v>
      </c>
      <c r="E94" s="117">
        <v>44145.735486111109</v>
      </c>
      <c r="F94" s="253">
        <v>13282</v>
      </c>
    </row>
    <row r="95" spans="1:6" x14ac:dyDescent="0.25">
      <c r="A95" s="116" t="s">
        <v>4077</v>
      </c>
      <c r="B95" s="116" t="s">
        <v>5818</v>
      </c>
      <c r="C95" s="361">
        <v>4.01</v>
      </c>
      <c r="D95" s="116">
        <v>3137</v>
      </c>
      <c r="E95" s="117">
        <v>44145.869004629632</v>
      </c>
      <c r="F95" s="253">
        <v>13283</v>
      </c>
    </row>
    <row r="96" spans="1:6" s="164" customFormat="1" ht="15.75" x14ac:dyDescent="0.25">
      <c r="A96" s="253"/>
      <c r="B96" s="253" t="s">
        <v>5691</v>
      </c>
      <c r="C96" s="238">
        <f>SUM(C92:C95)</f>
        <v>30.189999999999998</v>
      </c>
      <c r="D96" s="253">
        <v>5</v>
      </c>
      <c r="E96" s="163"/>
      <c r="F96" s="253"/>
    </row>
    <row r="97" spans="1:6" ht="15.75" x14ac:dyDescent="0.25">
      <c r="A97" s="118"/>
      <c r="B97" s="116"/>
      <c r="C97" s="230"/>
      <c r="D97" s="118"/>
      <c r="E97" s="117"/>
      <c r="F97" s="118"/>
    </row>
    <row r="98" spans="1:6" x14ac:dyDescent="0.25">
      <c r="A98" s="116" t="str">
        <f>"3960275"</f>
        <v>3960275</v>
      </c>
      <c r="B98" s="116" t="s">
        <v>2880</v>
      </c>
      <c r="C98" s="361">
        <v>30.6</v>
      </c>
      <c r="D98" s="116">
        <v>345874</v>
      </c>
      <c r="E98" s="117">
        <v>44146.335104166668</v>
      </c>
      <c r="F98" s="253">
        <v>13298</v>
      </c>
    </row>
    <row r="99" spans="1:6" x14ac:dyDescent="0.25">
      <c r="A99" s="116" t="str">
        <f>"3960257"</f>
        <v>3960257</v>
      </c>
      <c r="B99" s="116" t="s">
        <v>2880</v>
      </c>
      <c r="C99" s="361">
        <v>30.6</v>
      </c>
      <c r="D99" s="116">
        <v>345867</v>
      </c>
      <c r="E99" s="117">
        <v>44146.335821759261</v>
      </c>
      <c r="F99" s="253">
        <v>13299</v>
      </c>
    </row>
    <row r="100" spans="1:6" x14ac:dyDescent="0.25">
      <c r="A100" s="116" t="str">
        <f>"3907615"</f>
        <v>3907615</v>
      </c>
      <c r="B100" s="116" t="s">
        <v>2781</v>
      </c>
      <c r="C100" s="361">
        <v>1.96</v>
      </c>
      <c r="D100" s="116">
        <v>343885</v>
      </c>
      <c r="E100" s="117">
        <v>44146.436643518522</v>
      </c>
      <c r="F100" s="253">
        <v>13300</v>
      </c>
    </row>
    <row r="101" spans="1:6" x14ac:dyDescent="0.25">
      <c r="A101" s="116" t="str">
        <f>"3900176"</f>
        <v>3900176</v>
      </c>
      <c r="B101" s="116" t="s">
        <v>5833</v>
      </c>
      <c r="C101" s="361">
        <v>5.49</v>
      </c>
      <c r="D101" s="116">
        <v>346330</v>
      </c>
      <c r="E101" s="117">
        <v>44146.488194444442</v>
      </c>
      <c r="F101" s="253">
        <v>13301</v>
      </c>
    </row>
    <row r="102" spans="1:6" s="164" customFormat="1" ht="15.75" x14ac:dyDescent="0.25">
      <c r="A102" s="253"/>
      <c r="B102" s="253" t="s">
        <v>5691</v>
      </c>
      <c r="C102" s="238">
        <f>SUM(C98:C101)</f>
        <v>68.650000000000006</v>
      </c>
      <c r="D102" s="253">
        <v>6</v>
      </c>
      <c r="E102" s="163"/>
      <c r="F102" s="253"/>
    </row>
    <row r="103" spans="1:6" ht="15.75" x14ac:dyDescent="0.25">
      <c r="A103" s="118"/>
      <c r="B103" s="116"/>
      <c r="C103" s="230"/>
      <c r="D103" s="118"/>
      <c r="E103" s="117"/>
      <c r="F103" s="118"/>
    </row>
    <row r="104" spans="1:6" x14ac:dyDescent="0.25">
      <c r="A104" s="116" t="str">
        <f>"3902951"</f>
        <v>3902951</v>
      </c>
      <c r="B104" s="116" t="s">
        <v>2904</v>
      </c>
      <c r="C104" s="361">
        <v>4</v>
      </c>
      <c r="D104" s="116">
        <v>346193</v>
      </c>
      <c r="E104" s="117">
        <v>44147.530902777777</v>
      </c>
      <c r="F104" s="253">
        <v>13351</v>
      </c>
    </row>
    <row r="105" spans="1:6" x14ac:dyDescent="0.25">
      <c r="A105" s="116" t="str">
        <f>"3901913"</f>
        <v>3901913</v>
      </c>
      <c r="B105" s="116" t="s">
        <v>2904</v>
      </c>
      <c r="C105" s="361">
        <v>17.79</v>
      </c>
      <c r="D105" s="116">
        <v>346186</v>
      </c>
      <c r="E105" s="117">
        <v>44147.531041666669</v>
      </c>
      <c r="F105" s="253">
        <v>13352</v>
      </c>
    </row>
    <row r="106" spans="1:6" x14ac:dyDescent="0.25">
      <c r="A106" s="116" t="str">
        <f>"3901540"</f>
        <v>3901540</v>
      </c>
      <c r="B106" s="116" t="s">
        <v>27473</v>
      </c>
      <c r="C106" s="361">
        <v>13.11</v>
      </c>
      <c r="D106" s="116">
        <v>345100</v>
      </c>
      <c r="E106" s="117">
        <v>44147.621817129628</v>
      </c>
      <c r="F106" s="253">
        <v>13353</v>
      </c>
    </row>
    <row r="107" spans="1:6" x14ac:dyDescent="0.25">
      <c r="A107" s="116" t="str">
        <f>"3903841"</f>
        <v>3903841</v>
      </c>
      <c r="B107" s="116" t="s">
        <v>5780</v>
      </c>
      <c r="C107" s="361">
        <v>3.16</v>
      </c>
      <c r="D107" s="116">
        <v>345295</v>
      </c>
      <c r="E107" s="117">
        <v>44147.679155092592</v>
      </c>
      <c r="F107" s="253">
        <v>13354</v>
      </c>
    </row>
    <row r="108" spans="1:6" x14ac:dyDescent="0.25">
      <c r="A108" s="116" t="str">
        <f>"3909922"</f>
        <v>3909922</v>
      </c>
      <c r="B108" s="116" t="s">
        <v>5740</v>
      </c>
      <c r="C108" s="361">
        <v>28.48</v>
      </c>
      <c r="D108" s="116">
        <v>345981</v>
      </c>
      <c r="E108" s="117">
        <v>44147.689814814818</v>
      </c>
      <c r="F108" s="253">
        <v>13355</v>
      </c>
    </row>
    <row r="109" spans="1:6" x14ac:dyDescent="0.25">
      <c r="A109" s="116" t="str">
        <f>"3907937"</f>
        <v>3907937</v>
      </c>
      <c r="B109" s="116" t="s">
        <v>5926</v>
      </c>
      <c r="C109" s="361">
        <v>10.84</v>
      </c>
      <c r="D109" s="116">
        <v>345553</v>
      </c>
      <c r="E109" s="117">
        <v>44147.72</v>
      </c>
      <c r="F109" s="253">
        <v>13356</v>
      </c>
    </row>
    <row r="110" spans="1:6" x14ac:dyDescent="0.25">
      <c r="A110" s="116" t="str">
        <f>"3908293"</f>
        <v>3908293</v>
      </c>
      <c r="B110" s="116" t="s">
        <v>27474</v>
      </c>
      <c r="C110" s="361">
        <v>3.36</v>
      </c>
      <c r="D110" s="116">
        <v>345741</v>
      </c>
      <c r="E110" s="117">
        <v>44147.767268518517</v>
      </c>
      <c r="F110" s="253">
        <v>13357</v>
      </c>
    </row>
    <row r="111" spans="1:6" x14ac:dyDescent="0.25">
      <c r="A111" s="116" t="str">
        <f>"3909141"</f>
        <v>3909141</v>
      </c>
      <c r="B111" s="116" t="s">
        <v>5735</v>
      </c>
      <c r="C111" s="361">
        <v>29.41</v>
      </c>
      <c r="D111" s="116">
        <v>344547</v>
      </c>
      <c r="E111" s="117">
        <v>44147.867731481485</v>
      </c>
      <c r="F111" s="253">
        <v>13358</v>
      </c>
    </row>
    <row r="112" spans="1:6" s="164" customFormat="1" ht="15.75" x14ac:dyDescent="0.25">
      <c r="A112" s="253"/>
      <c r="B112" s="253" t="s">
        <v>5691</v>
      </c>
      <c r="C112" s="238">
        <f>SUM(C104:C111)</f>
        <v>110.15</v>
      </c>
      <c r="D112" s="253">
        <v>7</v>
      </c>
      <c r="E112" s="163"/>
      <c r="F112" s="253"/>
    </row>
    <row r="113" spans="1:6" ht="15.75" x14ac:dyDescent="0.25">
      <c r="A113" s="118"/>
      <c r="B113" s="116"/>
      <c r="C113" s="230"/>
      <c r="D113" s="118"/>
      <c r="E113" s="117"/>
      <c r="F113" s="118"/>
    </row>
    <row r="114" spans="1:6" x14ac:dyDescent="0.25">
      <c r="A114" s="116" t="str">
        <f>"3930042"</f>
        <v>3930042</v>
      </c>
      <c r="B114" s="116" t="s">
        <v>2929</v>
      </c>
      <c r="C114" s="361">
        <v>7.91</v>
      </c>
      <c r="D114" s="116">
        <v>346002</v>
      </c>
      <c r="E114" s="117">
        <v>44148.373935185184</v>
      </c>
      <c r="F114" s="253">
        <v>13407</v>
      </c>
    </row>
    <row r="115" spans="1:6" s="357" customFormat="1" x14ac:dyDescent="0.25">
      <c r="A115" s="116" t="str">
        <f>"3920065"</f>
        <v>3920065</v>
      </c>
      <c r="B115" s="116" t="s">
        <v>2895</v>
      </c>
      <c r="C115" s="361">
        <v>15.3</v>
      </c>
      <c r="D115" s="116">
        <v>345866</v>
      </c>
      <c r="E115" s="117">
        <v>44148.385196759256</v>
      </c>
      <c r="F115" s="253">
        <v>13408</v>
      </c>
    </row>
    <row r="116" spans="1:6" x14ac:dyDescent="0.25">
      <c r="A116" s="354" t="str">
        <f>"3902009"</f>
        <v>3902009</v>
      </c>
      <c r="B116" s="354" t="s">
        <v>2890</v>
      </c>
      <c r="C116" s="362">
        <v>3.36</v>
      </c>
      <c r="D116" s="354">
        <v>346022</v>
      </c>
      <c r="E116" s="355">
        <v>44148.444363425922</v>
      </c>
      <c r="F116" s="356">
        <v>13409</v>
      </c>
    </row>
    <row r="117" spans="1:6" x14ac:dyDescent="0.25">
      <c r="A117" s="116" t="str">
        <f>"3920523"</f>
        <v>3920523</v>
      </c>
      <c r="B117" s="116" t="s">
        <v>2919</v>
      </c>
      <c r="C117" s="361">
        <v>75.42</v>
      </c>
      <c r="D117" s="116">
        <v>343440</v>
      </c>
      <c r="E117" s="117">
        <v>44148.631655092591</v>
      </c>
      <c r="F117" s="253">
        <v>13410</v>
      </c>
    </row>
    <row r="118" spans="1:6" x14ac:dyDescent="0.25">
      <c r="A118" s="116" t="str">
        <f>"3903496"</f>
        <v>3903496</v>
      </c>
      <c r="B118" s="116" t="s">
        <v>27475</v>
      </c>
      <c r="C118" s="361">
        <v>17.11</v>
      </c>
      <c r="D118" s="116">
        <v>346268</v>
      </c>
      <c r="E118" s="117">
        <v>44148.709247685183</v>
      </c>
      <c r="F118" s="253">
        <v>13411</v>
      </c>
    </row>
    <row r="119" spans="1:6" s="164" customFormat="1" ht="15.75" x14ac:dyDescent="0.25">
      <c r="A119" s="253"/>
      <c r="B119" s="253" t="s">
        <v>5691</v>
      </c>
      <c r="C119" s="238">
        <f>SUM(C114:C118)</f>
        <v>119.10000000000001</v>
      </c>
      <c r="D119" s="253">
        <v>8</v>
      </c>
      <c r="E119" s="163"/>
      <c r="F119" s="253"/>
    </row>
    <row r="120" spans="1:6" ht="15.75" x14ac:dyDescent="0.25">
      <c r="A120" s="118"/>
      <c r="B120" s="116"/>
      <c r="C120" s="230"/>
      <c r="D120" s="118"/>
      <c r="E120" s="117"/>
      <c r="F120" s="118"/>
    </row>
    <row r="121" spans="1:6" x14ac:dyDescent="0.25">
      <c r="A121" s="116" t="str">
        <f>"3901259"</f>
        <v>3901259</v>
      </c>
      <c r="B121" s="116" t="s">
        <v>27476</v>
      </c>
      <c r="C121" s="361">
        <v>3.4</v>
      </c>
      <c r="D121" s="116">
        <v>344454</v>
      </c>
      <c r="E121" s="117">
        <v>44151.281666666669</v>
      </c>
      <c r="F121" s="253">
        <v>13499</v>
      </c>
    </row>
    <row r="122" spans="1:6" x14ac:dyDescent="0.25">
      <c r="A122" s="116" t="str">
        <f>"3945410"</f>
        <v>3945410</v>
      </c>
      <c r="B122" s="116" t="s">
        <v>5702</v>
      </c>
      <c r="C122" s="361">
        <v>85.35</v>
      </c>
      <c r="D122" s="116">
        <v>343482</v>
      </c>
      <c r="E122" s="117">
        <v>44151.352337962962</v>
      </c>
      <c r="F122" s="253">
        <v>13502</v>
      </c>
    </row>
    <row r="123" spans="1:6" x14ac:dyDescent="0.25">
      <c r="A123" s="116" t="str">
        <f>"3903204"</f>
        <v>3903204</v>
      </c>
      <c r="B123" s="116" t="s">
        <v>5787</v>
      </c>
      <c r="C123" s="361">
        <v>5.75</v>
      </c>
      <c r="D123" s="116">
        <v>343850</v>
      </c>
      <c r="E123" s="117">
        <v>44151.425879629627</v>
      </c>
      <c r="F123" s="253">
        <v>13500</v>
      </c>
    </row>
    <row r="124" spans="1:6" x14ac:dyDescent="0.25">
      <c r="A124" s="116" t="str">
        <f>"3903951"</f>
        <v>3903951</v>
      </c>
      <c r="B124" s="116" t="s">
        <v>27477</v>
      </c>
      <c r="C124" s="361">
        <v>12.57</v>
      </c>
      <c r="D124" s="116">
        <v>343579</v>
      </c>
      <c r="E124" s="117">
        <v>44151.577199074076</v>
      </c>
      <c r="F124" s="253">
        <v>13503</v>
      </c>
    </row>
    <row r="125" spans="1:6" x14ac:dyDescent="0.25">
      <c r="A125" s="116" t="str">
        <f>"3960293"</f>
        <v>3960293</v>
      </c>
      <c r="B125" s="116" t="s">
        <v>5886</v>
      </c>
      <c r="C125" s="361">
        <v>8.1199999999999992</v>
      </c>
      <c r="D125" s="116">
        <v>343400</v>
      </c>
      <c r="E125" s="117">
        <v>44151.845706018517</v>
      </c>
      <c r="F125" s="253">
        <v>13501</v>
      </c>
    </row>
    <row r="126" spans="1:6" x14ac:dyDescent="0.25">
      <c r="A126" s="116" t="str">
        <f>"3907960"</f>
        <v>3907960</v>
      </c>
      <c r="B126" s="116" t="s">
        <v>2916</v>
      </c>
      <c r="C126" s="361">
        <v>2.33</v>
      </c>
      <c r="D126" s="116">
        <v>344630</v>
      </c>
      <c r="E126" s="117">
        <v>44151.314444444448</v>
      </c>
      <c r="F126" s="253" t="s">
        <v>26838</v>
      </c>
    </row>
    <row r="127" spans="1:6" x14ac:dyDescent="0.25">
      <c r="A127" s="116" t="str">
        <f>"3907181"</f>
        <v>3907181</v>
      </c>
      <c r="B127" s="116" t="s">
        <v>5757</v>
      </c>
      <c r="C127" s="361">
        <v>5.32</v>
      </c>
      <c r="D127" s="116">
        <v>343353</v>
      </c>
      <c r="E127" s="117">
        <v>44151.386782407404</v>
      </c>
      <c r="F127" s="253">
        <v>13509</v>
      </c>
    </row>
    <row r="128" spans="1:6" x14ac:dyDescent="0.25">
      <c r="A128" s="116" t="str">
        <f>"3960357"</f>
        <v>3960357</v>
      </c>
      <c r="B128" s="116" t="s">
        <v>5729</v>
      </c>
      <c r="C128" s="361">
        <v>8.3800000000000008</v>
      </c>
      <c r="D128" s="116">
        <v>343507</v>
      </c>
      <c r="E128" s="117">
        <v>44151.463460648149</v>
      </c>
      <c r="F128" s="253">
        <v>13504</v>
      </c>
    </row>
    <row r="129" spans="1:6" x14ac:dyDescent="0.25">
      <c r="A129" s="116" t="str">
        <f>"3960269"</f>
        <v>3960269</v>
      </c>
      <c r="B129" s="116" t="s">
        <v>2927</v>
      </c>
      <c r="C129" s="361">
        <v>12.3</v>
      </c>
      <c r="D129" s="116">
        <v>343385</v>
      </c>
      <c r="E129" s="117">
        <v>44151.489525462966</v>
      </c>
      <c r="F129" s="253">
        <v>13505</v>
      </c>
    </row>
    <row r="130" spans="1:6" x14ac:dyDescent="0.25">
      <c r="A130" s="116" t="str">
        <f>"3900431"</f>
        <v>3900431</v>
      </c>
      <c r="B130" s="116" t="s">
        <v>2955</v>
      </c>
      <c r="C130" s="361">
        <v>6.12</v>
      </c>
      <c r="D130" s="116">
        <v>344939</v>
      </c>
      <c r="E130" s="117">
        <v>44151.504120370373</v>
      </c>
      <c r="F130" s="253">
        <v>13510</v>
      </c>
    </row>
    <row r="131" spans="1:6" x14ac:dyDescent="0.25">
      <c r="A131" s="116" t="str">
        <f>"3908034"</f>
        <v>3908034</v>
      </c>
      <c r="B131" s="116" t="s">
        <v>27478</v>
      </c>
      <c r="C131" s="361">
        <v>7.67</v>
      </c>
      <c r="D131" s="116">
        <v>346355</v>
      </c>
      <c r="E131" s="117">
        <v>44151.573680555557</v>
      </c>
      <c r="F131" s="253">
        <v>13506</v>
      </c>
    </row>
    <row r="132" spans="1:6" x14ac:dyDescent="0.25">
      <c r="A132" s="116" t="str">
        <f>"3907618"</f>
        <v>3907618</v>
      </c>
      <c r="B132" s="116" t="s">
        <v>2783</v>
      </c>
      <c r="C132" s="361">
        <v>2.2799999999999998</v>
      </c>
      <c r="D132" s="116">
        <v>345532</v>
      </c>
      <c r="E132" s="117">
        <v>44151.600844907407</v>
      </c>
      <c r="F132" s="253">
        <v>13507</v>
      </c>
    </row>
    <row r="133" spans="1:6" x14ac:dyDescent="0.25">
      <c r="A133" s="116" t="str">
        <f>"3908344"</f>
        <v>3908344</v>
      </c>
      <c r="B133" s="116" t="s">
        <v>5921</v>
      </c>
      <c r="C133" s="361">
        <v>2.34</v>
      </c>
      <c r="D133" s="116">
        <v>345798</v>
      </c>
      <c r="E133" s="117">
        <v>44151.601180555554</v>
      </c>
      <c r="F133" s="253">
        <v>13508</v>
      </c>
    </row>
    <row r="134" spans="1:6" x14ac:dyDescent="0.25">
      <c r="A134" s="116" t="str">
        <f>"3900329"</f>
        <v>3900329</v>
      </c>
      <c r="B134" s="116" t="s">
        <v>5762</v>
      </c>
      <c r="C134" s="361">
        <v>5.63</v>
      </c>
      <c r="D134" s="116">
        <v>344894</v>
      </c>
      <c r="E134" s="117">
        <v>44151.692800925928</v>
      </c>
      <c r="F134" s="253">
        <v>13511</v>
      </c>
    </row>
    <row r="135" spans="1:6" x14ac:dyDescent="0.25">
      <c r="A135" s="116" t="str">
        <f>"3900149"</f>
        <v>3900149</v>
      </c>
      <c r="B135" s="116" t="s">
        <v>5854</v>
      </c>
      <c r="C135" s="361">
        <v>19.21</v>
      </c>
      <c r="D135" s="116">
        <v>344825</v>
      </c>
      <c r="E135" s="117">
        <v>44151.704398148147</v>
      </c>
      <c r="F135" s="253">
        <v>13512</v>
      </c>
    </row>
    <row r="136" spans="1:6" x14ac:dyDescent="0.25">
      <c r="A136" s="116" t="str">
        <f>"3906656"</f>
        <v>3906656</v>
      </c>
      <c r="B136" s="116" t="s">
        <v>2975</v>
      </c>
      <c r="C136" s="361">
        <v>79.86</v>
      </c>
      <c r="D136" s="116">
        <v>345937</v>
      </c>
      <c r="E136" s="117">
        <v>44151.725671296299</v>
      </c>
      <c r="F136" s="253">
        <v>13513</v>
      </c>
    </row>
    <row r="137" spans="1:6" x14ac:dyDescent="0.25">
      <c r="A137" s="116" t="str">
        <f>"3908939"</f>
        <v>3908939</v>
      </c>
      <c r="B137" s="116" t="s">
        <v>5851</v>
      </c>
      <c r="C137" s="361">
        <v>34.47</v>
      </c>
      <c r="D137" s="116">
        <v>346028</v>
      </c>
      <c r="E137" s="117">
        <v>44151.775833333333</v>
      </c>
      <c r="F137" s="253">
        <v>13533</v>
      </c>
    </row>
    <row r="138" spans="1:6" s="164" customFormat="1" ht="15.75" x14ac:dyDescent="0.25">
      <c r="A138" s="253"/>
      <c r="B138" s="253" t="s">
        <v>5691</v>
      </c>
      <c r="C138" s="238">
        <f>SUM(C121:C137)</f>
        <v>301.10000000000002</v>
      </c>
      <c r="D138" s="253">
        <v>9</v>
      </c>
      <c r="E138" s="163"/>
      <c r="F138" s="253"/>
    </row>
    <row r="139" spans="1:6" ht="15.75" x14ac:dyDescent="0.25">
      <c r="A139" s="118"/>
      <c r="B139" s="116"/>
      <c r="C139" s="230"/>
      <c r="D139" s="118"/>
      <c r="E139" s="117"/>
      <c r="F139" s="118"/>
    </row>
    <row r="140" spans="1:6" x14ac:dyDescent="0.25">
      <c r="A140" s="116" t="str">
        <f>"3930078"</f>
        <v>3930078</v>
      </c>
      <c r="B140" s="116" t="s">
        <v>2989</v>
      </c>
      <c r="C140" s="361">
        <v>8.41</v>
      </c>
      <c r="D140" s="116">
        <v>344036</v>
      </c>
      <c r="E140" s="117">
        <v>44152.290625000001</v>
      </c>
      <c r="F140" s="253">
        <v>13612</v>
      </c>
    </row>
    <row r="141" spans="1:6" x14ac:dyDescent="0.25">
      <c r="A141" s="116" t="str">
        <f>"3903516"</f>
        <v>3903516</v>
      </c>
      <c r="B141" s="116" t="s">
        <v>2785</v>
      </c>
      <c r="C141" s="361">
        <v>6.25</v>
      </c>
      <c r="D141" s="116">
        <v>344557</v>
      </c>
      <c r="E141" s="117">
        <v>44152.371516203704</v>
      </c>
      <c r="F141" s="253">
        <v>13602</v>
      </c>
    </row>
    <row r="142" spans="1:6" x14ac:dyDescent="0.25">
      <c r="A142" s="116" t="str">
        <f>"3906747"</f>
        <v>3906747</v>
      </c>
      <c r="B142" s="116" t="s">
        <v>2942</v>
      </c>
      <c r="C142" s="361">
        <v>29.9</v>
      </c>
      <c r="D142" s="116">
        <v>346086</v>
      </c>
      <c r="E142" s="117">
        <v>44152.393206018518</v>
      </c>
      <c r="F142" s="253">
        <v>13615</v>
      </c>
    </row>
    <row r="143" spans="1:6" x14ac:dyDescent="0.25">
      <c r="A143" s="116" t="str">
        <f>"3960373"</f>
        <v>3960373</v>
      </c>
      <c r="B143" s="116" t="s">
        <v>2940</v>
      </c>
      <c r="C143" s="361">
        <v>8.3800000000000008</v>
      </c>
      <c r="D143" s="116">
        <v>343475</v>
      </c>
      <c r="E143" s="117">
        <v>44152.416041666664</v>
      </c>
      <c r="F143" s="253">
        <v>13603</v>
      </c>
    </row>
    <row r="144" spans="1:6" x14ac:dyDescent="0.25">
      <c r="A144" s="116" t="str">
        <f>"3930231"</f>
        <v>3930231</v>
      </c>
      <c r="B144" s="116" t="s">
        <v>5741</v>
      </c>
      <c r="C144" s="361">
        <v>1.98</v>
      </c>
      <c r="D144" s="116">
        <v>344240</v>
      </c>
      <c r="E144" s="117">
        <v>44152.44027777778</v>
      </c>
      <c r="F144" s="253">
        <v>13604</v>
      </c>
    </row>
    <row r="145" spans="1:6" x14ac:dyDescent="0.25">
      <c r="A145" s="116" t="str">
        <f>"3945204"</f>
        <v>3945204</v>
      </c>
      <c r="B145" s="116" t="s">
        <v>2803</v>
      </c>
      <c r="C145" s="361">
        <v>8.3800000000000008</v>
      </c>
      <c r="D145" s="116">
        <v>343540</v>
      </c>
      <c r="E145" s="117">
        <v>44152.491574074076</v>
      </c>
      <c r="F145" s="253">
        <v>13605</v>
      </c>
    </row>
    <row r="146" spans="1:6" x14ac:dyDescent="0.25">
      <c r="A146" s="116" t="str">
        <f>"3900375"</f>
        <v>3900375</v>
      </c>
      <c r="B146" s="116" t="s">
        <v>5887</v>
      </c>
      <c r="C146" s="361">
        <v>16.47</v>
      </c>
      <c r="D146" s="116">
        <v>346212</v>
      </c>
      <c r="E146" s="117">
        <v>44152.498530092591</v>
      </c>
      <c r="F146" s="253">
        <v>13614</v>
      </c>
    </row>
    <row r="147" spans="1:6" x14ac:dyDescent="0.25">
      <c r="A147" s="116" t="str">
        <f>"3930371"</f>
        <v>3930371</v>
      </c>
      <c r="B147" s="116" t="s">
        <v>2801</v>
      </c>
      <c r="C147" s="361">
        <v>21.21</v>
      </c>
      <c r="D147" s="116">
        <v>346134</v>
      </c>
      <c r="E147" s="117">
        <v>44152.522986111115</v>
      </c>
      <c r="F147" s="253">
        <v>13616</v>
      </c>
    </row>
    <row r="148" spans="1:6" x14ac:dyDescent="0.25">
      <c r="A148" s="116" t="str">
        <f>"3906819"</f>
        <v>3906819</v>
      </c>
      <c r="B148" s="116" t="s">
        <v>5874</v>
      </c>
      <c r="C148" s="361">
        <v>5.16</v>
      </c>
      <c r="D148" s="116">
        <v>344516</v>
      </c>
      <c r="E148" s="117">
        <v>44152.545624999999</v>
      </c>
      <c r="F148" s="253">
        <v>13606</v>
      </c>
    </row>
    <row r="149" spans="1:6" x14ac:dyDescent="0.25">
      <c r="A149" s="116" t="str">
        <f>"3908230"</f>
        <v>3908230</v>
      </c>
      <c r="B149" s="116" t="s">
        <v>27479</v>
      </c>
      <c r="C149" s="361">
        <v>8.2100000000000009</v>
      </c>
      <c r="D149" s="116">
        <v>346329</v>
      </c>
      <c r="E149" s="117">
        <v>44152.56763888889</v>
      </c>
      <c r="F149" s="253">
        <v>13607</v>
      </c>
    </row>
    <row r="150" spans="1:6" x14ac:dyDescent="0.25">
      <c r="A150" s="116" t="str">
        <f>"3907525"</f>
        <v>3907525</v>
      </c>
      <c r="B150" s="116" t="s">
        <v>2905</v>
      </c>
      <c r="C150" s="361">
        <v>9.84</v>
      </c>
      <c r="D150" s="116">
        <v>345978</v>
      </c>
      <c r="E150" s="117">
        <v>44152.612210648149</v>
      </c>
      <c r="F150" s="253">
        <v>13618</v>
      </c>
    </row>
    <row r="151" spans="1:6" x14ac:dyDescent="0.25">
      <c r="A151" s="116" t="str">
        <f>"3907544"</f>
        <v>3907544</v>
      </c>
      <c r="B151" s="116" t="s">
        <v>2905</v>
      </c>
      <c r="C151" s="361">
        <v>5.82</v>
      </c>
      <c r="D151" s="116">
        <v>345977</v>
      </c>
      <c r="E151" s="117">
        <v>44152.613402777781</v>
      </c>
      <c r="F151" s="253">
        <v>13617</v>
      </c>
    </row>
    <row r="152" spans="1:6" x14ac:dyDescent="0.25">
      <c r="A152" s="116" t="str">
        <f>"3908176"</f>
        <v>3908176</v>
      </c>
      <c r="B152" s="116" t="s">
        <v>5910</v>
      </c>
      <c r="C152" s="361">
        <v>8.09</v>
      </c>
      <c r="D152" s="116">
        <v>346319</v>
      </c>
      <c r="E152" s="117">
        <v>44152.623437499999</v>
      </c>
      <c r="F152" s="253">
        <v>13608</v>
      </c>
    </row>
    <row r="153" spans="1:6" x14ac:dyDescent="0.25">
      <c r="A153" s="116" t="str">
        <f>"3908177"</f>
        <v>3908177</v>
      </c>
      <c r="B153" s="116" t="s">
        <v>5910</v>
      </c>
      <c r="C153" s="361">
        <v>57.28</v>
      </c>
      <c r="D153" s="116">
        <v>346320</v>
      </c>
      <c r="E153" s="117">
        <v>44152.623599537037</v>
      </c>
      <c r="F153" s="253">
        <v>13609</v>
      </c>
    </row>
    <row r="154" spans="1:6" x14ac:dyDescent="0.25">
      <c r="A154" s="116" t="str">
        <f>"3907139"</f>
        <v>3907139</v>
      </c>
      <c r="B154" s="116" t="s">
        <v>27480</v>
      </c>
      <c r="C154" s="361">
        <v>14.6</v>
      </c>
      <c r="D154" s="116">
        <v>343635</v>
      </c>
      <c r="E154" s="117">
        <v>44152.653703703705</v>
      </c>
      <c r="F154" s="253">
        <v>13610</v>
      </c>
    </row>
    <row r="155" spans="1:6" x14ac:dyDescent="0.25">
      <c r="A155" s="116" t="str">
        <f>"3908224"</f>
        <v>3908224</v>
      </c>
      <c r="B155" s="116" t="s">
        <v>5805</v>
      </c>
      <c r="C155" s="361">
        <v>3.99</v>
      </c>
      <c r="D155" s="116">
        <v>345662</v>
      </c>
      <c r="E155" s="117">
        <v>44152.818877314814</v>
      </c>
      <c r="F155" s="253">
        <v>13611</v>
      </c>
    </row>
    <row r="156" spans="1:6" s="164" customFormat="1" ht="15.75" x14ac:dyDescent="0.25">
      <c r="A156" s="253"/>
      <c r="B156" s="253" t="s">
        <v>5691</v>
      </c>
      <c r="C156" s="238">
        <f>SUM(C140:C155)</f>
        <v>213.97000000000003</v>
      </c>
      <c r="D156" s="253">
        <v>10</v>
      </c>
      <c r="E156" s="163"/>
      <c r="F156" s="253"/>
    </row>
    <row r="157" spans="1:6" ht="15.75" x14ac:dyDescent="0.25">
      <c r="A157" s="118"/>
      <c r="B157" s="116"/>
      <c r="C157" s="230"/>
      <c r="D157" s="118"/>
      <c r="E157" s="117"/>
      <c r="F157" s="118"/>
    </row>
    <row r="158" spans="1:6" x14ac:dyDescent="0.25">
      <c r="A158" s="116" t="str">
        <f>"3902047"</f>
        <v>3902047</v>
      </c>
      <c r="B158" s="116" t="s">
        <v>2920</v>
      </c>
      <c r="C158" s="361">
        <v>26</v>
      </c>
      <c r="D158" s="116">
        <v>343527</v>
      </c>
      <c r="E158" s="117">
        <v>44153.448576388888</v>
      </c>
      <c r="F158" s="253">
        <v>13657</v>
      </c>
    </row>
    <row r="159" spans="1:6" x14ac:dyDescent="0.25">
      <c r="A159" s="116" t="str">
        <f>"3906994"</f>
        <v>3906994</v>
      </c>
      <c r="B159" s="116" t="s">
        <v>2945</v>
      </c>
      <c r="C159" s="361">
        <v>133.65</v>
      </c>
      <c r="D159" s="116">
        <v>345947</v>
      </c>
      <c r="E159" s="117">
        <v>44153.627187500002</v>
      </c>
      <c r="F159" s="253">
        <v>13658</v>
      </c>
    </row>
    <row r="160" spans="1:6" x14ac:dyDescent="0.25">
      <c r="A160" s="116" t="str">
        <f>"3906995"</f>
        <v>3906995</v>
      </c>
      <c r="B160" s="116" t="s">
        <v>2945</v>
      </c>
      <c r="C160" s="361">
        <v>110.29</v>
      </c>
      <c r="D160" s="116">
        <v>345948</v>
      </c>
      <c r="E160" s="117">
        <v>44153.627337962964</v>
      </c>
      <c r="F160" s="253">
        <v>13659</v>
      </c>
    </row>
    <row r="161" spans="1:6" x14ac:dyDescent="0.25">
      <c r="A161" s="116" t="str">
        <f>"3908292"</f>
        <v>3908292</v>
      </c>
      <c r="B161" s="116" t="s">
        <v>27481</v>
      </c>
      <c r="C161" s="361">
        <v>16.64</v>
      </c>
      <c r="D161" s="116">
        <v>345740</v>
      </c>
      <c r="E161" s="117">
        <v>44153.660092592596</v>
      </c>
      <c r="F161" s="253">
        <v>13660</v>
      </c>
    </row>
    <row r="162" spans="1:6" s="164" customFormat="1" ht="15.75" x14ac:dyDescent="0.25">
      <c r="A162" s="253"/>
      <c r="B162" s="253" t="s">
        <v>5691</v>
      </c>
      <c r="C162" s="238">
        <f>SUM(C158:C161)</f>
        <v>286.58</v>
      </c>
      <c r="D162" s="253">
        <v>11</v>
      </c>
      <c r="E162" s="163"/>
      <c r="F162" s="253"/>
    </row>
    <row r="163" spans="1:6" ht="15.75" x14ac:dyDescent="0.25">
      <c r="A163" s="118"/>
      <c r="B163" s="116"/>
      <c r="C163" s="230"/>
      <c r="D163" s="118"/>
      <c r="E163" s="117"/>
      <c r="F163" s="118"/>
    </row>
    <row r="164" spans="1:6" x14ac:dyDescent="0.25">
      <c r="A164" s="116" t="str">
        <f>"3903531"</f>
        <v>3903531</v>
      </c>
      <c r="B164" s="116" t="s">
        <v>2918</v>
      </c>
      <c r="C164" s="361">
        <v>5.04</v>
      </c>
      <c r="D164" s="116">
        <v>344291</v>
      </c>
      <c r="E164" s="117">
        <v>44154.438993055555</v>
      </c>
      <c r="F164" s="253">
        <v>13733</v>
      </c>
    </row>
    <row r="165" spans="1:6" x14ac:dyDescent="0.25">
      <c r="A165" s="116" t="str">
        <f>"3908608"</f>
        <v>3908608</v>
      </c>
      <c r="B165" s="116" t="s">
        <v>5704</v>
      </c>
      <c r="C165" s="361">
        <v>17.760000000000002</v>
      </c>
      <c r="D165" s="116">
        <v>344750</v>
      </c>
      <c r="E165" s="117">
        <v>44154.504560185182</v>
      </c>
      <c r="F165" s="253">
        <v>13734</v>
      </c>
    </row>
    <row r="166" spans="1:6" s="164" customFormat="1" ht="15.75" x14ac:dyDescent="0.25">
      <c r="A166" s="253"/>
      <c r="B166" s="253" t="s">
        <v>5691</v>
      </c>
      <c r="C166" s="238">
        <f>SUM(C164:C165)</f>
        <v>22.8</v>
      </c>
      <c r="D166" s="253">
        <v>12</v>
      </c>
      <c r="E166" s="163"/>
      <c r="F166" s="253"/>
    </row>
    <row r="167" spans="1:6" ht="15.75" x14ac:dyDescent="0.25">
      <c r="A167" s="118"/>
      <c r="B167" s="116"/>
      <c r="C167" s="230"/>
      <c r="D167" s="118"/>
      <c r="E167" s="117"/>
      <c r="F167" s="118"/>
    </row>
    <row r="168" spans="1:6" x14ac:dyDescent="0.25">
      <c r="A168" s="116" t="str">
        <f>"3906821"</f>
        <v>3906821</v>
      </c>
      <c r="B168" s="116" t="s">
        <v>2950</v>
      </c>
      <c r="C168" s="361">
        <v>1.7</v>
      </c>
      <c r="D168" s="116">
        <v>344519</v>
      </c>
      <c r="E168" s="117">
        <v>44155.390011574076</v>
      </c>
      <c r="F168" s="253">
        <v>13779</v>
      </c>
    </row>
    <row r="169" spans="1:6" x14ac:dyDescent="0.25">
      <c r="A169" s="116" t="str">
        <f>"3945114"</f>
        <v>3945114</v>
      </c>
      <c r="B169" s="116" t="s">
        <v>2943</v>
      </c>
      <c r="C169" s="361">
        <v>9.59</v>
      </c>
      <c r="D169" s="116">
        <v>343460</v>
      </c>
      <c r="E169" s="117">
        <v>44155.415138888886</v>
      </c>
      <c r="F169" s="253">
        <v>13780</v>
      </c>
    </row>
    <row r="170" spans="1:6" x14ac:dyDescent="0.25">
      <c r="A170" s="116" t="str">
        <f>"3908160"</f>
        <v>3908160</v>
      </c>
      <c r="B170" s="116" t="s">
        <v>5877</v>
      </c>
      <c r="C170" s="361">
        <v>2.8</v>
      </c>
      <c r="D170" s="116">
        <v>345613</v>
      </c>
      <c r="E170" s="117">
        <v>44155.502199074072</v>
      </c>
      <c r="F170" s="253">
        <v>13781</v>
      </c>
    </row>
    <row r="171" spans="1:6" x14ac:dyDescent="0.25">
      <c r="A171" s="116" t="str">
        <f>"3908875"</f>
        <v>3908875</v>
      </c>
      <c r="B171" s="116" t="s">
        <v>5759</v>
      </c>
      <c r="C171" s="361">
        <v>4.49</v>
      </c>
      <c r="D171" s="116">
        <v>344046</v>
      </c>
      <c r="E171" s="117">
        <v>44155.571655092594</v>
      </c>
      <c r="F171" s="253">
        <v>13782</v>
      </c>
    </row>
    <row r="172" spans="1:6" x14ac:dyDescent="0.25">
      <c r="A172" s="116" t="str">
        <f>"3909033"</f>
        <v>3909033</v>
      </c>
      <c r="B172" s="116" t="s">
        <v>2812</v>
      </c>
      <c r="C172" s="361">
        <v>2.12</v>
      </c>
      <c r="D172" s="116">
        <v>344562</v>
      </c>
      <c r="E172" s="117">
        <v>44155.577175925922</v>
      </c>
      <c r="F172" s="253">
        <v>13783</v>
      </c>
    </row>
    <row r="173" spans="1:6" x14ac:dyDescent="0.25">
      <c r="A173" s="116" t="str">
        <f>"3945471"</f>
        <v>3945471</v>
      </c>
      <c r="B173" s="116" t="s">
        <v>5767</v>
      </c>
      <c r="C173" s="361">
        <v>133.41</v>
      </c>
      <c r="D173" s="116">
        <v>343495</v>
      </c>
      <c r="E173" s="117">
        <v>44155.62636574074</v>
      </c>
      <c r="F173" s="253">
        <v>13785</v>
      </c>
    </row>
    <row r="174" spans="1:6" x14ac:dyDescent="0.25">
      <c r="A174" s="116" t="str">
        <f>"3907152"</f>
        <v>3907152</v>
      </c>
      <c r="B174" s="116" t="s">
        <v>5703</v>
      </c>
      <c r="C174" s="361">
        <v>13.88</v>
      </c>
      <c r="D174" s="116">
        <v>343637</v>
      </c>
      <c r="E174" s="117">
        <v>44155.748298611114</v>
      </c>
      <c r="F174" s="253">
        <v>13784</v>
      </c>
    </row>
    <row r="175" spans="1:6" s="164" customFormat="1" ht="15.75" x14ac:dyDescent="0.25">
      <c r="A175" s="253"/>
      <c r="B175" s="253" t="s">
        <v>5691</v>
      </c>
      <c r="C175" s="238">
        <f>SUM(C168:C174)</f>
        <v>167.98999999999998</v>
      </c>
      <c r="D175" s="253">
        <v>13</v>
      </c>
      <c r="E175" s="163"/>
      <c r="F175" s="253"/>
    </row>
    <row r="176" spans="1:6" ht="15.75" x14ac:dyDescent="0.25">
      <c r="A176" s="118"/>
      <c r="B176" s="116"/>
      <c r="C176" s="230"/>
      <c r="D176" s="118"/>
      <c r="E176" s="117"/>
      <c r="F176" s="118"/>
    </row>
    <row r="177" spans="1:6" x14ac:dyDescent="0.25">
      <c r="A177" s="116" t="str">
        <f>"3960252"</f>
        <v>3960252</v>
      </c>
      <c r="B177" s="116" t="s">
        <v>5816</v>
      </c>
      <c r="C177" s="361">
        <v>16.760000000000002</v>
      </c>
      <c r="D177" s="116">
        <v>346464</v>
      </c>
      <c r="E177" s="117">
        <v>44160.423333333332</v>
      </c>
      <c r="F177" s="253">
        <v>13838</v>
      </c>
    </row>
    <row r="178" spans="1:6" x14ac:dyDescent="0.25">
      <c r="A178" s="116" t="str">
        <f>"3903105"</f>
        <v>3903105</v>
      </c>
      <c r="B178" s="116" t="s">
        <v>2903</v>
      </c>
      <c r="C178" s="361">
        <v>1.94</v>
      </c>
      <c r="D178" s="116">
        <v>346178</v>
      </c>
      <c r="E178" s="117">
        <v>44160.428738425922</v>
      </c>
      <c r="F178" s="253">
        <v>13839</v>
      </c>
    </row>
    <row r="179" spans="1:6" x14ac:dyDescent="0.25">
      <c r="A179" s="116" t="str">
        <f>"3930030"</f>
        <v>3930030</v>
      </c>
      <c r="B179" s="116" t="s">
        <v>5830</v>
      </c>
      <c r="C179" s="361">
        <v>3.77</v>
      </c>
      <c r="D179" s="116">
        <v>346910</v>
      </c>
      <c r="E179" s="117">
        <v>44160.464722222219</v>
      </c>
      <c r="F179" s="253">
        <v>13840</v>
      </c>
    </row>
    <row r="180" spans="1:6" x14ac:dyDescent="0.25">
      <c r="A180" s="116" t="str">
        <f>"3904232"</f>
        <v>3904232</v>
      </c>
      <c r="B180" s="116" t="s">
        <v>5872</v>
      </c>
      <c r="C180" s="361">
        <v>18.09</v>
      </c>
      <c r="D180" s="116">
        <v>345897</v>
      </c>
      <c r="E180" s="117">
        <v>44160.466458333336</v>
      </c>
      <c r="F180" s="253">
        <v>13841</v>
      </c>
    </row>
    <row r="181" spans="1:6" x14ac:dyDescent="0.25">
      <c r="A181" s="116" t="str">
        <f>"3903497"</f>
        <v>3903497</v>
      </c>
      <c r="B181" s="116" t="s">
        <v>5847</v>
      </c>
      <c r="C181" s="361">
        <v>9.5399999999999991</v>
      </c>
      <c r="D181" s="116">
        <v>346346</v>
      </c>
      <c r="E181" s="117">
        <v>44160.468506944446</v>
      </c>
      <c r="F181" s="253">
        <v>13842</v>
      </c>
    </row>
    <row r="182" spans="1:6" x14ac:dyDescent="0.25">
      <c r="A182" s="116" t="str">
        <f>"3902612"</f>
        <v>3902612</v>
      </c>
      <c r="B182" s="116" t="s">
        <v>5871</v>
      </c>
      <c r="C182" s="361">
        <v>13.53</v>
      </c>
      <c r="D182" s="116">
        <v>348232</v>
      </c>
      <c r="E182" s="117">
        <v>44160.494201388887</v>
      </c>
      <c r="F182" s="253">
        <v>13843</v>
      </c>
    </row>
    <row r="183" spans="1:6" x14ac:dyDescent="0.25">
      <c r="A183" s="116" t="str">
        <f>"3903592"</f>
        <v>3903592</v>
      </c>
      <c r="B183" s="116" t="s">
        <v>2984</v>
      </c>
      <c r="C183" s="361">
        <v>10.87</v>
      </c>
      <c r="D183" s="116">
        <v>344478</v>
      </c>
      <c r="E183" s="117">
        <v>44160.5003125</v>
      </c>
      <c r="F183" s="253">
        <v>13848</v>
      </c>
    </row>
    <row r="184" spans="1:6" x14ac:dyDescent="0.25">
      <c r="A184" s="116" t="str">
        <f>"3920083"</f>
        <v>3920083</v>
      </c>
      <c r="B184" s="116" t="s">
        <v>2954</v>
      </c>
      <c r="C184" s="361">
        <v>12.01</v>
      </c>
      <c r="D184" s="116">
        <v>346445</v>
      </c>
      <c r="E184" s="117">
        <v>44160.515393518515</v>
      </c>
      <c r="F184" s="253">
        <v>13844</v>
      </c>
    </row>
    <row r="185" spans="1:6" x14ac:dyDescent="0.25">
      <c r="A185" s="116" t="str">
        <f>"3900917"</f>
        <v>3900917</v>
      </c>
      <c r="B185" s="116" t="s">
        <v>27482</v>
      </c>
      <c r="C185" s="361">
        <v>10.67</v>
      </c>
      <c r="D185" s="116">
        <v>343821</v>
      </c>
      <c r="E185" s="117">
        <v>44160.541655092595</v>
      </c>
      <c r="F185" s="253">
        <v>13849</v>
      </c>
    </row>
    <row r="186" spans="1:6" x14ac:dyDescent="0.25">
      <c r="A186" s="116" t="str">
        <f>"3908292"</f>
        <v>3908292</v>
      </c>
      <c r="B186" s="116" t="s">
        <v>27481</v>
      </c>
      <c r="C186" s="361">
        <v>3.76</v>
      </c>
      <c r="D186" s="116">
        <v>348243</v>
      </c>
      <c r="E186" s="117">
        <v>44160.561701388891</v>
      </c>
      <c r="F186" s="253">
        <v>13845</v>
      </c>
    </row>
    <row r="187" spans="1:6" x14ac:dyDescent="0.25">
      <c r="A187" s="116" t="str">
        <f>"3903217"</f>
        <v>3903217</v>
      </c>
      <c r="B187" s="116" t="s">
        <v>5780</v>
      </c>
      <c r="C187" s="361">
        <v>4.9400000000000004</v>
      </c>
      <c r="D187" s="116">
        <v>346808</v>
      </c>
      <c r="E187" s="117">
        <v>44160.777731481481</v>
      </c>
      <c r="F187" s="253">
        <v>13846</v>
      </c>
    </row>
    <row r="188" spans="1:6" x14ac:dyDescent="0.25">
      <c r="A188" s="116" t="str">
        <f>"3903841"</f>
        <v>3903841</v>
      </c>
      <c r="B188" s="116" t="s">
        <v>5780</v>
      </c>
      <c r="C188" s="361">
        <v>7.17</v>
      </c>
      <c r="D188" s="116">
        <v>347796</v>
      </c>
      <c r="E188" s="117">
        <v>44160.780474537038</v>
      </c>
      <c r="F188" s="253">
        <v>13847</v>
      </c>
    </row>
    <row r="189" spans="1:6" s="164" customFormat="1" ht="15.75" x14ac:dyDescent="0.25">
      <c r="A189" s="253"/>
      <c r="B189" s="253" t="s">
        <v>5691</v>
      </c>
      <c r="C189" s="238">
        <f>SUM(C177:C188)</f>
        <v>113.05000000000001</v>
      </c>
      <c r="D189" s="253">
        <v>14</v>
      </c>
      <c r="E189" s="163"/>
      <c r="F189" s="253"/>
    </row>
    <row r="190" spans="1:6" ht="15.75" x14ac:dyDescent="0.25">
      <c r="A190" s="118"/>
      <c r="B190" s="116"/>
      <c r="C190" s="230"/>
      <c r="D190" s="118"/>
      <c r="E190" s="117"/>
      <c r="F190" s="118"/>
    </row>
    <row r="191" spans="1:6" x14ac:dyDescent="0.25">
      <c r="A191" s="116" t="str">
        <f>"3908129"</f>
        <v>3908129</v>
      </c>
      <c r="B191" s="116" t="s">
        <v>5809</v>
      </c>
      <c r="C191" s="361">
        <v>1.69</v>
      </c>
      <c r="D191" s="116">
        <v>348093</v>
      </c>
      <c r="E191" s="117">
        <v>44161.261354166665</v>
      </c>
      <c r="F191" s="253">
        <v>13898</v>
      </c>
    </row>
    <row r="192" spans="1:6" x14ac:dyDescent="0.25">
      <c r="A192" s="116" t="str">
        <f>"3930021"</f>
        <v>3930021</v>
      </c>
      <c r="B192" s="116" t="s">
        <v>5861</v>
      </c>
      <c r="C192" s="361">
        <v>1.68</v>
      </c>
      <c r="D192" s="116">
        <v>346907</v>
      </c>
      <c r="E192" s="117">
        <v>44161.402708333335</v>
      </c>
      <c r="F192" s="253">
        <v>13899</v>
      </c>
    </row>
    <row r="193" spans="1:6" x14ac:dyDescent="0.25">
      <c r="A193" s="116" t="str">
        <f>"3902164"</f>
        <v>3902164</v>
      </c>
      <c r="B193" s="116" t="s">
        <v>5742</v>
      </c>
      <c r="C193" s="361">
        <v>6.71</v>
      </c>
      <c r="D193" s="116">
        <v>347363</v>
      </c>
      <c r="E193" s="117">
        <v>44161.553796296299</v>
      </c>
      <c r="F193" s="253">
        <v>13900</v>
      </c>
    </row>
    <row r="194" spans="1:6" x14ac:dyDescent="0.25">
      <c r="A194" s="116" t="str">
        <f>"3903332"</f>
        <v>3903332</v>
      </c>
      <c r="B194" s="116" t="s">
        <v>27483</v>
      </c>
      <c r="C194" s="361">
        <v>8.01</v>
      </c>
      <c r="D194" s="116">
        <v>346872</v>
      </c>
      <c r="E194" s="117">
        <v>44161.573506944442</v>
      </c>
      <c r="F194" s="253">
        <v>13901</v>
      </c>
    </row>
    <row r="195" spans="1:6" x14ac:dyDescent="0.25">
      <c r="A195" s="116" t="str">
        <f>"3900400"</f>
        <v>3900400</v>
      </c>
      <c r="B195" s="116" t="s">
        <v>27484</v>
      </c>
      <c r="C195" s="361">
        <v>31.76</v>
      </c>
      <c r="D195" s="116">
        <v>347498</v>
      </c>
      <c r="E195" s="117">
        <v>44161.609965277778</v>
      </c>
      <c r="F195" s="253">
        <v>13902</v>
      </c>
    </row>
    <row r="196" spans="1:6" x14ac:dyDescent="0.25">
      <c r="A196" s="116" t="str">
        <f>"3907531"</f>
        <v>3907531</v>
      </c>
      <c r="B196" s="116" t="s">
        <v>2959</v>
      </c>
      <c r="C196" s="361">
        <v>31.56</v>
      </c>
      <c r="D196" s="116">
        <v>346693</v>
      </c>
      <c r="E196" s="117">
        <v>44161.663506944446</v>
      </c>
      <c r="F196" s="253">
        <v>13903</v>
      </c>
    </row>
    <row r="197" spans="1:6" x14ac:dyDescent="0.25">
      <c r="A197" s="116" t="str">
        <f>"3900953"</f>
        <v>3900953</v>
      </c>
      <c r="B197" s="116" t="s">
        <v>5841</v>
      </c>
      <c r="C197" s="361">
        <v>1.68</v>
      </c>
      <c r="D197" s="116">
        <v>346859</v>
      </c>
      <c r="E197" s="117">
        <v>44161.801307870373</v>
      </c>
      <c r="F197" s="253">
        <v>13904</v>
      </c>
    </row>
    <row r="198" spans="1:6" s="164" customFormat="1" ht="15.75" x14ac:dyDescent="0.25">
      <c r="A198" s="253"/>
      <c r="B198" s="253" t="s">
        <v>5691</v>
      </c>
      <c r="C198" s="238">
        <f>SUM(C191:C197)</f>
        <v>83.09</v>
      </c>
      <c r="D198" s="253">
        <v>15</v>
      </c>
      <c r="E198" s="163"/>
      <c r="F198" s="253"/>
    </row>
    <row r="199" spans="1:6" ht="15.75" x14ac:dyDescent="0.25">
      <c r="A199" s="118"/>
      <c r="B199" s="116"/>
      <c r="C199" s="230"/>
      <c r="D199" s="118"/>
      <c r="E199" s="117"/>
      <c r="F199" s="118"/>
    </row>
    <row r="200" spans="1:6" x14ac:dyDescent="0.25">
      <c r="A200" s="116" t="str">
        <f>"3907791"</f>
        <v>3907791</v>
      </c>
      <c r="B200" s="116" t="s">
        <v>5726</v>
      </c>
      <c r="C200" s="361">
        <v>21.3</v>
      </c>
      <c r="D200" s="116">
        <v>344079</v>
      </c>
      <c r="E200" s="117">
        <v>44162.350243055553</v>
      </c>
      <c r="F200" s="253">
        <v>13974</v>
      </c>
    </row>
    <row r="201" spans="1:6" x14ac:dyDescent="0.25">
      <c r="A201" s="116" t="str">
        <f>"3906750"</f>
        <v>3906750</v>
      </c>
      <c r="B201" s="116" t="s">
        <v>2911</v>
      </c>
      <c r="C201" s="361">
        <v>3.9</v>
      </c>
      <c r="D201" s="116">
        <v>347110</v>
      </c>
      <c r="E201" s="117">
        <v>44162.457395833335</v>
      </c>
      <c r="F201" s="253">
        <v>13969</v>
      </c>
    </row>
    <row r="202" spans="1:6" x14ac:dyDescent="0.25">
      <c r="A202" s="116" t="str">
        <f>"3908204"</f>
        <v>3908204</v>
      </c>
      <c r="B202" s="116" t="s">
        <v>5785</v>
      </c>
      <c r="C202" s="361">
        <v>20.79</v>
      </c>
      <c r="D202" s="116">
        <v>348151</v>
      </c>
      <c r="E202" s="117">
        <v>44162.498564814814</v>
      </c>
      <c r="F202" s="253">
        <v>13970</v>
      </c>
    </row>
    <row r="203" spans="1:6" x14ac:dyDescent="0.25">
      <c r="A203" s="116" t="str">
        <f>"3909119"</f>
        <v>3909119</v>
      </c>
      <c r="B203" s="116" t="s">
        <v>5876</v>
      </c>
      <c r="C203" s="361">
        <v>16.14</v>
      </c>
      <c r="D203" s="116">
        <v>344534</v>
      </c>
      <c r="E203" s="117">
        <v>44162.504062499997</v>
      </c>
      <c r="F203" s="253">
        <v>13975</v>
      </c>
    </row>
    <row r="204" spans="1:6" x14ac:dyDescent="0.25">
      <c r="A204" s="116" t="str">
        <f>"3908160"</f>
        <v>3908160</v>
      </c>
      <c r="B204" s="116" t="s">
        <v>5877</v>
      </c>
      <c r="C204" s="361">
        <v>2.46</v>
      </c>
      <c r="D204" s="116">
        <v>348116</v>
      </c>
      <c r="E204" s="117">
        <v>44162.545578703706</v>
      </c>
      <c r="F204" s="253">
        <v>13971</v>
      </c>
    </row>
    <row r="205" spans="1:6" x14ac:dyDescent="0.25">
      <c r="A205" s="116" t="str">
        <f>"3960274"</f>
        <v>3960274</v>
      </c>
      <c r="B205" s="116" t="s">
        <v>2798</v>
      </c>
      <c r="C205" s="361">
        <v>6.82</v>
      </c>
      <c r="D205" s="116">
        <v>346423</v>
      </c>
      <c r="E205" s="117">
        <v>44162.650601851848</v>
      </c>
      <c r="F205" s="253">
        <v>13972</v>
      </c>
    </row>
    <row r="206" spans="1:6" x14ac:dyDescent="0.25">
      <c r="A206" s="116" t="str">
        <f>"3908293"</f>
        <v>3908293</v>
      </c>
      <c r="B206" s="116" t="s">
        <v>27474</v>
      </c>
      <c r="C206" s="361">
        <v>1.68</v>
      </c>
      <c r="D206" s="116">
        <v>348244</v>
      </c>
      <c r="E206" s="117">
        <v>44162.803622685184</v>
      </c>
      <c r="F206" s="253">
        <v>13973</v>
      </c>
    </row>
    <row r="207" spans="1:6" s="164" customFormat="1" ht="15.75" x14ac:dyDescent="0.25">
      <c r="A207" s="253"/>
      <c r="B207" s="253" t="s">
        <v>5691</v>
      </c>
      <c r="C207" s="238">
        <f>SUM(C200:C206)</f>
        <v>73.09</v>
      </c>
      <c r="D207" s="253">
        <v>16</v>
      </c>
      <c r="E207" s="163"/>
      <c r="F207" s="253"/>
    </row>
    <row r="208" spans="1:6" ht="15.75" x14ac:dyDescent="0.25">
      <c r="A208" s="118"/>
      <c r="B208" s="116"/>
      <c r="C208" s="230"/>
      <c r="D208" s="118"/>
      <c r="E208" s="117"/>
      <c r="F208" s="118"/>
    </row>
    <row r="209" spans="1:6" x14ac:dyDescent="0.25">
      <c r="A209" s="116" t="str">
        <f>"3909794"</f>
        <v>3909794</v>
      </c>
      <c r="B209" s="116" t="s">
        <v>2784</v>
      </c>
      <c r="C209" s="166">
        <v>6.72</v>
      </c>
      <c r="D209" s="116">
        <v>346180</v>
      </c>
      <c r="E209" s="117">
        <v>44165.325532407405</v>
      </c>
      <c r="F209" s="253">
        <v>14044</v>
      </c>
    </row>
    <row r="210" spans="1:6" x14ac:dyDescent="0.25">
      <c r="A210" s="116" t="str">
        <f>"3907990"</f>
        <v>3907990</v>
      </c>
      <c r="B210" s="116" t="s">
        <v>5694</v>
      </c>
      <c r="C210" s="166">
        <v>14.97</v>
      </c>
      <c r="D210" s="116">
        <v>344490</v>
      </c>
      <c r="E210" s="117">
        <v>44165.679027777776</v>
      </c>
      <c r="F210" s="253">
        <v>14045</v>
      </c>
    </row>
    <row r="211" spans="1:6" x14ac:dyDescent="0.25">
      <c r="A211" s="116" t="str">
        <f>"3903548"</f>
        <v>3903548</v>
      </c>
      <c r="B211" s="116" t="s">
        <v>2776</v>
      </c>
      <c r="C211" s="166">
        <v>3.82</v>
      </c>
      <c r="D211" s="116">
        <v>347090</v>
      </c>
      <c r="E211" s="117">
        <v>44165.339317129627</v>
      </c>
      <c r="F211" s="253">
        <v>14037</v>
      </c>
    </row>
    <row r="212" spans="1:6" x14ac:dyDescent="0.25">
      <c r="A212" s="116" t="str">
        <f>"3908209"</f>
        <v>3908209</v>
      </c>
      <c r="B212" s="116" t="s">
        <v>5918</v>
      </c>
      <c r="C212" s="166">
        <v>1.87</v>
      </c>
      <c r="D212" s="116">
        <v>348155</v>
      </c>
      <c r="E212" s="117">
        <v>44165.383750000001</v>
      </c>
      <c r="F212" s="253">
        <v>14038</v>
      </c>
    </row>
    <row r="213" spans="1:6" x14ac:dyDescent="0.25">
      <c r="A213" s="116" t="str">
        <f>"3907489"</f>
        <v>3907489</v>
      </c>
      <c r="B213" s="116" t="s">
        <v>5749</v>
      </c>
      <c r="C213" s="166">
        <v>13.88</v>
      </c>
      <c r="D213" s="116">
        <v>346685</v>
      </c>
      <c r="E213" s="117">
        <v>44165.389861111114</v>
      </c>
      <c r="F213" s="253">
        <v>14039</v>
      </c>
    </row>
    <row r="214" spans="1:6" x14ac:dyDescent="0.25">
      <c r="A214" s="116" t="str">
        <f>"3930280"</f>
        <v>3930280</v>
      </c>
      <c r="B214" s="116" t="s">
        <v>2996</v>
      </c>
      <c r="C214" s="166">
        <v>1.7</v>
      </c>
      <c r="D214" s="116">
        <v>347172</v>
      </c>
      <c r="E214" s="117">
        <v>44165.41542824074</v>
      </c>
      <c r="F214" s="253">
        <v>14040</v>
      </c>
    </row>
    <row r="215" spans="1:6" x14ac:dyDescent="0.25">
      <c r="A215" s="116" t="str">
        <f>"3960276"</f>
        <v>3960276</v>
      </c>
      <c r="B215" s="116" t="s">
        <v>2894</v>
      </c>
      <c r="C215" s="166">
        <v>12.3</v>
      </c>
      <c r="D215" s="116">
        <v>346440</v>
      </c>
      <c r="E215" s="117">
        <v>44165.513622685183</v>
      </c>
      <c r="F215" s="253">
        <v>14041</v>
      </c>
    </row>
    <row r="216" spans="1:6" x14ac:dyDescent="0.25">
      <c r="A216" s="116" t="str">
        <f>"3902757"</f>
        <v>3902757</v>
      </c>
      <c r="B216" s="116" t="s">
        <v>5888</v>
      </c>
      <c r="C216" s="166">
        <v>5.18</v>
      </c>
      <c r="D216" s="116">
        <v>347740</v>
      </c>
      <c r="E216" s="117">
        <v>44165.648101851853</v>
      </c>
      <c r="F216" s="253">
        <v>14042</v>
      </c>
    </row>
    <row r="217" spans="1:6" x14ac:dyDescent="0.25">
      <c r="A217" s="116" t="str">
        <f>"3901365"</f>
        <v>3901365</v>
      </c>
      <c r="B217" s="116" t="s">
        <v>27485</v>
      </c>
      <c r="C217" s="166">
        <v>379.42</v>
      </c>
      <c r="D217" s="116">
        <v>346024</v>
      </c>
      <c r="E217" s="117">
        <v>44165.676516203705</v>
      </c>
      <c r="F217" s="253">
        <v>14043</v>
      </c>
    </row>
    <row r="218" spans="1:6" x14ac:dyDescent="0.25">
      <c r="A218" s="116" t="s">
        <v>27486</v>
      </c>
      <c r="B218" s="116" t="s">
        <v>2934</v>
      </c>
      <c r="C218" s="166">
        <v>24.05</v>
      </c>
      <c r="D218" s="116">
        <v>347733</v>
      </c>
      <c r="E218" s="117">
        <v>44165.863738425927</v>
      </c>
      <c r="F218" s="253">
        <v>14086</v>
      </c>
    </row>
    <row r="219" spans="1:6" s="164" customFormat="1" ht="15.75" x14ac:dyDescent="0.25">
      <c r="A219" s="253"/>
      <c r="B219" s="253" t="s">
        <v>5691</v>
      </c>
      <c r="C219" s="229">
        <f>SUM(C209:C218)</f>
        <v>463.91</v>
      </c>
      <c r="D219" s="253">
        <v>17</v>
      </c>
      <c r="E219" s="163"/>
      <c r="F219" s="253"/>
    </row>
    <row r="220" spans="1:6" ht="15.75" x14ac:dyDescent="0.25">
      <c r="A220" s="118"/>
      <c r="B220" s="116"/>
      <c r="C220" s="230"/>
      <c r="D220" s="118"/>
      <c r="E220" s="117"/>
      <c r="F220" s="118"/>
    </row>
    <row r="221" spans="1:6" x14ac:dyDescent="0.25">
      <c r="A221" s="116"/>
      <c r="B221" s="116"/>
      <c r="C221" s="166"/>
      <c r="D221" s="116"/>
      <c r="E221" s="117"/>
      <c r="F221" s="253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4" fitToHeight="5" orientation="portrait" r:id="rId1"/>
  <rowBreaks count="1" manualBreakCount="1">
    <brk id="112" max="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1D962-5D03-4E7D-8B0B-0EA9D9A8F4E0}">
  <sheetPr>
    <pageSetUpPr fitToPage="1"/>
  </sheetPr>
  <dimension ref="A1:O700"/>
  <sheetViews>
    <sheetView topLeftCell="A373" workbookViewId="0">
      <selection activeCell="E271" sqref="E271"/>
    </sheetView>
  </sheetViews>
  <sheetFormatPr baseColWidth="10" defaultColWidth="11.5703125" defaultRowHeight="15.75" x14ac:dyDescent="0.25"/>
  <cols>
    <col min="1" max="2" width="11.5703125" style="137"/>
    <col min="3" max="3" width="35.5703125" style="137" customWidth="1"/>
    <col min="4" max="4" width="12.42578125" style="137" customWidth="1"/>
    <col min="5" max="5" width="11.5703125" style="142"/>
    <col min="6" max="6" width="16.28515625" style="137" customWidth="1"/>
    <col min="7" max="16384" width="11.5703125" style="137"/>
  </cols>
  <sheetData>
    <row r="1" spans="1:8" ht="16.5" thickBot="1" x14ac:dyDescent="0.3">
      <c r="A1" s="380" t="s">
        <v>28267</v>
      </c>
      <c r="B1" s="381"/>
      <c r="C1" s="381"/>
      <c r="D1" s="381"/>
      <c r="E1" s="381"/>
      <c r="F1" s="381"/>
      <c r="G1" s="143"/>
      <c r="H1" s="201"/>
    </row>
    <row r="2" spans="1:8" x14ac:dyDescent="0.25">
      <c r="A2" s="129" t="s">
        <v>5690</v>
      </c>
      <c r="B2" s="128" t="s">
        <v>5689</v>
      </c>
      <c r="C2" s="128" t="s">
        <v>5688</v>
      </c>
      <c r="D2" s="128" t="s">
        <v>2753</v>
      </c>
      <c r="E2" s="138" t="s">
        <v>5687</v>
      </c>
      <c r="F2" s="128" t="s">
        <v>5686</v>
      </c>
      <c r="G2" s="127" t="s">
        <v>5685</v>
      </c>
      <c r="H2" s="126" t="s">
        <v>2775</v>
      </c>
    </row>
    <row r="3" spans="1:8" x14ac:dyDescent="0.25">
      <c r="A3" s="134" t="s">
        <v>28256</v>
      </c>
      <c r="B3" s="134" t="s">
        <v>28266</v>
      </c>
      <c r="C3" s="134" t="s">
        <v>28265</v>
      </c>
      <c r="D3" s="134" t="s">
        <v>7425</v>
      </c>
      <c r="E3" s="139">
        <v>6.03</v>
      </c>
      <c r="F3" s="134" t="s">
        <v>7424</v>
      </c>
      <c r="G3" s="134" t="s">
        <v>3007</v>
      </c>
      <c r="H3" s="254">
        <v>12730</v>
      </c>
    </row>
    <row r="4" spans="1:8" x14ac:dyDescent="0.25">
      <c r="A4" s="134" t="s">
        <v>28256</v>
      </c>
      <c r="B4" s="134" t="s">
        <v>28264</v>
      </c>
      <c r="C4" s="134" t="s">
        <v>28263</v>
      </c>
      <c r="D4" s="134" t="s">
        <v>12618</v>
      </c>
      <c r="E4" s="139">
        <v>20.03</v>
      </c>
      <c r="F4" s="134" t="s">
        <v>12617</v>
      </c>
      <c r="G4" s="134" t="s">
        <v>3007</v>
      </c>
      <c r="H4" s="254">
        <v>12731</v>
      </c>
    </row>
    <row r="5" spans="1:8" x14ac:dyDescent="0.25">
      <c r="A5" s="134" t="s">
        <v>28256</v>
      </c>
      <c r="B5" s="134" t="s">
        <v>28262</v>
      </c>
      <c r="C5" s="134" t="s">
        <v>28261</v>
      </c>
      <c r="D5" s="134" t="s">
        <v>6022</v>
      </c>
      <c r="E5" s="139">
        <v>2.95</v>
      </c>
      <c r="F5" s="134" t="s">
        <v>6021</v>
      </c>
      <c r="G5" s="134" t="s">
        <v>3007</v>
      </c>
      <c r="H5" s="254">
        <v>12732</v>
      </c>
    </row>
    <row r="6" spans="1:8" x14ac:dyDescent="0.25">
      <c r="A6" s="134" t="s">
        <v>28256</v>
      </c>
      <c r="B6" s="134" t="s">
        <v>28260</v>
      </c>
      <c r="C6" s="134" t="s">
        <v>28259</v>
      </c>
      <c r="D6" s="134" t="s">
        <v>5255</v>
      </c>
      <c r="E6" s="139">
        <v>1.68</v>
      </c>
      <c r="F6" s="134" t="s">
        <v>5254</v>
      </c>
      <c r="G6" s="134" t="s">
        <v>3007</v>
      </c>
      <c r="H6" s="254">
        <v>12733</v>
      </c>
    </row>
    <row r="7" spans="1:8" x14ac:dyDescent="0.25">
      <c r="A7" s="134" t="s">
        <v>28256</v>
      </c>
      <c r="B7" s="134" t="s">
        <v>28258</v>
      </c>
      <c r="C7" s="134" t="s">
        <v>28257</v>
      </c>
      <c r="D7" s="134" t="s">
        <v>5317</v>
      </c>
      <c r="E7" s="139">
        <v>3.58</v>
      </c>
      <c r="F7" s="134" t="s">
        <v>5316</v>
      </c>
      <c r="G7" s="134" t="s">
        <v>3007</v>
      </c>
      <c r="H7" s="254">
        <v>12734</v>
      </c>
    </row>
    <row r="8" spans="1:8" x14ac:dyDescent="0.25">
      <c r="A8" s="134" t="s">
        <v>28256</v>
      </c>
      <c r="B8" s="134" t="s">
        <v>28255</v>
      </c>
      <c r="C8" s="134" t="s">
        <v>28254</v>
      </c>
      <c r="D8" s="134" t="s">
        <v>13019</v>
      </c>
      <c r="E8" s="139">
        <v>3.63</v>
      </c>
      <c r="F8" s="134" t="s">
        <v>13018</v>
      </c>
      <c r="G8" s="134" t="s">
        <v>3007</v>
      </c>
      <c r="H8" s="254">
        <v>12735</v>
      </c>
    </row>
    <row r="9" spans="1:8" x14ac:dyDescent="0.25">
      <c r="A9" s="134" t="s">
        <v>28230</v>
      </c>
      <c r="B9" s="134" t="s">
        <v>28253</v>
      </c>
      <c r="C9" s="134" t="s">
        <v>28252</v>
      </c>
      <c r="D9" s="134" t="s">
        <v>6743</v>
      </c>
      <c r="E9" s="139">
        <v>9.06</v>
      </c>
      <c r="F9" s="134" t="s">
        <v>6742</v>
      </c>
      <c r="G9" s="134" t="s">
        <v>3007</v>
      </c>
      <c r="H9" s="254">
        <v>12736</v>
      </c>
    </row>
    <row r="10" spans="1:8" x14ac:dyDescent="0.25">
      <c r="A10" s="134" t="s">
        <v>28230</v>
      </c>
      <c r="B10" s="134" t="s">
        <v>28251</v>
      </c>
      <c r="C10" s="134" t="s">
        <v>28250</v>
      </c>
      <c r="D10" s="134" t="s">
        <v>7760</v>
      </c>
      <c r="E10" s="139">
        <v>4.09</v>
      </c>
      <c r="F10" s="134" t="s">
        <v>7759</v>
      </c>
      <c r="G10" s="134" t="s">
        <v>3007</v>
      </c>
      <c r="H10" s="254">
        <v>12737</v>
      </c>
    </row>
    <row r="11" spans="1:8" x14ac:dyDescent="0.25">
      <c r="A11" s="134" t="s">
        <v>28230</v>
      </c>
      <c r="B11" s="134" t="s">
        <v>28249</v>
      </c>
      <c r="C11" s="134" t="s">
        <v>28248</v>
      </c>
      <c r="D11" s="134" t="s">
        <v>3949</v>
      </c>
      <c r="E11" s="139">
        <v>5.24</v>
      </c>
      <c r="F11" s="134" t="s">
        <v>3948</v>
      </c>
      <c r="G11" s="134" t="s">
        <v>3007</v>
      </c>
      <c r="H11" s="254">
        <v>12738</v>
      </c>
    </row>
    <row r="12" spans="1:8" x14ac:dyDescent="0.25">
      <c r="A12" s="134" t="s">
        <v>28230</v>
      </c>
      <c r="B12" s="134" t="s">
        <v>6184</v>
      </c>
      <c r="C12" s="134" t="s">
        <v>28247</v>
      </c>
      <c r="D12" s="134" t="s">
        <v>28246</v>
      </c>
      <c r="E12" s="139">
        <v>47.87</v>
      </c>
      <c r="F12" s="134" t="s">
        <v>28245</v>
      </c>
      <c r="G12" s="134" t="s">
        <v>3007</v>
      </c>
      <c r="H12" s="254">
        <v>12739</v>
      </c>
    </row>
    <row r="13" spans="1:8" x14ac:dyDescent="0.25">
      <c r="A13" s="134" t="s">
        <v>28230</v>
      </c>
      <c r="B13" s="134" t="s">
        <v>10276</v>
      </c>
      <c r="C13" s="134" t="s">
        <v>28244</v>
      </c>
      <c r="D13" s="134" t="s">
        <v>3373</v>
      </c>
      <c r="E13" s="139">
        <v>5.22</v>
      </c>
      <c r="F13" s="134" t="s">
        <v>3372</v>
      </c>
      <c r="G13" s="134" t="s">
        <v>3007</v>
      </c>
      <c r="H13" s="254">
        <v>12743</v>
      </c>
    </row>
    <row r="14" spans="1:8" x14ac:dyDescent="0.25">
      <c r="A14" s="134" t="s">
        <v>28230</v>
      </c>
      <c r="B14" s="134" t="s">
        <v>28243</v>
      </c>
      <c r="C14" s="134" t="s">
        <v>28242</v>
      </c>
      <c r="D14" s="134" t="s">
        <v>12131</v>
      </c>
      <c r="E14" s="139">
        <v>7.53</v>
      </c>
      <c r="F14" s="134" t="s">
        <v>12130</v>
      </c>
      <c r="G14" s="134" t="s">
        <v>3007</v>
      </c>
      <c r="H14" s="254">
        <v>12744</v>
      </c>
    </row>
    <row r="15" spans="1:8" x14ac:dyDescent="0.25">
      <c r="A15" s="134" t="s">
        <v>28230</v>
      </c>
      <c r="B15" s="134" t="s">
        <v>28241</v>
      </c>
      <c r="C15" s="134" t="s">
        <v>28240</v>
      </c>
      <c r="D15" s="134" t="s">
        <v>5281</v>
      </c>
      <c r="E15" s="139">
        <v>2.0299999999999998</v>
      </c>
      <c r="F15" s="134" t="s">
        <v>5280</v>
      </c>
      <c r="G15" s="134" t="s">
        <v>3007</v>
      </c>
      <c r="H15" s="254">
        <v>12745</v>
      </c>
    </row>
    <row r="16" spans="1:8" x14ac:dyDescent="0.25">
      <c r="A16" s="134" t="s">
        <v>28230</v>
      </c>
      <c r="B16" s="134" t="s">
        <v>28239</v>
      </c>
      <c r="C16" s="134" t="s">
        <v>28238</v>
      </c>
      <c r="D16" s="134" t="s">
        <v>4469</v>
      </c>
      <c r="E16" s="139">
        <v>1.69</v>
      </c>
      <c r="F16" s="134" t="s">
        <v>4468</v>
      </c>
      <c r="G16" s="134" t="s">
        <v>3007</v>
      </c>
      <c r="H16" s="254">
        <v>12746</v>
      </c>
    </row>
    <row r="17" spans="1:8" x14ac:dyDescent="0.25">
      <c r="A17" s="134" t="s">
        <v>28230</v>
      </c>
      <c r="B17" s="134" t="s">
        <v>11607</v>
      </c>
      <c r="C17" s="134" t="s">
        <v>28237</v>
      </c>
      <c r="D17" s="134" t="s">
        <v>6143</v>
      </c>
      <c r="E17" s="139">
        <v>2.77</v>
      </c>
      <c r="F17" s="134" t="s">
        <v>6142</v>
      </c>
      <c r="G17" s="134" t="s">
        <v>3007</v>
      </c>
      <c r="H17" s="254">
        <v>12747</v>
      </c>
    </row>
    <row r="18" spans="1:8" x14ac:dyDescent="0.25">
      <c r="A18" s="134" t="s">
        <v>28230</v>
      </c>
      <c r="B18" s="134" t="s">
        <v>28236</v>
      </c>
      <c r="C18" s="134" t="s">
        <v>28235</v>
      </c>
      <c r="D18" s="134" t="s">
        <v>3271</v>
      </c>
      <c r="E18" s="139">
        <v>6.74</v>
      </c>
      <c r="F18" s="134" t="s">
        <v>3270</v>
      </c>
      <c r="G18" s="134" t="s">
        <v>3007</v>
      </c>
      <c r="H18" s="254">
        <v>12748</v>
      </c>
    </row>
    <row r="19" spans="1:8" x14ac:dyDescent="0.25">
      <c r="A19" s="134" t="s">
        <v>28230</v>
      </c>
      <c r="B19" s="134" t="s">
        <v>28234</v>
      </c>
      <c r="C19" s="134" t="s">
        <v>28233</v>
      </c>
      <c r="D19" s="134" t="s">
        <v>6053</v>
      </c>
      <c r="E19" s="139">
        <v>1.88</v>
      </c>
      <c r="F19" s="134" t="s">
        <v>6052</v>
      </c>
      <c r="G19" s="134" t="s">
        <v>3007</v>
      </c>
      <c r="H19" s="254">
        <v>12749</v>
      </c>
    </row>
    <row r="20" spans="1:8" x14ac:dyDescent="0.25">
      <c r="A20" s="134" t="s">
        <v>28230</v>
      </c>
      <c r="B20" s="134" t="s">
        <v>28232</v>
      </c>
      <c r="C20" s="134" t="s">
        <v>28231</v>
      </c>
      <c r="D20" s="134" t="s">
        <v>5618</v>
      </c>
      <c r="E20" s="139">
        <v>1.68</v>
      </c>
      <c r="F20" s="134" t="s">
        <v>5617</v>
      </c>
      <c r="G20" s="134" t="s">
        <v>3007</v>
      </c>
      <c r="H20" s="254">
        <v>12750</v>
      </c>
    </row>
    <row r="21" spans="1:8" x14ac:dyDescent="0.25">
      <c r="A21" s="134" t="s">
        <v>28230</v>
      </c>
      <c r="B21" s="134" t="s">
        <v>28229</v>
      </c>
      <c r="C21" s="134" t="s">
        <v>28228</v>
      </c>
      <c r="D21" s="134" t="s">
        <v>5214</v>
      </c>
      <c r="E21" s="139">
        <v>13.88</v>
      </c>
      <c r="F21" s="134" t="s">
        <v>5213</v>
      </c>
      <c r="G21" s="134" t="s">
        <v>3007</v>
      </c>
      <c r="H21" s="254">
        <v>12751</v>
      </c>
    </row>
    <row r="22" spans="1:8" x14ac:dyDescent="0.25">
      <c r="A22" s="134" t="s">
        <v>28217</v>
      </c>
      <c r="B22" s="134" t="s">
        <v>28227</v>
      </c>
      <c r="C22" s="134" t="s">
        <v>28226</v>
      </c>
      <c r="D22" s="134" t="s">
        <v>4500</v>
      </c>
      <c r="E22" s="139">
        <v>16.059999999999999</v>
      </c>
      <c r="F22" s="134" t="s">
        <v>4499</v>
      </c>
      <c r="G22" s="134" t="s">
        <v>3007</v>
      </c>
      <c r="H22" s="254">
        <v>12752</v>
      </c>
    </row>
    <row r="23" spans="1:8" x14ac:dyDescent="0.25">
      <c r="A23" s="134" t="s">
        <v>28217</v>
      </c>
      <c r="B23" s="134" t="s">
        <v>28225</v>
      </c>
      <c r="C23" s="134" t="s">
        <v>28224</v>
      </c>
      <c r="D23" s="134" t="s">
        <v>3583</v>
      </c>
      <c r="E23" s="139">
        <v>10.39</v>
      </c>
      <c r="F23" s="134" t="s">
        <v>3582</v>
      </c>
      <c r="G23" s="134" t="s">
        <v>3007</v>
      </c>
      <c r="H23" s="254">
        <v>12753</v>
      </c>
    </row>
    <row r="24" spans="1:8" x14ac:dyDescent="0.25">
      <c r="A24" s="134" t="s">
        <v>28217</v>
      </c>
      <c r="B24" s="134" t="s">
        <v>28223</v>
      </c>
      <c r="C24" s="134" t="s">
        <v>28222</v>
      </c>
      <c r="D24" s="134" t="s">
        <v>5376</v>
      </c>
      <c r="E24" s="139">
        <v>2.56</v>
      </c>
      <c r="F24" s="134" t="s">
        <v>5375</v>
      </c>
      <c r="G24" s="134" t="s">
        <v>3007</v>
      </c>
      <c r="H24" s="254">
        <v>12754</v>
      </c>
    </row>
    <row r="25" spans="1:8" x14ac:dyDescent="0.25">
      <c r="A25" s="134" t="s">
        <v>28217</v>
      </c>
      <c r="B25" s="134" t="s">
        <v>28221</v>
      </c>
      <c r="C25" s="134" t="s">
        <v>28220</v>
      </c>
      <c r="D25" s="134" t="s">
        <v>9792</v>
      </c>
      <c r="E25" s="139">
        <v>3.19</v>
      </c>
      <c r="F25" s="134" t="s">
        <v>9791</v>
      </c>
      <c r="G25" s="134" t="s">
        <v>3007</v>
      </c>
      <c r="H25" s="254">
        <v>12755</v>
      </c>
    </row>
    <row r="26" spans="1:8" x14ac:dyDescent="0.25">
      <c r="A26" s="134" t="s">
        <v>28217</v>
      </c>
      <c r="B26" s="134" t="s">
        <v>28219</v>
      </c>
      <c r="C26" s="134" t="s">
        <v>28218</v>
      </c>
      <c r="D26" s="134" t="s">
        <v>4689</v>
      </c>
      <c r="E26" s="139">
        <v>1.96</v>
      </c>
      <c r="F26" s="134" t="s">
        <v>4688</v>
      </c>
      <c r="G26" s="134" t="s">
        <v>3007</v>
      </c>
      <c r="H26" s="254">
        <v>12756</v>
      </c>
    </row>
    <row r="27" spans="1:8" x14ac:dyDescent="0.25">
      <c r="A27" s="134" t="s">
        <v>28217</v>
      </c>
      <c r="B27" s="134" t="s">
        <v>10188</v>
      </c>
      <c r="C27" s="134" t="s">
        <v>28216</v>
      </c>
      <c r="D27" s="134" t="s">
        <v>3940</v>
      </c>
      <c r="E27" s="139">
        <v>3.84</v>
      </c>
      <c r="F27" s="134" t="s">
        <v>3939</v>
      </c>
      <c r="G27" s="134" t="s">
        <v>3007</v>
      </c>
      <c r="H27" s="254">
        <v>12757</v>
      </c>
    </row>
    <row r="28" spans="1:8" x14ac:dyDescent="0.25">
      <c r="A28" s="134" t="s">
        <v>28179</v>
      </c>
      <c r="B28" s="134" t="s">
        <v>28215</v>
      </c>
      <c r="C28" s="134" t="s">
        <v>28214</v>
      </c>
      <c r="D28" s="134" t="s">
        <v>5634</v>
      </c>
      <c r="E28" s="139">
        <v>1.68</v>
      </c>
      <c r="F28" s="134" t="s">
        <v>5633</v>
      </c>
      <c r="G28" s="134" t="s">
        <v>3007</v>
      </c>
      <c r="H28" s="254">
        <v>12796</v>
      </c>
    </row>
    <row r="29" spans="1:8" x14ac:dyDescent="0.25">
      <c r="A29" s="134" t="s">
        <v>28179</v>
      </c>
      <c r="B29" s="134" t="s">
        <v>28213</v>
      </c>
      <c r="C29" s="134" t="s">
        <v>28212</v>
      </c>
      <c r="D29" s="134" t="s">
        <v>6967</v>
      </c>
      <c r="E29" s="139">
        <v>35.9</v>
      </c>
      <c r="F29" s="134" t="s">
        <v>6966</v>
      </c>
      <c r="G29" s="134" t="s">
        <v>3007</v>
      </c>
      <c r="H29" s="124">
        <v>12797</v>
      </c>
    </row>
    <row r="30" spans="1:8" x14ac:dyDescent="0.25">
      <c r="A30" s="134" t="s">
        <v>28179</v>
      </c>
      <c r="B30" s="134" t="s">
        <v>28211</v>
      </c>
      <c r="C30" s="134" t="s">
        <v>28210</v>
      </c>
      <c r="D30" s="134" t="s">
        <v>5518</v>
      </c>
      <c r="E30" s="139">
        <v>6.1</v>
      </c>
      <c r="F30" s="134" t="s">
        <v>5517</v>
      </c>
      <c r="G30" s="134" t="s">
        <v>3007</v>
      </c>
      <c r="H30" s="124">
        <v>12798</v>
      </c>
    </row>
    <row r="31" spans="1:8" x14ac:dyDescent="0.25">
      <c r="A31" s="134" t="s">
        <v>28179</v>
      </c>
      <c r="B31" s="134" t="s">
        <v>28209</v>
      </c>
      <c r="C31" s="134" t="s">
        <v>28208</v>
      </c>
      <c r="D31" s="134" t="s">
        <v>7592</v>
      </c>
      <c r="E31" s="139">
        <v>4.91</v>
      </c>
      <c r="F31" s="134" t="s">
        <v>7588</v>
      </c>
      <c r="G31" s="134" t="s">
        <v>3007</v>
      </c>
      <c r="H31" s="124">
        <v>12799</v>
      </c>
    </row>
    <row r="32" spans="1:8" x14ac:dyDescent="0.25">
      <c r="A32" s="134" t="s">
        <v>28179</v>
      </c>
      <c r="B32" s="134" t="s">
        <v>28207</v>
      </c>
      <c r="C32" s="134" t="s">
        <v>28206</v>
      </c>
      <c r="D32" s="134" t="s">
        <v>10121</v>
      </c>
      <c r="E32" s="139">
        <v>7.32</v>
      </c>
      <c r="F32" s="134" t="s">
        <v>10120</v>
      </c>
      <c r="G32" s="134" t="s">
        <v>3007</v>
      </c>
      <c r="H32" s="124">
        <v>12800</v>
      </c>
    </row>
    <row r="33" spans="1:11" x14ac:dyDescent="0.25">
      <c r="A33" s="134" t="s">
        <v>28179</v>
      </c>
      <c r="B33" s="134" t="s">
        <v>28205</v>
      </c>
      <c r="C33" s="134" t="s">
        <v>28204</v>
      </c>
      <c r="D33" s="134" t="s">
        <v>9110</v>
      </c>
      <c r="E33" s="139">
        <v>13.72</v>
      </c>
      <c r="F33" s="134" t="s">
        <v>9109</v>
      </c>
      <c r="G33" s="134" t="s">
        <v>3007</v>
      </c>
      <c r="H33" s="124">
        <v>12801</v>
      </c>
    </row>
    <row r="34" spans="1:11" x14ac:dyDescent="0.25">
      <c r="A34" s="134" t="s">
        <v>28179</v>
      </c>
      <c r="B34" s="134" t="s">
        <v>28203</v>
      </c>
      <c r="C34" s="134" t="s">
        <v>28202</v>
      </c>
      <c r="D34" s="134" t="s">
        <v>3700</v>
      </c>
      <c r="E34" s="139">
        <v>17.579999999999998</v>
      </c>
      <c r="F34" s="134" t="s">
        <v>3699</v>
      </c>
      <c r="G34" s="134" t="s">
        <v>3007</v>
      </c>
      <c r="H34" s="124">
        <v>12802</v>
      </c>
    </row>
    <row r="35" spans="1:11" x14ac:dyDescent="0.25">
      <c r="A35" s="134" t="s">
        <v>28179</v>
      </c>
      <c r="B35" s="134" t="s">
        <v>8397</v>
      </c>
      <c r="C35" s="134" t="s">
        <v>28201</v>
      </c>
      <c r="D35" s="134" t="s">
        <v>3050</v>
      </c>
      <c r="E35" s="139">
        <v>2.2000000000000002</v>
      </c>
      <c r="F35" s="134" t="s">
        <v>3049</v>
      </c>
      <c r="G35" s="134" t="s">
        <v>3007</v>
      </c>
      <c r="H35" s="124">
        <v>12803</v>
      </c>
    </row>
    <row r="36" spans="1:11" x14ac:dyDescent="0.25">
      <c r="A36" s="134" t="s">
        <v>28179</v>
      </c>
      <c r="B36" s="134" t="s">
        <v>28200</v>
      </c>
      <c r="C36" s="134" t="s">
        <v>28199</v>
      </c>
      <c r="D36" s="134" t="s">
        <v>12781</v>
      </c>
      <c r="E36" s="139">
        <v>1.94</v>
      </c>
      <c r="F36" s="134" t="s">
        <v>12780</v>
      </c>
      <c r="G36" s="134" t="s">
        <v>3007</v>
      </c>
      <c r="H36" s="124">
        <v>12804</v>
      </c>
    </row>
    <row r="37" spans="1:11" x14ac:dyDescent="0.25">
      <c r="A37" s="134" t="s">
        <v>28179</v>
      </c>
      <c r="B37" s="134" t="s">
        <v>28198</v>
      </c>
      <c r="C37" s="134" t="s">
        <v>28197</v>
      </c>
      <c r="D37" s="134" t="s">
        <v>4443</v>
      </c>
      <c r="E37" s="139">
        <v>3.62</v>
      </c>
      <c r="F37" s="134" t="s">
        <v>4442</v>
      </c>
      <c r="G37" s="134" t="s">
        <v>3007</v>
      </c>
      <c r="H37" s="254">
        <v>12805</v>
      </c>
    </row>
    <row r="38" spans="1:11" x14ac:dyDescent="0.25">
      <c r="A38" s="134" t="s">
        <v>28179</v>
      </c>
      <c r="B38" s="134" t="s">
        <v>28196</v>
      </c>
      <c r="C38" s="134" t="s">
        <v>28195</v>
      </c>
      <c r="D38" s="134" t="s">
        <v>13534</v>
      </c>
      <c r="E38" s="139">
        <v>0.78</v>
      </c>
      <c r="F38" s="134" t="s">
        <v>13533</v>
      </c>
      <c r="G38" s="134" t="s">
        <v>3007</v>
      </c>
      <c r="H38" s="254">
        <v>12806</v>
      </c>
    </row>
    <row r="39" spans="1:11" x14ac:dyDescent="0.25">
      <c r="A39" s="134" t="s">
        <v>28179</v>
      </c>
      <c r="B39" s="134" t="s">
        <v>28194</v>
      </c>
      <c r="C39" s="134" t="s">
        <v>28193</v>
      </c>
      <c r="D39" s="134" t="s">
        <v>4873</v>
      </c>
      <c r="E39" s="139">
        <v>9.01</v>
      </c>
      <c r="F39" s="134" t="s">
        <v>4872</v>
      </c>
      <c r="G39" s="134" t="s">
        <v>3007</v>
      </c>
      <c r="H39" s="254">
        <v>12807</v>
      </c>
    </row>
    <row r="40" spans="1:11" x14ac:dyDescent="0.25">
      <c r="A40" s="134" t="s">
        <v>28179</v>
      </c>
      <c r="B40" s="134" t="s">
        <v>9413</v>
      </c>
      <c r="C40" s="134" t="s">
        <v>28192</v>
      </c>
      <c r="D40" s="134" t="s">
        <v>4751</v>
      </c>
      <c r="E40" s="139">
        <v>20.82</v>
      </c>
      <c r="F40" s="134" t="s">
        <v>4750</v>
      </c>
      <c r="G40" s="134" t="s">
        <v>3007</v>
      </c>
      <c r="H40" s="254">
        <v>12808</v>
      </c>
    </row>
    <row r="41" spans="1:11" x14ac:dyDescent="0.25">
      <c r="A41" s="134" t="s">
        <v>28179</v>
      </c>
      <c r="B41" s="134" t="s">
        <v>28191</v>
      </c>
      <c r="C41" s="134" t="s">
        <v>28190</v>
      </c>
      <c r="D41" s="134" t="s">
        <v>5550</v>
      </c>
      <c r="E41" s="139">
        <v>11.91</v>
      </c>
      <c r="F41" s="134" t="s">
        <v>5549</v>
      </c>
      <c r="G41" s="134" t="s">
        <v>3007</v>
      </c>
      <c r="H41" s="254">
        <v>12809</v>
      </c>
    </row>
    <row r="42" spans="1:11" x14ac:dyDescent="0.25">
      <c r="A42" s="134" t="s">
        <v>28179</v>
      </c>
      <c r="B42" s="134" t="s">
        <v>28189</v>
      </c>
      <c r="C42" s="134" t="s">
        <v>28188</v>
      </c>
      <c r="D42" s="134" t="s">
        <v>5470</v>
      </c>
      <c r="E42" s="139">
        <v>12.83</v>
      </c>
      <c r="F42" s="134" t="s">
        <v>5469</v>
      </c>
      <c r="G42" s="134" t="s">
        <v>3007</v>
      </c>
      <c r="H42" s="254">
        <v>12810</v>
      </c>
    </row>
    <row r="43" spans="1:11" x14ac:dyDescent="0.25">
      <c r="A43" s="134" t="s">
        <v>28179</v>
      </c>
      <c r="B43" s="134" t="s">
        <v>28187</v>
      </c>
      <c r="C43" s="134" t="s">
        <v>28186</v>
      </c>
      <c r="D43" s="134" t="s">
        <v>5622</v>
      </c>
      <c r="E43" s="139">
        <v>6.73</v>
      </c>
      <c r="F43" s="134" t="s">
        <v>5621</v>
      </c>
      <c r="G43" s="134" t="s">
        <v>3007</v>
      </c>
      <c r="H43" s="254">
        <v>12811</v>
      </c>
    </row>
    <row r="44" spans="1:11" x14ac:dyDescent="0.25">
      <c r="A44" s="134" t="s">
        <v>28179</v>
      </c>
      <c r="B44" s="134" t="s">
        <v>28185</v>
      </c>
      <c r="C44" s="134" t="s">
        <v>28184</v>
      </c>
      <c r="D44" s="134" t="s">
        <v>3715</v>
      </c>
      <c r="E44" s="139">
        <v>34.909999999999997</v>
      </c>
      <c r="F44" s="134" t="s">
        <v>3714</v>
      </c>
      <c r="G44" s="134" t="s">
        <v>3007</v>
      </c>
      <c r="H44" s="254">
        <v>12812</v>
      </c>
    </row>
    <row r="45" spans="1:11" x14ac:dyDescent="0.25">
      <c r="A45" s="134" t="s">
        <v>28179</v>
      </c>
      <c r="B45" s="134" t="s">
        <v>28183</v>
      </c>
      <c r="C45" s="134" t="s">
        <v>28182</v>
      </c>
      <c r="D45" s="134" t="s">
        <v>5405</v>
      </c>
      <c r="E45" s="139">
        <v>12.86</v>
      </c>
      <c r="F45" s="134" t="s">
        <v>5404</v>
      </c>
      <c r="G45" s="134" t="s">
        <v>3007</v>
      </c>
      <c r="H45" s="254">
        <v>12813</v>
      </c>
    </row>
    <row r="46" spans="1:11" x14ac:dyDescent="0.25">
      <c r="A46" s="134" t="s">
        <v>28179</v>
      </c>
      <c r="B46" s="134" t="s">
        <v>28181</v>
      </c>
      <c r="C46" s="134" t="s">
        <v>28180</v>
      </c>
      <c r="D46" s="134" t="s">
        <v>10042</v>
      </c>
      <c r="E46" s="139">
        <v>6.54</v>
      </c>
      <c r="F46" s="134" t="s">
        <v>10041</v>
      </c>
      <c r="G46" s="134" t="s">
        <v>3007</v>
      </c>
      <c r="H46" s="254">
        <v>12814</v>
      </c>
      <c r="K46" s="137" t="s">
        <v>5521</v>
      </c>
    </row>
    <row r="47" spans="1:11" x14ac:dyDescent="0.25">
      <c r="A47" s="134" t="s">
        <v>28179</v>
      </c>
      <c r="B47" s="134" t="s">
        <v>28178</v>
      </c>
      <c r="C47" s="134" t="s">
        <v>28177</v>
      </c>
      <c r="D47" s="134" t="s">
        <v>5396</v>
      </c>
      <c r="E47" s="139">
        <v>2.2000000000000002</v>
      </c>
      <c r="F47" s="134" t="s">
        <v>5395</v>
      </c>
      <c r="G47" s="134" t="s">
        <v>3007</v>
      </c>
      <c r="H47" s="254">
        <v>12815</v>
      </c>
    </row>
    <row r="48" spans="1:11" x14ac:dyDescent="0.25">
      <c r="A48" s="134" t="s">
        <v>28142</v>
      </c>
      <c r="B48" s="134" t="s">
        <v>28176</v>
      </c>
      <c r="C48" s="134" t="s">
        <v>28175</v>
      </c>
      <c r="D48" s="134" t="s">
        <v>6234</v>
      </c>
      <c r="E48" s="139">
        <v>1.77</v>
      </c>
      <c r="F48" s="134" t="s">
        <v>6233</v>
      </c>
      <c r="G48" s="134" t="s">
        <v>3007</v>
      </c>
      <c r="H48" s="254">
        <v>13044</v>
      </c>
    </row>
    <row r="49" spans="1:15" x14ac:dyDescent="0.25">
      <c r="A49" s="134" t="s">
        <v>28142</v>
      </c>
      <c r="B49" s="134" t="s">
        <v>28174</v>
      </c>
      <c r="C49" s="134" t="s">
        <v>28173</v>
      </c>
      <c r="D49" s="134" t="s">
        <v>4587</v>
      </c>
      <c r="E49" s="139">
        <v>4.79</v>
      </c>
      <c r="F49" s="134" t="s">
        <v>4586</v>
      </c>
      <c r="G49" s="134" t="s">
        <v>3007</v>
      </c>
      <c r="H49" s="254">
        <v>13045</v>
      </c>
    </row>
    <row r="50" spans="1:15" x14ac:dyDescent="0.25">
      <c r="A50" s="134" t="s">
        <v>28142</v>
      </c>
      <c r="B50" s="134" t="s">
        <v>28172</v>
      </c>
      <c r="C50" s="134" t="s">
        <v>28171</v>
      </c>
      <c r="D50" s="134" t="s">
        <v>6699</v>
      </c>
      <c r="E50" s="139">
        <v>5.04</v>
      </c>
      <c r="F50" s="134" t="s">
        <v>6698</v>
      </c>
      <c r="G50" s="134" t="s">
        <v>3007</v>
      </c>
      <c r="H50" s="254">
        <v>13046</v>
      </c>
    </row>
    <row r="51" spans="1:15" x14ac:dyDescent="0.25">
      <c r="A51" s="134" t="s">
        <v>28142</v>
      </c>
      <c r="B51" s="134" t="s">
        <v>28170</v>
      </c>
      <c r="C51" s="134" t="s">
        <v>28169</v>
      </c>
      <c r="D51" s="134" t="s">
        <v>7464</v>
      </c>
      <c r="E51" s="139">
        <v>3.65</v>
      </c>
      <c r="F51" s="134" t="s">
        <v>7463</v>
      </c>
      <c r="G51" s="134" t="s">
        <v>3007</v>
      </c>
      <c r="H51" s="254">
        <v>13047</v>
      </c>
    </row>
    <row r="52" spans="1:15" x14ac:dyDescent="0.25">
      <c r="A52" s="134" t="s">
        <v>28142</v>
      </c>
      <c r="B52" s="134" t="s">
        <v>28168</v>
      </c>
      <c r="C52" s="134" t="s">
        <v>28167</v>
      </c>
      <c r="D52" s="134" t="s">
        <v>5500</v>
      </c>
      <c r="E52" s="139">
        <v>1.97</v>
      </c>
      <c r="F52" s="134" t="s">
        <v>5499</v>
      </c>
      <c r="G52" s="134" t="s">
        <v>3007</v>
      </c>
      <c r="H52" s="254">
        <v>13048</v>
      </c>
    </row>
    <row r="53" spans="1:15" x14ac:dyDescent="0.25">
      <c r="A53" s="134" t="s">
        <v>28142</v>
      </c>
      <c r="B53" s="134" t="s">
        <v>28166</v>
      </c>
      <c r="C53" s="134" t="s">
        <v>28165</v>
      </c>
      <c r="D53" s="134" t="s">
        <v>5285</v>
      </c>
      <c r="E53" s="139">
        <v>10.09</v>
      </c>
      <c r="F53" s="134" t="s">
        <v>5284</v>
      </c>
      <c r="G53" s="134" t="s">
        <v>3007</v>
      </c>
      <c r="H53" s="254">
        <v>13049</v>
      </c>
    </row>
    <row r="54" spans="1:15" x14ac:dyDescent="0.25">
      <c r="A54" s="134" t="s">
        <v>28142</v>
      </c>
      <c r="B54" s="134" t="s">
        <v>28164</v>
      </c>
      <c r="C54" s="134" t="s">
        <v>28163</v>
      </c>
      <c r="D54" s="134" t="s">
        <v>5166</v>
      </c>
      <c r="E54" s="139">
        <v>7</v>
      </c>
      <c r="F54" s="134" t="s">
        <v>5165</v>
      </c>
      <c r="G54" s="134" t="s">
        <v>3007</v>
      </c>
      <c r="H54" s="254">
        <v>13050</v>
      </c>
      <c r="J54" s="137" t="s">
        <v>14295</v>
      </c>
      <c r="M54" s="137" t="s">
        <v>14294</v>
      </c>
    </row>
    <row r="55" spans="1:15" x14ac:dyDescent="0.25">
      <c r="A55" s="134" t="s">
        <v>28142</v>
      </c>
      <c r="B55" s="134" t="s">
        <v>28162</v>
      </c>
      <c r="C55" s="134" t="s">
        <v>28161</v>
      </c>
      <c r="D55" s="134" t="s">
        <v>4933</v>
      </c>
      <c r="E55" s="139">
        <v>5.53</v>
      </c>
      <c r="F55" s="134" t="s">
        <v>4932</v>
      </c>
      <c r="G55" s="134" t="s">
        <v>3007</v>
      </c>
      <c r="H55" s="254">
        <v>13051</v>
      </c>
    </row>
    <row r="56" spans="1:15" x14ac:dyDescent="0.25">
      <c r="A56" s="134" t="s">
        <v>28142</v>
      </c>
      <c r="B56" s="134" t="s">
        <v>28160</v>
      </c>
      <c r="C56" s="134" t="s">
        <v>28159</v>
      </c>
      <c r="D56" s="134" t="s">
        <v>4847</v>
      </c>
      <c r="E56" s="139">
        <v>2.89</v>
      </c>
      <c r="F56" s="134" t="s">
        <v>4846</v>
      </c>
      <c r="G56" s="134" t="s">
        <v>3007</v>
      </c>
      <c r="H56" s="254">
        <v>13052</v>
      </c>
    </row>
    <row r="57" spans="1:15" x14ac:dyDescent="0.25">
      <c r="A57" s="134" t="s">
        <v>28142</v>
      </c>
      <c r="B57" s="134" t="s">
        <v>28158</v>
      </c>
      <c r="C57" s="134" t="s">
        <v>28157</v>
      </c>
      <c r="D57" s="134" t="s">
        <v>5052</v>
      </c>
      <c r="E57" s="139">
        <v>3.57</v>
      </c>
      <c r="F57" s="134" t="s">
        <v>5051</v>
      </c>
      <c r="G57" s="134" t="s">
        <v>3007</v>
      </c>
      <c r="H57" s="254">
        <v>13053</v>
      </c>
    </row>
    <row r="58" spans="1:15" x14ac:dyDescent="0.25">
      <c r="A58" s="134" t="s">
        <v>28142</v>
      </c>
      <c r="B58" s="134" t="s">
        <v>28156</v>
      </c>
      <c r="C58" s="134" t="s">
        <v>28155</v>
      </c>
      <c r="D58" s="134" t="s">
        <v>9822</v>
      </c>
      <c r="E58" s="139">
        <v>3.73</v>
      </c>
      <c r="F58" s="134" t="s">
        <v>9821</v>
      </c>
      <c r="G58" s="134" t="s">
        <v>3007</v>
      </c>
      <c r="H58" s="254">
        <v>13054</v>
      </c>
    </row>
    <row r="59" spans="1:15" x14ac:dyDescent="0.25">
      <c r="A59" s="134" t="s">
        <v>28142</v>
      </c>
      <c r="B59" s="134" t="s">
        <v>28154</v>
      </c>
      <c r="C59" s="134" t="s">
        <v>28153</v>
      </c>
      <c r="D59" s="134" t="s">
        <v>5060</v>
      </c>
      <c r="E59" s="139">
        <v>29.11</v>
      </c>
      <c r="F59" s="134" t="s">
        <v>5059</v>
      </c>
      <c r="G59" s="134" t="s">
        <v>3007</v>
      </c>
      <c r="H59" s="254">
        <v>13055</v>
      </c>
      <c r="L59" s="137" t="s">
        <v>14283</v>
      </c>
      <c r="O59" s="137" t="s">
        <v>14282</v>
      </c>
    </row>
    <row r="60" spans="1:15" x14ac:dyDescent="0.25">
      <c r="A60" s="134" t="s">
        <v>28142</v>
      </c>
      <c r="B60" s="134" t="s">
        <v>6611</v>
      </c>
      <c r="C60" s="134" t="s">
        <v>28152</v>
      </c>
      <c r="D60" s="134" t="s">
        <v>3828</v>
      </c>
      <c r="E60" s="139">
        <v>29.55</v>
      </c>
      <c r="F60" s="134" t="s">
        <v>3827</v>
      </c>
      <c r="G60" s="134" t="s">
        <v>3007</v>
      </c>
      <c r="H60" s="254">
        <v>13056</v>
      </c>
    </row>
    <row r="61" spans="1:15" x14ac:dyDescent="0.25">
      <c r="A61" s="134" t="s">
        <v>28142</v>
      </c>
      <c r="B61" s="134" t="s">
        <v>28151</v>
      </c>
      <c r="C61" s="134" t="s">
        <v>28150</v>
      </c>
      <c r="D61" s="134" t="s">
        <v>4342</v>
      </c>
      <c r="E61" s="139">
        <v>4.6500000000000004</v>
      </c>
      <c r="F61" s="134" t="s">
        <v>4341</v>
      </c>
      <c r="G61" s="134" t="s">
        <v>3007</v>
      </c>
      <c r="H61" s="254">
        <v>13057</v>
      </c>
    </row>
    <row r="62" spans="1:15" x14ac:dyDescent="0.25">
      <c r="A62" s="134" t="s">
        <v>28142</v>
      </c>
      <c r="B62" s="134" t="s">
        <v>28149</v>
      </c>
      <c r="C62" s="134" t="s">
        <v>28148</v>
      </c>
      <c r="D62" s="134" t="s">
        <v>9254</v>
      </c>
      <c r="E62" s="139">
        <v>2.99</v>
      </c>
      <c r="F62" s="134" t="s">
        <v>9253</v>
      </c>
      <c r="G62" s="134" t="s">
        <v>3007</v>
      </c>
      <c r="H62" s="254">
        <v>13058</v>
      </c>
    </row>
    <row r="63" spans="1:15" x14ac:dyDescent="0.25">
      <c r="A63" s="134" t="s">
        <v>28142</v>
      </c>
      <c r="B63" s="134" t="s">
        <v>28147</v>
      </c>
      <c r="C63" s="134" t="s">
        <v>28146</v>
      </c>
      <c r="D63" s="134" t="s">
        <v>6862</v>
      </c>
      <c r="E63" s="139">
        <v>6.72</v>
      </c>
      <c r="F63" s="134" t="s">
        <v>6861</v>
      </c>
      <c r="G63" s="134" t="s">
        <v>3007</v>
      </c>
      <c r="H63" s="254">
        <v>13059</v>
      </c>
    </row>
    <row r="64" spans="1:15" x14ac:dyDescent="0.25">
      <c r="A64" s="134" t="s">
        <v>28142</v>
      </c>
      <c r="B64" s="134" t="s">
        <v>10746</v>
      </c>
      <c r="C64" s="134" t="s">
        <v>28145</v>
      </c>
      <c r="D64" s="134" t="s">
        <v>7407</v>
      </c>
      <c r="E64" s="139">
        <v>3.49</v>
      </c>
      <c r="F64" s="134" t="s">
        <v>7406</v>
      </c>
      <c r="G64" s="134" t="s">
        <v>3007</v>
      </c>
      <c r="H64" s="254">
        <v>13060</v>
      </c>
    </row>
    <row r="65" spans="1:8" x14ac:dyDescent="0.25">
      <c r="A65" s="134" t="s">
        <v>28142</v>
      </c>
      <c r="B65" s="134" t="s">
        <v>28144</v>
      </c>
      <c r="C65" s="134" t="s">
        <v>28143</v>
      </c>
      <c r="D65" s="134" t="s">
        <v>4783</v>
      </c>
      <c r="E65" s="139">
        <v>2.93</v>
      </c>
      <c r="F65" s="134" t="s">
        <v>4782</v>
      </c>
      <c r="G65" s="134" t="s">
        <v>3007</v>
      </c>
      <c r="H65" s="254">
        <v>13061</v>
      </c>
    </row>
    <row r="66" spans="1:8" x14ac:dyDescent="0.25">
      <c r="A66" s="134" t="s">
        <v>28142</v>
      </c>
      <c r="B66" s="134" t="s">
        <v>28141</v>
      </c>
      <c r="C66" s="134" t="s">
        <v>28140</v>
      </c>
      <c r="D66" s="134" t="s">
        <v>28139</v>
      </c>
      <c r="E66" s="139">
        <v>11.31</v>
      </c>
      <c r="F66" s="134" t="s">
        <v>28138</v>
      </c>
      <c r="G66" s="134" t="s">
        <v>3007</v>
      </c>
      <c r="H66" s="254">
        <v>13062</v>
      </c>
    </row>
    <row r="67" spans="1:8" s="200" customFormat="1" x14ac:dyDescent="0.25">
      <c r="A67" s="198"/>
      <c r="B67" s="198"/>
      <c r="C67" s="198" t="s">
        <v>5691</v>
      </c>
      <c r="D67" s="198" t="s">
        <v>14408</v>
      </c>
      <c r="E67" s="360">
        <f>SUM(E3:E66)</f>
        <v>539.91999999999996</v>
      </c>
      <c r="F67" s="198"/>
      <c r="G67" s="198"/>
      <c r="H67" s="172"/>
    </row>
    <row r="68" spans="1:8" s="200" customFormat="1" x14ac:dyDescent="0.25">
      <c r="A68" s="198"/>
      <c r="B68" s="198"/>
      <c r="C68" s="198"/>
      <c r="D68" s="198"/>
      <c r="E68" s="199"/>
      <c r="F68" s="198"/>
      <c r="G68" s="198"/>
      <c r="H68" s="172"/>
    </row>
    <row r="69" spans="1:8" x14ac:dyDescent="0.25">
      <c r="A69" s="134" t="s">
        <v>28111</v>
      </c>
      <c r="B69" s="134" t="s">
        <v>28137</v>
      </c>
      <c r="C69" s="134" t="s">
        <v>28136</v>
      </c>
      <c r="D69" s="134" t="s">
        <v>6117</v>
      </c>
      <c r="E69" s="139">
        <v>2.91</v>
      </c>
      <c r="F69" s="134" t="s">
        <v>6116</v>
      </c>
      <c r="G69" s="134" t="s">
        <v>3007</v>
      </c>
      <c r="H69" s="254">
        <v>13064</v>
      </c>
    </row>
    <row r="70" spans="1:8" x14ac:dyDescent="0.25">
      <c r="A70" s="134" t="s">
        <v>28111</v>
      </c>
      <c r="B70" s="134" t="s">
        <v>3865</v>
      </c>
      <c r="C70" s="134" t="s">
        <v>28135</v>
      </c>
      <c r="D70" s="134" t="s">
        <v>5682</v>
      </c>
      <c r="E70" s="139">
        <v>18.16</v>
      </c>
      <c r="F70" s="134" t="s">
        <v>5681</v>
      </c>
      <c r="G70" s="134" t="s">
        <v>3007</v>
      </c>
      <c r="H70" s="254">
        <v>13065</v>
      </c>
    </row>
    <row r="71" spans="1:8" x14ac:dyDescent="0.25">
      <c r="A71" s="134" t="s">
        <v>28111</v>
      </c>
      <c r="B71" s="134" t="s">
        <v>28134</v>
      </c>
      <c r="C71" s="134" t="s">
        <v>28133</v>
      </c>
      <c r="D71" s="134" t="s">
        <v>3345</v>
      </c>
      <c r="E71" s="139">
        <v>1.68</v>
      </c>
      <c r="F71" s="134" t="s">
        <v>3344</v>
      </c>
      <c r="G71" s="134" t="s">
        <v>3007</v>
      </c>
      <c r="H71" s="254">
        <v>13066</v>
      </c>
    </row>
    <row r="72" spans="1:8" x14ac:dyDescent="0.25">
      <c r="A72" s="134" t="s">
        <v>28111</v>
      </c>
      <c r="B72" s="134" t="s">
        <v>12948</v>
      </c>
      <c r="C72" s="134" t="s">
        <v>28132</v>
      </c>
      <c r="D72" s="134" t="s">
        <v>4767</v>
      </c>
      <c r="E72" s="139">
        <v>3.36</v>
      </c>
      <c r="F72" s="134" t="s">
        <v>4766</v>
      </c>
      <c r="G72" s="134" t="s">
        <v>3007</v>
      </c>
      <c r="H72" s="254">
        <v>13067</v>
      </c>
    </row>
    <row r="73" spans="1:8" x14ac:dyDescent="0.25">
      <c r="A73" s="134" t="s">
        <v>28111</v>
      </c>
      <c r="B73" s="134" t="s">
        <v>28131</v>
      </c>
      <c r="C73" s="134" t="s">
        <v>28130</v>
      </c>
      <c r="D73" s="134" t="s">
        <v>28129</v>
      </c>
      <c r="E73" s="139">
        <v>13.32</v>
      </c>
      <c r="F73" s="134" t="s">
        <v>3206</v>
      </c>
      <c r="G73" s="134" t="s">
        <v>3007</v>
      </c>
      <c r="H73" s="254">
        <v>13068</v>
      </c>
    </row>
    <row r="74" spans="1:8" x14ac:dyDescent="0.25">
      <c r="A74" s="134" t="s">
        <v>28111</v>
      </c>
      <c r="B74" s="134" t="s">
        <v>10378</v>
      </c>
      <c r="C74" s="134" t="s">
        <v>28128</v>
      </c>
      <c r="D74" s="134" t="s">
        <v>7127</v>
      </c>
      <c r="E74" s="139">
        <v>10.74</v>
      </c>
      <c r="F74" s="134" t="s">
        <v>7126</v>
      </c>
      <c r="G74" s="134" t="s">
        <v>3007</v>
      </c>
      <c r="H74" s="254">
        <v>13069</v>
      </c>
    </row>
    <row r="75" spans="1:8" x14ac:dyDescent="0.25">
      <c r="A75" s="134" t="s">
        <v>28111</v>
      </c>
      <c r="B75" s="134" t="s">
        <v>28127</v>
      </c>
      <c r="C75" s="134" t="s">
        <v>28126</v>
      </c>
      <c r="D75" s="134" t="s">
        <v>8736</v>
      </c>
      <c r="E75" s="139">
        <v>16.93</v>
      </c>
      <c r="F75" s="134" t="s">
        <v>8735</v>
      </c>
      <c r="G75" s="134" t="s">
        <v>3007</v>
      </c>
      <c r="H75" s="254">
        <v>13070</v>
      </c>
    </row>
    <row r="76" spans="1:8" x14ac:dyDescent="0.25">
      <c r="A76" s="134" t="s">
        <v>28111</v>
      </c>
      <c r="B76" s="134" t="s">
        <v>28125</v>
      </c>
      <c r="C76" s="134" t="s">
        <v>28124</v>
      </c>
      <c r="D76" s="134" t="s">
        <v>9190</v>
      </c>
      <c r="E76" s="139">
        <v>2.4500000000000002</v>
      </c>
      <c r="F76" s="134" t="s">
        <v>9189</v>
      </c>
      <c r="G76" s="134" t="s">
        <v>3007</v>
      </c>
      <c r="H76" s="254">
        <v>13071</v>
      </c>
    </row>
    <row r="77" spans="1:8" x14ac:dyDescent="0.25">
      <c r="A77" s="134" t="s">
        <v>28111</v>
      </c>
      <c r="B77" s="134" t="s">
        <v>28123</v>
      </c>
      <c r="C77" s="134" t="s">
        <v>28122</v>
      </c>
      <c r="D77" s="134" t="s">
        <v>5265</v>
      </c>
      <c r="E77" s="139">
        <v>3.66</v>
      </c>
      <c r="F77" s="134" t="s">
        <v>5264</v>
      </c>
      <c r="G77" s="134" t="s">
        <v>3007</v>
      </c>
      <c r="H77" s="254">
        <v>13072</v>
      </c>
    </row>
    <row r="78" spans="1:8" x14ac:dyDescent="0.25">
      <c r="A78" s="134" t="s">
        <v>28111</v>
      </c>
      <c r="B78" s="134" t="s">
        <v>28121</v>
      </c>
      <c r="C78" s="134" t="s">
        <v>28120</v>
      </c>
      <c r="D78" s="134" t="s">
        <v>12781</v>
      </c>
      <c r="E78" s="139">
        <v>3.88</v>
      </c>
      <c r="F78" s="134" t="s">
        <v>12780</v>
      </c>
      <c r="G78" s="134" t="s">
        <v>3007</v>
      </c>
      <c r="H78" s="254">
        <v>13073</v>
      </c>
    </row>
    <row r="79" spans="1:8" x14ac:dyDescent="0.25">
      <c r="A79" s="134" t="s">
        <v>28111</v>
      </c>
      <c r="B79" s="134" t="s">
        <v>28119</v>
      </c>
      <c r="C79" s="134" t="s">
        <v>28118</v>
      </c>
      <c r="D79" s="134" t="s">
        <v>4132</v>
      </c>
      <c r="E79" s="139">
        <v>3.42</v>
      </c>
      <c r="F79" s="134" t="s">
        <v>4131</v>
      </c>
      <c r="G79" s="134" t="s">
        <v>3007</v>
      </c>
      <c r="H79" s="254">
        <v>13074</v>
      </c>
    </row>
    <row r="80" spans="1:8" x14ac:dyDescent="0.25">
      <c r="A80" s="134" t="s">
        <v>28111</v>
      </c>
      <c r="B80" s="134" t="s">
        <v>28117</v>
      </c>
      <c r="C80" s="134" t="s">
        <v>28116</v>
      </c>
      <c r="D80" s="134" t="s">
        <v>12141</v>
      </c>
      <c r="E80" s="139">
        <v>2.2200000000000002</v>
      </c>
      <c r="F80" s="134" t="s">
        <v>12140</v>
      </c>
      <c r="G80" s="134" t="s">
        <v>3007</v>
      </c>
      <c r="H80" s="254">
        <v>13075</v>
      </c>
    </row>
    <row r="81" spans="1:11" x14ac:dyDescent="0.25">
      <c r="A81" s="134" t="s">
        <v>28111</v>
      </c>
      <c r="B81" s="134" t="s">
        <v>28115</v>
      </c>
      <c r="C81" s="134" t="s">
        <v>28114</v>
      </c>
      <c r="D81" s="134" t="s">
        <v>3195</v>
      </c>
      <c r="E81" s="139">
        <v>20.68</v>
      </c>
      <c r="F81" s="134" t="s">
        <v>3194</v>
      </c>
      <c r="G81" s="134" t="s">
        <v>3007</v>
      </c>
      <c r="H81" s="254">
        <v>13076</v>
      </c>
    </row>
    <row r="82" spans="1:11" x14ac:dyDescent="0.25">
      <c r="A82" s="134" t="s">
        <v>28111</v>
      </c>
      <c r="B82" s="134" t="s">
        <v>28113</v>
      </c>
      <c r="C82" s="134" t="s">
        <v>28112</v>
      </c>
      <c r="D82" s="134" t="s">
        <v>9725</v>
      </c>
      <c r="E82" s="139">
        <v>3.91</v>
      </c>
      <c r="F82" s="134" t="s">
        <v>9724</v>
      </c>
      <c r="G82" s="134" t="s">
        <v>3007</v>
      </c>
      <c r="H82" s="254">
        <v>13077</v>
      </c>
    </row>
    <row r="83" spans="1:11" x14ac:dyDescent="0.25">
      <c r="A83" s="134" t="s">
        <v>28111</v>
      </c>
      <c r="B83" s="134" t="s">
        <v>28110</v>
      </c>
      <c r="C83" s="134" t="s">
        <v>28109</v>
      </c>
      <c r="D83" s="134" t="s">
        <v>3660</v>
      </c>
      <c r="E83" s="139">
        <v>19.02</v>
      </c>
      <c r="F83" s="134" t="s">
        <v>3659</v>
      </c>
      <c r="G83" s="134" t="s">
        <v>3007</v>
      </c>
      <c r="H83" s="254">
        <v>13078</v>
      </c>
    </row>
    <row r="84" spans="1:11" x14ac:dyDescent="0.25">
      <c r="A84" s="134" t="s">
        <v>28091</v>
      </c>
      <c r="B84" s="134" t="s">
        <v>28108</v>
      </c>
      <c r="C84" s="134" t="s">
        <v>28107</v>
      </c>
      <c r="D84" s="134" t="s">
        <v>28106</v>
      </c>
      <c r="E84" s="139">
        <v>47.28</v>
      </c>
      <c r="F84" s="134" t="s">
        <v>28105</v>
      </c>
      <c r="G84" s="134" t="s">
        <v>3007</v>
      </c>
      <c r="H84" s="254">
        <v>13079</v>
      </c>
    </row>
    <row r="85" spans="1:11" x14ac:dyDescent="0.25">
      <c r="A85" s="134" t="s">
        <v>28091</v>
      </c>
      <c r="B85" s="134" t="s">
        <v>28104</v>
      </c>
      <c r="C85" s="134" t="s">
        <v>28103</v>
      </c>
      <c r="D85" s="134" t="s">
        <v>5210</v>
      </c>
      <c r="E85" s="139">
        <v>3.17</v>
      </c>
      <c r="F85" s="134" t="s">
        <v>5209</v>
      </c>
      <c r="G85" s="134" t="s">
        <v>3007</v>
      </c>
      <c r="H85" s="254">
        <v>13080</v>
      </c>
    </row>
    <row r="86" spans="1:11" x14ac:dyDescent="0.25">
      <c r="A86" s="134" t="s">
        <v>28091</v>
      </c>
      <c r="B86" s="134" t="s">
        <v>28102</v>
      </c>
      <c r="C86" s="134" t="s">
        <v>28101</v>
      </c>
      <c r="D86" s="134" t="s">
        <v>3953</v>
      </c>
      <c r="E86" s="139">
        <v>1.84</v>
      </c>
      <c r="F86" s="134" t="s">
        <v>3952</v>
      </c>
      <c r="G86" s="134" t="s">
        <v>3007</v>
      </c>
      <c r="H86" s="254">
        <v>13081</v>
      </c>
    </row>
    <row r="87" spans="1:11" x14ac:dyDescent="0.25">
      <c r="A87" s="134" t="s">
        <v>28091</v>
      </c>
      <c r="B87" s="134" t="s">
        <v>10339</v>
      </c>
      <c r="C87" s="134" t="s">
        <v>28100</v>
      </c>
      <c r="D87" s="134" t="s">
        <v>4610</v>
      </c>
      <c r="E87" s="139">
        <v>19.8</v>
      </c>
      <c r="F87" s="134" t="s">
        <v>4609</v>
      </c>
      <c r="G87" s="134" t="s">
        <v>3007</v>
      </c>
      <c r="H87" s="254">
        <v>13082</v>
      </c>
      <c r="I87" s="202"/>
      <c r="K87" s="254"/>
    </row>
    <row r="88" spans="1:11" x14ac:dyDescent="0.25">
      <c r="A88" s="134" t="s">
        <v>28091</v>
      </c>
      <c r="B88" s="134" t="s">
        <v>28099</v>
      </c>
      <c r="C88" s="134" t="s">
        <v>28098</v>
      </c>
      <c r="D88" s="134" t="s">
        <v>28097</v>
      </c>
      <c r="E88" s="139">
        <v>30.74</v>
      </c>
      <c r="F88" s="134" t="s">
        <v>28096</v>
      </c>
      <c r="G88" s="134" t="s">
        <v>3007</v>
      </c>
      <c r="H88" s="254">
        <v>13083</v>
      </c>
    </row>
    <row r="89" spans="1:11" x14ac:dyDescent="0.25">
      <c r="A89" s="134" t="s">
        <v>28091</v>
      </c>
      <c r="B89" s="134" t="s">
        <v>28095</v>
      </c>
      <c r="C89" s="134" t="s">
        <v>28094</v>
      </c>
      <c r="D89" s="134" t="s">
        <v>5032</v>
      </c>
      <c r="E89" s="139">
        <v>3.06</v>
      </c>
      <c r="F89" s="134" t="s">
        <v>5031</v>
      </c>
      <c r="G89" s="134" t="s">
        <v>3007</v>
      </c>
      <c r="H89" s="254">
        <v>13084</v>
      </c>
    </row>
    <row r="90" spans="1:11" x14ac:dyDescent="0.25">
      <c r="A90" s="134" t="s">
        <v>28091</v>
      </c>
      <c r="B90" s="134" t="s">
        <v>28093</v>
      </c>
      <c r="C90" s="134" t="s">
        <v>28092</v>
      </c>
      <c r="D90" s="134" t="s">
        <v>7123</v>
      </c>
      <c r="E90" s="139">
        <v>1.71</v>
      </c>
      <c r="F90" s="134" t="s">
        <v>7122</v>
      </c>
      <c r="G90" s="134" t="s">
        <v>3007</v>
      </c>
      <c r="H90" s="254">
        <v>13085</v>
      </c>
    </row>
    <row r="91" spans="1:11" x14ac:dyDescent="0.25">
      <c r="A91" s="134" t="s">
        <v>28091</v>
      </c>
      <c r="B91" s="134" t="s">
        <v>28090</v>
      </c>
      <c r="C91" s="134" t="s">
        <v>28089</v>
      </c>
      <c r="D91" s="134" t="s">
        <v>12294</v>
      </c>
      <c r="E91" s="139">
        <v>3.71</v>
      </c>
      <c r="F91" s="134" t="s">
        <v>12293</v>
      </c>
      <c r="G91" s="134" t="s">
        <v>3007</v>
      </c>
      <c r="H91" s="254">
        <v>13086</v>
      </c>
    </row>
    <row r="92" spans="1:11" x14ac:dyDescent="0.25">
      <c r="A92" s="134" t="s">
        <v>28080</v>
      </c>
      <c r="B92" s="134" t="s">
        <v>28088</v>
      </c>
      <c r="C92" s="134" t="s">
        <v>28087</v>
      </c>
      <c r="D92" s="134" t="s">
        <v>3534</v>
      </c>
      <c r="E92" s="139">
        <v>23.98</v>
      </c>
      <c r="F92" s="134" t="s">
        <v>3533</v>
      </c>
      <c r="G92" s="134" t="s">
        <v>3007</v>
      </c>
      <c r="H92" s="254">
        <v>13106</v>
      </c>
    </row>
    <row r="93" spans="1:11" x14ac:dyDescent="0.25">
      <c r="A93" s="134" t="s">
        <v>28080</v>
      </c>
      <c r="B93" s="134" t="s">
        <v>28086</v>
      </c>
      <c r="C93" s="134" t="s">
        <v>28085</v>
      </c>
      <c r="D93" s="134" t="s">
        <v>6580</v>
      </c>
      <c r="E93" s="139">
        <v>2.36</v>
      </c>
      <c r="F93" s="134" t="s">
        <v>6579</v>
      </c>
      <c r="G93" s="134" t="s">
        <v>3007</v>
      </c>
      <c r="H93" s="254">
        <v>13107</v>
      </c>
    </row>
    <row r="94" spans="1:11" x14ac:dyDescent="0.25">
      <c r="A94" s="134" t="s">
        <v>28080</v>
      </c>
      <c r="B94" s="134" t="s">
        <v>28084</v>
      </c>
      <c r="C94" s="134" t="s">
        <v>28083</v>
      </c>
      <c r="D94" s="134" t="s">
        <v>5329</v>
      </c>
      <c r="E94" s="139">
        <v>22.84</v>
      </c>
      <c r="F94" s="134" t="s">
        <v>5328</v>
      </c>
      <c r="G94" s="134" t="s">
        <v>3007</v>
      </c>
      <c r="H94" s="254">
        <v>13108</v>
      </c>
    </row>
    <row r="95" spans="1:11" x14ac:dyDescent="0.25">
      <c r="A95" s="134" t="s">
        <v>28080</v>
      </c>
      <c r="B95" s="134" t="s">
        <v>28082</v>
      </c>
      <c r="C95" s="134" t="s">
        <v>28081</v>
      </c>
      <c r="D95" s="134" t="s">
        <v>9728</v>
      </c>
      <c r="E95" s="139">
        <v>2.39</v>
      </c>
      <c r="F95" s="134" t="s">
        <v>3490</v>
      </c>
      <c r="G95" s="134" t="s">
        <v>3007</v>
      </c>
      <c r="H95" s="254">
        <v>13109</v>
      </c>
    </row>
    <row r="96" spans="1:11" x14ac:dyDescent="0.25">
      <c r="A96" s="134" t="s">
        <v>28080</v>
      </c>
      <c r="B96" s="134" t="s">
        <v>28079</v>
      </c>
      <c r="C96" s="134" t="s">
        <v>28078</v>
      </c>
      <c r="D96" s="134" t="s">
        <v>6996</v>
      </c>
      <c r="E96" s="139">
        <v>6.26</v>
      </c>
      <c r="F96" s="134" t="s">
        <v>6995</v>
      </c>
      <c r="G96" s="134" t="s">
        <v>3007</v>
      </c>
      <c r="H96" s="254">
        <v>13110</v>
      </c>
    </row>
    <row r="97" spans="1:8" x14ac:dyDescent="0.25">
      <c r="A97" s="134" t="s">
        <v>28045</v>
      </c>
      <c r="B97" s="134" t="s">
        <v>28077</v>
      </c>
      <c r="C97" s="134" t="s">
        <v>28076</v>
      </c>
      <c r="D97" s="134" t="s">
        <v>5102</v>
      </c>
      <c r="E97" s="139">
        <v>36.409999999999997</v>
      </c>
      <c r="F97" s="134" t="s">
        <v>5101</v>
      </c>
      <c r="G97" s="134" t="s">
        <v>3007</v>
      </c>
      <c r="H97" s="124">
        <v>13190</v>
      </c>
    </row>
    <row r="98" spans="1:8" x14ac:dyDescent="0.25">
      <c r="A98" s="134" t="s">
        <v>28045</v>
      </c>
      <c r="B98" s="134" t="s">
        <v>28075</v>
      </c>
      <c r="C98" s="134" t="s">
        <v>28074</v>
      </c>
      <c r="D98" s="134" t="s">
        <v>3369</v>
      </c>
      <c r="E98" s="139">
        <v>9.43</v>
      </c>
      <c r="F98" s="134" t="s">
        <v>3368</v>
      </c>
      <c r="G98" s="134" t="s">
        <v>3007</v>
      </c>
      <c r="H98" s="254">
        <v>13191</v>
      </c>
    </row>
    <row r="99" spans="1:8" x14ac:dyDescent="0.25">
      <c r="A99" s="134" t="s">
        <v>28045</v>
      </c>
      <c r="B99" s="134" t="s">
        <v>28073</v>
      </c>
      <c r="C99" s="134" t="s">
        <v>28072</v>
      </c>
      <c r="D99" s="134" t="s">
        <v>7205</v>
      </c>
      <c r="E99" s="139">
        <v>13.78</v>
      </c>
      <c r="F99" s="134" t="s">
        <v>7204</v>
      </c>
      <c r="G99" s="134" t="s">
        <v>3007</v>
      </c>
      <c r="H99" s="254">
        <v>13192</v>
      </c>
    </row>
    <row r="100" spans="1:8" x14ac:dyDescent="0.25">
      <c r="A100" s="134" t="s">
        <v>28045</v>
      </c>
      <c r="B100" s="134" t="s">
        <v>28071</v>
      </c>
      <c r="C100" s="134" t="s">
        <v>28070</v>
      </c>
      <c r="D100" s="134" t="s">
        <v>4488</v>
      </c>
      <c r="E100" s="139">
        <v>1.94</v>
      </c>
      <c r="F100" s="134" t="s">
        <v>4487</v>
      </c>
      <c r="G100" s="134" t="s">
        <v>3007</v>
      </c>
      <c r="H100" s="254">
        <v>13193</v>
      </c>
    </row>
    <row r="101" spans="1:8" x14ac:dyDescent="0.25">
      <c r="A101" s="134" t="s">
        <v>28045</v>
      </c>
      <c r="B101" s="134" t="s">
        <v>28069</v>
      </c>
      <c r="C101" s="134" t="s">
        <v>28068</v>
      </c>
      <c r="D101" s="134" t="s">
        <v>4099</v>
      </c>
      <c r="E101" s="139">
        <v>17.78</v>
      </c>
      <c r="F101" s="134" t="s">
        <v>4098</v>
      </c>
      <c r="G101" s="134" t="s">
        <v>3007</v>
      </c>
      <c r="H101" s="254">
        <v>13194</v>
      </c>
    </row>
    <row r="102" spans="1:8" x14ac:dyDescent="0.25">
      <c r="A102" s="134" t="s">
        <v>28045</v>
      </c>
      <c r="B102" s="134" t="s">
        <v>28067</v>
      </c>
      <c r="C102" s="134" t="s">
        <v>28066</v>
      </c>
      <c r="D102" s="134" t="s">
        <v>10535</v>
      </c>
      <c r="E102" s="139">
        <v>7.41</v>
      </c>
      <c r="F102" s="134" t="s">
        <v>10534</v>
      </c>
      <c r="G102" s="134" t="s">
        <v>3007</v>
      </c>
      <c r="H102" s="254">
        <v>13195</v>
      </c>
    </row>
    <row r="103" spans="1:8" x14ac:dyDescent="0.25">
      <c r="A103" s="134" t="s">
        <v>28045</v>
      </c>
      <c r="B103" s="134" t="s">
        <v>28065</v>
      </c>
      <c r="C103" s="134" t="s">
        <v>28064</v>
      </c>
      <c r="D103" s="134" t="s">
        <v>4548</v>
      </c>
      <c r="E103" s="139">
        <v>13.52</v>
      </c>
      <c r="F103" s="134" t="s">
        <v>4547</v>
      </c>
      <c r="G103" s="134" t="s">
        <v>3007</v>
      </c>
      <c r="H103" s="254">
        <v>13196</v>
      </c>
    </row>
    <row r="104" spans="1:8" x14ac:dyDescent="0.25">
      <c r="A104" s="134" t="s">
        <v>28045</v>
      </c>
      <c r="B104" s="134" t="s">
        <v>28063</v>
      </c>
      <c r="C104" s="134" t="s">
        <v>28062</v>
      </c>
      <c r="D104" s="134" t="s">
        <v>7258</v>
      </c>
      <c r="E104" s="139">
        <v>15</v>
      </c>
      <c r="F104" s="134" t="s">
        <v>7257</v>
      </c>
      <c r="G104" s="134" t="s">
        <v>3007</v>
      </c>
      <c r="H104" s="254">
        <v>13197</v>
      </c>
    </row>
    <row r="105" spans="1:8" x14ac:dyDescent="0.25">
      <c r="A105" s="134" t="s">
        <v>28045</v>
      </c>
      <c r="B105" s="134" t="s">
        <v>28061</v>
      </c>
      <c r="C105" s="134" t="s">
        <v>28060</v>
      </c>
      <c r="D105" s="134" t="s">
        <v>5346</v>
      </c>
      <c r="E105" s="139">
        <v>31.28</v>
      </c>
      <c r="F105" s="134" t="s">
        <v>5345</v>
      </c>
      <c r="G105" s="134" t="s">
        <v>3007</v>
      </c>
      <c r="H105" s="254">
        <v>13198</v>
      </c>
    </row>
    <row r="106" spans="1:8" x14ac:dyDescent="0.25">
      <c r="A106" s="134" t="s">
        <v>28045</v>
      </c>
      <c r="B106" s="134" t="s">
        <v>28059</v>
      </c>
      <c r="C106" s="134" t="s">
        <v>28058</v>
      </c>
      <c r="D106" s="134" t="s">
        <v>3038</v>
      </c>
      <c r="E106" s="139">
        <v>24.62</v>
      </c>
      <c r="F106" s="134" t="s">
        <v>3037</v>
      </c>
      <c r="G106" s="134" t="s">
        <v>3007</v>
      </c>
      <c r="H106" s="254">
        <v>13199</v>
      </c>
    </row>
    <row r="107" spans="1:8" x14ac:dyDescent="0.25">
      <c r="A107" s="134" t="s">
        <v>28045</v>
      </c>
      <c r="B107" s="134" t="s">
        <v>28057</v>
      </c>
      <c r="C107" s="134" t="s">
        <v>28056</v>
      </c>
      <c r="D107" s="134" t="s">
        <v>10496</v>
      </c>
      <c r="E107" s="139">
        <v>3.19</v>
      </c>
      <c r="F107" s="134" t="s">
        <v>10495</v>
      </c>
      <c r="G107" s="134" t="s">
        <v>3007</v>
      </c>
      <c r="H107" s="254">
        <v>13200</v>
      </c>
    </row>
    <row r="108" spans="1:8" x14ac:dyDescent="0.25">
      <c r="A108" s="134" t="s">
        <v>28045</v>
      </c>
      <c r="B108" s="134" t="s">
        <v>28055</v>
      </c>
      <c r="C108" s="134" t="s">
        <v>28054</v>
      </c>
      <c r="D108" s="134" t="s">
        <v>7035</v>
      </c>
      <c r="E108" s="139">
        <v>16.7</v>
      </c>
      <c r="F108" s="134" t="s">
        <v>7034</v>
      </c>
      <c r="G108" s="134" t="s">
        <v>3007</v>
      </c>
      <c r="H108" s="254">
        <v>13201</v>
      </c>
    </row>
    <row r="109" spans="1:8" x14ac:dyDescent="0.25">
      <c r="A109" s="134" t="s">
        <v>28045</v>
      </c>
      <c r="B109" s="134" t="s">
        <v>28053</v>
      </c>
      <c r="C109" s="134" t="s">
        <v>28052</v>
      </c>
      <c r="D109" s="134" t="s">
        <v>12298</v>
      </c>
      <c r="E109" s="139">
        <v>16.760000000000002</v>
      </c>
      <c r="F109" s="134" t="s">
        <v>12297</v>
      </c>
      <c r="G109" s="134" t="s">
        <v>3007</v>
      </c>
      <c r="H109" s="254">
        <v>13202</v>
      </c>
    </row>
    <row r="110" spans="1:8" x14ac:dyDescent="0.25">
      <c r="A110" s="134" t="s">
        <v>28045</v>
      </c>
      <c r="B110" s="134" t="s">
        <v>28051</v>
      </c>
      <c r="C110" s="134" t="s">
        <v>28050</v>
      </c>
      <c r="D110" s="134" t="s">
        <v>6514</v>
      </c>
      <c r="E110" s="139">
        <v>5.04</v>
      </c>
      <c r="F110" s="134" t="s">
        <v>6513</v>
      </c>
      <c r="G110" s="134" t="s">
        <v>3007</v>
      </c>
      <c r="H110" s="254">
        <v>13203</v>
      </c>
    </row>
    <row r="111" spans="1:8" x14ac:dyDescent="0.25">
      <c r="A111" s="134" t="s">
        <v>28045</v>
      </c>
      <c r="B111" s="134" t="s">
        <v>28049</v>
      </c>
      <c r="C111" s="134" t="s">
        <v>28048</v>
      </c>
      <c r="D111" s="134" t="s">
        <v>3385</v>
      </c>
      <c r="E111" s="139">
        <v>8.1</v>
      </c>
      <c r="F111" s="134" t="s">
        <v>3384</v>
      </c>
      <c r="G111" s="134" t="s">
        <v>3007</v>
      </c>
      <c r="H111" s="254">
        <v>13204</v>
      </c>
    </row>
    <row r="112" spans="1:8" x14ac:dyDescent="0.25">
      <c r="A112" s="134" t="s">
        <v>28045</v>
      </c>
      <c r="B112" s="134" t="s">
        <v>28047</v>
      </c>
      <c r="C112" s="134" t="s">
        <v>28046</v>
      </c>
      <c r="D112" s="134" t="s">
        <v>3711</v>
      </c>
      <c r="E112" s="139">
        <v>4.09</v>
      </c>
      <c r="F112" s="134" t="s">
        <v>3707</v>
      </c>
      <c r="G112" s="134" t="s">
        <v>3007</v>
      </c>
      <c r="H112" s="254">
        <v>13205</v>
      </c>
    </row>
    <row r="113" spans="1:8" x14ac:dyDescent="0.25">
      <c r="A113" s="134" t="s">
        <v>28045</v>
      </c>
      <c r="B113" s="134" t="s">
        <v>12211</v>
      </c>
      <c r="C113" s="134" t="s">
        <v>28044</v>
      </c>
      <c r="D113" s="134" t="s">
        <v>5106</v>
      </c>
      <c r="E113" s="139">
        <v>5.14</v>
      </c>
      <c r="F113" s="134" t="s">
        <v>5105</v>
      </c>
      <c r="G113" s="134" t="s">
        <v>3007</v>
      </c>
      <c r="H113" s="254">
        <v>13206</v>
      </c>
    </row>
    <row r="114" spans="1:8" x14ac:dyDescent="0.25">
      <c r="A114" s="134" t="s">
        <v>28023</v>
      </c>
      <c r="B114" s="134" t="s">
        <v>11556</v>
      </c>
      <c r="C114" s="134" t="s">
        <v>28043</v>
      </c>
      <c r="D114" s="134" t="s">
        <v>10889</v>
      </c>
      <c r="E114" s="139">
        <v>1.72</v>
      </c>
      <c r="F114" s="134" t="s">
        <v>10888</v>
      </c>
      <c r="G114" s="134" t="s">
        <v>3007</v>
      </c>
      <c r="H114" s="254">
        <v>13268</v>
      </c>
    </row>
    <row r="115" spans="1:8" x14ac:dyDescent="0.25">
      <c r="A115" s="134" t="s">
        <v>28023</v>
      </c>
      <c r="B115" s="134" t="s">
        <v>28042</v>
      </c>
      <c r="C115" s="134" t="s">
        <v>28041</v>
      </c>
      <c r="D115" s="134" t="s">
        <v>28040</v>
      </c>
      <c r="E115" s="139">
        <v>5.48</v>
      </c>
      <c r="F115" s="134" t="s">
        <v>28039</v>
      </c>
      <c r="G115" s="134" t="s">
        <v>3007</v>
      </c>
      <c r="H115" s="254">
        <v>13269</v>
      </c>
    </row>
    <row r="116" spans="1:8" x14ac:dyDescent="0.25">
      <c r="A116" s="134" t="s">
        <v>28023</v>
      </c>
      <c r="B116" s="134" t="s">
        <v>9429</v>
      </c>
      <c r="C116" s="134" t="s">
        <v>28038</v>
      </c>
      <c r="D116" s="134" t="s">
        <v>11639</v>
      </c>
      <c r="E116" s="139">
        <v>5.04</v>
      </c>
      <c r="F116" s="134" t="s">
        <v>11638</v>
      </c>
      <c r="G116" s="134" t="s">
        <v>3007</v>
      </c>
      <c r="H116" s="254">
        <v>13270</v>
      </c>
    </row>
    <row r="117" spans="1:8" x14ac:dyDescent="0.25">
      <c r="A117" s="134" t="s">
        <v>28023</v>
      </c>
      <c r="B117" s="134" t="s">
        <v>28037</v>
      </c>
      <c r="C117" s="134" t="s">
        <v>28036</v>
      </c>
      <c r="D117" s="134" t="s">
        <v>5506</v>
      </c>
      <c r="E117" s="139">
        <v>3.36</v>
      </c>
      <c r="F117" s="134" t="s">
        <v>5505</v>
      </c>
      <c r="G117" s="134" t="s">
        <v>3007</v>
      </c>
      <c r="H117" s="254">
        <v>13271</v>
      </c>
    </row>
    <row r="118" spans="1:8" x14ac:dyDescent="0.25">
      <c r="A118" s="134" t="s">
        <v>28023</v>
      </c>
      <c r="B118" s="134" t="s">
        <v>28035</v>
      </c>
      <c r="C118" s="134" t="s">
        <v>28034</v>
      </c>
      <c r="D118" s="134" t="s">
        <v>5091</v>
      </c>
      <c r="E118" s="139">
        <v>1.97</v>
      </c>
      <c r="F118" s="134" t="s">
        <v>5090</v>
      </c>
      <c r="G118" s="134" t="s">
        <v>3007</v>
      </c>
      <c r="H118" s="254">
        <v>13272</v>
      </c>
    </row>
    <row r="119" spans="1:8" x14ac:dyDescent="0.25">
      <c r="A119" s="134" t="s">
        <v>28023</v>
      </c>
      <c r="B119" s="134" t="s">
        <v>28033</v>
      </c>
      <c r="C119" s="134" t="s">
        <v>28032</v>
      </c>
      <c r="D119" s="134" t="s">
        <v>5036</v>
      </c>
      <c r="E119" s="139">
        <v>45.43</v>
      </c>
      <c r="F119" s="134" t="s">
        <v>5035</v>
      </c>
      <c r="G119" s="134" t="s">
        <v>3007</v>
      </c>
      <c r="H119" s="254">
        <v>13273</v>
      </c>
    </row>
    <row r="120" spans="1:8" x14ac:dyDescent="0.25">
      <c r="A120" s="134" t="s">
        <v>28023</v>
      </c>
      <c r="B120" s="134" t="s">
        <v>28031</v>
      </c>
      <c r="C120" s="134" t="s">
        <v>28030</v>
      </c>
      <c r="D120" s="134" t="s">
        <v>7240</v>
      </c>
      <c r="E120" s="139">
        <v>22.02</v>
      </c>
      <c r="F120" s="134" t="s">
        <v>7239</v>
      </c>
      <c r="G120" s="134" t="s">
        <v>3007</v>
      </c>
      <c r="H120" s="254">
        <v>13274</v>
      </c>
    </row>
    <row r="121" spans="1:8" x14ac:dyDescent="0.25">
      <c r="A121" s="134" t="s">
        <v>28023</v>
      </c>
      <c r="B121" s="134" t="s">
        <v>28029</v>
      </c>
      <c r="C121" s="134" t="s">
        <v>28028</v>
      </c>
      <c r="D121" s="134" t="s">
        <v>7066</v>
      </c>
      <c r="E121" s="139">
        <v>4.4800000000000004</v>
      </c>
      <c r="F121" s="134" t="s">
        <v>7065</v>
      </c>
      <c r="G121" s="134" t="s">
        <v>3007</v>
      </c>
      <c r="H121" s="254">
        <v>13275</v>
      </c>
    </row>
    <row r="122" spans="1:8" x14ac:dyDescent="0.25">
      <c r="A122" s="134" t="s">
        <v>28023</v>
      </c>
      <c r="B122" s="134" t="s">
        <v>28027</v>
      </c>
      <c r="C122" s="134" t="s">
        <v>28026</v>
      </c>
      <c r="D122" s="134" t="s">
        <v>6402</v>
      </c>
      <c r="E122" s="139">
        <v>6.83</v>
      </c>
      <c r="F122" s="134" t="s">
        <v>6401</v>
      </c>
      <c r="G122" s="134" t="s">
        <v>3007</v>
      </c>
      <c r="H122" s="254">
        <v>13276</v>
      </c>
    </row>
    <row r="123" spans="1:8" x14ac:dyDescent="0.25">
      <c r="A123" s="134" t="s">
        <v>28023</v>
      </c>
      <c r="B123" s="134" t="s">
        <v>28025</v>
      </c>
      <c r="C123" s="134" t="s">
        <v>28024</v>
      </c>
      <c r="D123" s="134" t="s">
        <v>3082</v>
      </c>
      <c r="E123" s="139">
        <v>3.42</v>
      </c>
      <c r="F123" s="134" t="s">
        <v>3081</v>
      </c>
      <c r="G123" s="134" t="s">
        <v>3007</v>
      </c>
      <c r="H123" s="254">
        <v>13277</v>
      </c>
    </row>
    <row r="124" spans="1:8" x14ac:dyDescent="0.25">
      <c r="A124" s="134" t="s">
        <v>28023</v>
      </c>
      <c r="B124" s="134" t="s">
        <v>28022</v>
      </c>
      <c r="C124" s="134" t="s">
        <v>28021</v>
      </c>
      <c r="D124" s="134" t="s">
        <v>11219</v>
      </c>
      <c r="E124" s="139">
        <v>6.6</v>
      </c>
      <c r="F124" s="134" t="s">
        <v>11218</v>
      </c>
      <c r="G124" s="134" t="s">
        <v>3007</v>
      </c>
      <c r="H124" s="254">
        <v>13278</v>
      </c>
    </row>
    <row r="125" spans="1:8" x14ac:dyDescent="0.25">
      <c r="A125" s="134" t="s">
        <v>27996</v>
      </c>
      <c r="B125" s="134" t="s">
        <v>28020</v>
      </c>
      <c r="C125" s="134" t="s">
        <v>28019</v>
      </c>
      <c r="D125" s="134" t="s">
        <v>10262</v>
      </c>
      <c r="E125" s="139">
        <v>4.17</v>
      </c>
      <c r="F125" s="134" t="s">
        <v>10261</v>
      </c>
      <c r="G125" s="134" t="s">
        <v>3007</v>
      </c>
      <c r="H125" s="254">
        <v>13320</v>
      </c>
    </row>
    <row r="126" spans="1:8" x14ac:dyDescent="0.25">
      <c r="A126" s="134" t="s">
        <v>27996</v>
      </c>
      <c r="B126" s="134" t="s">
        <v>28018</v>
      </c>
      <c r="C126" s="134" t="s">
        <v>28017</v>
      </c>
      <c r="D126" s="134" t="s">
        <v>6066</v>
      </c>
      <c r="E126" s="139">
        <v>5.29</v>
      </c>
      <c r="F126" s="134" t="s">
        <v>3266</v>
      </c>
      <c r="G126" s="134" t="s">
        <v>3007</v>
      </c>
      <c r="H126" s="254">
        <v>13321</v>
      </c>
    </row>
    <row r="127" spans="1:8" x14ac:dyDescent="0.25">
      <c r="A127" s="134" t="s">
        <v>27996</v>
      </c>
      <c r="B127" s="134" t="s">
        <v>28016</v>
      </c>
      <c r="C127" s="134" t="s">
        <v>28015</v>
      </c>
      <c r="D127" s="134" t="s">
        <v>3615</v>
      </c>
      <c r="E127" s="139">
        <v>1.71</v>
      </c>
      <c r="F127" s="134" t="s">
        <v>3614</v>
      </c>
      <c r="G127" s="134" t="s">
        <v>3007</v>
      </c>
      <c r="H127" s="254">
        <v>13322</v>
      </c>
    </row>
    <row r="128" spans="1:8" x14ac:dyDescent="0.25">
      <c r="A128" s="134" t="s">
        <v>27996</v>
      </c>
      <c r="B128" s="134" t="s">
        <v>28014</v>
      </c>
      <c r="C128" s="134" t="s">
        <v>28013</v>
      </c>
      <c r="D128" s="134" t="s">
        <v>4354</v>
      </c>
      <c r="E128" s="139">
        <v>1.85</v>
      </c>
      <c r="F128" s="134" t="s">
        <v>4353</v>
      </c>
      <c r="G128" s="134" t="s">
        <v>3007</v>
      </c>
      <c r="H128" s="254">
        <v>13323</v>
      </c>
    </row>
    <row r="129" spans="1:8" x14ac:dyDescent="0.25">
      <c r="A129" s="134" t="s">
        <v>27996</v>
      </c>
      <c r="B129" s="134" t="s">
        <v>28012</v>
      </c>
      <c r="C129" s="134" t="s">
        <v>28011</v>
      </c>
      <c r="D129" s="134" t="s">
        <v>3235</v>
      </c>
      <c r="E129" s="139">
        <v>4.18</v>
      </c>
      <c r="F129" s="134" t="s">
        <v>3234</v>
      </c>
      <c r="G129" s="134" t="s">
        <v>3007</v>
      </c>
      <c r="H129" s="254">
        <v>13324</v>
      </c>
    </row>
    <row r="130" spans="1:8" x14ac:dyDescent="0.25">
      <c r="A130" s="134" t="s">
        <v>27996</v>
      </c>
      <c r="B130" s="134" t="s">
        <v>28010</v>
      </c>
      <c r="C130" s="134" t="s">
        <v>28009</v>
      </c>
      <c r="D130" s="134" t="s">
        <v>4823</v>
      </c>
      <c r="E130" s="139">
        <v>2.82</v>
      </c>
      <c r="F130" s="134" t="s">
        <v>4822</v>
      </c>
      <c r="G130" s="134" t="s">
        <v>3007</v>
      </c>
      <c r="H130" s="254">
        <v>13325</v>
      </c>
    </row>
    <row r="131" spans="1:8" x14ac:dyDescent="0.25">
      <c r="A131" s="134" t="s">
        <v>27996</v>
      </c>
      <c r="B131" s="134" t="s">
        <v>28008</v>
      </c>
      <c r="C131" s="134" t="s">
        <v>28007</v>
      </c>
      <c r="D131" s="134" t="s">
        <v>4504</v>
      </c>
      <c r="E131" s="139">
        <v>5.55</v>
      </c>
      <c r="F131" s="134" t="s">
        <v>8051</v>
      </c>
      <c r="G131" s="134" t="s">
        <v>3007</v>
      </c>
      <c r="H131" s="254">
        <v>13326</v>
      </c>
    </row>
    <row r="132" spans="1:8" x14ac:dyDescent="0.25">
      <c r="A132" s="134" t="s">
        <v>27996</v>
      </c>
      <c r="B132" s="134" t="s">
        <v>28006</v>
      </c>
      <c r="C132" s="134" t="s">
        <v>28005</v>
      </c>
      <c r="D132" s="134" t="s">
        <v>4461</v>
      </c>
      <c r="E132" s="139">
        <v>4.0999999999999996</v>
      </c>
      <c r="F132" s="134" t="s">
        <v>4460</v>
      </c>
      <c r="G132" s="134" t="s">
        <v>3007</v>
      </c>
      <c r="H132" s="254">
        <v>13327</v>
      </c>
    </row>
    <row r="133" spans="1:8" x14ac:dyDescent="0.25">
      <c r="A133" s="134" t="s">
        <v>27996</v>
      </c>
      <c r="B133" s="134" t="s">
        <v>28004</v>
      </c>
      <c r="C133" s="134" t="s">
        <v>28003</v>
      </c>
      <c r="D133" s="134" t="s">
        <v>28002</v>
      </c>
      <c r="E133" s="139">
        <v>17.43</v>
      </c>
      <c r="F133" s="134" t="s">
        <v>28001</v>
      </c>
      <c r="G133" s="134" t="s">
        <v>3007</v>
      </c>
      <c r="H133" s="254">
        <v>13328</v>
      </c>
    </row>
    <row r="134" spans="1:8" x14ac:dyDescent="0.25">
      <c r="A134" s="134" t="s">
        <v>27996</v>
      </c>
      <c r="B134" s="134" t="s">
        <v>28000</v>
      </c>
      <c r="C134" s="134" t="s">
        <v>27999</v>
      </c>
      <c r="D134" s="134" t="s">
        <v>3098</v>
      </c>
      <c r="E134" s="139">
        <v>5.75</v>
      </c>
      <c r="F134" s="134" t="s">
        <v>3097</v>
      </c>
      <c r="G134" s="134" t="s">
        <v>3007</v>
      </c>
      <c r="H134" s="254">
        <v>13329</v>
      </c>
    </row>
    <row r="135" spans="1:8" x14ac:dyDescent="0.25">
      <c r="A135" s="134" t="s">
        <v>27996</v>
      </c>
      <c r="B135" s="134" t="s">
        <v>27998</v>
      </c>
      <c r="C135" s="134" t="s">
        <v>27997</v>
      </c>
      <c r="D135" s="134" t="s">
        <v>9666</v>
      </c>
      <c r="E135" s="139">
        <v>16.760000000000002</v>
      </c>
      <c r="F135" s="134" t="s">
        <v>9665</v>
      </c>
      <c r="G135" s="134" t="s">
        <v>3007</v>
      </c>
      <c r="H135" s="254">
        <v>13330</v>
      </c>
    </row>
    <row r="136" spans="1:8" x14ac:dyDescent="0.25">
      <c r="A136" s="134" t="s">
        <v>27996</v>
      </c>
      <c r="B136" s="134" t="s">
        <v>27995</v>
      </c>
      <c r="C136" s="134" t="s">
        <v>27994</v>
      </c>
      <c r="D136" s="134" t="s">
        <v>13098</v>
      </c>
      <c r="E136" s="139">
        <v>43.15</v>
      </c>
      <c r="F136" s="134" t="s">
        <v>13097</v>
      </c>
      <c r="G136" s="134" t="s">
        <v>3007</v>
      </c>
      <c r="H136" s="254">
        <v>13331</v>
      </c>
    </row>
    <row r="137" spans="1:8" x14ac:dyDescent="0.25">
      <c r="A137" s="134" t="s">
        <v>27973</v>
      </c>
      <c r="B137" s="134" t="s">
        <v>27993</v>
      </c>
      <c r="C137" s="134" t="s">
        <v>27992</v>
      </c>
      <c r="D137" s="134" t="s">
        <v>5350</v>
      </c>
      <c r="E137" s="139">
        <v>3.88</v>
      </c>
      <c r="F137" s="134" t="s">
        <v>5349</v>
      </c>
      <c r="G137" s="134" t="s">
        <v>3007</v>
      </c>
      <c r="H137" s="254">
        <v>13332</v>
      </c>
    </row>
    <row r="138" spans="1:8" x14ac:dyDescent="0.25">
      <c r="A138" s="134" t="s">
        <v>27973</v>
      </c>
      <c r="B138" s="134" t="s">
        <v>27991</v>
      </c>
      <c r="C138" s="134" t="s">
        <v>27990</v>
      </c>
      <c r="D138" s="134" t="s">
        <v>5721</v>
      </c>
      <c r="E138" s="139">
        <v>79.2</v>
      </c>
      <c r="F138" s="134" t="s">
        <v>9814</v>
      </c>
      <c r="G138" s="134" t="s">
        <v>3007</v>
      </c>
      <c r="H138" s="254">
        <v>13333</v>
      </c>
    </row>
    <row r="139" spans="1:8" x14ac:dyDescent="0.25">
      <c r="A139" s="134" t="s">
        <v>27973</v>
      </c>
      <c r="B139" s="134" t="s">
        <v>27989</v>
      </c>
      <c r="C139" s="134" t="s">
        <v>27988</v>
      </c>
      <c r="D139" s="134" t="s">
        <v>4897</v>
      </c>
      <c r="E139" s="139">
        <v>120.77</v>
      </c>
      <c r="F139" s="134" t="s">
        <v>4896</v>
      </c>
      <c r="G139" s="134" t="s">
        <v>3007</v>
      </c>
      <c r="H139" s="254">
        <v>13334</v>
      </c>
    </row>
    <row r="140" spans="1:8" x14ac:dyDescent="0.25">
      <c r="A140" s="134" t="s">
        <v>27973</v>
      </c>
      <c r="B140" s="134" t="s">
        <v>27987</v>
      </c>
      <c r="C140" s="134" t="s">
        <v>27986</v>
      </c>
      <c r="D140" s="134" t="s">
        <v>5246</v>
      </c>
      <c r="E140" s="139">
        <v>19.75</v>
      </c>
      <c r="F140" s="134" t="s">
        <v>5245</v>
      </c>
      <c r="G140" s="134" t="s">
        <v>3007</v>
      </c>
      <c r="H140" s="254">
        <v>13335</v>
      </c>
    </row>
    <row r="141" spans="1:8" x14ac:dyDescent="0.25">
      <c r="A141" s="134" t="s">
        <v>27973</v>
      </c>
      <c r="B141" s="134" t="s">
        <v>27985</v>
      </c>
      <c r="C141" s="134" t="s">
        <v>27984</v>
      </c>
      <c r="D141" s="134" t="s">
        <v>9986</v>
      </c>
      <c r="E141" s="139">
        <v>9.7200000000000006</v>
      </c>
      <c r="F141" s="134" t="s">
        <v>9985</v>
      </c>
      <c r="G141" s="134" t="s">
        <v>3007</v>
      </c>
      <c r="H141" s="254">
        <v>13336</v>
      </c>
    </row>
    <row r="142" spans="1:8" x14ac:dyDescent="0.25">
      <c r="A142" s="134" t="s">
        <v>27973</v>
      </c>
      <c r="B142" s="134" t="s">
        <v>27780</v>
      </c>
      <c r="C142" s="134" t="s">
        <v>27983</v>
      </c>
      <c r="D142" s="134" t="s">
        <v>27982</v>
      </c>
      <c r="E142" s="139">
        <v>142.29</v>
      </c>
      <c r="F142" s="134" t="s">
        <v>27981</v>
      </c>
      <c r="G142" s="134" t="s">
        <v>3007</v>
      </c>
      <c r="H142" s="254">
        <v>13337</v>
      </c>
    </row>
    <row r="143" spans="1:8" x14ac:dyDescent="0.25">
      <c r="A143" s="134" t="s">
        <v>27973</v>
      </c>
      <c r="B143" s="134" t="s">
        <v>27980</v>
      </c>
      <c r="C143" s="134" t="s">
        <v>27979</v>
      </c>
      <c r="D143" s="134" t="s">
        <v>9218</v>
      </c>
      <c r="E143" s="139">
        <v>12.3</v>
      </c>
      <c r="F143" s="134" t="s">
        <v>9217</v>
      </c>
      <c r="G143" s="134" t="s">
        <v>3007</v>
      </c>
      <c r="H143" s="254">
        <v>13338</v>
      </c>
    </row>
    <row r="144" spans="1:8" x14ac:dyDescent="0.25">
      <c r="A144" s="134" t="s">
        <v>27973</v>
      </c>
      <c r="B144" s="134" t="s">
        <v>27978</v>
      </c>
      <c r="C144" s="134" t="s">
        <v>27977</v>
      </c>
      <c r="D144" s="134" t="s">
        <v>7103</v>
      </c>
      <c r="E144" s="139">
        <v>10.37</v>
      </c>
      <c r="F144" s="134" t="s">
        <v>7102</v>
      </c>
      <c r="G144" s="134" t="s">
        <v>3007</v>
      </c>
      <c r="H144" s="254">
        <v>13339</v>
      </c>
    </row>
    <row r="145" spans="1:8" x14ac:dyDescent="0.25">
      <c r="A145" s="134" t="s">
        <v>27973</v>
      </c>
      <c r="B145" s="134" t="s">
        <v>9304</v>
      </c>
      <c r="C145" s="134" t="s">
        <v>27976</v>
      </c>
      <c r="D145" s="134" t="s">
        <v>7697</v>
      </c>
      <c r="E145" s="139">
        <v>39.42</v>
      </c>
      <c r="F145" s="134" t="s">
        <v>7696</v>
      </c>
      <c r="G145" s="134" t="s">
        <v>3007</v>
      </c>
      <c r="H145" s="254">
        <v>13340</v>
      </c>
    </row>
    <row r="146" spans="1:8" x14ac:dyDescent="0.25">
      <c r="A146" s="134" t="s">
        <v>27973</v>
      </c>
      <c r="B146" s="134" t="s">
        <v>27975</v>
      </c>
      <c r="C146" s="134" t="s">
        <v>27974</v>
      </c>
      <c r="D146" s="134" t="s">
        <v>12950</v>
      </c>
      <c r="E146" s="139">
        <v>3.36</v>
      </c>
      <c r="F146" s="134" t="s">
        <v>12949</v>
      </c>
      <c r="G146" s="134" t="s">
        <v>3007</v>
      </c>
      <c r="H146" s="254">
        <v>13341</v>
      </c>
    </row>
    <row r="147" spans="1:8" x14ac:dyDescent="0.25">
      <c r="A147" s="134" t="s">
        <v>27973</v>
      </c>
      <c r="B147" s="134" t="s">
        <v>27972</v>
      </c>
      <c r="C147" s="134" t="s">
        <v>27971</v>
      </c>
      <c r="D147" s="134" t="s">
        <v>13916</v>
      </c>
      <c r="E147" s="139">
        <v>1.8</v>
      </c>
      <c r="F147" s="134" t="s">
        <v>13915</v>
      </c>
      <c r="G147" s="134" t="s">
        <v>3007</v>
      </c>
      <c r="H147" s="254">
        <v>13342</v>
      </c>
    </row>
    <row r="148" spans="1:8" s="200" customFormat="1" x14ac:dyDescent="0.25">
      <c r="A148" s="198"/>
      <c r="B148" s="198"/>
      <c r="C148" s="198" t="s">
        <v>5691</v>
      </c>
      <c r="D148" s="198" t="s">
        <v>14409</v>
      </c>
      <c r="E148" s="360">
        <f>SUM(E69:E147)</f>
        <v>1187.6399999999996</v>
      </c>
      <c r="F148" s="198"/>
      <c r="G148" s="198"/>
      <c r="H148" s="172"/>
    </row>
    <row r="149" spans="1:8" s="200" customFormat="1" x14ac:dyDescent="0.25">
      <c r="A149" s="198"/>
      <c r="B149" s="198"/>
      <c r="C149" s="198"/>
      <c r="D149" s="198"/>
      <c r="E149" s="199"/>
      <c r="F149" s="198"/>
      <c r="G149" s="198"/>
      <c r="H149" s="172"/>
    </row>
    <row r="150" spans="1:8" x14ac:dyDescent="0.25">
      <c r="A150" s="134" t="s">
        <v>27939</v>
      </c>
      <c r="B150" s="134" t="s">
        <v>27970</v>
      </c>
      <c r="C150" s="134" t="s">
        <v>27969</v>
      </c>
      <c r="D150" s="134" t="s">
        <v>7195</v>
      </c>
      <c r="E150" s="139">
        <v>57.61</v>
      </c>
      <c r="F150" s="134" t="s">
        <v>7194</v>
      </c>
      <c r="G150" s="134" t="s">
        <v>3007</v>
      </c>
      <c r="H150" s="254">
        <v>13393</v>
      </c>
    </row>
    <row r="151" spans="1:8" x14ac:dyDescent="0.25">
      <c r="A151" s="134" t="s">
        <v>27939</v>
      </c>
      <c r="B151" s="134" t="s">
        <v>27968</v>
      </c>
      <c r="C151" s="134" t="s">
        <v>27967</v>
      </c>
      <c r="D151" s="134" t="s">
        <v>7543</v>
      </c>
      <c r="E151" s="139">
        <v>5.99</v>
      </c>
      <c r="F151" s="134" t="s">
        <v>7542</v>
      </c>
      <c r="G151" s="134" t="s">
        <v>3007</v>
      </c>
      <c r="H151" s="254">
        <v>13394</v>
      </c>
    </row>
    <row r="152" spans="1:8" x14ac:dyDescent="0.25">
      <c r="A152" s="134" t="s">
        <v>27939</v>
      </c>
      <c r="B152" s="134" t="s">
        <v>27966</v>
      </c>
      <c r="C152" s="134" t="s">
        <v>27965</v>
      </c>
      <c r="D152" s="134" t="s">
        <v>12379</v>
      </c>
      <c r="E152" s="139">
        <v>3.36</v>
      </c>
      <c r="F152" s="134" t="s">
        <v>12378</v>
      </c>
      <c r="G152" s="134" t="s">
        <v>3007</v>
      </c>
      <c r="H152" s="254">
        <v>13395</v>
      </c>
    </row>
    <row r="153" spans="1:8" x14ac:dyDescent="0.25">
      <c r="A153" s="134" t="s">
        <v>27939</v>
      </c>
      <c r="B153" s="134" t="s">
        <v>27964</v>
      </c>
      <c r="C153" s="134" t="s">
        <v>27963</v>
      </c>
      <c r="D153" s="134" t="s">
        <v>4835</v>
      </c>
      <c r="E153" s="139">
        <v>11.56</v>
      </c>
      <c r="F153" s="134" t="s">
        <v>4834</v>
      </c>
      <c r="G153" s="134" t="s">
        <v>3007</v>
      </c>
      <c r="H153" s="254">
        <v>13396</v>
      </c>
    </row>
    <row r="154" spans="1:8" x14ac:dyDescent="0.25">
      <c r="A154" s="134" t="s">
        <v>27939</v>
      </c>
      <c r="B154" s="134" t="s">
        <v>27962</v>
      </c>
      <c r="C154" s="134" t="s">
        <v>27961</v>
      </c>
      <c r="D154" s="134" t="s">
        <v>10827</v>
      </c>
      <c r="E154" s="139">
        <v>3.62</v>
      </c>
      <c r="F154" s="134" t="s">
        <v>10826</v>
      </c>
      <c r="G154" s="134" t="s">
        <v>3007</v>
      </c>
      <c r="H154" s="254">
        <v>13397</v>
      </c>
    </row>
    <row r="155" spans="1:8" x14ac:dyDescent="0.25">
      <c r="A155" s="134" t="s">
        <v>27939</v>
      </c>
      <c r="B155" s="134" t="s">
        <v>27960</v>
      </c>
      <c r="C155" s="134" t="s">
        <v>27959</v>
      </c>
      <c r="D155" s="134" t="s">
        <v>4877</v>
      </c>
      <c r="E155" s="139">
        <v>3.18</v>
      </c>
      <c r="F155" s="134" t="s">
        <v>4876</v>
      </c>
      <c r="G155" s="134" t="s">
        <v>3007</v>
      </c>
      <c r="H155" s="254">
        <v>13398</v>
      </c>
    </row>
    <row r="156" spans="1:8" x14ac:dyDescent="0.25">
      <c r="A156" s="134" t="s">
        <v>27939</v>
      </c>
      <c r="B156" s="134" t="s">
        <v>27958</v>
      </c>
      <c r="C156" s="134" t="s">
        <v>27957</v>
      </c>
      <c r="D156" s="134" t="s">
        <v>27956</v>
      </c>
      <c r="E156" s="139">
        <v>24.36</v>
      </c>
      <c r="F156" s="134" t="s">
        <v>27955</v>
      </c>
      <c r="G156" s="134" t="s">
        <v>3007</v>
      </c>
      <c r="H156" s="254">
        <v>13399</v>
      </c>
    </row>
    <row r="157" spans="1:8" x14ac:dyDescent="0.25">
      <c r="A157" s="134" t="s">
        <v>27939</v>
      </c>
      <c r="B157" s="134" t="s">
        <v>27954</v>
      </c>
      <c r="C157" s="134" t="s">
        <v>27953</v>
      </c>
      <c r="D157" s="134" t="s">
        <v>7602</v>
      </c>
      <c r="E157" s="139">
        <v>2.67</v>
      </c>
      <c r="F157" s="134" t="s">
        <v>7601</v>
      </c>
      <c r="G157" s="134" t="s">
        <v>3007</v>
      </c>
      <c r="H157" s="254">
        <v>13400</v>
      </c>
    </row>
    <row r="158" spans="1:8" x14ac:dyDescent="0.25">
      <c r="A158" s="134" t="s">
        <v>27939</v>
      </c>
      <c r="B158" s="134" t="s">
        <v>27952</v>
      </c>
      <c r="C158" s="134" t="s">
        <v>27951</v>
      </c>
      <c r="D158" s="134" t="s">
        <v>5259</v>
      </c>
      <c r="E158" s="139">
        <v>7.41</v>
      </c>
      <c r="F158" s="134" t="s">
        <v>5258</v>
      </c>
      <c r="G158" s="134" t="s">
        <v>3007</v>
      </c>
      <c r="H158" s="254">
        <v>13401</v>
      </c>
    </row>
    <row r="159" spans="1:8" x14ac:dyDescent="0.25">
      <c r="A159" s="134" t="s">
        <v>27939</v>
      </c>
      <c r="B159" s="134" t="s">
        <v>27950</v>
      </c>
      <c r="C159" s="134" t="s">
        <v>27949</v>
      </c>
      <c r="D159" s="134" t="s">
        <v>6765</v>
      </c>
      <c r="E159" s="139">
        <v>15.78</v>
      </c>
      <c r="F159" s="134" t="s">
        <v>6764</v>
      </c>
      <c r="G159" s="134" t="s">
        <v>3007</v>
      </c>
      <c r="H159" s="254">
        <v>13402</v>
      </c>
    </row>
    <row r="160" spans="1:8" x14ac:dyDescent="0.25">
      <c r="A160" s="134" t="s">
        <v>27939</v>
      </c>
      <c r="B160" s="134" t="s">
        <v>27948</v>
      </c>
      <c r="C160" s="134" t="s">
        <v>27947</v>
      </c>
      <c r="D160" s="134" t="s">
        <v>6553</v>
      </c>
      <c r="E160" s="139">
        <v>4.6399999999999997</v>
      </c>
      <c r="F160" s="134" t="s">
        <v>6552</v>
      </c>
      <c r="G160" s="134" t="s">
        <v>3007</v>
      </c>
      <c r="H160" s="254">
        <v>13403</v>
      </c>
    </row>
    <row r="161" spans="1:8" x14ac:dyDescent="0.25">
      <c r="A161" s="134" t="s">
        <v>27939</v>
      </c>
      <c r="B161" s="134" t="s">
        <v>27946</v>
      </c>
      <c r="C161" s="134" t="s">
        <v>27945</v>
      </c>
      <c r="D161" s="134" t="s">
        <v>27944</v>
      </c>
      <c r="E161" s="139">
        <v>9.14</v>
      </c>
      <c r="F161" s="134" t="s">
        <v>27943</v>
      </c>
      <c r="G161" s="134" t="s">
        <v>3007</v>
      </c>
      <c r="H161" s="254">
        <v>13404</v>
      </c>
    </row>
    <row r="162" spans="1:8" x14ac:dyDescent="0.25">
      <c r="A162" s="134" t="s">
        <v>27939</v>
      </c>
      <c r="B162" s="134" t="s">
        <v>13276</v>
      </c>
      <c r="C162" s="134" t="s">
        <v>27942</v>
      </c>
      <c r="D162" s="134" t="s">
        <v>27941</v>
      </c>
      <c r="E162" s="139">
        <v>25.14</v>
      </c>
      <c r="F162" s="134" t="s">
        <v>27940</v>
      </c>
      <c r="G162" s="134" t="s">
        <v>3007</v>
      </c>
      <c r="H162" s="254">
        <v>13405</v>
      </c>
    </row>
    <row r="163" spans="1:8" x14ac:dyDescent="0.25">
      <c r="A163" s="134" t="s">
        <v>27939</v>
      </c>
      <c r="B163" s="134" t="s">
        <v>27938</v>
      </c>
      <c r="C163" s="134" t="s">
        <v>27937</v>
      </c>
      <c r="D163" s="134" t="s">
        <v>3571</v>
      </c>
      <c r="E163" s="139">
        <v>2.12</v>
      </c>
      <c r="F163" s="134" t="s">
        <v>3570</v>
      </c>
      <c r="G163" s="134" t="s">
        <v>3007</v>
      </c>
      <c r="H163" s="235">
        <v>13406</v>
      </c>
    </row>
    <row r="164" spans="1:8" x14ac:dyDescent="0.25">
      <c r="A164" s="134" t="s">
        <v>27915</v>
      </c>
      <c r="B164" s="134" t="s">
        <v>27936</v>
      </c>
      <c r="C164" s="134" t="s">
        <v>27935</v>
      </c>
      <c r="D164" s="134" t="s">
        <v>6695</v>
      </c>
      <c r="E164" s="139">
        <v>3.52</v>
      </c>
      <c r="F164" s="134" t="s">
        <v>6694</v>
      </c>
      <c r="G164" s="134" t="s">
        <v>3007</v>
      </c>
      <c r="H164" s="254">
        <v>13428</v>
      </c>
    </row>
    <row r="165" spans="1:8" x14ac:dyDescent="0.25">
      <c r="A165" s="134" t="s">
        <v>27915</v>
      </c>
      <c r="B165" s="134" t="s">
        <v>27934</v>
      </c>
      <c r="C165" s="134" t="s">
        <v>27933</v>
      </c>
      <c r="D165" s="134" t="s">
        <v>3851</v>
      </c>
      <c r="E165" s="139">
        <v>5.23</v>
      </c>
      <c r="F165" s="134" t="s">
        <v>3847</v>
      </c>
      <c r="G165" s="134" t="s">
        <v>3007</v>
      </c>
      <c r="H165" s="254">
        <v>13429</v>
      </c>
    </row>
    <row r="166" spans="1:8" x14ac:dyDescent="0.25">
      <c r="A166" s="134" t="s">
        <v>27915</v>
      </c>
      <c r="B166" s="134" t="s">
        <v>27932</v>
      </c>
      <c r="C166" s="134" t="s">
        <v>27931</v>
      </c>
      <c r="D166" s="134" t="s">
        <v>3848</v>
      </c>
      <c r="E166" s="139">
        <v>3.25</v>
      </c>
      <c r="F166" s="134" t="s">
        <v>3847</v>
      </c>
      <c r="G166" s="134" t="s">
        <v>3007</v>
      </c>
      <c r="H166" s="254">
        <v>13431</v>
      </c>
    </row>
    <row r="167" spans="1:8" x14ac:dyDescent="0.25">
      <c r="A167" s="134" t="s">
        <v>27915</v>
      </c>
      <c r="B167" s="134" t="s">
        <v>13126</v>
      </c>
      <c r="C167" s="134" t="s">
        <v>27930</v>
      </c>
      <c r="D167" s="134" t="s">
        <v>11591</v>
      </c>
      <c r="E167" s="139">
        <v>3.51</v>
      </c>
      <c r="F167" s="134" t="s">
        <v>11590</v>
      </c>
      <c r="G167" s="134" t="s">
        <v>3007</v>
      </c>
      <c r="H167" s="254">
        <v>13432</v>
      </c>
    </row>
    <row r="168" spans="1:8" x14ac:dyDescent="0.25">
      <c r="A168" s="134" t="s">
        <v>27915</v>
      </c>
      <c r="B168" s="134" t="s">
        <v>27929</v>
      </c>
      <c r="C168" s="134" t="s">
        <v>27928</v>
      </c>
      <c r="D168" s="134" t="s">
        <v>4783</v>
      </c>
      <c r="E168" s="139">
        <v>2.93</v>
      </c>
      <c r="F168" s="134" t="s">
        <v>4782</v>
      </c>
      <c r="G168" s="134" t="s">
        <v>3007</v>
      </c>
      <c r="H168" s="235" t="s">
        <v>27927</v>
      </c>
    </row>
    <row r="169" spans="1:8" x14ac:dyDescent="0.25">
      <c r="A169" s="134" t="s">
        <v>27915</v>
      </c>
      <c r="B169" s="134" t="s">
        <v>27926</v>
      </c>
      <c r="C169" s="134" t="s">
        <v>27925</v>
      </c>
      <c r="D169" s="134" t="s">
        <v>4224</v>
      </c>
      <c r="E169" s="139">
        <v>15.62</v>
      </c>
      <c r="F169" s="134" t="s">
        <v>4223</v>
      </c>
      <c r="G169" s="134" t="s">
        <v>3007</v>
      </c>
      <c r="H169" s="254">
        <v>13434</v>
      </c>
    </row>
    <row r="170" spans="1:8" x14ac:dyDescent="0.25">
      <c r="A170" s="134" t="s">
        <v>27915</v>
      </c>
      <c r="B170" s="134" t="s">
        <v>27924</v>
      </c>
      <c r="C170" s="134" t="s">
        <v>27923</v>
      </c>
      <c r="D170" s="134" t="s">
        <v>4983</v>
      </c>
      <c r="E170" s="139">
        <v>3.7</v>
      </c>
      <c r="F170" s="134" t="s">
        <v>4982</v>
      </c>
      <c r="G170" s="134" t="s">
        <v>3007</v>
      </c>
      <c r="H170" s="254">
        <v>13435</v>
      </c>
    </row>
    <row r="171" spans="1:8" x14ac:dyDescent="0.25">
      <c r="A171" s="134" t="s">
        <v>27915</v>
      </c>
      <c r="B171" s="134" t="s">
        <v>27922</v>
      </c>
      <c r="C171" s="134" t="s">
        <v>27921</v>
      </c>
      <c r="D171" s="134" t="s">
        <v>6769</v>
      </c>
      <c r="E171" s="139">
        <v>115.29</v>
      </c>
      <c r="F171" s="134" t="s">
        <v>6768</v>
      </c>
      <c r="G171" s="134" t="s">
        <v>3007</v>
      </c>
      <c r="H171" s="254">
        <v>13436</v>
      </c>
    </row>
    <row r="172" spans="1:8" x14ac:dyDescent="0.25">
      <c r="A172" s="134" t="s">
        <v>27915</v>
      </c>
      <c r="B172" s="134" t="s">
        <v>5038</v>
      </c>
      <c r="C172" s="134" t="s">
        <v>27920</v>
      </c>
      <c r="D172" s="134" t="s">
        <v>3920</v>
      </c>
      <c r="E172" s="139">
        <v>6.53</v>
      </c>
      <c r="F172" s="134" t="s">
        <v>3919</v>
      </c>
      <c r="G172" s="134" t="s">
        <v>3007</v>
      </c>
      <c r="H172" s="254">
        <v>13437</v>
      </c>
    </row>
    <row r="173" spans="1:8" x14ac:dyDescent="0.25">
      <c r="A173" s="134" t="s">
        <v>27915</v>
      </c>
      <c r="B173" s="134" t="s">
        <v>27919</v>
      </c>
      <c r="C173" s="134" t="s">
        <v>27918</v>
      </c>
      <c r="D173" s="134" t="s">
        <v>4176</v>
      </c>
      <c r="E173" s="139">
        <v>6.44</v>
      </c>
      <c r="F173" s="134" t="s">
        <v>4175</v>
      </c>
      <c r="G173" s="134" t="s">
        <v>3007</v>
      </c>
      <c r="H173" s="254">
        <v>13438</v>
      </c>
    </row>
    <row r="174" spans="1:8" x14ac:dyDescent="0.25">
      <c r="A174" s="134" t="s">
        <v>27915</v>
      </c>
      <c r="B174" s="134" t="s">
        <v>27917</v>
      </c>
      <c r="C174" s="134" t="s">
        <v>27916</v>
      </c>
      <c r="D174" s="134" t="s">
        <v>6306</v>
      </c>
      <c r="E174" s="139">
        <v>12.8</v>
      </c>
      <c r="F174" s="134" t="s">
        <v>6305</v>
      </c>
      <c r="G174" s="134" t="s">
        <v>3007</v>
      </c>
      <c r="H174" s="254">
        <v>13439</v>
      </c>
    </row>
    <row r="175" spans="1:8" x14ac:dyDescent="0.25">
      <c r="A175" s="134" t="s">
        <v>27915</v>
      </c>
      <c r="B175" s="134" t="s">
        <v>27914</v>
      </c>
      <c r="C175" s="134" t="s">
        <v>27913</v>
      </c>
      <c r="D175" s="134" t="s">
        <v>12528</v>
      </c>
      <c r="E175" s="139">
        <v>6.2</v>
      </c>
      <c r="F175" s="134" t="s">
        <v>12527</v>
      </c>
      <c r="G175" s="134" t="s">
        <v>3007</v>
      </c>
      <c r="H175" s="254">
        <v>13440</v>
      </c>
    </row>
    <row r="176" spans="1:8" x14ac:dyDescent="0.25">
      <c r="A176" s="134" t="s">
        <v>27904</v>
      </c>
      <c r="B176" s="134" t="s">
        <v>27912</v>
      </c>
      <c r="C176" s="134" t="s">
        <v>27911</v>
      </c>
      <c r="D176" s="134" t="s">
        <v>27910</v>
      </c>
      <c r="E176" s="139">
        <v>8.4</v>
      </c>
      <c r="F176" s="134" t="s">
        <v>27909</v>
      </c>
      <c r="G176" s="134" t="s">
        <v>3007</v>
      </c>
      <c r="H176" s="254">
        <v>13441</v>
      </c>
    </row>
    <row r="177" spans="1:8" x14ac:dyDescent="0.25">
      <c r="A177" s="134" t="s">
        <v>27904</v>
      </c>
      <c r="B177" s="134" t="s">
        <v>27908</v>
      </c>
      <c r="C177" s="134" t="s">
        <v>27907</v>
      </c>
      <c r="D177" s="134" t="s">
        <v>27906</v>
      </c>
      <c r="E177" s="139">
        <v>8.02</v>
      </c>
      <c r="F177" s="134" t="s">
        <v>27905</v>
      </c>
      <c r="G177" s="134" t="s">
        <v>3007</v>
      </c>
      <c r="H177" s="254">
        <v>13442</v>
      </c>
    </row>
    <row r="178" spans="1:8" x14ac:dyDescent="0.25">
      <c r="A178" s="134" t="s">
        <v>27904</v>
      </c>
      <c r="B178" s="134" t="s">
        <v>27903</v>
      </c>
      <c r="C178" s="134" t="s">
        <v>27902</v>
      </c>
      <c r="D178" s="134" t="s">
        <v>3462</v>
      </c>
      <c r="E178" s="139">
        <v>5.2</v>
      </c>
      <c r="F178" s="134" t="s">
        <v>3461</v>
      </c>
      <c r="G178" s="134" t="s">
        <v>3007</v>
      </c>
      <c r="H178" s="235">
        <v>13443</v>
      </c>
    </row>
    <row r="179" spans="1:8" x14ac:dyDescent="0.25">
      <c r="A179" s="134" t="s">
        <v>27866</v>
      </c>
      <c r="B179" s="134" t="s">
        <v>27901</v>
      </c>
      <c r="C179" s="134" t="s">
        <v>27900</v>
      </c>
      <c r="D179" s="134" t="s">
        <v>10050</v>
      </c>
      <c r="E179" s="139">
        <v>2.09</v>
      </c>
      <c r="F179" s="134" t="s">
        <v>10049</v>
      </c>
      <c r="G179" s="134" t="s">
        <v>3007</v>
      </c>
      <c r="H179" s="254">
        <v>13514</v>
      </c>
    </row>
    <row r="180" spans="1:8" x14ac:dyDescent="0.25">
      <c r="A180" s="134" t="s">
        <v>27866</v>
      </c>
      <c r="B180" s="134" t="s">
        <v>27899</v>
      </c>
      <c r="C180" s="134" t="s">
        <v>27898</v>
      </c>
      <c r="D180" s="134" t="s">
        <v>6470</v>
      </c>
      <c r="E180" s="139">
        <v>5.27</v>
      </c>
      <c r="F180" s="134" t="s">
        <v>6469</v>
      </c>
      <c r="G180" s="134" t="s">
        <v>3007</v>
      </c>
      <c r="H180" s="254">
        <v>13515</v>
      </c>
    </row>
    <row r="181" spans="1:8" x14ac:dyDescent="0.25">
      <c r="A181" s="134" t="s">
        <v>27866</v>
      </c>
      <c r="B181" s="134" t="s">
        <v>27897</v>
      </c>
      <c r="C181" s="134" t="s">
        <v>27896</v>
      </c>
      <c r="D181" s="134" t="s">
        <v>7031</v>
      </c>
      <c r="E181" s="139">
        <v>7.4</v>
      </c>
      <c r="F181" s="134" t="s">
        <v>7030</v>
      </c>
      <c r="G181" s="134" t="s">
        <v>3007</v>
      </c>
      <c r="H181" s="254">
        <v>13516</v>
      </c>
    </row>
    <row r="182" spans="1:8" x14ac:dyDescent="0.25">
      <c r="A182" s="134" t="s">
        <v>27866</v>
      </c>
      <c r="B182" s="134" t="s">
        <v>27895</v>
      </c>
      <c r="C182" s="134" t="s">
        <v>27894</v>
      </c>
      <c r="D182" s="134" t="s">
        <v>9907</v>
      </c>
      <c r="E182" s="139">
        <v>3.89</v>
      </c>
      <c r="F182" s="134" t="s">
        <v>9906</v>
      </c>
      <c r="G182" s="134" t="s">
        <v>3007</v>
      </c>
      <c r="H182" s="254">
        <v>13517</v>
      </c>
    </row>
    <row r="183" spans="1:8" x14ac:dyDescent="0.25">
      <c r="A183" s="134" t="s">
        <v>27866</v>
      </c>
      <c r="B183" s="134" t="s">
        <v>27893</v>
      </c>
      <c r="C183" s="134" t="s">
        <v>27892</v>
      </c>
      <c r="D183" s="134" t="s">
        <v>4380</v>
      </c>
      <c r="E183" s="139">
        <v>14.71</v>
      </c>
      <c r="F183" s="134" t="s">
        <v>4379</v>
      </c>
      <c r="G183" s="134" t="s">
        <v>3007</v>
      </c>
      <c r="H183" s="254">
        <v>13518</v>
      </c>
    </row>
    <row r="184" spans="1:8" x14ac:dyDescent="0.25">
      <c r="A184" s="134" t="s">
        <v>27866</v>
      </c>
      <c r="B184" s="134" t="s">
        <v>27891</v>
      </c>
      <c r="C184" s="134" t="s">
        <v>27890</v>
      </c>
      <c r="D184" s="134" t="s">
        <v>4598</v>
      </c>
      <c r="E184" s="139">
        <v>2.0699999999999998</v>
      </c>
      <c r="F184" s="134" t="s">
        <v>4597</v>
      </c>
      <c r="G184" s="134" t="s">
        <v>3007</v>
      </c>
      <c r="H184" s="254">
        <v>13519</v>
      </c>
    </row>
    <row r="185" spans="1:8" x14ac:dyDescent="0.25">
      <c r="A185" s="134" t="s">
        <v>27866</v>
      </c>
      <c r="B185" s="134" t="s">
        <v>27889</v>
      </c>
      <c r="C185" s="134" t="s">
        <v>27888</v>
      </c>
      <c r="D185" s="134" t="s">
        <v>5510</v>
      </c>
      <c r="E185" s="139">
        <v>23.23</v>
      </c>
      <c r="F185" s="134" t="s">
        <v>5509</v>
      </c>
      <c r="G185" s="134" t="s">
        <v>3007</v>
      </c>
      <c r="H185" s="254">
        <v>13520</v>
      </c>
    </row>
    <row r="186" spans="1:8" x14ac:dyDescent="0.25">
      <c r="A186" s="134" t="s">
        <v>27866</v>
      </c>
      <c r="B186" s="134" t="s">
        <v>27887</v>
      </c>
      <c r="C186" s="134" t="s">
        <v>27886</v>
      </c>
      <c r="D186" s="134" t="s">
        <v>7381</v>
      </c>
      <c r="E186" s="139">
        <v>22.64</v>
      </c>
      <c r="F186" s="134" t="s">
        <v>7380</v>
      </c>
      <c r="G186" s="134" t="s">
        <v>3007</v>
      </c>
      <c r="H186" s="254">
        <v>13521</v>
      </c>
    </row>
    <row r="187" spans="1:8" x14ac:dyDescent="0.25">
      <c r="A187" s="134" t="s">
        <v>27866</v>
      </c>
      <c r="B187" s="134" t="s">
        <v>27885</v>
      </c>
      <c r="C187" s="134" t="s">
        <v>27884</v>
      </c>
      <c r="D187" s="134" t="s">
        <v>27883</v>
      </c>
      <c r="E187" s="139">
        <v>79.45</v>
      </c>
      <c r="F187" s="134" t="s">
        <v>27882</v>
      </c>
      <c r="G187" s="134" t="s">
        <v>3007</v>
      </c>
      <c r="H187" s="254">
        <v>13522</v>
      </c>
    </row>
    <row r="188" spans="1:8" x14ac:dyDescent="0.25">
      <c r="A188" s="134" t="s">
        <v>27866</v>
      </c>
      <c r="B188" s="134" t="s">
        <v>27881</v>
      </c>
      <c r="C188" s="134" t="s">
        <v>27880</v>
      </c>
      <c r="D188" s="134" t="s">
        <v>4893</v>
      </c>
      <c r="E188" s="139">
        <v>11.11</v>
      </c>
      <c r="F188" s="134" t="s">
        <v>4892</v>
      </c>
      <c r="G188" s="134" t="s">
        <v>3007</v>
      </c>
      <c r="H188" s="254">
        <v>13523</v>
      </c>
    </row>
    <row r="189" spans="1:8" x14ac:dyDescent="0.25">
      <c r="A189" s="134" t="s">
        <v>27866</v>
      </c>
      <c r="B189" s="134" t="s">
        <v>27879</v>
      </c>
      <c r="C189" s="134" t="s">
        <v>27878</v>
      </c>
      <c r="D189" s="134" t="s">
        <v>6658</v>
      </c>
      <c r="E189" s="139">
        <v>3.51</v>
      </c>
      <c r="F189" s="134" t="s">
        <v>6657</v>
      </c>
      <c r="G189" s="134" t="s">
        <v>3007</v>
      </c>
      <c r="H189" s="254">
        <v>13524</v>
      </c>
    </row>
    <row r="190" spans="1:8" x14ac:dyDescent="0.25">
      <c r="A190" s="134" t="s">
        <v>27866</v>
      </c>
      <c r="B190" s="134" t="s">
        <v>12994</v>
      </c>
      <c r="C190" s="134" t="s">
        <v>27877</v>
      </c>
      <c r="D190" s="134" t="s">
        <v>4021</v>
      </c>
      <c r="E190" s="139">
        <v>3.56</v>
      </c>
      <c r="F190" s="134" t="s">
        <v>4020</v>
      </c>
      <c r="G190" s="134" t="s">
        <v>3007</v>
      </c>
      <c r="H190" s="254">
        <v>13525</v>
      </c>
    </row>
    <row r="191" spans="1:8" x14ac:dyDescent="0.25">
      <c r="A191" s="134" t="s">
        <v>27866</v>
      </c>
      <c r="B191" s="134" t="s">
        <v>27876</v>
      </c>
      <c r="C191" s="134" t="s">
        <v>27875</v>
      </c>
      <c r="D191" s="134" t="s">
        <v>3719</v>
      </c>
      <c r="E191" s="139">
        <v>2.17</v>
      </c>
      <c r="F191" s="134" t="s">
        <v>3718</v>
      </c>
      <c r="G191" s="134" t="s">
        <v>3007</v>
      </c>
      <c r="H191" s="254">
        <v>13526</v>
      </c>
    </row>
    <row r="192" spans="1:8" x14ac:dyDescent="0.25">
      <c r="A192" s="134" t="s">
        <v>27866</v>
      </c>
      <c r="B192" s="134" t="s">
        <v>27874</v>
      </c>
      <c r="C192" s="134" t="s">
        <v>27873</v>
      </c>
      <c r="D192" s="134" t="s">
        <v>6836</v>
      </c>
      <c r="E192" s="139">
        <v>4.3899999999999997</v>
      </c>
      <c r="F192" s="134" t="s">
        <v>6835</v>
      </c>
      <c r="G192" s="134" t="s">
        <v>3007</v>
      </c>
      <c r="H192" s="254">
        <v>13527</v>
      </c>
    </row>
    <row r="193" spans="1:8" x14ac:dyDescent="0.25">
      <c r="A193" s="134" t="s">
        <v>27866</v>
      </c>
      <c r="B193" s="134" t="s">
        <v>27872</v>
      </c>
      <c r="C193" s="134" t="s">
        <v>27871</v>
      </c>
      <c r="D193" s="134" t="s">
        <v>5417</v>
      </c>
      <c r="E193" s="139">
        <v>11.73</v>
      </c>
      <c r="F193" s="134" t="s">
        <v>5416</v>
      </c>
      <c r="G193" s="134" t="s">
        <v>3007</v>
      </c>
      <c r="H193" s="254">
        <v>13528</v>
      </c>
    </row>
    <row r="194" spans="1:8" x14ac:dyDescent="0.25">
      <c r="A194" s="134" t="s">
        <v>27866</v>
      </c>
      <c r="B194" s="134" t="s">
        <v>27870</v>
      </c>
      <c r="C194" s="134" t="s">
        <v>27869</v>
      </c>
      <c r="D194" s="134" t="s">
        <v>6957</v>
      </c>
      <c r="E194" s="139">
        <v>6.23</v>
      </c>
      <c r="F194" s="134" t="s">
        <v>6956</v>
      </c>
      <c r="G194" s="134" t="s">
        <v>3007</v>
      </c>
      <c r="H194" s="254">
        <v>13529</v>
      </c>
    </row>
    <row r="195" spans="1:8" x14ac:dyDescent="0.25">
      <c r="A195" s="134" t="s">
        <v>27866</v>
      </c>
      <c r="B195" s="134" t="s">
        <v>27868</v>
      </c>
      <c r="C195" s="134" t="s">
        <v>27867</v>
      </c>
      <c r="D195" s="134" t="s">
        <v>10633</v>
      </c>
      <c r="E195" s="139">
        <v>7.29</v>
      </c>
      <c r="F195" s="134" t="s">
        <v>10632</v>
      </c>
      <c r="G195" s="134" t="s">
        <v>3007</v>
      </c>
      <c r="H195" s="254">
        <v>13530</v>
      </c>
    </row>
    <row r="196" spans="1:8" x14ac:dyDescent="0.25">
      <c r="A196" s="134" t="s">
        <v>27866</v>
      </c>
      <c r="B196" s="134" t="s">
        <v>27865</v>
      </c>
      <c r="C196" s="134" t="s">
        <v>27864</v>
      </c>
      <c r="D196" s="134" t="s">
        <v>10637</v>
      </c>
      <c r="E196" s="139">
        <v>3.36</v>
      </c>
      <c r="F196" s="134" t="s">
        <v>10636</v>
      </c>
      <c r="G196" s="134" t="s">
        <v>3007</v>
      </c>
      <c r="H196" s="235">
        <v>13531</v>
      </c>
    </row>
    <row r="197" spans="1:8" x14ac:dyDescent="0.25">
      <c r="A197" s="134" t="s">
        <v>27806</v>
      </c>
      <c r="B197" s="134" t="s">
        <v>27863</v>
      </c>
      <c r="C197" s="134" t="s">
        <v>27862</v>
      </c>
      <c r="D197" s="134" t="s">
        <v>3276</v>
      </c>
      <c r="E197" s="139">
        <v>6.54</v>
      </c>
      <c r="F197" s="134" t="s">
        <v>3275</v>
      </c>
      <c r="G197" s="134" t="s">
        <v>3007</v>
      </c>
      <c r="H197" s="254">
        <v>13563</v>
      </c>
    </row>
    <row r="198" spans="1:8" x14ac:dyDescent="0.25">
      <c r="A198" s="134" t="s">
        <v>27806</v>
      </c>
      <c r="B198" s="134" t="s">
        <v>27861</v>
      </c>
      <c r="C198" s="134" t="s">
        <v>27860</v>
      </c>
      <c r="D198" s="134" t="s">
        <v>8089</v>
      </c>
      <c r="E198" s="139">
        <v>10.14</v>
      </c>
      <c r="F198" s="134" t="s">
        <v>8088</v>
      </c>
      <c r="G198" s="134" t="s">
        <v>3007</v>
      </c>
      <c r="H198" s="254">
        <v>13564</v>
      </c>
    </row>
    <row r="199" spans="1:8" x14ac:dyDescent="0.25">
      <c r="A199" s="134" t="s">
        <v>27806</v>
      </c>
      <c r="B199" s="134" t="s">
        <v>27859</v>
      </c>
      <c r="C199" s="134" t="s">
        <v>27858</v>
      </c>
      <c r="D199" s="134" t="s">
        <v>7585</v>
      </c>
      <c r="E199" s="139">
        <v>1.79</v>
      </c>
      <c r="F199" s="134" t="s">
        <v>7584</v>
      </c>
      <c r="G199" s="134" t="s">
        <v>3007</v>
      </c>
      <c r="H199" s="254">
        <v>13565</v>
      </c>
    </row>
    <row r="200" spans="1:8" x14ac:dyDescent="0.25">
      <c r="A200" s="134" t="s">
        <v>27806</v>
      </c>
      <c r="B200" s="134" t="s">
        <v>27857</v>
      </c>
      <c r="C200" s="134" t="s">
        <v>27856</v>
      </c>
      <c r="D200" s="134" t="s">
        <v>4807</v>
      </c>
      <c r="E200" s="139">
        <v>53.55</v>
      </c>
      <c r="F200" s="134" t="s">
        <v>4806</v>
      </c>
      <c r="G200" s="134" t="s">
        <v>3007</v>
      </c>
      <c r="H200" s="254">
        <v>13566</v>
      </c>
    </row>
    <row r="201" spans="1:8" x14ac:dyDescent="0.25">
      <c r="A201" s="134" t="s">
        <v>27806</v>
      </c>
      <c r="B201" s="134" t="s">
        <v>27855</v>
      </c>
      <c r="C201" s="134" t="s">
        <v>27854</v>
      </c>
      <c r="D201" s="134" t="s">
        <v>5466</v>
      </c>
      <c r="E201" s="139">
        <v>5.77</v>
      </c>
      <c r="F201" s="134" t="s">
        <v>5465</v>
      </c>
      <c r="G201" s="134" t="s">
        <v>3007</v>
      </c>
      <c r="H201" s="254">
        <v>13567</v>
      </c>
    </row>
    <row r="202" spans="1:8" x14ac:dyDescent="0.25">
      <c r="A202" s="134" t="s">
        <v>27806</v>
      </c>
      <c r="B202" s="134" t="s">
        <v>27853</v>
      </c>
      <c r="C202" s="134" t="s">
        <v>27852</v>
      </c>
      <c r="D202" s="134" t="s">
        <v>4693</v>
      </c>
      <c r="E202" s="139">
        <v>116.73</v>
      </c>
      <c r="F202" s="134" t="s">
        <v>4692</v>
      </c>
      <c r="G202" s="134" t="s">
        <v>3007</v>
      </c>
      <c r="H202" s="254">
        <v>13568</v>
      </c>
    </row>
    <row r="203" spans="1:8" x14ac:dyDescent="0.25">
      <c r="A203" s="134" t="s">
        <v>27806</v>
      </c>
      <c r="B203" s="134" t="s">
        <v>27851</v>
      </c>
      <c r="C203" s="134" t="s">
        <v>27850</v>
      </c>
      <c r="D203" s="134" t="s">
        <v>3255</v>
      </c>
      <c r="E203" s="139">
        <v>33.85</v>
      </c>
      <c r="F203" s="134" t="s">
        <v>3254</v>
      </c>
      <c r="G203" s="134" t="s">
        <v>3007</v>
      </c>
      <c r="H203" s="254">
        <v>13569</v>
      </c>
    </row>
    <row r="204" spans="1:8" x14ac:dyDescent="0.25">
      <c r="A204" s="134" t="s">
        <v>27806</v>
      </c>
      <c r="B204" s="134" t="s">
        <v>27849</v>
      </c>
      <c r="C204" s="134" t="s">
        <v>27848</v>
      </c>
      <c r="D204" s="134" t="s">
        <v>5431</v>
      </c>
      <c r="E204" s="139">
        <v>16.78</v>
      </c>
      <c r="F204" s="134" t="s">
        <v>5430</v>
      </c>
      <c r="G204" s="134" t="s">
        <v>3007</v>
      </c>
      <c r="H204" s="254">
        <v>13570</v>
      </c>
    </row>
    <row r="205" spans="1:8" x14ac:dyDescent="0.25">
      <c r="A205" s="134" t="s">
        <v>27806</v>
      </c>
      <c r="B205" s="134" t="s">
        <v>27847</v>
      </c>
      <c r="C205" s="134" t="s">
        <v>27846</v>
      </c>
      <c r="D205" s="134" t="s">
        <v>3293</v>
      </c>
      <c r="E205" s="139">
        <v>14.26</v>
      </c>
      <c r="F205" s="134" t="s">
        <v>3292</v>
      </c>
      <c r="G205" s="134" t="s">
        <v>3007</v>
      </c>
      <c r="H205" s="254">
        <v>13573</v>
      </c>
    </row>
    <row r="206" spans="1:8" x14ac:dyDescent="0.25">
      <c r="A206" s="134" t="s">
        <v>27806</v>
      </c>
      <c r="B206" s="134" t="s">
        <v>27845</v>
      </c>
      <c r="C206" s="134" t="s">
        <v>27844</v>
      </c>
      <c r="D206" s="134" t="s">
        <v>5230</v>
      </c>
      <c r="E206" s="139">
        <v>22.79</v>
      </c>
      <c r="F206" s="134" t="s">
        <v>5229</v>
      </c>
      <c r="G206" s="134" t="s">
        <v>3007</v>
      </c>
      <c r="H206" s="254">
        <v>13575</v>
      </c>
    </row>
    <row r="207" spans="1:8" x14ac:dyDescent="0.25">
      <c r="A207" s="134" t="s">
        <v>27806</v>
      </c>
      <c r="B207" s="134" t="s">
        <v>27843</v>
      </c>
      <c r="C207" s="134" t="s">
        <v>27842</v>
      </c>
      <c r="D207" s="134" t="s">
        <v>3680</v>
      </c>
      <c r="E207" s="139">
        <v>10.26</v>
      </c>
      <c r="F207" s="134" t="s">
        <v>3679</v>
      </c>
      <c r="G207" s="134" t="s">
        <v>3007</v>
      </c>
      <c r="H207" s="254">
        <v>13576</v>
      </c>
    </row>
    <row r="208" spans="1:8" x14ac:dyDescent="0.25">
      <c r="A208" s="134" t="s">
        <v>27806</v>
      </c>
      <c r="B208" s="134" t="s">
        <v>27841</v>
      </c>
      <c r="C208" s="134" t="s">
        <v>27840</v>
      </c>
      <c r="D208" s="134" t="s">
        <v>3285</v>
      </c>
      <c r="E208" s="139">
        <v>16.559999999999999</v>
      </c>
      <c r="F208" s="134" t="s">
        <v>3284</v>
      </c>
      <c r="G208" s="134" t="s">
        <v>3007</v>
      </c>
      <c r="H208" s="254">
        <v>13577</v>
      </c>
    </row>
    <row r="209" spans="1:8" x14ac:dyDescent="0.25">
      <c r="A209" s="134" t="s">
        <v>27806</v>
      </c>
      <c r="B209" s="134" t="s">
        <v>27839</v>
      </c>
      <c r="C209" s="134" t="s">
        <v>27838</v>
      </c>
      <c r="D209" s="134" t="s">
        <v>3519</v>
      </c>
      <c r="E209" s="139">
        <v>8.4</v>
      </c>
      <c r="F209" s="134" t="s">
        <v>3518</v>
      </c>
      <c r="G209" s="134" t="s">
        <v>3007</v>
      </c>
      <c r="H209" s="254">
        <v>13578</v>
      </c>
    </row>
    <row r="210" spans="1:8" x14ac:dyDescent="0.25">
      <c r="A210" s="134" t="s">
        <v>27806</v>
      </c>
      <c r="B210" s="134" t="s">
        <v>8268</v>
      </c>
      <c r="C210" s="134" t="s">
        <v>27837</v>
      </c>
      <c r="D210" s="134" t="s">
        <v>27836</v>
      </c>
      <c r="E210" s="139">
        <v>5.89</v>
      </c>
      <c r="F210" s="134" t="s">
        <v>27835</v>
      </c>
      <c r="G210" s="134" t="s">
        <v>3007</v>
      </c>
      <c r="H210" s="254">
        <v>13579</v>
      </c>
    </row>
    <row r="211" spans="1:8" x14ac:dyDescent="0.25">
      <c r="A211" s="134" t="s">
        <v>27806</v>
      </c>
      <c r="B211" s="134" t="s">
        <v>27834</v>
      </c>
      <c r="C211" s="134" t="s">
        <v>27833</v>
      </c>
      <c r="D211" s="134" t="s">
        <v>27832</v>
      </c>
      <c r="E211" s="139">
        <v>16.760000000000002</v>
      </c>
      <c r="F211" s="134" t="s">
        <v>27831</v>
      </c>
      <c r="G211" s="134" t="s">
        <v>3007</v>
      </c>
      <c r="H211" s="254" t="s">
        <v>27830</v>
      </c>
    </row>
    <row r="212" spans="1:8" x14ac:dyDescent="0.25">
      <c r="A212" s="134" t="s">
        <v>27806</v>
      </c>
      <c r="B212" s="134" t="s">
        <v>27829</v>
      </c>
      <c r="C212" s="134" t="s">
        <v>27828</v>
      </c>
      <c r="D212" s="134" t="s">
        <v>3107</v>
      </c>
      <c r="E212" s="139">
        <v>3.46</v>
      </c>
      <c r="F212" s="134" t="s">
        <v>3106</v>
      </c>
      <c r="G212" s="134" t="s">
        <v>3007</v>
      </c>
      <c r="H212" s="254">
        <v>13587</v>
      </c>
    </row>
    <row r="213" spans="1:8" x14ac:dyDescent="0.25">
      <c r="A213" s="134" t="s">
        <v>27806</v>
      </c>
      <c r="B213" s="134" t="s">
        <v>27827</v>
      </c>
      <c r="C213" s="134" t="s">
        <v>27826</v>
      </c>
      <c r="D213" s="134" t="s">
        <v>6285</v>
      </c>
      <c r="E213" s="139">
        <v>24.18</v>
      </c>
      <c r="F213" s="134" t="s">
        <v>6284</v>
      </c>
      <c r="G213" s="134" t="s">
        <v>3007</v>
      </c>
      <c r="H213" s="254">
        <v>13588</v>
      </c>
    </row>
    <row r="214" spans="1:8" x14ac:dyDescent="0.25">
      <c r="A214" s="134" t="s">
        <v>27806</v>
      </c>
      <c r="B214" s="134" t="s">
        <v>27825</v>
      </c>
      <c r="C214" s="134" t="s">
        <v>27824</v>
      </c>
      <c r="D214" s="134" t="s">
        <v>5444</v>
      </c>
      <c r="E214" s="139">
        <v>2.27</v>
      </c>
      <c r="F214" s="134" t="s">
        <v>5443</v>
      </c>
      <c r="G214" s="134" t="s">
        <v>3007</v>
      </c>
      <c r="H214" s="254">
        <v>13589</v>
      </c>
    </row>
    <row r="215" spans="1:8" x14ac:dyDescent="0.25">
      <c r="A215" s="134" t="s">
        <v>27806</v>
      </c>
      <c r="B215" s="134" t="s">
        <v>27823</v>
      </c>
      <c r="C215" s="134" t="s">
        <v>27822</v>
      </c>
      <c r="D215" s="134" t="s">
        <v>8955</v>
      </c>
      <c r="E215" s="139">
        <v>2.68</v>
      </c>
      <c r="F215" s="134" t="s">
        <v>8954</v>
      </c>
      <c r="G215" s="134" t="s">
        <v>3007</v>
      </c>
      <c r="H215" s="254">
        <v>13590</v>
      </c>
    </row>
    <row r="216" spans="1:8" x14ac:dyDescent="0.25">
      <c r="A216" s="134" t="s">
        <v>27806</v>
      </c>
      <c r="B216" s="134" t="s">
        <v>4558</v>
      </c>
      <c r="C216" s="134" t="s">
        <v>27821</v>
      </c>
      <c r="D216" s="134" t="s">
        <v>5448</v>
      </c>
      <c r="E216" s="139">
        <v>35.11</v>
      </c>
      <c r="F216" s="134" t="s">
        <v>5447</v>
      </c>
      <c r="G216" s="134" t="s">
        <v>3007</v>
      </c>
      <c r="H216" s="254">
        <v>13591</v>
      </c>
    </row>
    <row r="217" spans="1:8" x14ac:dyDescent="0.25">
      <c r="A217" s="134" t="s">
        <v>27806</v>
      </c>
      <c r="B217" s="134" t="s">
        <v>27820</v>
      </c>
      <c r="C217" s="134" t="s">
        <v>27819</v>
      </c>
      <c r="D217" s="134" t="s">
        <v>6099</v>
      </c>
      <c r="E217" s="139">
        <v>1.68</v>
      </c>
      <c r="F217" s="134" t="s">
        <v>6095</v>
      </c>
      <c r="G217" s="134" t="s">
        <v>3007</v>
      </c>
      <c r="H217" s="254">
        <v>13593</v>
      </c>
    </row>
    <row r="218" spans="1:8" x14ac:dyDescent="0.25">
      <c r="A218" s="134" t="s">
        <v>27806</v>
      </c>
      <c r="B218" s="134" t="s">
        <v>27818</v>
      </c>
      <c r="C218" s="134" t="s">
        <v>27817</v>
      </c>
      <c r="D218" s="134" t="s">
        <v>7160</v>
      </c>
      <c r="E218" s="139">
        <v>5.31</v>
      </c>
      <c r="F218" s="134" t="s">
        <v>7159</v>
      </c>
      <c r="G218" s="134" t="s">
        <v>3007</v>
      </c>
      <c r="H218" s="254">
        <v>13595</v>
      </c>
    </row>
    <row r="219" spans="1:8" x14ac:dyDescent="0.25">
      <c r="A219" s="134" t="s">
        <v>27806</v>
      </c>
      <c r="B219" s="134" t="s">
        <v>27816</v>
      </c>
      <c r="C219" s="134" t="s">
        <v>27815</v>
      </c>
      <c r="D219" s="134" t="s">
        <v>5354</v>
      </c>
      <c r="E219" s="139">
        <v>74.22</v>
      </c>
      <c r="F219" s="134" t="s">
        <v>5353</v>
      </c>
      <c r="G219" s="134" t="s">
        <v>3007</v>
      </c>
      <c r="H219" s="254">
        <v>13596</v>
      </c>
    </row>
    <row r="220" spans="1:8" x14ac:dyDescent="0.25">
      <c r="A220" s="134" t="s">
        <v>27806</v>
      </c>
      <c r="B220" s="134" t="s">
        <v>27814</v>
      </c>
      <c r="C220" s="134" t="s">
        <v>27813</v>
      </c>
      <c r="D220" s="134" t="s">
        <v>3398</v>
      </c>
      <c r="E220" s="139">
        <v>34.67</v>
      </c>
      <c r="F220" s="134" t="s">
        <v>3397</v>
      </c>
      <c r="G220" s="134" t="s">
        <v>3007</v>
      </c>
      <c r="H220" s="254">
        <v>13597</v>
      </c>
    </row>
    <row r="221" spans="1:8" x14ac:dyDescent="0.25">
      <c r="A221" s="134" t="s">
        <v>27806</v>
      </c>
      <c r="B221" s="134" t="s">
        <v>27812</v>
      </c>
      <c r="C221" s="134" t="s">
        <v>27811</v>
      </c>
      <c r="D221" s="134" t="s">
        <v>3102</v>
      </c>
      <c r="E221" s="139">
        <v>14.11</v>
      </c>
      <c r="F221" s="134" t="s">
        <v>3101</v>
      </c>
      <c r="G221" s="134" t="s">
        <v>3007</v>
      </c>
      <c r="H221" s="254">
        <v>13598</v>
      </c>
    </row>
    <row r="222" spans="1:8" x14ac:dyDescent="0.25">
      <c r="A222" s="134" t="s">
        <v>27806</v>
      </c>
      <c r="B222" s="134" t="s">
        <v>27810</v>
      </c>
      <c r="C222" s="134" t="s">
        <v>27809</v>
      </c>
      <c r="D222" s="134" t="s">
        <v>4775</v>
      </c>
      <c r="E222" s="139">
        <v>10.33</v>
      </c>
      <c r="F222" s="134" t="s">
        <v>4774</v>
      </c>
      <c r="G222" s="134" t="s">
        <v>3007</v>
      </c>
      <c r="H222" s="254">
        <v>13599</v>
      </c>
    </row>
    <row r="223" spans="1:8" x14ac:dyDescent="0.25">
      <c r="A223" s="134" t="s">
        <v>27806</v>
      </c>
      <c r="B223" s="134" t="s">
        <v>27808</v>
      </c>
      <c r="C223" s="134" t="s">
        <v>27807</v>
      </c>
      <c r="D223" s="134" t="s">
        <v>4737</v>
      </c>
      <c r="E223" s="139">
        <v>9.0299999999999994</v>
      </c>
      <c r="F223" s="134" t="s">
        <v>4736</v>
      </c>
      <c r="G223" s="134" t="s">
        <v>3007</v>
      </c>
      <c r="H223" s="254">
        <v>13600</v>
      </c>
    </row>
    <row r="224" spans="1:8" x14ac:dyDescent="0.25">
      <c r="A224" s="134" t="s">
        <v>27806</v>
      </c>
      <c r="B224" s="134" t="s">
        <v>27805</v>
      </c>
      <c r="C224" s="134" t="s">
        <v>27804</v>
      </c>
      <c r="D224" s="134" t="s">
        <v>6028</v>
      </c>
      <c r="E224" s="139">
        <v>1.76</v>
      </c>
      <c r="F224" s="134" t="s">
        <v>6027</v>
      </c>
      <c r="G224" s="134" t="s">
        <v>3007</v>
      </c>
      <c r="H224" s="254">
        <v>13601</v>
      </c>
    </row>
    <row r="225" spans="1:8" x14ac:dyDescent="0.25">
      <c r="A225" s="134" t="s">
        <v>27757</v>
      </c>
      <c r="B225" s="134" t="s">
        <v>27803</v>
      </c>
      <c r="C225" s="134" t="s">
        <v>27802</v>
      </c>
      <c r="D225" s="134" t="s">
        <v>4851</v>
      </c>
      <c r="E225" s="139">
        <v>45.23</v>
      </c>
      <c r="F225" s="134" t="s">
        <v>4850</v>
      </c>
      <c r="G225" s="134" t="s">
        <v>3007</v>
      </c>
      <c r="H225" s="254">
        <v>13663</v>
      </c>
    </row>
    <row r="226" spans="1:8" x14ac:dyDescent="0.25">
      <c r="A226" s="134" t="s">
        <v>27757</v>
      </c>
      <c r="B226" s="134" t="s">
        <v>27801</v>
      </c>
      <c r="C226" s="134" t="s">
        <v>27800</v>
      </c>
      <c r="D226" s="134" t="s">
        <v>3908</v>
      </c>
      <c r="E226" s="139">
        <v>10.1</v>
      </c>
      <c r="F226" s="134" t="s">
        <v>12051</v>
      </c>
      <c r="G226" s="134" t="s">
        <v>3007</v>
      </c>
      <c r="H226" s="254">
        <v>13664</v>
      </c>
    </row>
    <row r="227" spans="1:8" x14ac:dyDescent="0.25">
      <c r="A227" s="134" t="s">
        <v>27757</v>
      </c>
      <c r="B227" s="134" t="s">
        <v>27799</v>
      </c>
      <c r="C227" s="134" t="s">
        <v>27798</v>
      </c>
      <c r="D227" s="134" t="s">
        <v>7152</v>
      </c>
      <c r="E227" s="139">
        <v>1.68</v>
      </c>
      <c r="F227" s="134" t="s">
        <v>7151</v>
      </c>
      <c r="G227" s="134" t="s">
        <v>3007</v>
      </c>
      <c r="H227" s="254">
        <v>13665</v>
      </c>
    </row>
    <row r="228" spans="1:8" x14ac:dyDescent="0.25">
      <c r="A228" s="134" t="s">
        <v>27757</v>
      </c>
      <c r="B228" s="134" t="s">
        <v>27797</v>
      </c>
      <c r="C228" s="134" t="s">
        <v>27796</v>
      </c>
      <c r="D228" s="134" t="s">
        <v>10443</v>
      </c>
      <c r="E228" s="139">
        <v>8.3800000000000008</v>
      </c>
      <c r="F228" s="134" t="s">
        <v>10442</v>
      </c>
      <c r="G228" s="134" t="s">
        <v>3007</v>
      </c>
      <c r="H228" s="254">
        <v>13666</v>
      </c>
    </row>
    <row r="229" spans="1:8" x14ac:dyDescent="0.25">
      <c r="A229" s="134" t="s">
        <v>27757</v>
      </c>
      <c r="B229" s="134" t="s">
        <v>27795</v>
      </c>
      <c r="C229" s="134" t="s">
        <v>27794</v>
      </c>
      <c r="D229" s="134" t="s">
        <v>27793</v>
      </c>
      <c r="E229" s="139">
        <v>15.18</v>
      </c>
      <c r="F229" s="134" t="s">
        <v>27792</v>
      </c>
      <c r="G229" s="134" t="s">
        <v>3007</v>
      </c>
      <c r="H229" s="254">
        <v>13668</v>
      </c>
    </row>
    <row r="230" spans="1:8" x14ac:dyDescent="0.25">
      <c r="A230" s="134" t="s">
        <v>27757</v>
      </c>
      <c r="B230" s="134" t="s">
        <v>27791</v>
      </c>
      <c r="C230" s="134" t="s">
        <v>27790</v>
      </c>
      <c r="D230" s="134" t="s">
        <v>3430</v>
      </c>
      <c r="E230" s="139">
        <v>7.38</v>
      </c>
      <c r="F230" s="134" t="s">
        <v>3429</v>
      </c>
      <c r="G230" s="134" t="s">
        <v>3007</v>
      </c>
      <c r="H230" s="254">
        <v>13671</v>
      </c>
    </row>
    <row r="231" spans="1:8" x14ac:dyDescent="0.25">
      <c r="A231" s="134" t="s">
        <v>27757</v>
      </c>
      <c r="B231" s="134" t="s">
        <v>27789</v>
      </c>
      <c r="C231" s="134" t="s">
        <v>27788</v>
      </c>
      <c r="D231" s="134" t="s">
        <v>27787</v>
      </c>
      <c r="E231" s="139">
        <v>5.04</v>
      </c>
      <c r="F231" s="134" t="s">
        <v>4333</v>
      </c>
      <c r="G231" s="134" t="s">
        <v>3007</v>
      </c>
      <c r="H231" s="254">
        <v>13672</v>
      </c>
    </row>
    <row r="232" spans="1:8" x14ac:dyDescent="0.25">
      <c r="A232" s="134" t="s">
        <v>27757</v>
      </c>
      <c r="B232" s="134" t="s">
        <v>27786</v>
      </c>
      <c r="C232" s="134" t="s">
        <v>27785</v>
      </c>
      <c r="D232" s="134" t="s">
        <v>4245</v>
      </c>
      <c r="E232" s="139">
        <v>2.81</v>
      </c>
      <c r="F232" s="134" t="s">
        <v>4244</v>
      </c>
      <c r="G232" s="134" t="s">
        <v>3007</v>
      </c>
      <c r="H232" s="254">
        <v>13673</v>
      </c>
    </row>
    <row r="233" spans="1:8" x14ac:dyDescent="0.25">
      <c r="A233" s="134" t="s">
        <v>27757</v>
      </c>
      <c r="B233" s="134" t="s">
        <v>13875</v>
      </c>
      <c r="C233" s="134" t="s">
        <v>27784</v>
      </c>
      <c r="D233" s="134" t="s">
        <v>5048</v>
      </c>
      <c r="E233" s="139">
        <v>5.04</v>
      </c>
      <c r="F233" s="134" t="s">
        <v>5047</v>
      </c>
      <c r="G233" s="134" t="s">
        <v>3007</v>
      </c>
      <c r="H233" s="254">
        <v>13674</v>
      </c>
    </row>
    <row r="234" spans="1:8" x14ac:dyDescent="0.25">
      <c r="A234" s="134" t="s">
        <v>27757</v>
      </c>
      <c r="B234" s="134" t="s">
        <v>27783</v>
      </c>
      <c r="C234" s="134" t="s">
        <v>27782</v>
      </c>
      <c r="D234" s="134" t="s">
        <v>9880</v>
      </c>
      <c r="E234" s="139">
        <v>6.3</v>
      </c>
      <c r="F234" s="134" t="s">
        <v>9879</v>
      </c>
      <c r="G234" s="134" t="s">
        <v>3007</v>
      </c>
      <c r="H234" s="254">
        <v>13675</v>
      </c>
    </row>
    <row r="235" spans="1:8" x14ac:dyDescent="0.25">
      <c r="A235" s="134" t="s">
        <v>27757</v>
      </c>
      <c r="B235" s="134" t="s">
        <v>6939</v>
      </c>
      <c r="C235" s="134" t="s">
        <v>27781</v>
      </c>
      <c r="D235" s="134" t="s">
        <v>3203</v>
      </c>
      <c r="E235" s="139">
        <v>11.89</v>
      </c>
      <c r="F235" s="134" t="s">
        <v>3202</v>
      </c>
      <c r="G235" s="134" t="s">
        <v>3007</v>
      </c>
      <c r="H235" s="254">
        <v>13676</v>
      </c>
    </row>
    <row r="236" spans="1:8" x14ac:dyDescent="0.25">
      <c r="A236" s="134" t="s">
        <v>27757</v>
      </c>
      <c r="B236" s="134" t="s">
        <v>27780</v>
      </c>
      <c r="C236" s="134" t="s">
        <v>27779</v>
      </c>
      <c r="D236" s="134" t="s">
        <v>11525</v>
      </c>
      <c r="E236" s="139">
        <v>4.58</v>
      </c>
      <c r="F236" s="134" t="s">
        <v>11524</v>
      </c>
      <c r="G236" s="134" t="s">
        <v>3007</v>
      </c>
      <c r="H236" s="254">
        <v>13677</v>
      </c>
    </row>
    <row r="237" spans="1:8" x14ac:dyDescent="0.25">
      <c r="A237" s="134" t="s">
        <v>27757</v>
      </c>
      <c r="B237" s="134" t="s">
        <v>27778</v>
      </c>
      <c r="C237" s="134" t="s">
        <v>27777</v>
      </c>
      <c r="D237" s="134" t="s">
        <v>3767</v>
      </c>
      <c r="E237" s="139">
        <v>12.82</v>
      </c>
      <c r="F237" s="134" t="s">
        <v>3766</v>
      </c>
      <c r="G237" s="134" t="s">
        <v>3007</v>
      </c>
      <c r="H237" s="254">
        <v>13678</v>
      </c>
    </row>
    <row r="238" spans="1:8" x14ac:dyDescent="0.25">
      <c r="A238" s="134" t="s">
        <v>27757</v>
      </c>
      <c r="B238" s="134" t="s">
        <v>27776</v>
      </c>
      <c r="C238" s="134" t="s">
        <v>27775</v>
      </c>
      <c r="D238" s="134" t="s">
        <v>5222</v>
      </c>
      <c r="E238" s="139">
        <v>24.58</v>
      </c>
      <c r="F238" s="134" t="s">
        <v>5221</v>
      </c>
      <c r="G238" s="134" t="s">
        <v>3007</v>
      </c>
      <c r="H238" s="254">
        <v>13679</v>
      </c>
    </row>
    <row r="239" spans="1:8" x14ac:dyDescent="0.25">
      <c r="A239" s="134" t="s">
        <v>27757</v>
      </c>
      <c r="B239" s="134" t="s">
        <v>13767</v>
      </c>
      <c r="C239" s="134" t="s">
        <v>27774</v>
      </c>
      <c r="D239" s="134" t="s">
        <v>3014</v>
      </c>
      <c r="E239" s="139">
        <v>41.24</v>
      </c>
      <c r="F239" s="134" t="s">
        <v>3013</v>
      </c>
      <c r="G239" s="134" t="s">
        <v>3007</v>
      </c>
      <c r="H239" s="254">
        <v>13680</v>
      </c>
    </row>
    <row r="240" spans="1:8" x14ac:dyDescent="0.25">
      <c r="A240" s="134" t="s">
        <v>27757</v>
      </c>
      <c r="B240" s="134" t="s">
        <v>3698</v>
      </c>
      <c r="C240" s="134" t="s">
        <v>27773</v>
      </c>
      <c r="D240" s="134" t="s">
        <v>9520</v>
      </c>
      <c r="E240" s="139">
        <v>5.99</v>
      </c>
      <c r="F240" s="134" t="s">
        <v>9519</v>
      </c>
      <c r="G240" s="134" t="s">
        <v>3007</v>
      </c>
      <c r="H240" s="254">
        <v>13682</v>
      </c>
    </row>
    <row r="241" spans="1:8" x14ac:dyDescent="0.25">
      <c r="A241" s="134" t="s">
        <v>27757</v>
      </c>
      <c r="B241" s="134" t="s">
        <v>9949</v>
      </c>
      <c r="C241" s="134" t="s">
        <v>27772</v>
      </c>
      <c r="D241" s="134" t="s">
        <v>6777</v>
      </c>
      <c r="E241" s="139">
        <v>8.85</v>
      </c>
      <c r="F241" s="134" t="s">
        <v>6776</v>
      </c>
      <c r="G241" s="134" t="s">
        <v>3007</v>
      </c>
      <c r="H241" s="254">
        <v>13683</v>
      </c>
    </row>
    <row r="242" spans="1:8" x14ac:dyDescent="0.25">
      <c r="A242" s="134" t="s">
        <v>27757</v>
      </c>
      <c r="B242" s="134" t="s">
        <v>27771</v>
      </c>
      <c r="C242" s="134" t="s">
        <v>27770</v>
      </c>
      <c r="D242" s="134" t="s">
        <v>7444</v>
      </c>
      <c r="E242" s="139">
        <v>12.35</v>
      </c>
      <c r="F242" s="134" t="s">
        <v>11211</v>
      </c>
      <c r="G242" s="134" t="s">
        <v>3007</v>
      </c>
      <c r="H242" s="254">
        <v>13684</v>
      </c>
    </row>
    <row r="243" spans="1:8" x14ac:dyDescent="0.25">
      <c r="A243" s="134" t="s">
        <v>27757</v>
      </c>
      <c r="B243" s="134" t="s">
        <v>27769</v>
      </c>
      <c r="C243" s="134" t="s">
        <v>27768</v>
      </c>
      <c r="D243" s="134" t="s">
        <v>10015</v>
      </c>
      <c r="E243" s="139">
        <v>4.3</v>
      </c>
      <c r="F243" s="134" t="s">
        <v>10014</v>
      </c>
      <c r="G243" s="134" t="s">
        <v>3007</v>
      </c>
      <c r="H243" s="254">
        <v>13685</v>
      </c>
    </row>
    <row r="244" spans="1:8" x14ac:dyDescent="0.25">
      <c r="A244" s="134" t="s">
        <v>27757</v>
      </c>
      <c r="B244" s="134" t="s">
        <v>27767</v>
      </c>
      <c r="C244" s="134" t="s">
        <v>27766</v>
      </c>
      <c r="D244" s="134" t="s">
        <v>12429</v>
      </c>
      <c r="E244" s="139">
        <v>1.94</v>
      </c>
      <c r="F244" s="134" t="s">
        <v>12428</v>
      </c>
      <c r="G244" s="134" t="s">
        <v>3007</v>
      </c>
      <c r="H244" s="254">
        <v>13686</v>
      </c>
    </row>
    <row r="245" spans="1:8" x14ac:dyDescent="0.25">
      <c r="A245" s="134" t="s">
        <v>27757</v>
      </c>
      <c r="B245" s="134" t="s">
        <v>27765</v>
      </c>
      <c r="C245" s="134" t="s">
        <v>27764</v>
      </c>
      <c r="D245" s="134" t="s">
        <v>9686</v>
      </c>
      <c r="E245" s="139">
        <v>3.34</v>
      </c>
      <c r="F245" s="134" t="s">
        <v>9685</v>
      </c>
      <c r="G245" s="134" t="s">
        <v>3007</v>
      </c>
      <c r="H245" s="254">
        <v>13687</v>
      </c>
    </row>
    <row r="246" spans="1:8" x14ac:dyDescent="0.25">
      <c r="A246" s="134" t="s">
        <v>27757</v>
      </c>
      <c r="B246" s="134" t="s">
        <v>27763</v>
      </c>
      <c r="C246" s="134" t="s">
        <v>27762</v>
      </c>
      <c r="D246" s="134" t="s">
        <v>6943</v>
      </c>
      <c r="E246" s="139">
        <v>9.3800000000000008</v>
      </c>
      <c r="F246" s="134" t="s">
        <v>6942</v>
      </c>
      <c r="G246" s="134" t="s">
        <v>3007</v>
      </c>
      <c r="H246" s="254">
        <v>13688</v>
      </c>
    </row>
    <row r="247" spans="1:8" x14ac:dyDescent="0.25">
      <c r="A247" s="134" t="s">
        <v>27757</v>
      </c>
      <c r="B247" s="134" t="s">
        <v>27761</v>
      </c>
      <c r="C247" s="134" t="s">
        <v>27760</v>
      </c>
      <c r="D247" s="134" t="s">
        <v>3993</v>
      </c>
      <c r="E247" s="139">
        <v>10.89</v>
      </c>
      <c r="F247" s="134" t="s">
        <v>3992</v>
      </c>
      <c r="G247" s="134" t="s">
        <v>3007</v>
      </c>
      <c r="H247" s="254">
        <v>13689</v>
      </c>
    </row>
    <row r="248" spans="1:8" x14ac:dyDescent="0.25">
      <c r="A248" s="134" t="s">
        <v>27757</v>
      </c>
      <c r="B248" s="134" t="s">
        <v>27759</v>
      </c>
      <c r="C248" s="134" t="s">
        <v>27758</v>
      </c>
      <c r="D248" s="134" t="s">
        <v>3170</v>
      </c>
      <c r="E248" s="139">
        <v>7.02</v>
      </c>
      <c r="F248" s="134" t="s">
        <v>3169</v>
      </c>
      <c r="G248" s="134" t="s">
        <v>3007</v>
      </c>
      <c r="H248" s="254">
        <v>13690</v>
      </c>
    </row>
    <row r="249" spans="1:8" x14ac:dyDescent="0.25">
      <c r="A249" s="134" t="s">
        <v>27757</v>
      </c>
      <c r="B249" s="134" t="s">
        <v>27756</v>
      </c>
      <c r="C249" s="134" t="s">
        <v>27755</v>
      </c>
      <c r="D249" s="134" t="s">
        <v>3410</v>
      </c>
      <c r="E249" s="139">
        <v>6.64</v>
      </c>
      <c r="F249" s="134" t="s">
        <v>3409</v>
      </c>
      <c r="G249" s="134" t="s">
        <v>3007</v>
      </c>
      <c r="H249" s="254">
        <v>13691</v>
      </c>
    </row>
    <row r="250" spans="1:8" x14ac:dyDescent="0.25">
      <c r="A250" s="134" t="s">
        <v>27718</v>
      </c>
      <c r="B250" s="134" t="s">
        <v>27754</v>
      </c>
      <c r="C250" s="134" t="s">
        <v>27753</v>
      </c>
      <c r="D250" s="134" t="s">
        <v>6066</v>
      </c>
      <c r="E250" s="139">
        <v>5.29</v>
      </c>
      <c r="F250" s="134" t="s">
        <v>3266</v>
      </c>
      <c r="G250" s="134" t="s">
        <v>3007</v>
      </c>
      <c r="H250" s="254" t="s">
        <v>26595</v>
      </c>
    </row>
    <row r="251" spans="1:8" x14ac:dyDescent="0.25">
      <c r="A251" s="134" t="s">
        <v>27718</v>
      </c>
      <c r="B251" s="134" t="s">
        <v>12433</v>
      </c>
      <c r="C251" s="134" t="s">
        <v>27752</v>
      </c>
      <c r="D251" s="134" t="s">
        <v>5486</v>
      </c>
      <c r="E251" s="139">
        <v>6.64</v>
      </c>
      <c r="F251" s="134" t="s">
        <v>5485</v>
      </c>
      <c r="G251" s="134" t="s">
        <v>3007</v>
      </c>
      <c r="H251" s="254">
        <v>13708</v>
      </c>
    </row>
    <row r="252" spans="1:8" x14ac:dyDescent="0.25">
      <c r="A252" s="134" t="s">
        <v>27718</v>
      </c>
      <c r="B252" s="134" t="s">
        <v>27751</v>
      </c>
      <c r="C252" s="134" t="s">
        <v>27750</v>
      </c>
      <c r="D252" s="134" t="s">
        <v>4305</v>
      </c>
      <c r="E252" s="139">
        <v>18.03</v>
      </c>
      <c r="F252" s="134" t="s">
        <v>4304</v>
      </c>
      <c r="G252" s="134" t="s">
        <v>3007</v>
      </c>
      <c r="H252" s="254">
        <v>13709</v>
      </c>
    </row>
    <row r="253" spans="1:8" x14ac:dyDescent="0.25">
      <c r="A253" s="134" t="s">
        <v>27718</v>
      </c>
      <c r="B253" s="134" t="s">
        <v>27749</v>
      </c>
      <c r="C253" s="134" t="s">
        <v>27748</v>
      </c>
      <c r="D253" s="134" t="s">
        <v>8227</v>
      </c>
      <c r="E253" s="139">
        <v>5.44</v>
      </c>
      <c r="F253" s="134" t="s">
        <v>8226</v>
      </c>
      <c r="G253" s="134" t="s">
        <v>3007</v>
      </c>
      <c r="H253" s="254">
        <v>13710</v>
      </c>
    </row>
    <row r="254" spans="1:8" x14ac:dyDescent="0.25">
      <c r="A254" s="134" t="s">
        <v>27718</v>
      </c>
      <c r="B254" s="134" t="s">
        <v>27747</v>
      </c>
      <c r="C254" s="134" t="s">
        <v>27746</v>
      </c>
      <c r="D254" s="134" t="s">
        <v>11006</v>
      </c>
      <c r="E254" s="139">
        <v>13.77</v>
      </c>
      <c r="F254" s="134" t="s">
        <v>11005</v>
      </c>
      <c r="G254" s="134" t="s">
        <v>3007</v>
      </c>
      <c r="H254" s="254">
        <v>13711</v>
      </c>
    </row>
    <row r="255" spans="1:8" x14ac:dyDescent="0.25">
      <c r="A255" s="134" t="s">
        <v>27718</v>
      </c>
      <c r="B255" s="134" t="s">
        <v>27745</v>
      </c>
      <c r="C255" s="134" t="s">
        <v>27744</v>
      </c>
      <c r="D255" s="134" t="s">
        <v>4124</v>
      </c>
      <c r="E255" s="139">
        <v>11.5</v>
      </c>
      <c r="F255" s="134" t="s">
        <v>4123</v>
      </c>
      <c r="G255" s="134" t="s">
        <v>3007</v>
      </c>
      <c r="H255" s="254">
        <v>13712</v>
      </c>
    </row>
    <row r="256" spans="1:8" x14ac:dyDescent="0.25">
      <c r="A256" s="134" t="s">
        <v>27718</v>
      </c>
      <c r="B256" s="134" t="s">
        <v>27743</v>
      </c>
      <c r="C256" s="134" t="s">
        <v>27742</v>
      </c>
      <c r="D256" s="134" t="s">
        <v>6271</v>
      </c>
      <c r="E256" s="139">
        <v>23.25</v>
      </c>
      <c r="F256" s="134" t="s">
        <v>6270</v>
      </c>
      <c r="G256" s="134" t="s">
        <v>3007</v>
      </c>
      <c r="H256" s="254">
        <v>13713</v>
      </c>
    </row>
    <row r="257" spans="1:8" x14ac:dyDescent="0.25">
      <c r="A257" s="134" t="s">
        <v>27718</v>
      </c>
      <c r="B257" s="134" t="s">
        <v>27741</v>
      </c>
      <c r="C257" s="134" t="s">
        <v>27740</v>
      </c>
      <c r="D257" s="134" t="s">
        <v>3567</v>
      </c>
      <c r="E257" s="139">
        <v>6.71</v>
      </c>
      <c r="F257" s="134" t="s">
        <v>3566</v>
      </c>
      <c r="G257" s="134" t="s">
        <v>3007</v>
      </c>
      <c r="H257" s="254">
        <v>13714</v>
      </c>
    </row>
    <row r="258" spans="1:8" x14ac:dyDescent="0.25">
      <c r="A258" s="134" t="s">
        <v>27718</v>
      </c>
      <c r="B258" s="134" t="s">
        <v>12647</v>
      </c>
      <c r="C258" s="134" t="s">
        <v>27739</v>
      </c>
      <c r="D258" s="134" t="s">
        <v>27738</v>
      </c>
      <c r="E258" s="139">
        <v>121.65</v>
      </c>
      <c r="F258" s="134" t="s">
        <v>27737</v>
      </c>
      <c r="G258" s="134" t="s">
        <v>3007</v>
      </c>
      <c r="H258" s="254">
        <v>13715</v>
      </c>
    </row>
    <row r="259" spans="1:8" x14ac:dyDescent="0.25">
      <c r="A259" s="134" t="s">
        <v>27718</v>
      </c>
      <c r="B259" s="134" t="s">
        <v>27736</v>
      </c>
      <c r="C259" s="134" t="s">
        <v>27735</v>
      </c>
      <c r="D259" s="134" t="s">
        <v>4771</v>
      </c>
      <c r="E259" s="139">
        <v>1.68</v>
      </c>
      <c r="F259" s="134" t="s">
        <v>4770</v>
      </c>
      <c r="G259" s="134" t="s">
        <v>3007</v>
      </c>
      <c r="H259" s="254">
        <v>13716</v>
      </c>
    </row>
    <row r="260" spans="1:8" x14ac:dyDescent="0.25">
      <c r="A260" s="134" t="s">
        <v>27718</v>
      </c>
      <c r="B260" s="134" t="s">
        <v>27734</v>
      </c>
      <c r="C260" s="134" t="s">
        <v>27733</v>
      </c>
      <c r="D260" s="134" t="s">
        <v>27732</v>
      </c>
      <c r="E260" s="139">
        <v>5.81</v>
      </c>
      <c r="F260" s="134" t="s">
        <v>27731</v>
      </c>
      <c r="G260" s="134" t="s">
        <v>3007</v>
      </c>
      <c r="H260" s="254">
        <v>13717</v>
      </c>
    </row>
    <row r="261" spans="1:8" x14ac:dyDescent="0.25">
      <c r="A261" s="134" t="s">
        <v>27718</v>
      </c>
      <c r="B261" s="134" t="s">
        <v>27730</v>
      </c>
      <c r="C261" s="134" t="s">
        <v>27729</v>
      </c>
      <c r="D261" s="134" t="s">
        <v>4791</v>
      </c>
      <c r="E261" s="139">
        <v>1.75</v>
      </c>
      <c r="F261" s="134" t="s">
        <v>4790</v>
      </c>
      <c r="G261" s="134" t="s">
        <v>3007</v>
      </c>
      <c r="H261" s="254">
        <v>13718</v>
      </c>
    </row>
    <row r="262" spans="1:8" x14ac:dyDescent="0.25">
      <c r="A262" s="134" t="s">
        <v>27718</v>
      </c>
      <c r="B262" s="134" t="s">
        <v>27728</v>
      </c>
      <c r="C262" s="134" t="s">
        <v>27727</v>
      </c>
      <c r="D262" s="134" t="s">
        <v>10088</v>
      </c>
      <c r="E262" s="139">
        <v>10.28</v>
      </c>
      <c r="F262" s="134" t="s">
        <v>10087</v>
      </c>
      <c r="G262" s="134" t="s">
        <v>3007</v>
      </c>
      <c r="H262" s="254">
        <v>13719</v>
      </c>
    </row>
    <row r="263" spans="1:8" x14ac:dyDescent="0.25">
      <c r="A263" s="134" t="s">
        <v>27718</v>
      </c>
      <c r="B263" s="134" t="s">
        <v>27726</v>
      </c>
      <c r="C263" s="134" t="s">
        <v>27725</v>
      </c>
      <c r="D263" s="134" t="s">
        <v>10730</v>
      </c>
      <c r="E263" s="139">
        <v>8.4</v>
      </c>
      <c r="F263" s="134" t="s">
        <v>10729</v>
      </c>
      <c r="G263" s="134" t="s">
        <v>3007</v>
      </c>
      <c r="H263" s="254">
        <v>13720</v>
      </c>
    </row>
    <row r="264" spans="1:8" x14ac:dyDescent="0.25">
      <c r="A264" s="134" t="s">
        <v>27718</v>
      </c>
      <c r="B264" s="134" t="s">
        <v>27724</v>
      </c>
      <c r="C264" s="134" t="s">
        <v>27723</v>
      </c>
      <c r="D264" s="134" t="s">
        <v>6450</v>
      </c>
      <c r="E264" s="139">
        <v>9.23</v>
      </c>
      <c r="F264" s="134" t="s">
        <v>6449</v>
      </c>
      <c r="G264" s="134" t="s">
        <v>3007</v>
      </c>
      <c r="H264" s="254">
        <v>13721</v>
      </c>
    </row>
    <row r="265" spans="1:8" x14ac:dyDescent="0.25">
      <c r="A265" s="134" t="s">
        <v>27718</v>
      </c>
      <c r="B265" s="134" t="s">
        <v>27722</v>
      </c>
      <c r="C265" s="134" t="s">
        <v>27721</v>
      </c>
      <c r="D265" s="134" t="s">
        <v>27720</v>
      </c>
      <c r="E265" s="139">
        <v>14.24</v>
      </c>
      <c r="F265" s="134" t="s">
        <v>27719</v>
      </c>
      <c r="G265" s="134" t="s">
        <v>3007</v>
      </c>
      <c r="H265" s="254">
        <v>13722</v>
      </c>
    </row>
    <row r="266" spans="1:8" x14ac:dyDescent="0.25">
      <c r="A266" s="134" t="s">
        <v>27718</v>
      </c>
      <c r="B266" s="134" t="s">
        <v>27717</v>
      </c>
      <c r="C266" s="134" t="s">
        <v>27716</v>
      </c>
      <c r="D266" s="134" t="s">
        <v>4720</v>
      </c>
      <c r="E266" s="139">
        <v>5.25</v>
      </c>
      <c r="F266" s="134" t="s">
        <v>4719</v>
      </c>
      <c r="G266" s="134" t="s">
        <v>3007</v>
      </c>
      <c r="H266" s="254">
        <v>13723</v>
      </c>
    </row>
    <row r="267" spans="1:8" s="200" customFormat="1" x14ac:dyDescent="0.25">
      <c r="A267" s="198"/>
      <c r="B267" s="198"/>
      <c r="C267" s="198" t="s">
        <v>5691</v>
      </c>
      <c r="D267" s="198" t="s">
        <v>14412</v>
      </c>
      <c r="E267" s="199">
        <f>SUM(E150:E266)</f>
        <v>1698.0699999999995</v>
      </c>
      <c r="F267" s="198"/>
      <c r="G267" s="198"/>
      <c r="H267" s="172"/>
    </row>
    <row r="268" spans="1:8" s="195" customFormat="1" ht="16.5" thickBot="1" x14ac:dyDescent="0.3">
      <c r="A268" s="193"/>
      <c r="B268" s="193"/>
      <c r="C268" s="193" t="s">
        <v>14410</v>
      </c>
      <c r="D268" s="193"/>
      <c r="E268" s="197">
        <v>-63.8</v>
      </c>
      <c r="F268" s="193"/>
      <c r="G268" s="193"/>
      <c r="H268" s="254"/>
    </row>
    <row r="269" spans="1:8" s="195" customFormat="1" x14ac:dyDescent="0.25">
      <c r="A269" s="193"/>
      <c r="B269" s="193"/>
      <c r="C269" s="193" t="s">
        <v>5691</v>
      </c>
      <c r="D269" s="193"/>
      <c r="E269" s="363">
        <f>SUM(E267:E268)</f>
        <v>1634.2699999999995</v>
      </c>
      <c r="F269" s="193"/>
      <c r="G269" s="193"/>
      <c r="H269" s="254"/>
    </row>
    <row r="270" spans="1:8" s="200" customFormat="1" x14ac:dyDescent="0.25">
      <c r="A270" s="198"/>
      <c r="B270" s="198"/>
      <c r="C270" s="198"/>
      <c r="D270" s="198"/>
      <c r="E270" s="199"/>
      <c r="F270" s="198"/>
      <c r="G270" s="198"/>
      <c r="H270" s="172"/>
    </row>
    <row r="271" spans="1:8" x14ac:dyDescent="0.25">
      <c r="A271" s="134" t="s">
        <v>27679</v>
      </c>
      <c r="B271" s="134" t="s">
        <v>27715</v>
      </c>
      <c r="C271" s="134" t="s">
        <v>27714</v>
      </c>
      <c r="D271" s="134" t="s">
        <v>8439</v>
      </c>
      <c r="E271" s="139">
        <v>3.32</v>
      </c>
      <c r="F271" s="134" t="s">
        <v>8438</v>
      </c>
      <c r="G271" s="134" t="s">
        <v>3007</v>
      </c>
      <c r="H271" s="254">
        <v>13761</v>
      </c>
    </row>
    <row r="272" spans="1:8" x14ac:dyDescent="0.25">
      <c r="A272" s="134" t="s">
        <v>27679</v>
      </c>
      <c r="B272" s="134" t="s">
        <v>27713</v>
      </c>
      <c r="C272" s="134" t="s">
        <v>27712</v>
      </c>
      <c r="D272" s="134" t="s">
        <v>8168</v>
      </c>
      <c r="E272" s="139">
        <v>18.78</v>
      </c>
      <c r="F272" s="134" t="s">
        <v>8167</v>
      </c>
      <c r="G272" s="134" t="s">
        <v>3007</v>
      </c>
      <c r="H272" s="254">
        <v>13762</v>
      </c>
    </row>
    <row r="273" spans="1:8" x14ac:dyDescent="0.25">
      <c r="A273" s="134" t="s">
        <v>27679</v>
      </c>
      <c r="B273" s="134" t="s">
        <v>27711</v>
      </c>
      <c r="C273" s="134" t="s">
        <v>27710</v>
      </c>
      <c r="D273" s="134" t="s">
        <v>6208</v>
      </c>
      <c r="E273" s="139">
        <v>62.95</v>
      </c>
      <c r="F273" s="134" t="s">
        <v>6207</v>
      </c>
      <c r="G273" s="134" t="s">
        <v>3007</v>
      </c>
      <c r="H273" s="254">
        <v>13763</v>
      </c>
    </row>
    <row r="274" spans="1:8" x14ac:dyDescent="0.25">
      <c r="A274" s="134" t="s">
        <v>27679</v>
      </c>
      <c r="B274" s="134" t="s">
        <v>11667</v>
      </c>
      <c r="C274" s="134" t="s">
        <v>27709</v>
      </c>
      <c r="D274" s="134" t="s">
        <v>3932</v>
      </c>
      <c r="E274" s="139">
        <v>7.31</v>
      </c>
      <c r="F274" s="134" t="s">
        <v>3931</v>
      </c>
      <c r="G274" s="134" t="s">
        <v>3007</v>
      </c>
      <c r="H274" s="254">
        <v>13764</v>
      </c>
    </row>
    <row r="275" spans="1:8" x14ac:dyDescent="0.25">
      <c r="A275" s="134" t="s">
        <v>27679</v>
      </c>
      <c r="B275" s="134" t="s">
        <v>27708</v>
      </c>
      <c r="C275" s="134" t="s">
        <v>27707</v>
      </c>
      <c r="D275" s="134" t="s">
        <v>9165</v>
      </c>
      <c r="E275" s="139">
        <v>24.72</v>
      </c>
      <c r="F275" s="134" t="s">
        <v>9164</v>
      </c>
      <c r="G275" s="134" t="s">
        <v>3007</v>
      </c>
      <c r="H275" s="254">
        <v>13765</v>
      </c>
    </row>
    <row r="276" spans="1:8" x14ac:dyDescent="0.25">
      <c r="A276" s="134" t="s">
        <v>27679</v>
      </c>
      <c r="B276" s="134" t="s">
        <v>5333</v>
      </c>
      <c r="C276" s="134" t="s">
        <v>27706</v>
      </c>
      <c r="D276" s="134" t="s">
        <v>3664</v>
      </c>
      <c r="E276" s="139">
        <v>29.12</v>
      </c>
      <c r="F276" s="134" t="s">
        <v>3663</v>
      </c>
      <c r="G276" s="134" t="s">
        <v>3007</v>
      </c>
      <c r="H276" s="254">
        <v>13766</v>
      </c>
    </row>
    <row r="277" spans="1:8" x14ac:dyDescent="0.25">
      <c r="A277" s="134" t="s">
        <v>27679</v>
      </c>
      <c r="B277" s="134" t="s">
        <v>27705</v>
      </c>
      <c r="C277" s="134" t="s">
        <v>27704</v>
      </c>
      <c r="D277" s="134" t="s">
        <v>7814</v>
      </c>
      <c r="E277" s="139">
        <v>30.6</v>
      </c>
      <c r="F277" s="134" t="s">
        <v>7813</v>
      </c>
      <c r="G277" s="134" t="s">
        <v>3007</v>
      </c>
      <c r="H277" s="254" t="s">
        <v>27703</v>
      </c>
    </row>
    <row r="278" spans="1:8" x14ac:dyDescent="0.25">
      <c r="A278" s="134" t="s">
        <v>27679</v>
      </c>
      <c r="B278" s="134" t="s">
        <v>27702</v>
      </c>
      <c r="C278" s="134" t="s">
        <v>27701</v>
      </c>
      <c r="D278" s="134" t="s">
        <v>3139</v>
      </c>
      <c r="E278" s="139">
        <v>8.99</v>
      </c>
      <c r="F278" s="134" t="s">
        <v>3138</v>
      </c>
      <c r="G278" s="134" t="s">
        <v>3007</v>
      </c>
      <c r="H278" s="254">
        <v>13767</v>
      </c>
    </row>
    <row r="279" spans="1:8" x14ac:dyDescent="0.25">
      <c r="A279" s="134" t="s">
        <v>27679</v>
      </c>
      <c r="B279" s="134" t="s">
        <v>27622</v>
      </c>
      <c r="C279" s="134" t="s">
        <v>27700</v>
      </c>
      <c r="D279" s="134" t="s">
        <v>9351</v>
      </c>
      <c r="E279" s="139">
        <v>1.92</v>
      </c>
      <c r="F279" s="134" t="s">
        <v>9350</v>
      </c>
      <c r="G279" s="134" t="s">
        <v>3007</v>
      </c>
      <c r="H279" s="254">
        <v>13768</v>
      </c>
    </row>
    <row r="280" spans="1:8" x14ac:dyDescent="0.25">
      <c r="A280" s="134" t="s">
        <v>27679</v>
      </c>
      <c r="B280" s="134" t="s">
        <v>27699</v>
      </c>
      <c r="C280" s="134" t="s">
        <v>27698</v>
      </c>
      <c r="D280" s="134" t="s">
        <v>3559</v>
      </c>
      <c r="E280" s="139">
        <v>3.36</v>
      </c>
      <c r="F280" s="134" t="s">
        <v>3558</v>
      </c>
      <c r="G280" s="134" t="s">
        <v>3007</v>
      </c>
      <c r="H280" s="254">
        <v>13769</v>
      </c>
    </row>
    <row r="281" spans="1:8" x14ac:dyDescent="0.25">
      <c r="A281" s="134" t="s">
        <v>27679</v>
      </c>
      <c r="B281" s="134" t="s">
        <v>8139</v>
      </c>
      <c r="C281" s="134" t="s">
        <v>27697</v>
      </c>
      <c r="D281" s="134" t="s">
        <v>3146</v>
      </c>
      <c r="E281" s="139">
        <v>16.559999999999999</v>
      </c>
      <c r="F281" s="134" t="s">
        <v>3142</v>
      </c>
      <c r="G281" s="134" t="s">
        <v>3007</v>
      </c>
      <c r="H281" s="254">
        <v>13771</v>
      </c>
    </row>
    <row r="282" spans="1:8" x14ac:dyDescent="0.25">
      <c r="A282" s="134" t="s">
        <v>27679</v>
      </c>
      <c r="B282" s="134" t="s">
        <v>27696</v>
      </c>
      <c r="C282" s="134" t="s">
        <v>27695</v>
      </c>
      <c r="D282" s="134" t="s">
        <v>3143</v>
      </c>
      <c r="E282" s="139">
        <v>15.52</v>
      </c>
      <c r="F282" s="134" t="s">
        <v>3142</v>
      </c>
      <c r="G282" s="134" t="s">
        <v>3007</v>
      </c>
      <c r="H282" s="254">
        <v>13770</v>
      </c>
    </row>
    <row r="283" spans="1:8" x14ac:dyDescent="0.25">
      <c r="A283" s="134" t="s">
        <v>27679</v>
      </c>
      <c r="B283" s="134" t="s">
        <v>27694</v>
      </c>
      <c r="C283" s="134" t="s">
        <v>27693</v>
      </c>
      <c r="D283" s="134" t="s">
        <v>7248</v>
      </c>
      <c r="E283" s="139">
        <v>9.84</v>
      </c>
      <c r="F283" s="134" t="s">
        <v>7247</v>
      </c>
      <c r="G283" s="134" t="s">
        <v>3007</v>
      </c>
      <c r="H283" s="254">
        <v>13772</v>
      </c>
    </row>
    <row r="284" spans="1:8" x14ac:dyDescent="0.25">
      <c r="A284" s="134" t="s">
        <v>27679</v>
      </c>
      <c r="B284" s="134" t="s">
        <v>27692</v>
      </c>
      <c r="C284" s="134" t="s">
        <v>27691</v>
      </c>
      <c r="D284" s="134" t="s">
        <v>27690</v>
      </c>
      <c r="E284" s="139">
        <v>29.31</v>
      </c>
      <c r="F284" s="134" t="s">
        <v>27689</v>
      </c>
      <c r="G284" s="134" t="s">
        <v>3007</v>
      </c>
      <c r="H284" s="254">
        <v>13773</v>
      </c>
    </row>
    <row r="285" spans="1:8" x14ac:dyDescent="0.25">
      <c r="A285" s="134" t="s">
        <v>27679</v>
      </c>
      <c r="B285" s="134" t="s">
        <v>27688</v>
      </c>
      <c r="C285" s="134" t="s">
        <v>27687</v>
      </c>
      <c r="D285" s="134" t="s">
        <v>11602</v>
      </c>
      <c r="E285" s="139">
        <v>16.71</v>
      </c>
      <c r="F285" s="134" t="s">
        <v>11601</v>
      </c>
      <c r="G285" s="134" t="s">
        <v>3007</v>
      </c>
      <c r="H285" s="254">
        <v>13774</v>
      </c>
    </row>
    <row r="286" spans="1:8" x14ac:dyDescent="0.25">
      <c r="A286" s="134" t="s">
        <v>27679</v>
      </c>
      <c r="B286" s="134" t="s">
        <v>27686</v>
      </c>
      <c r="C286" s="134" t="s">
        <v>27685</v>
      </c>
      <c r="D286" s="134" t="s">
        <v>9629</v>
      </c>
      <c r="E286" s="139">
        <v>7.42</v>
      </c>
      <c r="F286" s="134" t="s">
        <v>9628</v>
      </c>
      <c r="G286" s="134" t="s">
        <v>3007</v>
      </c>
      <c r="H286" s="254">
        <v>13775</v>
      </c>
    </row>
    <row r="287" spans="1:8" x14ac:dyDescent="0.25">
      <c r="A287" s="134" t="s">
        <v>27679</v>
      </c>
      <c r="B287" s="134" t="s">
        <v>27684</v>
      </c>
      <c r="C287" s="134" t="s">
        <v>27683</v>
      </c>
      <c r="D287" s="134" t="s">
        <v>4457</v>
      </c>
      <c r="E287" s="139">
        <v>5.05</v>
      </c>
      <c r="F287" s="134" t="s">
        <v>4456</v>
      </c>
      <c r="G287" s="134" t="s">
        <v>3007</v>
      </c>
      <c r="H287" s="254">
        <v>13776</v>
      </c>
    </row>
    <row r="288" spans="1:8" x14ac:dyDescent="0.25">
      <c r="A288" s="134" t="s">
        <v>27679</v>
      </c>
      <c r="B288" s="134" t="s">
        <v>13254</v>
      </c>
      <c r="C288" s="134" t="s">
        <v>27682</v>
      </c>
      <c r="D288" s="134" t="s">
        <v>27681</v>
      </c>
      <c r="E288" s="139">
        <v>13.93</v>
      </c>
      <c r="F288" s="134" t="s">
        <v>27680</v>
      </c>
      <c r="G288" s="134" t="s">
        <v>3007</v>
      </c>
      <c r="H288" s="254">
        <v>13777</v>
      </c>
    </row>
    <row r="289" spans="1:8" x14ac:dyDescent="0.25">
      <c r="A289" s="134" t="s">
        <v>27679</v>
      </c>
      <c r="B289" s="134" t="s">
        <v>27678</v>
      </c>
      <c r="C289" s="134" t="s">
        <v>27677</v>
      </c>
      <c r="D289" s="134" t="s">
        <v>3896</v>
      </c>
      <c r="E289" s="139">
        <v>17.7</v>
      </c>
      <c r="F289" s="134" t="s">
        <v>3895</v>
      </c>
      <c r="G289" s="134" t="s">
        <v>3007</v>
      </c>
      <c r="H289" s="254">
        <v>13778</v>
      </c>
    </row>
    <row r="290" spans="1:8" x14ac:dyDescent="0.25">
      <c r="A290" s="134" t="s">
        <v>27645</v>
      </c>
      <c r="B290" s="134" t="s">
        <v>27676</v>
      </c>
      <c r="C290" s="134" t="s">
        <v>27675</v>
      </c>
      <c r="D290" s="134" t="s">
        <v>3321</v>
      </c>
      <c r="E290" s="139">
        <v>23.89</v>
      </c>
      <c r="F290" s="134" t="s">
        <v>3320</v>
      </c>
      <c r="G290" s="134" t="s">
        <v>3007</v>
      </c>
      <c r="H290" s="254">
        <v>13850</v>
      </c>
    </row>
    <row r="291" spans="1:8" x14ac:dyDescent="0.25">
      <c r="A291" s="134" t="s">
        <v>27645</v>
      </c>
      <c r="B291" s="134" t="s">
        <v>27674</v>
      </c>
      <c r="C291" s="134" t="s">
        <v>27673</v>
      </c>
      <c r="D291" s="134" t="s">
        <v>8597</v>
      </c>
      <c r="E291" s="139">
        <v>8.9600000000000009</v>
      </c>
      <c r="F291" s="134" t="s">
        <v>8596</v>
      </c>
      <c r="G291" s="134" t="s">
        <v>3007</v>
      </c>
      <c r="H291" s="254">
        <v>13851</v>
      </c>
    </row>
    <row r="292" spans="1:8" x14ac:dyDescent="0.25">
      <c r="A292" s="134" t="s">
        <v>27645</v>
      </c>
      <c r="B292" s="134" t="s">
        <v>27672</v>
      </c>
      <c r="C292" s="134" t="s">
        <v>27671</v>
      </c>
      <c r="D292" s="134" t="s">
        <v>8311</v>
      </c>
      <c r="E292" s="139">
        <v>12.53</v>
      </c>
      <c r="F292" s="134" t="s">
        <v>8310</v>
      </c>
      <c r="G292" s="134" t="s">
        <v>3007</v>
      </c>
      <c r="H292" s="254">
        <v>13852</v>
      </c>
    </row>
    <row r="293" spans="1:8" x14ac:dyDescent="0.25">
      <c r="A293" s="134" t="s">
        <v>27645</v>
      </c>
      <c r="B293" s="134" t="s">
        <v>6065</v>
      </c>
      <c r="C293" s="134" t="s">
        <v>27670</v>
      </c>
      <c r="D293" s="134" t="s">
        <v>4212</v>
      </c>
      <c r="E293" s="139">
        <v>8.7899999999999991</v>
      </c>
      <c r="F293" s="134" t="s">
        <v>4211</v>
      </c>
      <c r="G293" s="134" t="s">
        <v>3007</v>
      </c>
      <c r="H293" s="254">
        <v>13853</v>
      </c>
    </row>
    <row r="294" spans="1:8" x14ac:dyDescent="0.25">
      <c r="A294" s="134" t="s">
        <v>27645</v>
      </c>
      <c r="B294" s="134" t="s">
        <v>27669</v>
      </c>
      <c r="C294" s="134" t="s">
        <v>27668</v>
      </c>
      <c r="D294" s="134" t="s">
        <v>3483</v>
      </c>
      <c r="E294" s="139">
        <v>5.61</v>
      </c>
      <c r="F294" s="134" t="s">
        <v>3482</v>
      </c>
      <c r="G294" s="134" t="s">
        <v>3007</v>
      </c>
      <c r="H294" s="254">
        <v>13854</v>
      </c>
    </row>
    <row r="295" spans="1:8" x14ac:dyDescent="0.25">
      <c r="A295" s="134" t="s">
        <v>27645</v>
      </c>
      <c r="B295" s="134" t="s">
        <v>27667</v>
      </c>
      <c r="C295" s="134" t="s">
        <v>27666</v>
      </c>
      <c r="D295" s="134" t="s">
        <v>6057</v>
      </c>
      <c r="E295" s="139">
        <v>5.58</v>
      </c>
      <c r="F295" s="134" t="s">
        <v>6056</v>
      </c>
      <c r="G295" s="134" t="s">
        <v>3007</v>
      </c>
      <c r="H295" s="254">
        <v>13855</v>
      </c>
    </row>
    <row r="296" spans="1:8" x14ac:dyDescent="0.25">
      <c r="A296" s="134" t="s">
        <v>27645</v>
      </c>
      <c r="B296" s="134" t="s">
        <v>27665</v>
      </c>
      <c r="C296" s="134" t="s">
        <v>27664</v>
      </c>
      <c r="D296" s="134" t="s">
        <v>8239</v>
      </c>
      <c r="E296" s="139">
        <v>13.44</v>
      </c>
      <c r="F296" s="134" t="s">
        <v>8238</v>
      </c>
      <c r="G296" s="134" t="s">
        <v>3007</v>
      </c>
      <c r="H296" s="254">
        <v>13856</v>
      </c>
    </row>
    <row r="297" spans="1:8" x14ac:dyDescent="0.25">
      <c r="A297" s="134" t="s">
        <v>27645</v>
      </c>
      <c r="B297" s="134" t="s">
        <v>27663</v>
      </c>
      <c r="C297" s="134" t="s">
        <v>27662</v>
      </c>
      <c r="D297" s="134" t="s">
        <v>6520</v>
      </c>
      <c r="E297" s="139">
        <v>11.09</v>
      </c>
      <c r="F297" s="134" t="s">
        <v>6519</v>
      </c>
      <c r="G297" s="134" t="s">
        <v>3007</v>
      </c>
      <c r="H297" s="254">
        <v>13857</v>
      </c>
    </row>
    <row r="298" spans="1:8" x14ac:dyDescent="0.25">
      <c r="A298" s="134" t="s">
        <v>27645</v>
      </c>
      <c r="B298" s="134" t="s">
        <v>27661</v>
      </c>
      <c r="C298" s="134" t="s">
        <v>27660</v>
      </c>
      <c r="D298" s="134" t="s">
        <v>3506</v>
      </c>
      <c r="E298" s="139">
        <v>3.36</v>
      </c>
      <c r="F298" s="134" t="s">
        <v>3505</v>
      </c>
      <c r="G298" s="134" t="s">
        <v>3007</v>
      </c>
      <c r="H298" s="254">
        <v>13858</v>
      </c>
    </row>
    <row r="299" spans="1:8" x14ac:dyDescent="0.25">
      <c r="A299" s="134" t="s">
        <v>27645</v>
      </c>
      <c r="B299" s="134" t="s">
        <v>27659</v>
      </c>
      <c r="C299" s="134" t="s">
        <v>27658</v>
      </c>
      <c r="D299" s="134" t="s">
        <v>4108</v>
      </c>
      <c r="E299" s="139">
        <v>4</v>
      </c>
      <c r="F299" s="134" t="s">
        <v>4107</v>
      </c>
      <c r="G299" s="134" t="s">
        <v>3007</v>
      </c>
      <c r="H299" s="254">
        <v>13859</v>
      </c>
    </row>
    <row r="300" spans="1:8" x14ac:dyDescent="0.25">
      <c r="A300" s="134" t="s">
        <v>27645</v>
      </c>
      <c r="B300" s="134" t="s">
        <v>27657</v>
      </c>
      <c r="C300" s="134" t="s">
        <v>27656</v>
      </c>
      <c r="D300" s="134" t="s">
        <v>11006</v>
      </c>
      <c r="E300" s="139">
        <v>8.92</v>
      </c>
      <c r="F300" s="134" t="s">
        <v>11005</v>
      </c>
      <c r="G300" s="134" t="s">
        <v>3007</v>
      </c>
      <c r="H300" s="254">
        <v>13860</v>
      </c>
    </row>
    <row r="301" spans="1:8" x14ac:dyDescent="0.25">
      <c r="A301" s="134" t="s">
        <v>27645</v>
      </c>
      <c r="B301" s="134" t="s">
        <v>27655</v>
      </c>
      <c r="C301" s="134" t="s">
        <v>27654</v>
      </c>
      <c r="D301" s="134" t="s">
        <v>3563</v>
      </c>
      <c r="E301" s="139">
        <v>6.94</v>
      </c>
      <c r="F301" s="134" t="s">
        <v>3562</v>
      </c>
      <c r="G301" s="134" t="s">
        <v>3007</v>
      </c>
      <c r="H301" s="254">
        <v>13861</v>
      </c>
    </row>
    <row r="302" spans="1:8" x14ac:dyDescent="0.25">
      <c r="A302" s="134" t="s">
        <v>27645</v>
      </c>
      <c r="B302" s="134" t="s">
        <v>27653</v>
      </c>
      <c r="C302" s="134" t="s">
        <v>27652</v>
      </c>
      <c r="D302" s="134" t="s">
        <v>3086</v>
      </c>
      <c r="E302" s="139">
        <v>2.9</v>
      </c>
      <c r="F302" s="134" t="s">
        <v>3085</v>
      </c>
      <c r="G302" s="134" t="s">
        <v>3007</v>
      </c>
      <c r="H302" s="254">
        <v>13862</v>
      </c>
    </row>
    <row r="303" spans="1:8" x14ac:dyDescent="0.25">
      <c r="A303" s="134" t="s">
        <v>27645</v>
      </c>
      <c r="B303" s="134" t="s">
        <v>27651</v>
      </c>
      <c r="C303" s="134" t="s">
        <v>27650</v>
      </c>
      <c r="D303" s="134" t="s">
        <v>8116</v>
      </c>
      <c r="E303" s="139">
        <v>12.47</v>
      </c>
      <c r="F303" s="134" t="s">
        <v>8115</v>
      </c>
      <c r="G303" s="134" t="s">
        <v>3007</v>
      </c>
      <c r="H303" s="254">
        <v>13863</v>
      </c>
    </row>
    <row r="304" spans="1:8" x14ac:dyDescent="0.25">
      <c r="A304" s="134" t="s">
        <v>27645</v>
      </c>
      <c r="B304" s="134" t="s">
        <v>27649</v>
      </c>
      <c r="C304" s="134" t="s">
        <v>27648</v>
      </c>
      <c r="D304" s="134" t="s">
        <v>5417</v>
      </c>
      <c r="E304" s="139">
        <v>4.63</v>
      </c>
      <c r="F304" s="134" t="s">
        <v>5416</v>
      </c>
      <c r="G304" s="134" t="s">
        <v>3007</v>
      </c>
      <c r="H304" s="254">
        <v>13864</v>
      </c>
    </row>
    <row r="305" spans="1:8" x14ac:dyDescent="0.25">
      <c r="A305" s="134" t="s">
        <v>27645</v>
      </c>
      <c r="B305" s="134" t="s">
        <v>27647</v>
      </c>
      <c r="C305" s="134" t="s">
        <v>27646</v>
      </c>
      <c r="D305" s="134" t="s">
        <v>3704</v>
      </c>
      <c r="E305" s="139">
        <v>17.920000000000002</v>
      </c>
      <c r="F305" s="134" t="s">
        <v>3703</v>
      </c>
      <c r="G305" s="134" t="s">
        <v>3007</v>
      </c>
      <c r="H305" s="254">
        <v>13865</v>
      </c>
    </row>
    <row r="306" spans="1:8" x14ac:dyDescent="0.25">
      <c r="A306" s="134" t="s">
        <v>27645</v>
      </c>
      <c r="B306" s="134" t="s">
        <v>27644</v>
      </c>
      <c r="C306" s="134" t="s">
        <v>27643</v>
      </c>
      <c r="D306" s="134" t="s">
        <v>4673</v>
      </c>
      <c r="E306" s="139">
        <v>15.42</v>
      </c>
      <c r="F306" s="134" t="s">
        <v>4672</v>
      </c>
      <c r="G306" s="134" t="s">
        <v>3007</v>
      </c>
      <c r="H306" s="254">
        <v>13866</v>
      </c>
    </row>
    <row r="307" spans="1:8" x14ac:dyDescent="0.25">
      <c r="A307" s="134" t="s">
        <v>27610</v>
      </c>
      <c r="B307" s="134" t="s">
        <v>27642</v>
      </c>
      <c r="C307" s="134" t="s">
        <v>27641</v>
      </c>
      <c r="D307" s="134" t="s">
        <v>10637</v>
      </c>
      <c r="E307" s="139">
        <v>1.68</v>
      </c>
      <c r="F307" s="134" t="s">
        <v>10636</v>
      </c>
      <c r="G307" s="134" t="s">
        <v>3007</v>
      </c>
      <c r="H307" s="254">
        <v>13905</v>
      </c>
    </row>
    <row r="308" spans="1:8" x14ac:dyDescent="0.25">
      <c r="A308" s="134" t="s">
        <v>27610</v>
      </c>
      <c r="B308" s="134" t="s">
        <v>27640</v>
      </c>
      <c r="C308" s="134" t="s">
        <v>27639</v>
      </c>
      <c r="D308" s="134" t="s">
        <v>10633</v>
      </c>
      <c r="E308" s="139">
        <v>3.18</v>
      </c>
      <c r="F308" s="134" t="s">
        <v>10632</v>
      </c>
      <c r="G308" s="134" t="s">
        <v>3007</v>
      </c>
      <c r="H308" s="254">
        <v>13906</v>
      </c>
    </row>
    <row r="309" spans="1:8" x14ac:dyDescent="0.25">
      <c r="A309" s="134" t="s">
        <v>27610</v>
      </c>
      <c r="B309" s="134" t="s">
        <v>27638</v>
      </c>
      <c r="C309" s="134" t="s">
        <v>27637</v>
      </c>
      <c r="D309" s="134" t="s">
        <v>3735</v>
      </c>
      <c r="E309" s="139">
        <v>1.68</v>
      </c>
      <c r="F309" s="134" t="s">
        <v>3734</v>
      </c>
      <c r="G309" s="134" t="s">
        <v>3007</v>
      </c>
      <c r="H309" s="254">
        <v>13907</v>
      </c>
    </row>
    <row r="310" spans="1:8" x14ac:dyDescent="0.25">
      <c r="A310" s="134" t="s">
        <v>27610</v>
      </c>
      <c r="B310" s="134" t="s">
        <v>27636</v>
      </c>
      <c r="C310" s="134" t="s">
        <v>27635</v>
      </c>
      <c r="D310" s="134" t="s">
        <v>3719</v>
      </c>
      <c r="E310" s="139">
        <v>5.1100000000000003</v>
      </c>
      <c r="F310" s="134" t="s">
        <v>3718</v>
      </c>
      <c r="G310" s="134" t="s">
        <v>3007</v>
      </c>
      <c r="H310" s="254">
        <v>13908</v>
      </c>
    </row>
    <row r="311" spans="1:8" x14ac:dyDescent="0.25">
      <c r="A311" s="134" t="s">
        <v>27610</v>
      </c>
      <c r="B311" s="134" t="s">
        <v>27634</v>
      </c>
      <c r="C311" s="134" t="s">
        <v>27633</v>
      </c>
      <c r="D311" s="134" t="s">
        <v>12049</v>
      </c>
      <c r="E311" s="139">
        <v>7.72</v>
      </c>
      <c r="F311" s="134" t="s">
        <v>12048</v>
      </c>
      <c r="G311" s="134" t="s">
        <v>3007</v>
      </c>
      <c r="H311" s="124">
        <v>13909</v>
      </c>
    </row>
    <row r="312" spans="1:8" x14ac:dyDescent="0.25">
      <c r="A312" s="134" t="s">
        <v>27610</v>
      </c>
      <c r="B312" s="134" t="s">
        <v>27632</v>
      </c>
      <c r="C312" s="134" t="s">
        <v>27631</v>
      </c>
      <c r="D312" s="134" t="s">
        <v>8912</v>
      </c>
      <c r="E312" s="139">
        <v>3.76</v>
      </c>
      <c r="F312" s="134" t="s">
        <v>8911</v>
      </c>
      <c r="G312" s="134" t="s">
        <v>3007</v>
      </c>
      <c r="H312" s="254">
        <v>13913</v>
      </c>
    </row>
    <row r="313" spans="1:8" x14ac:dyDescent="0.25">
      <c r="A313" s="134" t="s">
        <v>27610</v>
      </c>
      <c r="B313" s="134" t="s">
        <v>27630</v>
      </c>
      <c r="C313" s="134" t="s">
        <v>27629</v>
      </c>
      <c r="D313" s="134" t="s">
        <v>8307</v>
      </c>
      <c r="E313" s="139">
        <v>11.7</v>
      </c>
      <c r="F313" s="134" t="s">
        <v>8306</v>
      </c>
      <c r="G313" s="134" t="s">
        <v>3007</v>
      </c>
      <c r="H313" s="254">
        <v>13914</v>
      </c>
    </row>
    <row r="314" spans="1:8" x14ac:dyDescent="0.25">
      <c r="A314" s="134" t="s">
        <v>27610</v>
      </c>
      <c r="B314" s="134" t="s">
        <v>27628</v>
      </c>
      <c r="C314" s="134" t="s">
        <v>27627</v>
      </c>
      <c r="D314" s="134" t="s">
        <v>4669</v>
      </c>
      <c r="E314" s="139">
        <v>1.89</v>
      </c>
      <c r="F314" s="134" t="s">
        <v>4668</v>
      </c>
      <c r="G314" s="134" t="s">
        <v>3007</v>
      </c>
      <c r="H314" s="254">
        <v>13915</v>
      </c>
    </row>
    <row r="315" spans="1:8" x14ac:dyDescent="0.25">
      <c r="A315" s="134" t="s">
        <v>27610</v>
      </c>
      <c r="B315" s="134" t="s">
        <v>27626</v>
      </c>
      <c r="C315" s="134" t="s">
        <v>27625</v>
      </c>
      <c r="D315" s="134" t="s">
        <v>6683</v>
      </c>
      <c r="E315" s="139">
        <v>8.27</v>
      </c>
      <c r="F315" s="134" t="s">
        <v>6682</v>
      </c>
      <c r="G315" s="134" t="s">
        <v>3007</v>
      </c>
      <c r="H315" s="254">
        <v>13916</v>
      </c>
    </row>
    <row r="316" spans="1:8" x14ac:dyDescent="0.25">
      <c r="A316" s="134" t="s">
        <v>27610</v>
      </c>
      <c r="B316" s="134" t="s">
        <v>27624</v>
      </c>
      <c r="C316" s="134" t="s">
        <v>27623</v>
      </c>
      <c r="D316" s="134" t="s">
        <v>4787</v>
      </c>
      <c r="E316" s="139">
        <v>7.15</v>
      </c>
      <c r="F316" s="134" t="s">
        <v>4786</v>
      </c>
      <c r="G316" s="134" t="s">
        <v>3007</v>
      </c>
      <c r="H316" s="254">
        <v>13917</v>
      </c>
    </row>
    <row r="317" spans="1:8" x14ac:dyDescent="0.25">
      <c r="A317" s="134" t="s">
        <v>27610</v>
      </c>
      <c r="B317" s="134" t="s">
        <v>27622</v>
      </c>
      <c r="C317" s="134" t="s">
        <v>27621</v>
      </c>
      <c r="D317" s="134" t="s">
        <v>3450</v>
      </c>
      <c r="E317" s="139">
        <v>7.11</v>
      </c>
      <c r="F317" s="134" t="s">
        <v>3449</v>
      </c>
      <c r="G317" s="134" t="s">
        <v>3007</v>
      </c>
      <c r="H317" s="254">
        <v>13918</v>
      </c>
    </row>
    <row r="318" spans="1:8" x14ac:dyDescent="0.25">
      <c r="A318" s="134" t="s">
        <v>27610</v>
      </c>
      <c r="B318" s="134" t="s">
        <v>27620</v>
      </c>
      <c r="C318" s="134" t="s">
        <v>27619</v>
      </c>
      <c r="D318" s="134" t="s">
        <v>3916</v>
      </c>
      <c r="E318" s="139">
        <v>16.760000000000002</v>
      </c>
      <c r="F318" s="134" t="s">
        <v>3915</v>
      </c>
      <c r="G318" s="134" t="s">
        <v>3007</v>
      </c>
      <c r="H318" s="254">
        <v>13919</v>
      </c>
    </row>
    <row r="319" spans="1:8" x14ac:dyDescent="0.25">
      <c r="A319" s="134" t="s">
        <v>27610</v>
      </c>
      <c r="B319" s="134" t="s">
        <v>27618</v>
      </c>
      <c r="C319" s="134" t="s">
        <v>27617</v>
      </c>
      <c r="D319" s="134" t="s">
        <v>7707</v>
      </c>
      <c r="E319" s="139">
        <v>5.28</v>
      </c>
      <c r="F319" s="134" t="s">
        <v>7706</v>
      </c>
      <c r="G319" s="134" t="s">
        <v>3007</v>
      </c>
      <c r="H319" s="254">
        <v>13920</v>
      </c>
    </row>
    <row r="320" spans="1:8" x14ac:dyDescent="0.25">
      <c r="A320" s="134" t="s">
        <v>27610</v>
      </c>
      <c r="B320" s="134" t="s">
        <v>27616</v>
      </c>
      <c r="C320" s="134" t="s">
        <v>27615</v>
      </c>
      <c r="D320" s="134" t="s">
        <v>10548</v>
      </c>
      <c r="E320" s="139">
        <v>25.14</v>
      </c>
      <c r="F320" s="134" t="s">
        <v>10547</v>
      </c>
      <c r="G320" s="134" t="s">
        <v>3007</v>
      </c>
      <c r="H320" s="254">
        <v>13921</v>
      </c>
    </row>
    <row r="321" spans="1:8" x14ac:dyDescent="0.25">
      <c r="A321" s="134" t="s">
        <v>27610</v>
      </c>
      <c r="B321" s="134" t="s">
        <v>3141</v>
      </c>
      <c r="C321" s="134" t="s">
        <v>27614</v>
      </c>
      <c r="D321" s="134" t="s">
        <v>3656</v>
      </c>
      <c r="E321" s="139">
        <v>4.5999999999999996</v>
      </c>
      <c r="F321" s="134" t="s">
        <v>3655</v>
      </c>
      <c r="G321" s="134" t="s">
        <v>3007</v>
      </c>
      <c r="H321" s="254">
        <v>13922</v>
      </c>
    </row>
    <row r="322" spans="1:8" x14ac:dyDescent="0.25">
      <c r="A322" s="134" t="s">
        <v>27610</v>
      </c>
      <c r="B322" s="134" t="s">
        <v>8330</v>
      </c>
      <c r="C322" s="134" t="s">
        <v>27613</v>
      </c>
      <c r="D322" s="134" t="s">
        <v>8145</v>
      </c>
      <c r="E322" s="139">
        <v>13.45</v>
      </c>
      <c r="F322" s="134" t="s">
        <v>8144</v>
      </c>
      <c r="G322" s="134" t="s">
        <v>3007</v>
      </c>
      <c r="H322" s="254">
        <v>13923</v>
      </c>
    </row>
    <row r="323" spans="1:8" x14ac:dyDescent="0.25">
      <c r="A323" s="134" t="s">
        <v>27610</v>
      </c>
      <c r="B323" s="134" t="s">
        <v>27612</v>
      </c>
      <c r="C323" s="134" t="s">
        <v>27611</v>
      </c>
      <c r="D323" s="134" t="s">
        <v>11335</v>
      </c>
      <c r="E323" s="139">
        <v>16.760000000000002</v>
      </c>
      <c r="F323" s="134" t="s">
        <v>11334</v>
      </c>
      <c r="G323" s="134" t="s">
        <v>3007</v>
      </c>
      <c r="H323" s="254">
        <v>13924</v>
      </c>
    </row>
    <row r="324" spans="1:8" x14ac:dyDescent="0.25">
      <c r="A324" s="134" t="s">
        <v>27610</v>
      </c>
      <c r="B324" s="134" t="s">
        <v>27609</v>
      </c>
      <c r="C324" s="134" t="s">
        <v>27608</v>
      </c>
      <c r="D324" s="134" t="s">
        <v>7119</v>
      </c>
      <c r="E324" s="139">
        <v>96.78</v>
      </c>
      <c r="F324" s="134" t="s">
        <v>7118</v>
      </c>
      <c r="G324" s="134" t="s">
        <v>3007</v>
      </c>
      <c r="H324" s="254">
        <v>13925</v>
      </c>
    </row>
    <row r="325" spans="1:8" s="200" customFormat="1" x14ac:dyDescent="0.25">
      <c r="A325" s="198"/>
      <c r="B325" s="198"/>
      <c r="C325" s="198" t="s">
        <v>5691</v>
      </c>
      <c r="D325" s="198" t="s">
        <v>14413</v>
      </c>
      <c r="E325" s="199">
        <f>SUM(E271:E324)</f>
        <v>727.58</v>
      </c>
      <c r="F325" s="198"/>
      <c r="G325" s="198"/>
      <c r="H325" s="172"/>
    </row>
    <row r="326" spans="1:8" s="200" customFormat="1" x14ac:dyDescent="0.25">
      <c r="A326" s="198"/>
      <c r="B326" s="198"/>
      <c r="C326" s="198"/>
      <c r="D326" s="198"/>
      <c r="E326" s="199"/>
      <c r="F326" s="198"/>
      <c r="G326" s="198"/>
      <c r="H326" s="172"/>
    </row>
    <row r="327" spans="1:8" x14ac:dyDescent="0.25">
      <c r="A327" s="134" t="s">
        <v>27572</v>
      </c>
      <c r="B327" s="134" t="s">
        <v>27607</v>
      </c>
      <c r="C327" s="134" t="s">
        <v>27606</v>
      </c>
      <c r="D327" s="134" t="s">
        <v>9445</v>
      </c>
      <c r="E327" s="139">
        <v>8.9</v>
      </c>
      <c r="F327" s="134" t="s">
        <v>9444</v>
      </c>
      <c r="G327" s="134" t="s">
        <v>3007</v>
      </c>
      <c r="H327" s="254">
        <v>13939</v>
      </c>
    </row>
    <row r="328" spans="1:8" x14ac:dyDescent="0.25">
      <c r="A328" s="134" t="s">
        <v>27572</v>
      </c>
      <c r="B328" s="134" t="s">
        <v>27605</v>
      </c>
      <c r="C328" s="134" t="s">
        <v>27604</v>
      </c>
      <c r="D328" s="134" t="s">
        <v>8277</v>
      </c>
      <c r="E328" s="139">
        <v>16.46</v>
      </c>
      <c r="F328" s="134" t="s">
        <v>8276</v>
      </c>
      <c r="G328" s="134" t="s">
        <v>3007</v>
      </c>
      <c r="H328" s="254">
        <v>13940</v>
      </c>
    </row>
    <row r="329" spans="1:8" x14ac:dyDescent="0.25">
      <c r="A329" s="134" t="s">
        <v>27572</v>
      </c>
      <c r="B329" s="134" t="s">
        <v>27603</v>
      </c>
      <c r="C329" s="134" t="s">
        <v>27602</v>
      </c>
      <c r="D329" s="134" t="s">
        <v>27601</v>
      </c>
      <c r="E329" s="139">
        <v>5.15</v>
      </c>
      <c r="F329" s="134" t="s">
        <v>27600</v>
      </c>
      <c r="G329" s="134" t="s">
        <v>3007</v>
      </c>
      <c r="H329" s="254">
        <v>13941</v>
      </c>
    </row>
    <row r="330" spans="1:8" x14ac:dyDescent="0.25">
      <c r="A330" s="134" t="s">
        <v>27572</v>
      </c>
      <c r="B330" s="134" t="s">
        <v>27599</v>
      </c>
      <c r="C330" s="134" t="s">
        <v>27598</v>
      </c>
      <c r="D330" s="134" t="s">
        <v>5186</v>
      </c>
      <c r="E330" s="139">
        <v>1.68</v>
      </c>
      <c r="F330" s="134" t="s">
        <v>5185</v>
      </c>
      <c r="G330" s="134" t="s">
        <v>3007</v>
      </c>
      <c r="H330" s="254">
        <v>13942</v>
      </c>
    </row>
    <row r="331" spans="1:8" x14ac:dyDescent="0.25">
      <c r="A331" s="134" t="s">
        <v>27572</v>
      </c>
      <c r="B331" s="134" t="s">
        <v>27597</v>
      </c>
      <c r="C331" s="134" t="s">
        <v>27596</v>
      </c>
      <c r="D331" s="134" t="s">
        <v>14172</v>
      </c>
      <c r="E331" s="139">
        <v>24.4</v>
      </c>
      <c r="F331" s="134" t="s">
        <v>14171</v>
      </c>
      <c r="G331" s="134" t="s">
        <v>3007</v>
      </c>
      <c r="H331" s="254">
        <v>13943</v>
      </c>
    </row>
    <row r="332" spans="1:8" x14ac:dyDescent="0.25">
      <c r="A332" s="134" t="s">
        <v>27572</v>
      </c>
      <c r="B332" s="134" t="s">
        <v>13621</v>
      </c>
      <c r="C332" s="134" t="s">
        <v>27595</v>
      </c>
      <c r="D332" s="134" t="s">
        <v>6510</v>
      </c>
      <c r="E332" s="139">
        <v>5.82</v>
      </c>
      <c r="F332" s="134" t="s">
        <v>6509</v>
      </c>
      <c r="G332" s="134" t="s">
        <v>3007</v>
      </c>
      <c r="H332" s="254">
        <v>13944</v>
      </c>
    </row>
    <row r="333" spans="1:8" x14ac:dyDescent="0.25">
      <c r="A333" s="134" t="s">
        <v>27572</v>
      </c>
      <c r="B333" s="134" t="s">
        <v>27594</v>
      </c>
      <c r="C333" s="134" t="s">
        <v>27593</v>
      </c>
      <c r="D333" s="134" t="s">
        <v>4712</v>
      </c>
      <c r="E333" s="139">
        <v>2.0499999999999998</v>
      </c>
      <c r="F333" s="134" t="s">
        <v>4711</v>
      </c>
      <c r="G333" s="134" t="s">
        <v>3007</v>
      </c>
      <c r="H333" s="254">
        <v>13945</v>
      </c>
    </row>
    <row r="334" spans="1:8" x14ac:dyDescent="0.25">
      <c r="A334" s="134" t="s">
        <v>27572</v>
      </c>
      <c r="B334" s="134" t="s">
        <v>27592</v>
      </c>
      <c r="C334" s="134" t="s">
        <v>27591</v>
      </c>
      <c r="D334" s="134" t="s">
        <v>3317</v>
      </c>
      <c r="E334" s="139">
        <v>2.59</v>
      </c>
      <c r="F334" s="134" t="s">
        <v>3316</v>
      </c>
      <c r="G334" s="134" t="s">
        <v>3007</v>
      </c>
      <c r="H334" s="254">
        <v>13946</v>
      </c>
    </row>
    <row r="335" spans="1:8" x14ac:dyDescent="0.25">
      <c r="A335" s="134" t="s">
        <v>27572</v>
      </c>
      <c r="B335" s="134" t="s">
        <v>27590</v>
      </c>
      <c r="C335" s="134" t="s">
        <v>27589</v>
      </c>
      <c r="D335" s="134" t="s">
        <v>3583</v>
      </c>
      <c r="E335" s="139">
        <v>8.89</v>
      </c>
      <c r="F335" s="134" t="s">
        <v>3582</v>
      </c>
      <c r="G335" s="134" t="s">
        <v>3007</v>
      </c>
      <c r="H335" s="254">
        <v>13947</v>
      </c>
    </row>
    <row r="336" spans="1:8" x14ac:dyDescent="0.25">
      <c r="A336" s="134" t="s">
        <v>27572</v>
      </c>
      <c r="B336" s="134" t="s">
        <v>27588</v>
      </c>
      <c r="C336" s="134" t="s">
        <v>27587</v>
      </c>
      <c r="D336" s="134" t="s">
        <v>3668</v>
      </c>
      <c r="E336" s="139">
        <v>9.02</v>
      </c>
      <c r="F336" s="134" t="s">
        <v>3667</v>
      </c>
      <c r="G336" s="134" t="s">
        <v>3007</v>
      </c>
      <c r="H336" s="254">
        <v>13948</v>
      </c>
    </row>
    <row r="337" spans="1:8" x14ac:dyDescent="0.25">
      <c r="A337" s="134" t="s">
        <v>27572</v>
      </c>
      <c r="B337" s="134" t="s">
        <v>27586</v>
      </c>
      <c r="C337" s="134" t="s">
        <v>27585</v>
      </c>
      <c r="D337" s="134" t="s">
        <v>9792</v>
      </c>
      <c r="E337" s="139">
        <v>3.18</v>
      </c>
      <c r="F337" s="134" t="s">
        <v>9791</v>
      </c>
      <c r="G337" s="134" t="s">
        <v>3007</v>
      </c>
      <c r="H337" s="254">
        <v>13949</v>
      </c>
    </row>
    <row r="338" spans="1:8" x14ac:dyDescent="0.25">
      <c r="A338" s="134" t="s">
        <v>27572</v>
      </c>
      <c r="B338" s="134" t="s">
        <v>27584</v>
      </c>
      <c r="C338" s="134" t="s">
        <v>27583</v>
      </c>
      <c r="D338" s="134" t="s">
        <v>8950</v>
      </c>
      <c r="E338" s="139">
        <v>5.91</v>
      </c>
      <c r="F338" s="134" t="s">
        <v>8949</v>
      </c>
      <c r="G338" s="134" t="s">
        <v>3007</v>
      </c>
      <c r="H338" s="254">
        <v>13950</v>
      </c>
    </row>
    <row r="339" spans="1:8" x14ac:dyDescent="0.25">
      <c r="A339" s="134" t="s">
        <v>27572</v>
      </c>
      <c r="B339" s="134" t="s">
        <v>27582</v>
      </c>
      <c r="C339" s="134" t="s">
        <v>27581</v>
      </c>
      <c r="D339" s="134" t="s">
        <v>11081</v>
      </c>
      <c r="E339" s="139">
        <v>8.4</v>
      </c>
      <c r="F339" s="134" t="s">
        <v>11080</v>
      </c>
      <c r="G339" s="134" t="s">
        <v>3007</v>
      </c>
      <c r="H339" s="254">
        <v>13951</v>
      </c>
    </row>
    <row r="340" spans="1:8" x14ac:dyDescent="0.25">
      <c r="A340" s="134" t="s">
        <v>27572</v>
      </c>
      <c r="B340" s="134" t="s">
        <v>27580</v>
      </c>
      <c r="C340" s="134" t="s">
        <v>27579</v>
      </c>
      <c r="D340" s="134" t="s">
        <v>7664</v>
      </c>
      <c r="E340" s="139">
        <v>1.88</v>
      </c>
      <c r="F340" s="134" t="s">
        <v>7663</v>
      </c>
      <c r="G340" s="134" t="s">
        <v>3007</v>
      </c>
      <c r="H340" s="254">
        <v>13952</v>
      </c>
    </row>
    <row r="341" spans="1:8" x14ac:dyDescent="0.25">
      <c r="A341" s="134" t="s">
        <v>27572</v>
      </c>
      <c r="B341" s="134" t="s">
        <v>27578</v>
      </c>
      <c r="C341" s="134" t="s">
        <v>27577</v>
      </c>
      <c r="D341" s="134" t="s">
        <v>6907</v>
      </c>
      <c r="E341" s="139">
        <v>5.04</v>
      </c>
      <c r="F341" s="134" t="s">
        <v>6906</v>
      </c>
      <c r="G341" s="134" t="s">
        <v>3007</v>
      </c>
      <c r="H341" s="254">
        <v>13953</v>
      </c>
    </row>
    <row r="342" spans="1:8" x14ac:dyDescent="0.25">
      <c r="A342" s="134" t="s">
        <v>27572</v>
      </c>
      <c r="B342" s="134" t="s">
        <v>27576</v>
      </c>
      <c r="C342" s="134" t="s">
        <v>27575</v>
      </c>
      <c r="D342" s="134" t="s">
        <v>12188</v>
      </c>
      <c r="E342" s="139">
        <v>3.36</v>
      </c>
      <c r="F342" s="134" t="s">
        <v>12187</v>
      </c>
      <c r="G342" s="134" t="s">
        <v>3007</v>
      </c>
      <c r="H342" s="254">
        <v>13954</v>
      </c>
    </row>
    <row r="343" spans="1:8" x14ac:dyDescent="0.25">
      <c r="A343" s="134" t="s">
        <v>27572</v>
      </c>
      <c r="B343" s="134" t="s">
        <v>27574</v>
      </c>
      <c r="C343" s="134" t="s">
        <v>27573</v>
      </c>
      <c r="D343" s="134" t="s">
        <v>4384</v>
      </c>
      <c r="E343" s="139">
        <v>5.22</v>
      </c>
      <c r="F343" s="134" t="s">
        <v>4383</v>
      </c>
      <c r="G343" s="134" t="s">
        <v>3007</v>
      </c>
      <c r="H343" s="254">
        <v>13955</v>
      </c>
    </row>
    <row r="344" spans="1:8" x14ac:dyDescent="0.25">
      <c r="A344" s="134" t="s">
        <v>27572</v>
      </c>
      <c r="B344" s="134" t="s">
        <v>5564</v>
      </c>
      <c r="C344" s="134" t="s">
        <v>27571</v>
      </c>
      <c r="D344" s="134" t="s">
        <v>3884</v>
      </c>
      <c r="E344" s="139">
        <v>5.16</v>
      </c>
      <c r="F344" s="134" t="s">
        <v>3883</v>
      </c>
      <c r="G344" s="134" t="s">
        <v>3007</v>
      </c>
      <c r="H344" s="254">
        <v>13956</v>
      </c>
    </row>
    <row r="345" spans="1:8" x14ac:dyDescent="0.25">
      <c r="A345" s="134" t="s">
        <v>27552</v>
      </c>
      <c r="B345" s="134" t="s">
        <v>27570</v>
      </c>
      <c r="C345" s="134" t="s">
        <v>27569</v>
      </c>
      <c r="D345" s="134" t="s">
        <v>5234</v>
      </c>
      <c r="E345" s="139">
        <v>6.4</v>
      </c>
      <c r="F345" s="134" t="s">
        <v>5233</v>
      </c>
      <c r="G345" s="134" t="s">
        <v>3007</v>
      </c>
      <c r="H345" s="254">
        <v>13957</v>
      </c>
    </row>
    <row r="346" spans="1:8" x14ac:dyDescent="0.25">
      <c r="A346" s="134" t="s">
        <v>27552</v>
      </c>
      <c r="B346" s="134" t="s">
        <v>27568</v>
      </c>
      <c r="C346" s="134" t="s">
        <v>27567</v>
      </c>
      <c r="D346" s="134" t="s">
        <v>4979</v>
      </c>
      <c r="E346" s="139">
        <v>83.66</v>
      </c>
      <c r="F346" s="134" t="s">
        <v>4978</v>
      </c>
      <c r="G346" s="134" t="s">
        <v>3007</v>
      </c>
      <c r="H346" s="254">
        <v>13958</v>
      </c>
    </row>
    <row r="347" spans="1:8" x14ac:dyDescent="0.25">
      <c r="A347" s="134" t="s">
        <v>27552</v>
      </c>
      <c r="B347" s="134" t="s">
        <v>12930</v>
      </c>
      <c r="C347" s="134" t="s">
        <v>27566</v>
      </c>
      <c r="D347" s="134" t="s">
        <v>5444</v>
      </c>
      <c r="E347" s="139">
        <v>1.74</v>
      </c>
      <c r="F347" s="134" t="s">
        <v>5443</v>
      </c>
      <c r="G347" s="134" t="s">
        <v>3007</v>
      </c>
      <c r="H347" s="254">
        <v>13959</v>
      </c>
    </row>
    <row r="348" spans="1:8" x14ac:dyDescent="0.25">
      <c r="A348" s="134" t="s">
        <v>27552</v>
      </c>
      <c r="B348" s="134" t="s">
        <v>5070</v>
      </c>
      <c r="C348" s="134" t="s">
        <v>27565</v>
      </c>
      <c r="D348" s="134" t="s">
        <v>11833</v>
      </c>
      <c r="E348" s="139">
        <v>6.59</v>
      </c>
      <c r="F348" s="134" t="s">
        <v>11832</v>
      </c>
      <c r="G348" s="134" t="s">
        <v>3007</v>
      </c>
      <c r="H348" s="254">
        <v>13960</v>
      </c>
    </row>
    <row r="349" spans="1:8" x14ac:dyDescent="0.25">
      <c r="A349" s="134" t="s">
        <v>27552</v>
      </c>
      <c r="B349" s="134" t="s">
        <v>7246</v>
      </c>
      <c r="C349" s="134" t="s">
        <v>27564</v>
      </c>
      <c r="D349" s="134" t="s">
        <v>4807</v>
      </c>
      <c r="E349" s="139">
        <v>8.0399999999999991</v>
      </c>
      <c r="F349" s="134" t="s">
        <v>4806</v>
      </c>
      <c r="G349" s="134" t="s">
        <v>3007</v>
      </c>
      <c r="H349" s="254">
        <v>13961</v>
      </c>
    </row>
    <row r="350" spans="1:8" x14ac:dyDescent="0.25">
      <c r="A350" s="134" t="s">
        <v>27552</v>
      </c>
      <c r="B350" s="134" t="s">
        <v>27563</v>
      </c>
      <c r="C350" s="134" t="s">
        <v>27562</v>
      </c>
      <c r="D350" s="134" t="s">
        <v>8274</v>
      </c>
      <c r="E350" s="139">
        <v>4.63</v>
      </c>
      <c r="F350" s="134" t="s">
        <v>8273</v>
      </c>
      <c r="G350" s="134" t="s">
        <v>3007</v>
      </c>
      <c r="H350" s="254">
        <v>13962</v>
      </c>
    </row>
    <row r="351" spans="1:8" x14ac:dyDescent="0.25">
      <c r="A351" s="134" t="s">
        <v>27552</v>
      </c>
      <c r="B351" s="134" t="s">
        <v>27561</v>
      </c>
      <c r="C351" s="134" t="s">
        <v>27560</v>
      </c>
      <c r="D351" s="134" t="s">
        <v>3074</v>
      </c>
      <c r="E351" s="139">
        <v>8.36</v>
      </c>
      <c r="F351" s="134" t="s">
        <v>3073</v>
      </c>
      <c r="G351" s="134" t="s">
        <v>3007</v>
      </c>
      <c r="H351" s="254">
        <v>13963</v>
      </c>
    </row>
    <row r="352" spans="1:8" x14ac:dyDescent="0.25">
      <c r="A352" s="134" t="s">
        <v>27552</v>
      </c>
      <c r="B352" s="134" t="s">
        <v>27559</v>
      </c>
      <c r="C352" s="134" t="s">
        <v>27558</v>
      </c>
      <c r="D352" s="134" t="s">
        <v>3107</v>
      </c>
      <c r="E352" s="139">
        <v>1.78</v>
      </c>
      <c r="F352" s="134" t="s">
        <v>3106</v>
      </c>
      <c r="G352" s="134" t="s">
        <v>3007</v>
      </c>
      <c r="H352" s="254">
        <v>13964</v>
      </c>
    </row>
    <row r="353" spans="1:8" x14ac:dyDescent="0.25">
      <c r="A353" s="134" t="s">
        <v>27552</v>
      </c>
      <c r="B353" s="134" t="s">
        <v>27557</v>
      </c>
      <c r="C353" s="134" t="s">
        <v>27556</v>
      </c>
      <c r="D353" s="134" t="s">
        <v>4073</v>
      </c>
      <c r="E353" s="139">
        <v>1.68</v>
      </c>
      <c r="F353" s="134" t="s">
        <v>4072</v>
      </c>
      <c r="G353" s="134" t="s">
        <v>3007</v>
      </c>
      <c r="H353" s="254">
        <v>13965</v>
      </c>
    </row>
    <row r="354" spans="1:8" x14ac:dyDescent="0.25">
      <c r="A354" s="134" t="s">
        <v>27552</v>
      </c>
      <c r="B354" s="134" t="s">
        <v>7535</v>
      </c>
      <c r="C354" s="134" t="s">
        <v>27555</v>
      </c>
      <c r="D354" s="134" t="s">
        <v>3836</v>
      </c>
      <c r="E354" s="139">
        <v>1.68</v>
      </c>
      <c r="F354" s="134" t="s">
        <v>3835</v>
      </c>
      <c r="G354" s="134" t="s">
        <v>3007</v>
      </c>
      <c r="H354" s="254">
        <v>13966</v>
      </c>
    </row>
    <row r="355" spans="1:8" x14ac:dyDescent="0.25">
      <c r="A355" s="134" t="s">
        <v>27552</v>
      </c>
      <c r="B355" s="134" t="s">
        <v>27554</v>
      </c>
      <c r="C355" s="134" t="s">
        <v>27553</v>
      </c>
      <c r="D355" s="134" t="s">
        <v>12294</v>
      </c>
      <c r="E355" s="139">
        <v>0.22</v>
      </c>
      <c r="F355" s="134" t="s">
        <v>12293</v>
      </c>
      <c r="G355" s="134" t="s">
        <v>3007</v>
      </c>
      <c r="H355" s="254">
        <v>13967</v>
      </c>
    </row>
    <row r="356" spans="1:8" x14ac:dyDescent="0.25">
      <c r="A356" s="134" t="s">
        <v>27552</v>
      </c>
      <c r="B356" s="134" t="s">
        <v>27551</v>
      </c>
      <c r="C356" s="134" t="s">
        <v>27550</v>
      </c>
      <c r="D356" s="134" t="s">
        <v>3215</v>
      </c>
      <c r="E356" s="139">
        <v>8.77</v>
      </c>
      <c r="F356" s="134" t="s">
        <v>3214</v>
      </c>
      <c r="G356" s="134" t="s">
        <v>3007</v>
      </c>
      <c r="H356" s="254">
        <v>13968</v>
      </c>
    </row>
    <row r="357" spans="1:8" x14ac:dyDescent="0.25">
      <c r="A357" s="134" t="s">
        <v>27539</v>
      </c>
      <c r="B357" s="134" t="s">
        <v>27549</v>
      </c>
      <c r="C357" s="134" t="s">
        <v>27548</v>
      </c>
      <c r="D357" s="358">
        <v>3901510</v>
      </c>
      <c r="E357" s="139">
        <v>2.2200000000000002</v>
      </c>
      <c r="F357" s="134" t="s">
        <v>3578</v>
      </c>
      <c r="G357" s="134" t="s">
        <v>3007</v>
      </c>
      <c r="H357" s="254">
        <v>13976</v>
      </c>
    </row>
    <row r="358" spans="1:8" x14ac:dyDescent="0.25">
      <c r="A358" s="134" t="s">
        <v>27539</v>
      </c>
      <c r="B358" s="134" t="s">
        <v>27547</v>
      </c>
      <c r="C358" s="134" t="s">
        <v>27546</v>
      </c>
      <c r="D358" s="358">
        <v>3908111</v>
      </c>
      <c r="E358" s="139">
        <v>10.09</v>
      </c>
      <c r="F358" s="134" t="s">
        <v>27545</v>
      </c>
      <c r="G358" s="134" t="s">
        <v>3007</v>
      </c>
      <c r="H358" s="254">
        <v>13977</v>
      </c>
    </row>
    <row r="359" spans="1:8" x14ac:dyDescent="0.25">
      <c r="A359" s="134" t="s">
        <v>27539</v>
      </c>
      <c r="B359" s="134" t="s">
        <v>27544</v>
      </c>
      <c r="C359" s="134" t="s">
        <v>27543</v>
      </c>
      <c r="D359" s="358">
        <v>3960372</v>
      </c>
      <c r="E359" s="139">
        <v>16.760000000000002</v>
      </c>
      <c r="F359" s="134" t="s">
        <v>6466</v>
      </c>
      <c r="G359" s="134" t="s">
        <v>3007</v>
      </c>
      <c r="H359" s="254">
        <v>13978</v>
      </c>
    </row>
    <row r="360" spans="1:8" x14ac:dyDescent="0.25">
      <c r="A360" s="134" t="s">
        <v>27539</v>
      </c>
      <c r="B360" s="134" t="s">
        <v>27542</v>
      </c>
      <c r="C360" s="134" t="s">
        <v>27541</v>
      </c>
      <c r="D360" s="358">
        <v>3909011</v>
      </c>
      <c r="E360" s="139">
        <v>13.3</v>
      </c>
      <c r="F360" s="134" t="s">
        <v>6706</v>
      </c>
      <c r="G360" s="134" t="s">
        <v>3007</v>
      </c>
      <c r="H360" s="254">
        <v>13979</v>
      </c>
    </row>
    <row r="361" spans="1:8" x14ac:dyDescent="0.25">
      <c r="A361" s="134" t="s">
        <v>27539</v>
      </c>
      <c r="B361" s="134" t="s">
        <v>3209</v>
      </c>
      <c r="C361" s="134" t="s">
        <v>27540</v>
      </c>
      <c r="D361" s="358">
        <v>3908972</v>
      </c>
      <c r="E361" s="139">
        <v>5.86</v>
      </c>
      <c r="F361" s="134" t="s">
        <v>4059</v>
      </c>
      <c r="G361" s="134" t="s">
        <v>3007</v>
      </c>
      <c r="H361" s="254">
        <v>13980</v>
      </c>
    </row>
    <row r="362" spans="1:8" x14ac:dyDescent="0.25">
      <c r="A362" s="134" t="s">
        <v>27539</v>
      </c>
      <c r="B362" s="134" t="s">
        <v>27538</v>
      </c>
      <c r="C362" s="134" t="s">
        <v>27537</v>
      </c>
      <c r="D362" s="358">
        <v>3900195</v>
      </c>
      <c r="E362" s="139">
        <v>0.66</v>
      </c>
      <c r="F362" s="134" t="s">
        <v>10798</v>
      </c>
      <c r="G362" s="134" t="s">
        <v>3007</v>
      </c>
      <c r="H362" s="254">
        <v>13981</v>
      </c>
    </row>
    <row r="363" spans="1:8" x14ac:dyDescent="0.25">
      <c r="A363" s="134" t="s">
        <v>27488</v>
      </c>
      <c r="B363" s="134" t="s">
        <v>27536</v>
      </c>
      <c r="C363" s="134" t="s">
        <v>27535</v>
      </c>
      <c r="D363" s="134" t="s">
        <v>6647</v>
      </c>
      <c r="E363" s="139">
        <v>19.350000000000001</v>
      </c>
      <c r="F363" s="134" t="s">
        <v>6646</v>
      </c>
      <c r="G363" s="134" t="s">
        <v>3007</v>
      </c>
      <c r="H363" s="254">
        <v>14046</v>
      </c>
    </row>
    <row r="364" spans="1:8" x14ac:dyDescent="0.25">
      <c r="A364" s="134" t="s">
        <v>27488</v>
      </c>
      <c r="B364" s="134" t="s">
        <v>27534</v>
      </c>
      <c r="C364" s="134" t="s">
        <v>27533</v>
      </c>
      <c r="D364" s="134" t="s">
        <v>3333</v>
      </c>
      <c r="E364" s="139">
        <v>6.53</v>
      </c>
      <c r="F364" s="134" t="s">
        <v>3332</v>
      </c>
      <c r="G364" s="134" t="s">
        <v>3007</v>
      </c>
      <c r="H364" s="254">
        <v>14047</v>
      </c>
    </row>
    <row r="365" spans="1:8" x14ac:dyDescent="0.25">
      <c r="A365" s="134" t="s">
        <v>27488</v>
      </c>
      <c r="B365" s="134" t="s">
        <v>27532</v>
      </c>
      <c r="C365" s="134" t="s">
        <v>27531</v>
      </c>
      <c r="D365" s="134" t="s">
        <v>5490</v>
      </c>
      <c r="E365" s="139">
        <v>4.37</v>
      </c>
      <c r="F365" s="134" t="s">
        <v>5489</v>
      </c>
      <c r="G365" s="134" t="s">
        <v>3007</v>
      </c>
      <c r="H365" s="254">
        <v>14048</v>
      </c>
    </row>
    <row r="366" spans="1:8" x14ac:dyDescent="0.25">
      <c r="A366" s="134" t="s">
        <v>27488</v>
      </c>
      <c r="B366" s="134" t="s">
        <v>27530</v>
      </c>
      <c r="C366" s="134" t="s">
        <v>27529</v>
      </c>
      <c r="D366" s="134" t="s">
        <v>3538</v>
      </c>
      <c r="E366" s="139">
        <v>6.83</v>
      </c>
      <c r="F366" s="134" t="s">
        <v>3537</v>
      </c>
      <c r="G366" s="134" t="s">
        <v>3007</v>
      </c>
      <c r="H366" s="254">
        <v>14049</v>
      </c>
    </row>
    <row r="367" spans="1:8" x14ac:dyDescent="0.25">
      <c r="A367" s="134" t="s">
        <v>27488</v>
      </c>
      <c r="B367" s="134" t="s">
        <v>27528</v>
      </c>
      <c r="C367" s="134" t="s">
        <v>27527</v>
      </c>
      <c r="D367" s="134" t="s">
        <v>5448</v>
      </c>
      <c r="E367" s="139">
        <v>2.99</v>
      </c>
      <c r="F367" s="134" t="s">
        <v>5447</v>
      </c>
      <c r="G367" s="134" t="s">
        <v>3007</v>
      </c>
      <c r="H367" s="254">
        <v>14050</v>
      </c>
    </row>
    <row r="368" spans="1:8" x14ac:dyDescent="0.25">
      <c r="A368" s="134" t="s">
        <v>27488</v>
      </c>
      <c r="B368" s="134" t="s">
        <v>27526</v>
      </c>
      <c r="C368" s="134" t="s">
        <v>27525</v>
      </c>
      <c r="D368" s="134" t="s">
        <v>9114</v>
      </c>
      <c r="E368" s="139">
        <v>8.98</v>
      </c>
      <c r="F368" s="134" t="s">
        <v>9113</v>
      </c>
      <c r="G368" s="134" t="s">
        <v>3007</v>
      </c>
      <c r="H368" s="254">
        <v>14051</v>
      </c>
    </row>
    <row r="369" spans="1:8" x14ac:dyDescent="0.25">
      <c r="A369" s="134" t="s">
        <v>27488</v>
      </c>
      <c r="B369" s="134" t="s">
        <v>27524</v>
      </c>
      <c r="C369" s="134" t="s">
        <v>27523</v>
      </c>
      <c r="D369" s="134" t="s">
        <v>8546</v>
      </c>
      <c r="E369" s="139">
        <v>20.440000000000001</v>
      </c>
      <c r="F369" s="134" t="s">
        <v>8545</v>
      </c>
      <c r="G369" s="134" t="s">
        <v>3007</v>
      </c>
      <c r="H369" s="254">
        <v>14052</v>
      </c>
    </row>
    <row r="370" spans="1:8" x14ac:dyDescent="0.25">
      <c r="A370" s="134" t="s">
        <v>27488</v>
      </c>
      <c r="B370" s="134" t="s">
        <v>8771</v>
      </c>
      <c r="C370" s="134" t="s">
        <v>27522</v>
      </c>
      <c r="D370" s="134" t="s">
        <v>27521</v>
      </c>
      <c r="E370" s="139">
        <v>4.1900000000000004</v>
      </c>
      <c r="F370" s="134" t="s">
        <v>27520</v>
      </c>
      <c r="G370" s="134" t="s">
        <v>3007</v>
      </c>
      <c r="H370" s="254">
        <v>14053</v>
      </c>
    </row>
    <row r="371" spans="1:8" x14ac:dyDescent="0.25">
      <c r="A371" s="134" t="s">
        <v>27488</v>
      </c>
      <c r="B371" s="134" t="s">
        <v>27519</v>
      </c>
      <c r="C371" s="134" t="s">
        <v>27518</v>
      </c>
      <c r="D371" s="134" t="s">
        <v>3026</v>
      </c>
      <c r="E371" s="139">
        <v>1.68</v>
      </c>
      <c r="F371" s="134" t="s">
        <v>3025</v>
      </c>
      <c r="G371" s="134" t="s">
        <v>3007</v>
      </c>
      <c r="H371" s="254">
        <v>14054</v>
      </c>
    </row>
    <row r="372" spans="1:8" x14ac:dyDescent="0.25">
      <c r="A372" s="134" t="s">
        <v>27488</v>
      </c>
      <c r="B372" s="134" t="s">
        <v>27517</v>
      </c>
      <c r="C372" s="134" t="s">
        <v>27516</v>
      </c>
      <c r="D372" s="134" t="s">
        <v>10077</v>
      </c>
      <c r="E372" s="139">
        <v>10.36</v>
      </c>
      <c r="F372" s="134" t="s">
        <v>10076</v>
      </c>
      <c r="G372" s="134" t="s">
        <v>3007</v>
      </c>
      <c r="H372" s="254">
        <v>14055</v>
      </c>
    </row>
    <row r="373" spans="1:8" x14ac:dyDescent="0.25">
      <c r="A373" s="134" t="s">
        <v>27488</v>
      </c>
      <c r="B373" s="134" t="s">
        <v>27515</v>
      </c>
      <c r="C373" s="134" t="s">
        <v>27514</v>
      </c>
      <c r="D373" s="134" t="s">
        <v>7289</v>
      </c>
      <c r="E373" s="139">
        <v>6.98</v>
      </c>
      <c r="F373" s="134" t="s">
        <v>7288</v>
      </c>
      <c r="G373" s="134" t="s">
        <v>3007</v>
      </c>
      <c r="H373" s="254">
        <v>14056</v>
      </c>
    </row>
    <row r="374" spans="1:8" x14ac:dyDescent="0.25">
      <c r="A374" s="134" t="s">
        <v>27488</v>
      </c>
      <c r="B374" s="134" t="s">
        <v>27513</v>
      </c>
      <c r="C374" s="134" t="s">
        <v>27512</v>
      </c>
      <c r="D374" s="134" t="s">
        <v>4416</v>
      </c>
      <c r="E374" s="139">
        <v>24.63</v>
      </c>
      <c r="F374" s="134" t="s">
        <v>4415</v>
      </c>
      <c r="G374" s="134" t="s">
        <v>3007</v>
      </c>
      <c r="H374" s="254">
        <v>14057</v>
      </c>
    </row>
    <row r="375" spans="1:8" x14ac:dyDescent="0.25">
      <c r="A375" s="134" t="s">
        <v>27488</v>
      </c>
      <c r="B375" s="134" t="s">
        <v>27511</v>
      </c>
      <c r="C375" s="134" t="s">
        <v>27510</v>
      </c>
      <c r="D375" s="134" t="s">
        <v>8293</v>
      </c>
      <c r="E375" s="139">
        <v>3.36</v>
      </c>
      <c r="F375" s="134" t="s">
        <v>8292</v>
      </c>
      <c r="G375" s="134" t="s">
        <v>3007</v>
      </c>
      <c r="H375" s="254">
        <v>14058</v>
      </c>
    </row>
    <row r="376" spans="1:8" x14ac:dyDescent="0.25">
      <c r="A376" s="134" t="s">
        <v>27488</v>
      </c>
      <c r="B376" s="134" t="s">
        <v>27509</v>
      </c>
      <c r="C376" s="134" t="s">
        <v>27508</v>
      </c>
      <c r="D376" s="134" t="s">
        <v>5523</v>
      </c>
      <c r="E376" s="139">
        <v>1.2</v>
      </c>
      <c r="F376" s="134" t="s">
        <v>5522</v>
      </c>
      <c r="G376" s="134" t="s">
        <v>3007</v>
      </c>
      <c r="H376" s="254">
        <v>14059</v>
      </c>
    </row>
    <row r="377" spans="1:8" x14ac:dyDescent="0.25">
      <c r="A377" s="134" t="s">
        <v>27488</v>
      </c>
      <c r="B377" s="134" t="s">
        <v>27507</v>
      </c>
      <c r="C377" s="134" t="s">
        <v>27506</v>
      </c>
      <c r="D377" s="134" t="s">
        <v>27505</v>
      </c>
      <c r="E377" s="139">
        <v>17.12</v>
      </c>
      <c r="F377" s="134" t="s">
        <v>27504</v>
      </c>
      <c r="G377" s="134" t="s">
        <v>3007</v>
      </c>
      <c r="H377" s="254">
        <v>14060</v>
      </c>
    </row>
    <row r="378" spans="1:8" x14ac:dyDescent="0.25">
      <c r="A378" s="134" t="s">
        <v>27488</v>
      </c>
      <c r="B378" s="134" t="s">
        <v>27503</v>
      </c>
      <c r="C378" s="134" t="s">
        <v>27502</v>
      </c>
      <c r="D378" s="134" t="s">
        <v>6250</v>
      </c>
      <c r="E378" s="139">
        <v>4.9400000000000004</v>
      </c>
      <c r="F378" s="134" t="s">
        <v>6249</v>
      </c>
      <c r="G378" s="134" t="s">
        <v>3007</v>
      </c>
      <c r="H378" s="254">
        <v>14061</v>
      </c>
    </row>
    <row r="379" spans="1:8" x14ac:dyDescent="0.25">
      <c r="A379" s="134" t="s">
        <v>27488</v>
      </c>
      <c r="B379" s="134" t="s">
        <v>27501</v>
      </c>
      <c r="C379" s="134" t="s">
        <v>27500</v>
      </c>
      <c r="D379" s="134" t="s">
        <v>9907</v>
      </c>
      <c r="E379" s="139">
        <v>1.74</v>
      </c>
      <c r="F379" s="134" t="s">
        <v>9906</v>
      </c>
      <c r="G379" s="134" t="s">
        <v>3007</v>
      </c>
      <c r="H379" s="254">
        <v>14062</v>
      </c>
    </row>
    <row r="380" spans="1:8" x14ac:dyDescent="0.25">
      <c r="A380" s="134" t="s">
        <v>27488</v>
      </c>
      <c r="B380" s="134" t="s">
        <v>27499</v>
      </c>
      <c r="C380" s="134" t="s">
        <v>27498</v>
      </c>
      <c r="D380" s="134" t="s">
        <v>11346</v>
      </c>
      <c r="E380" s="139">
        <v>5.86</v>
      </c>
      <c r="F380" s="134" t="s">
        <v>11345</v>
      </c>
      <c r="G380" s="134" t="s">
        <v>3007</v>
      </c>
      <c r="H380" s="254">
        <v>14063</v>
      </c>
    </row>
    <row r="381" spans="1:8" x14ac:dyDescent="0.25">
      <c r="A381" s="134" t="s">
        <v>27488</v>
      </c>
      <c r="B381" s="134" t="s">
        <v>27497</v>
      </c>
      <c r="C381" s="134" t="s">
        <v>27496</v>
      </c>
      <c r="D381" s="134" t="s">
        <v>3325</v>
      </c>
      <c r="E381" s="139">
        <v>8.3800000000000008</v>
      </c>
      <c r="F381" s="134" t="s">
        <v>3324</v>
      </c>
      <c r="G381" s="134" t="s">
        <v>3007</v>
      </c>
      <c r="H381" s="254">
        <v>14064</v>
      </c>
    </row>
    <row r="382" spans="1:8" x14ac:dyDescent="0.25">
      <c r="A382" s="134" t="s">
        <v>27488</v>
      </c>
      <c r="B382" s="134" t="s">
        <v>27495</v>
      </c>
      <c r="C382" s="134" t="s">
        <v>27494</v>
      </c>
      <c r="D382" s="134" t="s">
        <v>4257</v>
      </c>
      <c r="E382" s="139">
        <v>8.3800000000000008</v>
      </c>
      <c r="F382" s="134" t="s">
        <v>4256</v>
      </c>
      <c r="G382" s="134" t="s">
        <v>3007</v>
      </c>
      <c r="H382" s="254">
        <v>14065</v>
      </c>
    </row>
    <row r="383" spans="1:8" x14ac:dyDescent="0.25">
      <c r="A383" s="134" t="s">
        <v>27488</v>
      </c>
      <c r="B383" s="134" t="s">
        <v>11775</v>
      </c>
      <c r="C383" s="134" t="s">
        <v>27493</v>
      </c>
      <c r="D383" s="134" t="s">
        <v>7138</v>
      </c>
      <c r="E383" s="139">
        <v>8.16</v>
      </c>
      <c r="F383" s="134" t="s">
        <v>7137</v>
      </c>
      <c r="G383" s="134" t="s">
        <v>3007</v>
      </c>
      <c r="H383" s="254">
        <v>14066</v>
      </c>
    </row>
    <row r="384" spans="1:8" x14ac:dyDescent="0.25">
      <c r="A384" s="134" t="s">
        <v>27488</v>
      </c>
      <c r="B384" s="134" t="s">
        <v>27492</v>
      </c>
      <c r="C384" s="134" t="s">
        <v>27491</v>
      </c>
      <c r="D384" s="134" t="s">
        <v>10944</v>
      </c>
      <c r="E384" s="139">
        <v>5.04</v>
      </c>
      <c r="F384" s="134" t="s">
        <v>10943</v>
      </c>
      <c r="G384" s="134" t="s">
        <v>3007</v>
      </c>
      <c r="H384" s="254">
        <v>14067</v>
      </c>
    </row>
    <row r="385" spans="1:8" x14ac:dyDescent="0.25">
      <c r="A385" s="134" t="s">
        <v>27488</v>
      </c>
      <c r="B385" s="134" t="s">
        <v>27490</v>
      </c>
      <c r="C385" s="134" t="s">
        <v>27489</v>
      </c>
      <c r="D385" s="134" t="s">
        <v>3434</v>
      </c>
      <c r="E385" s="139">
        <v>8.3800000000000008</v>
      </c>
      <c r="F385" s="134" t="s">
        <v>3433</v>
      </c>
      <c r="G385" s="134" t="s">
        <v>3007</v>
      </c>
      <c r="H385" s="254">
        <v>14068</v>
      </c>
    </row>
    <row r="386" spans="1:8" x14ac:dyDescent="0.25">
      <c r="A386" s="134" t="s">
        <v>27488</v>
      </c>
      <c r="B386" s="134" t="s">
        <v>6775</v>
      </c>
      <c r="C386" s="134" t="s">
        <v>27487</v>
      </c>
      <c r="D386" s="134" t="s">
        <v>9766</v>
      </c>
      <c r="E386" s="139">
        <v>4.1100000000000003</v>
      </c>
      <c r="F386" s="134" t="s">
        <v>9765</v>
      </c>
      <c r="G386" s="134" t="s">
        <v>3007</v>
      </c>
      <c r="H386" s="254">
        <v>14085</v>
      </c>
    </row>
    <row r="387" spans="1:8" s="200" customFormat="1" x14ac:dyDescent="0.25">
      <c r="A387" s="198"/>
      <c r="B387" s="198"/>
      <c r="C387" s="198" t="s">
        <v>5691</v>
      </c>
      <c r="D387" s="198" t="s">
        <v>14414</v>
      </c>
      <c r="E387" s="199">
        <f>SUM(E327:E386)</f>
        <v>499.55000000000013</v>
      </c>
      <c r="F387" s="198"/>
      <c r="G387" s="198"/>
      <c r="H387" s="172"/>
    </row>
    <row r="388" spans="1:8" s="200" customFormat="1" x14ac:dyDescent="0.25">
      <c r="A388" s="198"/>
      <c r="B388" s="198"/>
      <c r="C388" s="198"/>
      <c r="D388" s="198"/>
      <c r="E388" s="199"/>
      <c r="F388" s="198"/>
      <c r="G388" s="198"/>
      <c r="H388" s="172"/>
    </row>
    <row r="389" spans="1:8" x14ac:dyDescent="0.25">
      <c r="A389" s="134"/>
      <c r="B389" s="134"/>
      <c r="C389" s="134"/>
      <c r="D389" s="134"/>
      <c r="E389" s="139"/>
      <c r="F389" s="134"/>
      <c r="G389" s="134"/>
      <c r="H389" s="254"/>
    </row>
    <row r="390" spans="1:8" x14ac:dyDescent="0.25">
      <c r="A390" s="134"/>
      <c r="B390" s="134"/>
      <c r="C390" s="134"/>
      <c r="D390" s="134"/>
      <c r="E390" s="139"/>
      <c r="F390" s="134"/>
      <c r="G390" s="134"/>
      <c r="H390" s="254"/>
    </row>
    <row r="391" spans="1:8" x14ac:dyDescent="0.25">
      <c r="A391" s="134"/>
      <c r="B391" s="134"/>
      <c r="C391" s="134"/>
      <c r="D391" s="134"/>
      <c r="E391" s="139"/>
      <c r="F391" s="134"/>
      <c r="G391" s="134"/>
      <c r="H391" s="254"/>
    </row>
    <row r="392" spans="1:8" x14ac:dyDescent="0.25">
      <c r="A392" s="134"/>
      <c r="B392" s="134"/>
      <c r="C392" s="134"/>
      <c r="D392" s="134"/>
      <c r="E392" s="139"/>
      <c r="F392" s="134"/>
      <c r="G392" s="134"/>
      <c r="H392" s="254"/>
    </row>
    <row r="393" spans="1:8" x14ac:dyDescent="0.25">
      <c r="A393" s="134"/>
      <c r="B393" s="134"/>
      <c r="C393" s="134"/>
      <c r="D393" s="134"/>
      <c r="E393" s="139"/>
      <c r="F393" s="134"/>
      <c r="G393" s="134"/>
      <c r="H393" s="254"/>
    </row>
    <row r="394" spans="1:8" x14ac:dyDescent="0.25">
      <c r="A394" s="134"/>
      <c r="B394" s="134"/>
      <c r="C394" s="134"/>
      <c r="D394" s="134"/>
      <c r="E394" s="139"/>
      <c r="F394" s="134"/>
      <c r="G394" s="134"/>
      <c r="H394" s="254"/>
    </row>
    <row r="395" spans="1:8" x14ac:dyDescent="0.25">
      <c r="A395" s="134"/>
      <c r="B395" s="134"/>
      <c r="C395" s="134"/>
      <c r="D395" s="134"/>
      <c r="E395" s="139"/>
      <c r="F395" s="134"/>
      <c r="G395" s="134"/>
      <c r="H395" s="254"/>
    </row>
    <row r="396" spans="1:8" x14ac:dyDescent="0.25">
      <c r="A396" s="134"/>
      <c r="B396" s="134"/>
      <c r="C396" s="134"/>
      <c r="D396" s="134"/>
      <c r="E396" s="139"/>
      <c r="F396" s="134"/>
      <c r="G396" s="134"/>
      <c r="H396" s="254"/>
    </row>
    <row r="397" spans="1:8" x14ac:dyDescent="0.25">
      <c r="A397" s="134"/>
      <c r="B397" s="134"/>
      <c r="C397" s="134"/>
      <c r="D397" s="134"/>
      <c r="E397" s="139"/>
      <c r="F397" s="134"/>
      <c r="G397" s="134"/>
      <c r="H397" s="254"/>
    </row>
    <row r="398" spans="1:8" x14ac:dyDescent="0.25">
      <c r="A398" s="134"/>
      <c r="B398" s="134"/>
      <c r="C398" s="134"/>
      <c r="D398" s="134"/>
      <c r="E398" s="139"/>
      <c r="F398" s="134"/>
      <c r="G398" s="134"/>
      <c r="H398" s="254"/>
    </row>
    <row r="399" spans="1:8" x14ac:dyDescent="0.25">
      <c r="A399" s="134"/>
      <c r="B399" s="134"/>
      <c r="C399" s="134"/>
      <c r="D399" s="134"/>
      <c r="E399" s="139"/>
      <c r="F399" s="134"/>
      <c r="G399" s="134"/>
      <c r="H399" s="254"/>
    </row>
    <row r="400" spans="1:8" x14ac:dyDescent="0.25">
      <c r="A400" s="134"/>
      <c r="B400" s="134"/>
      <c r="C400" s="134"/>
      <c r="D400" s="134"/>
      <c r="E400" s="139"/>
      <c r="F400" s="134"/>
      <c r="G400" s="134"/>
      <c r="H400" s="254"/>
    </row>
    <row r="401" spans="1:8" x14ac:dyDescent="0.25">
      <c r="A401" s="134"/>
      <c r="B401" s="134"/>
      <c r="C401" s="134"/>
      <c r="D401" s="134"/>
      <c r="E401" s="139"/>
      <c r="F401" s="134"/>
      <c r="G401" s="134"/>
      <c r="H401" s="254"/>
    </row>
    <row r="402" spans="1:8" x14ac:dyDescent="0.25">
      <c r="A402" s="134"/>
      <c r="B402" s="134"/>
      <c r="C402" s="134"/>
      <c r="D402" s="134"/>
      <c r="E402" s="139"/>
      <c r="F402" s="134"/>
      <c r="G402" s="134"/>
      <c r="H402" s="254"/>
    </row>
    <row r="403" spans="1:8" x14ac:dyDescent="0.25">
      <c r="A403" s="134"/>
      <c r="B403" s="134"/>
      <c r="C403" s="134"/>
      <c r="D403" s="134"/>
      <c r="E403" s="139"/>
      <c r="F403" s="134"/>
      <c r="G403" s="134"/>
      <c r="H403" s="254"/>
    </row>
    <row r="404" spans="1:8" x14ac:dyDescent="0.25">
      <c r="A404" s="134"/>
      <c r="B404" s="134"/>
      <c r="C404" s="134"/>
      <c r="D404" s="134"/>
      <c r="E404" s="139"/>
      <c r="F404" s="134"/>
      <c r="G404" s="134"/>
      <c r="H404" s="254"/>
    </row>
    <row r="405" spans="1:8" x14ac:dyDescent="0.25">
      <c r="A405" s="134"/>
      <c r="B405" s="134"/>
      <c r="C405" s="134"/>
      <c r="D405" s="134"/>
      <c r="E405" s="139"/>
      <c r="F405" s="134"/>
      <c r="G405" s="134"/>
      <c r="H405" s="254"/>
    </row>
    <row r="406" spans="1:8" x14ac:dyDescent="0.25">
      <c r="A406" s="134"/>
      <c r="B406" s="134"/>
      <c r="C406" s="134"/>
      <c r="D406" s="134"/>
      <c r="E406" s="139"/>
      <c r="F406" s="134"/>
      <c r="G406" s="134"/>
      <c r="H406" s="254"/>
    </row>
    <row r="407" spans="1:8" x14ac:dyDescent="0.25">
      <c r="A407" s="134"/>
      <c r="B407" s="134"/>
      <c r="C407" s="134"/>
      <c r="D407" s="134"/>
      <c r="E407" s="139"/>
      <c r="F407" s="134"/>
      <c r="G407" s="134"/>
      <c r="H407" s="254"/>
    </row>
    <row r="408" spans="1:8" x14ac:dyDescent="0.25">
      <c r="A408" s="134"/>
      <c r="B408" s="134"/>
      <c r="C408" s="134"/>
      <c r="D408" s="134"/>
      <c r="E408" s="139"/>
      <c r="F408" s="134"/>
      <c r="G408" s="134"/>
      <c r="H408" s="254"/>
    </row>
    <row r="409" spans="1:8" x14ac:dyDescent="0.25">
      <c r="A409" s="134"/>
      <c r="B409" s="134"/>
      <c r="C409" s="134"/>
      <c r="D409" s="134"/>
      <c r="E409" s="139"/>
      <c r="F409" s="134"/>
      <c r="G409" s="134"/>
      <c r="H409" s="254"/>
    </row>
    <row r="410" spans="1:8" x14ac:dyDescent="0.25">
      <c r="A410" s="134"/>
      <c r="B410" s="134"/>
      <c r="C410" s="134"/>
      <c r="D410" s="134"/>
      <c r="E410" s="139"/>
      <c r="F410" s="134"/>
      <c r="G410" s="134"/>
      <c r="H410" s="254"/>
    </row>
    <row r="411" spans="1:8" x14ac:dyDescent="0.25">
      <c r="A411" s="134"/>
      <c r="B411" s="134"/>
      <c r="C411" s="134"/>
      <c r="D411" s="134"/>
      <c r="E411" s="139"/>
      <c r="F411" s="134"/>
      <c r="G411" s="134"/>
      <c r="H411" s="254"/>
    </row>
    <row r="412" spans="1:8" x14ac:dyDescent="0.25">
      <c r="A412" s="134"/>
      <c r="B412" s="134"/>
      <c r="C412" s="134"/>
      <c r="D412" s="134"/>
      <c r="E412" s="139"/>
      <c r="F412" s="134"/>
      <c r="G412" s="134"/>
      <c r="H412" s="254"/>
    </row>
    <row r="413" spans="1:8" x14ac:dyDescent="0.25">
      <c r="A413" s="134"/>
      <c r="B413" s="134"/>
      <c r="C413" s="134"/>
      <c r="D413" s="134"/>
      <c r="E413" s="139"/>
      <c r="F413" s="134"/>
      <c r="G413" s="134"/>
      <c r="H413" s="254"/>
    </row>
    <row r="414" spans="1:8" x14ac:dyDescent="0.25">
      <c r="A414" s="134"/>
      <c r="B414" s="134"/>
      <c r="C414" s="134"/>
      <c r="D414" s="134"/>
      <c r="E414" s="139"/>
      <c r="F414" s="134"/>
      <c r="G414" s="134"/>
      <c r="H414" s="254"/>
    </row>
    <row r="415" spans="1:8" x14ac:dyDescent="0.25">
      <c r="A415" s="134"/>
      <c r="B415" s="134"/>
      <c r="C415" s="134"/>
      <c r="D415" s="134"/>
      <c r="E415" s="139"/>
      <c r="F415" s="134"/>
      <c r="G415" s="134"/>
      <c r="H415" s="254"/>
    </row>
    <row r="416" spans="1:8" x14ac:dyDescent="0.25">
      <c r="A416" s="134"/>
      <c r="B416" s="134"/>
      <c r="C416" s="134"/>
      <c r="D416" s="134"/>
      <c r="E416" s="139"/>
      <c r="F416" s="134"/>
      <c r="G416" s="134"/>
      <c r="H416" s="254"/>
    </row>
    <row r="417" spans="1:8" x14ac:dyDescent="0.25">
      <c r="A417" s="134"/>
      <c r="B417" s="134"/>
      <c r="C417" s="134"/>
      <c r="D417" s="134"/>
      <c r="E417" s="139"/>
      <c r="F417" s="134"/>
      <c r="G417" s="134"/>
      <c r="H417" s="254"/>
    </row>
    <row r="418" spans="1:8" x14ac:dyDescent="0.25">
      <c r="A418" s="134"/>
      <c r="B418" s="134"/>
      <c r="C418" s="134"/>
      <c r="D418" s="134"/>
      <c r="E418" s="139"/>
      <c r="F418" s="134"/>
      <c r="G418" s="134"/>
      <c r="H418" s="254"/>
    </row>
    <row r="419" spans="1:8" x14ac:dyDescent="0.25">
      <c r="A419" s="134"/>
      <c r="B419" s="134"/>
      <c r="C419" s="134"/>
      <c r="D419" s="134"/>
      <c r="E419" s="139"/>
      <c r="F419" s="134"/>
      <c r="G419" s="134"/>
      <c r="H419" s="254"/>
    </row>
    <row r="420" spans="1:8" x14ac:dyDescent="0.25">
      <c r="A420" s="134"/>
      <c r="B420" s="134"/>
      <c r="C420" s="134"/>
      <c r="D420" s="134"/>
      <c r="E420" s="139"/>
      <c r="F420" s="134"/>
      <c r="G420" s="134"/>
      <c r="H420" s="254"/>
    </row>
    <row r="421" spans="1:8" x14ac:dyDescent="0.25">
      <c r="A421" s="134"/>
      <c r="B421" s="134"/>
      <c r="C421" s="134"/>
      <c r="D421" s="134"/>
      <c r="E421" s="139"/>
      <c r="F421" s="134"/>
      <c r="G421" s="134"/>
      <c r="H421" s="254"/>
    </row>
    <row r="422" spans="1:8" x14ac:dyDescent="0.25">
      <c r="A422" s="134"/>
      <c r="B422" s="134"/>
      <c r="C422" s="134"/>
      <c r="D422" s="134"/>
      <c r="E422" s="139"/>
      <c r="F422" s="134"/>
      <c r="G422" s="134"/>
      <c r="H422" s="254"/>
    </row>
    <row r="423" spans="1:8" x14ac:dyDescent="0.25">
      <c r="A423" s="134"/>
      <c r="B423" s="134"/>
      <c r="C423" s="134"/>
      <c r="D423" s="134"/>
      <c r="E423" s="139"/>
      <c r="F423" s="134"/>
      <c r="G423" s="134"/>
      <c r="H423" s="254"/>
    </row>
    <row r="424" spans="1:8" x14ac:dyDescent="0.25">
      <c r="A424" s="134"/>
      <c r="B424" s="134"/>
      <c r="C424" s="134"/>
      <c r="D424" s="134"/>
      <c r="E424" s="139"/>
      <c r="F424" s="134"/>
      <c r="G424" s="134"/>
      <c r="H424" s="254"/>
    </row>
    <row r="425" spans="1:8" x14ac:dyDescent="0.25">
      <c r="A425" s="134"/>
      <c r="B425" s="134"/>
      <c r="C425" s="134"/>
      <c r="D425" s="134"/>
      <c r="E425" s="139"/>
      <c r="F425" s="134"/>
      <c r="G425" s="134"/>
      <c r="H425" s="254"/>
    </row>
    <row r="426" spans="1:8" x14ac:dyDescent="0.25">
      <c r="A426" s="134"/>
      <c r="B426" s="134"/>
      <c r="C426" s="134"/>
      <c r="D426" s="134"/>
      <c r="E426" s="139"/>
      <c r="F426" s="134"/>
      <c r="G426" s="134"/>
      <c r="H426" s="254"/>
    </row>
    <row r="427" spans="1:8" x14ac:dyDescent="0.25">
      <c r="A427" s="134"/>
      <c r="B427" s="134"/>
      <c r="C427" s="134"/>
      <c r="D427" s="134"/>
      <c r="E427" s="139"/>
      <c r="F427" s="134"/>
      <c r="G427" s="134"/>
      <c r="H427" s="254"/>
    </row>
    <row r="428" spans="1:8" x14ac:dyDescent="0.25">
      <c r="A428" s="134"/>
      <c r="B428" s="134"/>
      <c r="C428" s="134"/>
      <c r="D428" s="134"/>
      <c r="E428" s="139"/>
      <c r="F428" s="134"/>
      <c r="G428" s="134"/>
      <c r="H428" s="254"/>
    </row>
    <row r="429" spans="1:8" x14ac:dyDescent="0.25">
      <c r="A429" s="134"/>
      <c r="B429" s="134"/>
      <c r="C429" s="134"/>
      <c r="D429" s="134"/>
      <c r="E429" s="139"/>
      <c r="F429" s="134"/>
      <c r="G429" s="134"/>
      <c r="H429" s="254"/>
    </row>
    <row r="430" spans="1:8" x14ac:dyDescent="0.25">
      <c r="A430" s="134"/>
      <c r="B430" s="134"/>
      <c r="C430" s="134"/>
      <c r="D430" s="134"/>
      <c r="E430" s="139"/>
      <c r="F430" s="134"/>
      <c r="G430" s="134"/>
      <c r="H430" s="254"/>
    </row>
    <row r="431" spans="1:8" x14ac:dyDescent="0.25">
      <c r="A431" s="134"/>
      <c r="B431" s="134"/>
      <c r="C431" s="134"/>
      <c r="D431" s="134"/>
      <c r="E431" s="139"/>
      <c r="F431" s="134"/>
      <c r="G431" s="134"/>
      <c r="H431" s="124"/>
    </row>
    <row r="432" spans="1:8" x14ac:dyDescent="0.25">
      <c r="A432" s="134"/>
      <c r="B432" s="134"/>
      <c r="C432" s="134"/>
      <c r="D432" s="134"/>
      <c r="E432" s="139"/>
      <c r="F432" s="134"/>
      <c r="G432" s="134"/>
      <c r="H432" s="254"/>
    </row>
    <row r="433" spans="1:8" x14ac:dyDescent="0.25">
      <c r="A433" s="134"/>
      <c r="B433" s="134"/>
      <c r="C433" s="134"/>
      <c r="D433" s="134"/>
      <c r="E433" s="139"/>
      <c r="F433" s="134"/>
      <c r="G433" s="134"/>
      <c r="H433" s="254"/>
    </row>
    <row r="434" spans="1:8" x14ac:dyDescent="0.25">
      <c r="A434" s="134"/>
      <c r="B434" s="134"/>
      <c r="C434" s="134"/>
      <c r="D434" s="134"/>
      <c r="E434" s="139"/>
      <c r="F434" s="134"/>
      <c r="G434" s="134"/>
      <c r="H434" s="254"/>
    </row>
    <row r="435" spans="1:8" x14ac:dyDescent="0.25">
      <c r="A435" s="134"/>
      <c r="B435" s="134"/>
      <c r="C435" s="134"/>
      <c r="D435" s="134"/>
      <c r="E435" s="139"/>
      <c r="F435" s="134"/>
      <c r="G435" s="134"/>
      <c r="H435" s="254"/>
    </row>
    <row r="436" spans="1:8" x14ac:dyDescent="0.25">
      <c r="A436" s="134"/>
      <c r="B436" s="134"/>
      <c r="C436" s="134"/>
      <c r="D436" s="134"/>
      <c r="E436" s="139"/>
      <c r="F436" s="134"/>
      <c r="G436" s="134"/>
      <c r="H436" s="254"/>
    </row>
    <row r="437" spans="1:8" x14ac:dyDescent="0.25">
      <c r="A437" s="134"/>
      <c r="B437" s="134"/>
      <c r="C437" s="134"/>
      <c r="D437" s="134"/>
      <c r="E437" s="139"/>
      <c r="F437" s="134"/>
      <c r="G437" s="134"/>
      <c r="H437" s="254"/>
    </row>
    <row r="438" spans="1:8" x14ac:dyDescent="0.25">
      <c r="A438" s="134"/>
      <c r="B438" s="134"/>
      <c r="C438" s="134"/>
      <c r="D438" s="134"/>
      <c r="E438" s="139"/>
      <c r="F438" s="134"/>
      <c r="G438" s="134"/>
      <c r="H438" s="254"/>
    </row>
    <row r="439" spans="1:8" x14ac:dyDescent="0.25">
      <c r="A439" s="134"/>
      <c r="B439" s="134"/>
      <c r="C439" s="134"/>
      <c r="D439" s="134"/>
      <c r="E439" s="139"/>
      <c r="F439" s="134"/>
      <c r="G439" s="134"/>
      <c r="H439" s="254"/>
    </row>
    <row r="440" spans="1:8" x14ac:dyDescent="0.25">
      <c r="A440" s="134"/>
      <c r="B440" s="134"/>
      <c r="C440" s="134"/>
      <c r="D440" s="134"/>
      <c r="E440" s="139"/>
      <c r="F440" s="134"/>
      <c r="G440" s="134"/>
      <c r="H440" s="254"/>
    </row>
    <row r="441" spans="1:8" x14ac:dyDescent="0.25">
      <c r="A441" s="134"/>
      <c r="B441" s="134"/>
      <c r="C441" s="134"/>
      <c r="D441" s="134"/>
      <c r="E441" s="139"/>
      <c r="F441" s="134"/>
      <c r="G441" s="134"/>
      <c r="H441" s="254"/>
    </row>
    <row r="442" spans="1:8" x14ac:dyDescent="0.25">
      <c r="A442" s="134"/>
      <c r="B442" s="134"/>
      <c r="C442" s="134"/>
      <c r="D442" s="134"/>
      <c r="E442" s="139"/>
      <c r="F442" s="134"/>
      <c r="G442" s="134"/>
      <c r="H442" s="254"/>
    </row>
    <row r="443" spans="1:8" x14ac:dyDescent="0.25">
      <c r="A443" s="134"/>
      <c r="B443" s="134"/>
      <c r="C443" s="134"/>
      <c r="D443" s="134"/>
      <c r="E443" s="139"/>
      <c r="F443" s="134"/>
      <c r="G443" s="134"/>
      <c r="H443" s="254"/>
    </row>
    <row r="444" spans="1:8" x14ac:dyDescent="0.25">
      <c r="A444" s="134"/>
      <c r="B444" s="134"/>
      <c r="C444" s="134"/>
      <c r="D444" s="134"/>
      <c r="E444" s="139"/>
      <c r="F444" s="134"/>
      <c r="G444" s="134"/>
      <c r="H444" s="254"/>
    </row>
    <row r="445" spans="1:8" x14ac:dyDescent="0.25">
      <c r="A445" s="134"/>
      <c r="B445" s="134"/>
      <c r="C445" s="134"/>
      <c r="D445" s="134"/>
      <c r="E445" s="139"/>
      <c r="F445" s="134"/>
      <c r="G445" s="134"/>
      <c r="H445" s="254"/>
    </row>
    <row r="446" spans="1:8" x14ac:dyDescent="0.25">
      <c r="A446" s="134"/>
      <c r="B446" s="134"/>
      <c r="C446" s="134"/>
      <c r="D446" s="134"/>
      <c r="E446" s="139"/>
      <c r="F446" s="134"/>
      <c r="G446" s="134"/>
      <c r="H446" s="254"/>
    </row>
    <row r="447" spans="1:8" x14ac:dyDescent="0.25">
      <c r="A447" s="134"/>
      <c r="B447" s="134"/>
      <c r="C447" s="134"/>
      <c r="D447" s="134"/>
      <c r="E447" s="139"/>
      <c r="F447" s="134"/>
      <c r="G447" s="134"/>
      <c r="H447" s="254"/>
    </row>
    <row r="448" spans="1:8" x14ac:dyDescent="0.25">
      <c r="A448" s="134"/>
      <c r="B448" s="134"/>
      <c r="C448" s="134"/>
      <c r="D448" s="134"/>
      <c r="E448" s="139"/>
      <c r="F448" s="134"/>
      <c r="G448" s="134"/>
      <c r="H448" s="254"/>
    </row>
    <row r="449" spans="1:8" x14ac:dyDescent="0.25">
      <c r="A449" s="134"/>
      <c r="B449" s="134"/>
      <c r="C449" s="134"/>
      <c r="D449" s="134"/>
      <c r="E449" s="139"/>
      <c r="F449" s="134"/>
      <c r="G449" s="134"/>
      <c r="H449" s="254"/>
    </row>
    <row r="450" spans="1:8" x14ac:dyDescent="0.25">
      <c r="A450" s="134"/>
      <c r="B450" s="134"/>
      <c r="C450" s="134"/>
      <c r="D450" s="134"/>
      <c r="E450" s="139"/>
      <c r="F450" s="134"/>
      <c r="G450" s="134"/>
      <c r="H450" s="254"/>
    </row>
    <row r="451" spans="1:8" x14ac:dyDescent="0.25">
      <c r="A451" s="134"/>
      <c r="B451" s="134"/>
      <c r="C451" s="134"/>
      <c r="D451" s="134"/>
      <c r="E451" s="139"/>
      <c r="F451" s="134"/>
      <c r="G451" s="134"/>
      <c r="H451" s="254"/>
    </row>
    <row r="452" spans="1:8" x14ac:dyDescent="0.25">
      <c r="A452" s="134"/>
      <c r="B452" s="134"/>
      <c r="C452" s="134"/>
      <c r="D452" s="134"/>
      <c r="E452" s="139"/>
      <c r="F452" s="134"/>
      <c r="G452" s="134"/>
      <c r="H452" s="254"/>
    </row>
    <row r="453" spans="1:8" x14ac:dyDescent="0.25">
      <c r="A453" s="134"/>
      <c r="B453" s="134"/>
      <c r="C453" s="134"/>
      <c r="D453" s="134"/>
      <c r="E453" s="139"/>
      <c r="F453" s="134"/>
      <c r="G453" s="134"/>
      <c r="H453" s="254"/>
    </row>
    <row r="454" spans="1:8" x14ac:dyDescent="0.25">
      <c r="A454" s="134"/>
      <c r="B454" s="134"/>
      <c r="C454" s="134"/>
      <c r="D454" s="134"/>
      <c r="E454" s="139"/>
      <c r="F454" s="134"/>
      <c r="G454" s="134"/>
      <c r="H454" s="254"/>
    </row>
    <row r="455" spans="1:8" x14ac:dyDescent="0.25">
      <c r="A455" s="134"/>
      <c r="B455" s="134"/>
      <c r="C455" s="134"/>
      <c r="D455" s="134"/>
      <c r="E455" s="139"/>
      <c r="F455" s="134"/>
      <c r="G455" s="134"/>
      <c r="H455" s="254"/>
    </row>
    <row r="456" spans="1:8" x14ac:dyDescent="0.25">
      <c r="A456" s="134"/>
      <c r="B456" s="134"/>
      <c r="C456" s="134"/>
      <c r="D456" s="134"/>
      <c r="E456" s="139"/>
      <c r="F456" s="134"/>
      <c r="G456" s="134"/>
      <c r="H456" s="254"/>
    </row>
    <row r="457" spans="1:8" x14ac:dyDescent="0.25">
      <c r="A457" s="134"/>
      <c r="B457" s="134"/>
      <c r="C457" s="134"/>
      <c r="D457" s="134"/>
      <c r="E457" s="139"/>
      <c r="F457" s="134"/>
      <c r="G457" s="134"/>
      <c r="H457" s="254"/>
    </row>
    <row r="458" spans="1:8" x14ac:dyDescent="0.25">
      <c r="A458" s="134"/>
      <c r="B458" s="134"/>
      <c r="C458" s="134"/>
      <c r="D458" s="134"/>
      <c r="E458" s="139"/>
      <c r="F458" s="134"/>
      <c r="G458" s="134"/>
      <c r="H458" s="254"/>
    </row>
    <row r="459" spans="1:8" x14ac:dyDescent="0.25">
      <c r="A459" s="134"/>
      <c r="B459" s="134"/>
      <c r="C459" s="134"/>
      <c r="D459" s="134"/>
      <c r="E459" s="139"/>
      <c r="F459" s="134"/>
      <c r="G459" s="134"/>
      <c r="H459" s="254"/>
    </row>
    <row r="460" spans="1:8" x14ac:dyDescent="0.25">
      <c r="A460" s="134"/>
      <c r="B460" s="134"/>
      <c r="C460" s="134"/>
      <c r="D460" s="134"/>
      <c r="E460" s="139"/>
      <c r="F460" s="134"/>
      <c r="G460" s="134"/>
      <c r="H460" s="254"/>
    </row>
    <row r="461" spans="1:8" x14ac:dyDescent="0.25">
      <c r="A461" s="134"/>
      <c r="B461" s="134"/>
      <c r="C461" s="134"/>
      <c r="D461" s="134"/>
      <c r="E461" s="139"/>
      <c r="F461" s="134"/>
      <c r="G461" s="134"/>
      <c r="H461" s="254"/>
    </row>
    <row r="462" spans="1:8" x14ac:dyDescent="0.25">
      <c r="A462" s="134"/>
      <c r="B462" s="134"/>
      <c r="C462" s="134"/>
      <c r="D462" s="134"/>
      <c r="E462" s="139"/>
      <c r="F462" s="134"/>
      <c r="G462" s="134"/>
      <c r="H462" s="254"/>
    </row>
    <row r="463" spans="1:8" x14ac:dyDescent="0.25">
      <c r="A463" s="134"/>
      <c r="B463" s="134"/>
      <c r="C463" s="134"/>
      <c r="D463" s="134"/>
      <c r="E463" s="139"/>
      <c r="F463" s="134"/>
      <c r="G463" s="134"/>
      <c r="H463" s="254"/>
    </row>
    <row r="464" spans="1:8" x14ac:dyDescent="0.25">
      <c r="A464" s="134"/>
      <c r="B464" s="134"/>
      <c r="C464" s="134"/>
      <c r="D464" s="134"/>
      <c r="E464" s="139"/>
      <c r="F464" s="134"/>
      <c r="G464" s="134"/>
      <c r="H464" s="254"/>
    </row>
    <row r="465" spans="1:8" x14ac:dyDescent="0.25">
      <c r="A465" s="134"/>
      <c r="B465" s="134"/>
      <c r="C465" s="134"/>
      <c r="D465" s="134"/>
      <c r="E465" s="139"/>
      <c r="F465" s="134"/>
      <c r="G465" s="134"/>
      <c r="H465" s="254"/>
    </row>
    <row r="466" spans="1:8" x14ac:dyDescent="0.25">
      <c r="A466" s="134"/>
      <c r="B466" s="134"/>
      <c r="C466" s="134"/>
      <c r="D466" s="134"/>
      <c r="E466" s="139"/>
      <c r="F466" s="134"/>
      <c r="G466" s="134"/>
      <c r="H466" s="254"/>
    </row>
    <row r="467" spans="1:8" x14ac:dyDescent="0.25">
      <c r="A467" s="134"/>
      <c r="B467" s="134"/>
      <c r="C467" s="134"/>
      <c r="D467" s="134"/>
      <c r="E467" s="139"/>
      <c r="F467" s="134"/>
      <c r="G467" s="134"/>
      <c r="H467" s="254"/>
    </row>
    <row r="468" spans="1:8" x14ac:dyDescent="0.25">
      <c r="A468" s="134"/>
      <c r="B468" s="134"/>
      <c r="C468" s="134"/>
      <c r="D468" s="134"/>
      <c r="E468" s="139"/>
      <c r="F468" s="134"/>
      <c r="G468" s="134"/>
      <c r="H468" s="254"/>
    </row>
    <row r="469" spans="1:8" x14ac:dyDescent="0.25">
      <c r="A469" s="134"/>
      <c r="B469" s="134"/>
      <c r="C469" s="134"/>
      <c r="D469" s="134"/>
      <c r="E469" s="139"/>
      <c r="F469" s="134"/>
      <c r="G469" s="134"/>
      <c r="H469" s="254"/>
    </row>
    <row r="470" spans="1:8" x14ac:dyDescent="0.25">
      <c r="A470" s="134"/>
      <c r="B470" s="134"/>
      <c r="C470" s="134"/>
      <c r="D470" s="134"/>
      <c r="E470" s="139"/>
      <c r="F470" s="134"/>
      <c r="G470" s="134"/>
      <c r="H470" s="254"/>
    </row>
    <row r="471" spans="1:8" x14ac:dyDescent="0.25">
      <c r="A471" s="134"/>
      <c r="B471" s="134"/>
      <c r="C471" s="134"/>
      <c r="D471" s="134"/>
      <c r="E471" s="139"/>
      <c r="F471" s="134"/>
      <c r="G471" s="134"/>
      <c r="H471" s="254"/>
    </row>
    <row r="472" spans="1:8" x14ac:dyDescent="0.25">
      <c r="A472" s="134"/>
      <c r="B472" s="134"/>
      <c r="C472" s="134"/>
      <c r="D472" s="134"/>
      <c r="E472" s="139"/>
      <c r="F472" s="134"/>
      <c r="G472" s="134"/>
      <c r="H472" s="254"/>
    </row>
    <row r="473" spans="1:8" x14ac:dyDescent="0.25">
      <c r="A473" s="134"/>
      <c r="B473" s="134"/>
      <c r="C473" s="134"/>
      <c r="D473" s="134"/>
      <c r="E473" s="139"/>
      <c r="F473" s="134"/>
      <c r="G473" s="134"/>
      <c r="H473" s="254"/>
    </row>
    <row r="474" spans="1:8" x14ac:dyDescent="0.25">
      <c r="A474" s="134"/>
      <c r="B474" s="134"/>
      <c r="C474" s="134"/>
      <c r="D474" s="134"/>
      <c r="E474" s="139"/>
      <c r="F474" s="134"/>
      <c r="G474" s="134"/>
      <c r="H474" s="254"/>
    </row>
    <row r="475" spans="1:8" x14ac:dyDescent="0.25">
      <c r="A475" s="134"/>
      <c r="B475" s="134"/>
      <c r="C475" s="134"/>
      <c r="D475" s="134"/>
      <c r="E475" s="139"/>
      <c r="F475" s="134"/>
      <c r="G475" s="134"/>
      <c r="H475" s="254"/>
    </row>
    <row r="476" spans="1:8" x14ac:dyDescent="0.25">
      <c r="A476" s="134"/>
      <c r="B476" s="134"/>
      <c r="C476" s="134"/>
      <c r="D476" s="134"/>
      <c r="E476" s="139"/>
      <c r="F476" s="134"/>
      <c r="G476" s="134"/>
      <c r="H476" s="254"/>
    </row>
    <row r="477" spans="1:8" x14ac:dyDescent="0.25">
      <c r="A477" s="134"/>
      <c r="B477" s="134"/>
      <c r="C477" s="134"/>
      <c r="D477" s="134"/>
      <c r="E477" s="139"/>
      <c r="F477" s="134"/>
      <c r="G477" s="134"/>
      <c r="H477" s="254"/>
    </row>
    <row r="478" spans="1:8" x14ac:dyDescent="0.25">
      <c r="A478" s="134"/>
      <c r="B478" s="134"/>
      <c r="C478" s="134"/>
      <c r="D478" s="134"/>
      <c r="E478" s="139"/>
      <c r="F478" s="134"/>
      <c r="G478" s="134"/>
      <c r="H478" s="254"/>
    </row>
    <row r="479" spans="1:8" x14ac:dyDescent="0.25">
      <c r="A479" s="134"/>
      <c r="B479" s="134"/>
      <c r="C479" s="134"/>
      <c r="D479" s="134"/>
      <c r="E479" s="139"/>
      <c r="F479" s="134"/>
      <c r="G479" s="134"/>
      <c r="H479" s="254"/>
    </row>
    <row r="480" spans="1:8" x14ac:dyDescent="0.25">
      <c r="A480" s="134"/>
      <c r="B480" s="134"/>
      <c r="C480" s="134"/>
      <c r="D480" s="134"/>
      <c r="E480" s="139"/>
      <c r="F480" s="134"/>
      <c r="G480" s="134"/>
      <c r="H480" s="254"/>
    </row>
    <row r="481" spans="1:8" x14ac:dyDescent="0.25">
      <c r="A481" s="134"/>
      <c r="B481" s="134"/>
      <c r="C481" s="134"/>
      <c r="D481" s="134"/>
      <c r="E481" s="139"/>
      <c r="F481" s="134"/>
      <c r="G481" s="134"/>
      <c r="H481" s="254"/>
    </row>
    <row r="482" spans="1:8" x14ac:dyDescent="0.25">
      <c r="A482" s="134"/>
      <c r="B482" s="134"/>
      <c r="C482" s="134"/>
      <c r="D482" s="134"/>
      <c r="E482" s="139"/>
      <c r="F482" s="134"/>
      <c r="G482" s="134"/>
      <c r="H482" s="254"/>
    </row>
    <row r="483" spans="1:8" x14ac:dyDescent="0.25">
      <c r="A483" s="134"/>
      <c r="B483" s="134"/>
      <c r="C483" s="134"/>
      <c r="D483" s="134"/>
      <c r="E483" s="139"/>
      <c r="F483" s="134"/>
      <c r="G483" s="134"/>
      <c r="H483" s="254"/>
    </row>
    <row r="484" spans="1:8" x14ac:dyDescent="0.25">
      <c r="A484" s="134"/>
      <c r="B484" s="134"/>
      <c r="C484" s="134"/>
      <c r="D484" s="134"/>
      <c r="E484" s="139"/>
      <c r="F484" s="134"/>
      <c r="G484" s="134"/>
      <c r="H484" s="254"/>
    </row>
    <row r="485" spans="1:8" x14ac:dyDescent="0.25">
      <c r="A485" s="134"/>
      <c r="B485" s="134"/>
      <c r="C485" s="134"/>
      <c r="D485" s="134"/>
      <c r="E485" s="139"/>
      <c r="F485" s="134"/>
      <c r="G485" s="134"/>
      <c r="H485" s="254"/>
    </row>
    <row r="486" spans="1:8" x14ac:dyDescent="0.25">
      <c r="A486" s="134"/>
      <c r="B486" s="134"/>
      <c r="C486" s="134"/>
      <c r="D486" s="134"/>
      <c r="E486" s="139"/>
      <c r="F486" s="134"/>
      <c r="G486" s="144"/>
      <c r="H486" s="254"/>
    </row>
    <row r="487" spans="1:8" x14ac:dyDescent="0.25">
      <c r="A487" s="134"/>
      <c r="B487" s="134"/>
      <c r="C487" s="134"/>
      <c r="D487" s="134"/>
      <c r="E487" s="139"/>
      <c r="F487" s="134"/>
      <c r="G487" s="144"/>
      <c r="H487" s="254"/>
    </row>
    <row r="488" spans="1:8" x14ac:dyDescent="0.25">
      <c r="A488" s="134"/>
      <c r="B488" s="134"/>
      <c r="C488" s="134"/>
      <c r="D488" s="134"/>
      <c r="E488" s="139"/>
      <c r="F488" s="134"/>
      <c r="G488" s="144"/>
      <c r="H488" s="254"/>
    </row>
    <row r="489" spans="1:8" x14ac:dyDescent="0.25">
      <c r="A489" s="134"/>
      <c r="B489" s="134"/>
      <c r="C489" s="134"/>
      <c r="D489" s="134"/>
      <c r="E489" s="139"/>
      <c r="F489" s="134"/>
      <c r="G489" s="144"/>
      <c r="H489" s="254"/>
    </row>
    <row r="490" spans="1:8" x14ac:dyDescent="0.25">
      <c r="A490" s="134"/>
      <c r="B490" s="134"/>
      <c r="C490" s="134"/>
      <c r="D490" s="134"/>
      <c r="E490" s="139"/>
      <c r="F490" s="134"/>
      <c r="G490" s="144"/>
      <c r="H490" s="254"/>
    </row>
    <row r="491" spans="1:8" x14ac:dyDescent="0.25">
      <c r="A491" s="134"/>
      <c r="B491" s="134"/>
      <c r="C491" s="134"/>
      <c r="D491" s="134"/>
      <c r="E491" s="139"/>
      <c r="F491" s="134"/>
      <c r="G491" s="144"/>
      <c r="H491" s="254"/>
    </row>
    <row r="492" spans="1:8" x14ac:dyDescent="0.25">
      <c r="A492" s="134"/>
      <c r="B492" s="134"/>
      <c r="C492" s="134"/>
      <c r="D492" s="134"/>
      <c r="E492" s="139"/>
      <c r="F492" s="134"/>
      <c r="G492" s="144"/>
      <c r="H492" s="254"/>
    </row>
    <row r="493" spans="1:8" x14ac:dyDescent="0.25">
      <c r="A493" s="134"/>
      <c r="B493" s="134"/>
      <c r="C493" s="134"/>
      <c r="D493" s="134"/>
      <c r="E493" s="139"/>
      <c r="F493" s="134"/>
      <c r="G493" s="144"/>
      <c r="H493" s="254"/>
    </row>
    <row r="494" spans="1:8" x14ac:dyDescent="0.25">
      <c r="A494" s="134"/>
      <c r="B494" s="134"/>
      <c r="C494" s="134"/>
      <c r="D494" s="134"/>
      <c r="E494" s="139"/>
      <c r="F494" s="134"/>
      <c r="G494" s="144"/>
      <c r="H494" s="254"/>
    </row>
    <row r="495" spans="1:8" x14ac:dyDescent="0.25">
      <c r="A495" s="134"/>
      <c r="B495" s="134"/>
      <c r="C495" s="134"/>
      <c r="D495" s="134"/>
      <c r="E495" s="139"/>
      <c r="F495" s="134"/>
      <c r="G495" s="144"/>
      <c r="H495" s="254"/>
    </row>
    <row r="496" spans="1:8" x14ac:dyDescent="0.25">
      <c r="A496" s="134"/>
      <c r="B496" s="134"/>
      <c r="C496" s="134"/>
      <c r="D496" s="134"/>
      <c r="E496" s="139"/>
      <c r="F496" s="134"/>
      <c r="G496" s="144"/>
      <c r="H496" s="254"/>
    </row>
    <row r="497" spans="1:8" x14ac:dyDescent="0.25">
      <c r="A497" s="134"/>
      <c r="B497" s="134"/>
      <c r="C497" s="134"/>
      <c r="D497" s="134"/>
      <c r="E497" s="139"/>
      <c r="F497" s="134"/>
      <c r="G497" s="144"/>
      <c r="H497" s="254"/>
    </row>
    <row r="498" spans="1:8" x14ac:dyDescent="0.25">
      <c r="A498" s="134"/>
      <c r="B498" s="134"/>
      <c r="C498" s="134"/>
      <c r="D498" s="134"/>
      <c r="E498" s="139"/>
      <c r="F498" s="134"/>
      <c r="G498" s="144"/>
      <c r="H498" s="254"/>
    </row>
    <row r="499" spans="1:8" x14ac:dyDescent="0.25">
      <c r="A499" s="134"/>
      <c r="B499" s="134"/>
      <c r="C499" s="134"/>
      <c r="D499" s="134"/>
      <c r="E499" s="139"/>
      <c r="F499" s="134"/>
      <c r="G499" s="144"/>
      <c r="H499" s="254"/>
    </row>
    <row r="500" spans="1:8" x14ac:dyDescent="0.25">
      <c r="A500" s="134"/>
      <c r="B500" s="134"/>
      <c r="C500" s="134"/>
      <c r="D500" s="134"/>
      <c r="E500" s="139"/>
      <c r="F500" s="134"/>
      <c r="G500" s="144"/>
      <c r="H500" s="254"/>
    </row>
    <row r="501" spans="1:8" x14ac:dyDescent="0.25">
      <c r="A501" s="134"/>
      <c r="B501" s="134"/>
      <c r="C501" s="134"/>
      <c r="D501" s="134"/>
      <c r="E501" s="139"/>
      <c r="F501" s="134"/>
      <c r="G501" s="144"/>
      <c r="H501" s="254"/>
    </row>
    <row r="502" spans="1:8" x14ac:dyDescent="0.25">
      <c r="A502" s="134"/>
      <c r="B502" s="134"/>
      <c r="C502" s="134"/>
      <c r="D502" s="134"/>
      <c r="E502" s="139"/>
      <c r="F502" s="134"/>
      <c r="G502" s="144"/>
      <c r="H502" s="254"/>
    </row>
    <row r="503" spans="1:8" x14ac:dyDescent="0.25">
      <c r="A503" s="134"/>
      <c r="B503" s="134"/>
      <c r="C503" s="134"/>
      <c r="D503" s="134"/>
      <c r="E503" s="139"/>
      <c r="F503" s="134"/>
      <c r="G503" s="144"/>
      <c r="H503" s="254"/>
    </row>
    <row r="504" spans="1:8" x14ac:dyDescent="0.25">
      <c r="A504" s="134"/>
      <c r="B504" s="134"/>
      <c r="C504" s="134"/>
      <c r="D504" s="134"/>
      <c r="E504" s="139"/>
      <c r="F504" s="134"/>
      <c r="G504" s="144"/>
      <c r="H504" s="254"/>
    </row>
    <row r="505" spans="1:8" x14ac:dyDescent="0.25">
      <c r="A505" s="134"/>
      <c r="B505" s="134"/>
      <c r="C505" s="134"/>
      <c r="D505" s="134"/>
      <c r="E505" s="139"/>
      <c r="F505" s="134"/>
      <c r="G505" s="144"/>
      <c r="H505" s="254"/>
    </row>
    <row r="506" spans="1:8" x14ac:dyDescent="0.25">
      <c r="A506" s="134"/>
      <c r="B506" s="134"/>
      <c r="C506" s="134"/>
      <c r="D506" s="134"/>
      <c r="E506" s="139"/>
      <c r="F506" s="134"/>
      <c r="G506" s="144"/>
      <c r="H506" s="254"/>
    </row>
    <row r="507" spans="1:8" x14ac:dyDescent="0.25">
      <c r="A507" s="134"/>
      <c r="B507" s="134"/>
      <c r="C507" s="134"/>
      <c r="D507" s="134"/>
      <c r="E507" s="139"/>
      <c r="F507" s="134"/>
      <c r="G507" s="144"/>
      <c r="H507" s="254"/>
    </row>
    <row r="508" spans="1:8" x14ac:dyDescent="0.25">
      <c r="A508" s="134"/>
      <c r="B508" s="134"/>
      <c r="C508" s="134"/>
      <c r="D508" s="134"/>
      <c r="E508" s="139"/>
      <c r="F508" s="134"/>
      <c r="G508" s="144"/>
      <c r="H508" s="254"/>
    </row>
    <row r="509" spans="1:8" x14ac:dyDescent="0.25">
      <c r="A509" s="134"/>
      <c r="B509" s="134"/>
      <c r="C509" s="134"/>
      <c r="D509" s="134"/>
      <c r="E509" s="139"/>
      <c r="F509" s="134"/>
      <c r="G509" s="144"/>
      <c r="H509" s="254"/>
    </row>
    <row r="510" spans="1:8" x14ac:dyDescent="0.25">
      <c r="A510" s="134"/>
      <c r="B510" s="134"/>
      <c r="C510" s="134"/>
      <c r="D510" s="134"/>
      <c r="E510" s="139"/>
      <c r="F510" s="134"/>
      <c r="G510" s="144"/>
      <c r="H510" s="254"/>
    </row>
    <row r="511" spans="1:8" x14ac:dyDescent="0.25">
      <c r="A511" s="134"/>
      <c r="B511" s="134"/>
      <c r="C511" s="134"/>
      <c r="D511" s="134"/>
      <c r="E511" s="139"/>
      <c r="F511" s="134"/>
      <c r="G511" s="144"/>
      <c r="H511" s="254"/>
    </row>
    <row r="512" spans="1:8" x14ac:dyDescent="0.25">
      <c r="A512" s="134"/>
      <c r="B512" s="134"/>
      <c r="C512" s="134"/>
      <c r="D512" s="134"/>
      <c r="E512" s="139"/>
      <c r="F512" s="134"/>
      <c r="G512" s="144"/>
      <c r="H512" s="254"/>
    </row>
    <row r="513" spans="1:8" x14ac:dyDescent="0.25">
      <c r="A513" s="134"/>
      <c r="B513" s="134"/>
      <c r="C513" s="134"/>
      <c r="D513" s="134"/>
      <c r="E513" s="139"/>
      <c r="F513" s="134"/>
      <c r="G513" s="144"/>
      <c r="H513" s="254"/>
    </row>
    <row r="514" spans="1:8" x14ac:dyDescent="0.25">
      <c r="A514" s="134"/>
      <c r="B514" s="134"/>
      <c r="C514" s="134"/>
      <c r="D514" s="134"/>
      <c r="E514" s="139"/>
      <c r="F514" s="134"/>
      <c r="G514" s="144"/>
      <c r="H514" s="254"/>
    </row>
    <row r="515" spans="1:8" x14ac:dyDescent="0.25">
      <c r="A515" s="134"/>
      <c r="B515" s="134"/>
      <c r="C515" s="134"/>
      <c r="D515" s="134"/>
      <c r="E515" s="139"/>
      <c r="F515" s="134"/>
      <c r="G515" s="144"/>
      <c r="H515" s="254"/>
    </row>
    <row r="516" spans="1:8" x14ac:dyDescent="0.25">
      <c r="A516" s="134"/>
      <c r="B516" s="134"/>
      <c r="C516" s="134"/>
      <c r="D516" s="134"/>
      <c r="E516" s="139"/>
      <c r="F516" s="134"/>
      <c r="G516" s="144"/>
      <c r="H516" s="254"/>
    </row>
    <row r="517" spans="1:8" x14ac:dyDescent="0.25">
      <c r="A517" s="134"/>
      <c r="B517" s="134"/>
      <c r="C517" s="134"/>
      <c r="D517" s="134"/>
      <c r="E517" s="139"/>
      <c r="F517" s="134"/>
      <c r="G517" s="144"/>
      <c r="H517" s="254"/>
    </row>
    <row r="518" spans="1:8" x14ac:dyDescent="0.25">
      <c r="A518" s="134"/>
      <c r="B518" s="134"/>
      <c r="C518" s="134"/>
      <c r="D518" s="134"/>
      <c r="E518" s="139"/>
      <c r="F518" s="134"/>
      <c r="G518" s="144"/>
      <c r="H518" s="254"/>
    </row>
    <row r="519" spans="1:8" x14ac:dyDescent="0.25">
      <c r="A519" s="134"/>
      <c r="B519" s="134"/>
      <c r="C519" s="134"/>
      <c r="D519" s="134"/>
      <c r="E519" s="139"/>
      <c r="F519" s="134"/>
      <c r="G519" s="144"/>
      <c r="H519" s="254"/>
    </row>
    <row r="520" spans="1:8" x14ac:dyDescent="0.25">
      <c r="A520" s="134"/>
      <c r="B520" s="134"/>
      <c r="C520" s="134"/>
      <c r="D520" s="134"/>
      <c r="E520" s="139"/>
      <c r="F520" s="134"/>
      <c r="G520" s="144"/>
      <c r="H520" s="254"/>
    </row>
    <row r="521" spans="1:8" x14ac:dyDescent="0.25">
      <c r="A521" s="134"/>
      <c r="B521" s="134"/>
      <c r="C521" s="134"/>
      <c r="D521" s="134"/>
      <c r="E521" s="139"/>
      <c r="F521" s="134"/>
      <c r="G521" s="144"/>
      <c r="H521" s="254"/>
    </row>
    <row r="522" spans="1:8" x14ac:dyDescent="0.25">
      <c r="A522" s="134"/>
      <c r="B522" s="134"/>
      <c r="C522" s="134"/>
      <c r="D522" s="134"/>
      <c r="E522" s="139"/>
      <c r="F522" s="134"/>
      <c r="G522" s="144"/>
      <c r="H522" s="254"/>
    </row>
    <row r="523" spans="1:8" x14ac:dyDescent="0.25">
      <c r="A523" s="134"/>
      <c r="B523" s="134"/>
      <c r="C523" s="134"/>
      <c r="D523" s="134"/>
      <c r="E523" s="139"/>
      <c r="F523" s="134"/>
      <c r="G523" s="144"/>
      <c r="H523" s="254"/>
    </row>
    <row r="524" spans="1:8" x14ac:dyDescent="0.25">
      <c r="A524" s="134"/>
      <c r="B524" s="134"/>
      <c r="C524" s="134"/>
      <c r="D524" s="134"/>
      <c r="E524" s="139"/>
      <c r="F524" s="134"/>
      <c r="G524" s="144"/>
      <c r="H524" s="254"/>
    </row>
    <row r="525" spans="1:8" x14ac:dyDescent="0.25">
      <c r="A525" s="134"/>
      <c r="B525" s="134"/>
      <c r="C525" s="134"/>
      <c r="D525" s="134"/>
      <c r="E525" s="139"/>
      <c r="F525" s="134"/>
      <c r="G525" s="144"/>
      <c r="H525" s="254"/>
    </row>
    <row r="526" spans="1:8" x14ac:dyDescent="0.25">
      <c r="A526" s="134"/>
      <c r="B526" s="134"/>
      <c r="C526" s="134"/>
      <c r="D526" s="134"/>
      <c r="E526" s="139"/>
      <c r="F526" s="134"/>
      <c r="G526" s="144"/>
      <c r="H526" s="254"/>
    </row>
    <row r="527" spans="1:8" x14ac:dyDescent="0.25">
      <c r="A527" s="134"/>
      <c r="B527" s="134"/>
      <c r="C527" s="134"/>
      <c r="D527" s="134"/>
      <c r="E527" s="139"/>
      <c r="F527" s="134"/>
      <c r="G527" s="144"/>
      <c r="H527" s="254"/>
    </row>
    <row r="528" spans="1:8" x14ac:dyDescent="0.25">
      <c r="A528" s="134"/>
      <c r="B528" s="134"/>
      <c r="C528" s="134"/>
      <c r="D528" s="134"/>
      <c r="E528" s="139"/>
      <c r="F528" s="134"/>
      <c r="G528" s="144"/>
      <c r="H528" s="254"/>
    </row>
    <row r="529" spans="1:8" x14ac:dyDescent="0.25">
      <c r="A529" s="134"/>
      <c r="B529" s="134"/>
      <c r="C529" s="134"/>
      <c r="D529" s="134"/>
      <c r="E529" s="139"/>
      <c r="F529" s="134"/>
      <c r="G529" s="144"/>
      <c r="H529" s="254"/>
    </row>
    <row r="530" spans="1:8" x14ac:dyDescent="0.25">
      <c r="A530" s="134"/>
      <c r="B530" s="134"/>
      <c r="C530" s="134"/>
      <c r="D530" s="134"/>
      <c r="E530" s="139"/>
      <c r="F530" s="134"/>
      <c r="G530" s="144"/>
      <c r="H530" s="254"/>
    </row>
    <row r="531" spans="1:8" x14ac:dyDescent="0.25">
      <c r="A531" s="134"/>
      <c r="B531" s="134"/>
      <c r="C531" s="134"/>
      <c r="D531" s="134"/>
      <c r="E531" s="139"/>
      <c r="F531" s="134"/>
      <c r="G531" s="144"/>
      <c r="H531" s="254"/>
    </row>
    <row r="532" spans="1:8" x14ac:dyDescent="0.25">
      <c r="A532" s="134"/>
      <c r="B532" s="134"/>
      <c r="C532" s="134"/>
      <c r="D532" s="134"/>
      <c r="E532" s="139"/>
      <c r="F532" s="134"/>
      <c r="G532" s="144"/>
      <c r="H532" s="254"/>
    </row>
    <row r="533" spans="1:8" x14ac:dyDescent="0.25">
      <c r="A533" s="134"/>
      <c r="B533" s="134"/>
      <c r="C533" s="134"/>
      <c r="D533" s="134"/>
      <c r="E533" s="139"/>
      <c r="F533" s="134"/>
      <c r="G533" s="144"/>
      <c r="H533" s="254"/>
    </row>
    <row r="534" spans="1:8" x14ac:dyDescent="0.25">
      <c r="A534" s="134"/>
      <c r="B534" s="134"/>
      <c r="C534" s="134"/>
      <c r="D534" s="134"/>
      <c r="E534" s="139"/>
      <c r="F534" s="134"/>
      <c r="G534" s="144"/>
      <c r="H534" s="254"/>
    </row>
    <row r="535" spans="1:8" x14ac:dyDescent="0.25">
      <c r="A535" s="134"/>
      <c r="B535" s="134"/>
      <c r="C535" s="134"/>
      <c r="D535" s="134"/>
      <c r="E535" s="139"/>
      <c r="F535" s="134"/>
      <c r="G535" s="144"/>
      <c r="H535" s="254"/>
    </row>
    <row r="536" spans="1:8" x14ac:dyDescent="0.25">
      <c r="A536" s="134"/>
      <c r="B536" s="134"/>
      <c r="C536" s="134"/>
      <c r="D536" s="134"/>
      <c r="E536" s="139"/>
      <c r="F536" s="134"/>
      <c r="G536" s="144"/>
      <c r="H536" s="254"/>
    </row>
    <row r="537" spans="1:8" x14ac:dyDescent="0.25">
      <c r="A537" s="134"/>
      <c r="B537" s="134"/>
      <c r="C537" s="134"/>
      <c r="D537" s="134"/>
      <c r="E537" s="139"/>
      <c r="F537" s="134"/>
      <c r="G537" s="144"/>
      <c r="H537" s="254"/>
    </row>
    <row r="538" spans="1:8" x14ac:dyDescent="0.25">
      <c r="A538" s="134"/>
      <c r="B538" s="134"/>
      <c r="C538" s="134"/>
      <c r="D538" s="134"/>
      <c r="E538" s="139"/>
      <c r="F538" s="134"/>
      <c r="G538" s="144"/>
      <c r="H538" s="254"/>
    </row>
    <row r="539" spans="1:8" x14ac:dyDescent="0.25">
      <c r="A539" s="134"/>
      <c r="B539" s="134"/>
      <c r="C539" s="134"/>
      <c r="D539" s="134"/>
      <c r="E539" s="139"/>
      <c r="F539" s="134"/>
      <c r="G539" s="144"/>
      <c r="H539" s="254"/>
    </row>
    <row r="540" spans="1:8" x14ac:dyDescent="0.25">
      <c r="A540" s="134"/>
      <c r="B540" s="134"/>
      <c r="C540" s="134"/>
      <c r="D540" s="134"/>
      <c r="E540" s="139"/>
      <c r="F540" s="134"/>
      <c r="G540" s="144"/>
      <c r="H540" s="254"/>
    </row>
    <row r="541" spans="1:8" x14ac:dyDescent="0.25">
      <c r="A541" s="134"/>
      <c r="B541" s="134"/>
      <c r="C541" s="134"/>
      <c r="D541" s="134"/>
      <c r="E541" s="139"/>
      <c r="F541" s="134"/>
      <c r="G541" s="144"/>
      <c r="H541" s="254"/>
    </row>
    <row r="542" spans="1:8" x14ac:dyDescent="0.25">
      <c r="A542" s="134"/>
      <c r="B542" s="134"/>
      <c r="C542" s="134"/>
      <c r="D542" s="134"/>
      <c r="E542" s="139"/>
      <c r="F542" s="134"/>
      <c r="G542" s="144"/>
      <c r="H542" s="254"/>
    </row>
    <row r="543" spans="1:8" x14ac:dyDescent="0.25">
      <c r="A543" s="134"/>
      <c r="B543" s="134"/>
      <c r="C543" s="134"/>
      <c r="D543" s="134"/>
      <c r="E543" s="139"/>
      <c r="F543" s="134"/>
      <c r="G543" s="144"/>
      <c r="H543" s="254"/>
    </row>
    <row r="544" spans="1:8" x14ac:dyDescent="0.25">
      <c r="A544" s="134"/>
      <c r="B544" s="134"/>
      <c r="C544" s="134"/>
      <c r="D544" s="134"/>
      <c r="E544" s="139"/>
      <c r="F544" s="134"/>
      <c r="G544" s="144"/>
      <c r="H544" s="254"/>
    </row>
    <row r="545" spans="1:8" x14ac:dyDescent="0.25">
      <c r="A545" s="134"/>
      <c r="B545" s="134"/>
      <c r="C545" s="134"/>
      <c r="D545" s="134"/>
      <c r="E545" s="139"/>
      <c r="F545" s="134"/>
      <c r="G545" s="144"/>
      <c r="H545" s="254"/>
    </row>
    <row r="546" spans="1:8" x14ac:dyDescent="0.25">
      <c r="A546" s="134"/>
      <c r="B546" s="134"/>
      <c r="C546" s="134"/>
      <c r="D546" s="134"/>
      <c r="E546" s="139"/>
      <c r="F546" s="134"/>
      <c r="G546" s="144"/>
      <c r="H546" s="254"/>
    </row>
    <row r="547" spans="1:8" x14ac:dyDescent="0.25">
      <c r="A547" s="134"/>
      <c r="B547" s="134"/>
      <c r="C547" s="134"/>
      <c r="D547" s="134"/>
      <c r="E547" s="139"/>
      <c r="F547" s="134"/>
      <c r="G547" s="144"/>
      <c r="H547" s="254"/>
    </row>
    <row r="548" spans="1:8" x14ac:dyDescent="0.25">
      <c r="A548" s="134"/>
      <c r="B548" s="134"/>
      <c r="C548" s="134"/>
      <c r="D548" s="134"/>
      <c r="E548" s="139"/>
      <c r="F548" s="134"/>
      <c r="G548" s="144"/>
      <c r="H548" s="254"/>
    </row>
    <row r="549" spans="1:8" x14ac:dyDescent="0.25">
      <c r="A549" s="134"/>
      <c r="B549" s="134"/>
      <c r="C549" s="134"/>
      <c r="D549" s="134"/>
      <c r="E549" s="139"/>
      <c r="F549" s="134"/>
      <c r="G549" s="144"/>
      <c r="H549" s="254"/>
    </row>
    <row r="550" spans="1:8" x14ac:dyDescent="0.25">
      <c r="A550" s="134"/>
      <c r="B550" s="134"/>
      <c r="C550" s="134"/>
      <c r="D550" s="134"/>
      <c r="E550" s="139"/>
      <c r="F550" s="134"/>
      <c r="G550" s="144"/>
      <c r="H550" s="254"/>
    </row>
    <row r="551" spans="1:8" x14ac:dyDescent="0.25">
      <c r="A551" s="134"/>
      <c r="B551" s="134"/>
      <c r="C551" s="134"/>
      <c r="D551" s="134"/>
      <c r="E551" s="139"/>
      <c r="F551" s="134"/>
      <c r="G551" s="144"/>
      <c r="H551" s="254"/>
    </row>
    <row r="552" spans="1:8" x14ac:dyDescent="0.25">
      <c r="A552" s="134"/>
      <c r="B552" s="134"/>
      <c r="C552" s="134"/>
      <c r="D552" s="134"/>
      <c r="E552" s="139"/>
      <c r="F552" s="134"/>
      <c r="G552" s="144"/>
      <c r="H552" s="254"/>
    </row>
    <row r="553" spans="1:8" x14ac:dyDescent="0.25">
      <c r="A553" s="134"/>
      <c r="B553" s="134"/>
      <c r="C553" s="134"/>
      <c r="D553" s="134"/>
      <c r="E553" s="139"/>
      <c r="F553" s="134"/>
      <c r="G553" s="144"/>
      <c r="H553" s="254"/>
    </row>
    <row r="554" spans="1:8" x14ac:dyDescent="0.25">
      <c r="A554" s="134"/>
      <c r="B554" s="134"/>
      <c r="C554" s="134"/>
      <c r="D554" s="134"/>
      <c r="E554" s="139"/>
      <c r="F554" s="134"/>
      <c r="G554" s="144"/>
      <c r="H554" s="254"/>
    </row>
    <row r="555" spans="1:8" x14ac:dyDescent="0.25">
      <c r="A555" s="134"/>
      <c r="B555" s="134"/>
      <c r="C555" s="134"/>
      <c r="D555" s="134"/>
      <c r="E555" s="139"/>
      <c r="F555" s="134"/>
      <c r="G555" s="144"/>
      <c r="H555" s="254"/>
    </row>
    <row r="556" spans="1:8" x14ac:dyDescent="0.25">
      <c r="A556" s="134"/>
      <c r="B556" s="134"/>
      <c r="C556" s="134"/>
      <c r="D556" s="134"/>
      <c r="E556" s="139"/>
      <c r="F556" s="134"/>
      <c r="G556" s="144"/>
      <c r="H556" s="254"/>
    </row>
    <row r="557" spans="1:8" x14ac:dyDescent="0.25">
      <c r="A557" s="134"/>
      <c r="B557" s="134"/>
      <c r="C557" s="134"/>
      <c r="D557" s="134"/>
      <c r="E557" s="139"/>
      <c r="F557" s="134"/>
      <c r="G557" s="144"/>
      <c r="H557" s="254"/>
    </row>
    <row r="558" spans="1:8" x14ac:dyDescent="0.25">
      <c r="A558" s="134"/>
      <c r="B558" s="134"/>
      <c r="C558" s="134"/>
      <c r="D558" s="134"/>
      <c r="E558" s="139"/>
      <c r="F558" s="134"/>
      <c r="G558" s="144"/>
      <c r="H558" s="254"/>
    </row>
    <row r="559" spans="1:8" x14ac:dyDescent="0.25">
      <c r="A559" s="134"/>
      <c r="B559" s="134"/>
      <c r="C559" s="134"/>
      <c r="D559" s="134"/>
      <c r="E559" s="139"/>
      <c r="F559" s="134"/>
      <c r="G559" s="144"/>
      <c r="H559" s="254"/>
    </row>
    <row r="560" spans="1:8" x14ac:dyDescent="0.25">
      <c r="A560" s="134"/>
      <c r="B560" s="134"/>
      <c r="C560" s="134"/>
      <c r="D560" s="134"/>
      <c r="E560" s="139"/>
      <c r="F560" s="134"/>
      <c r="G560" s="144"/>
      <c r="H560" s="254"/>
    </row>
    <row r="561" spans="1:8" x14ac:dyDescent="0.25">
      <c r="A561" s="134"/>
      <c r="B561" s="134"/>
      <c r="C561" s="134"/>
      <c r="D561" s="134"/>
      <c r="E561" s="139"/>
      <c r="F561" s="134"/>
      <c r="G561" s="144"/>
      <c r="H561" s="254"/>
    </row>
    <row r="562" spans="1:8" x14ac:dyDescent="0.25">
      <c r="A562" s="134"/>
      <c r="B562" s="134"/>
      <c r="C562" s="134"/>
      <c r="D562" s="134"/>
      <c r="E562" s="139"/>
      <c r="F562" s="134"/>
      <c r="G562" s="144"/>
      <c r="H562" s="254"/>
    </row>
    <row r="563" spans="1:8" x14ac:dyDescent="0.25">
      <c r="A563" s="134"/>
      <c r="B563" s="134"/>
      <c r="C563" s="134"/>
      <c r="D563" s="134"/>
      <c r="E563" s="139"/>
      <c r="F563" s="134"/>
      <c r="G563" s="144"/>
      <c r="H563" s="254"/>
    </row>
    <row r="564" spans="1:8" x14ac:dyDescent="0.25">
      <c r="A564" s="134"/>
      <c r="B564" s="134"/>
      <c r="C564" s="134"/>
      <c r="D564" s="134"/>
      <c r="E564" s="139"/>
      <c r="F564" s="134"/>
      <c r="G564" s="144"/>
      <c r="H564" s="254"/>
    </row>
    <row r="565" spans="1:8" x14ac:dyDescent="0.25">
      <c r="A565" s="134"/>
      <c r="B565" s="134"/>
      <c r="C565" s="134"/>
      <c r="D565" s="134"/>
      <c r="E565" s="139"/>
      <c r="F565" s="134"/>
      <c r="G565" s="144"/>
      <c r="H565" s="254"/>
    </row>
    <row r="566" spans="1:8" x14ac:dyDescent="0.25">
      <c r="A566" s="134"/>
      <c r="B566" s="134"/>
      <c r="C566" s="134"/>
      <c r="D566" s="134"/>
      <c r="E566" s="139"/>
      <c r="F566" s="134"/>
      <c r="G566" s="144"/>
      <c r="H566" s="254"/>
    </row>
    <row r="567" spans="1:8" x14ac:dyDescent="0.25">
      <c r="A567" s="134"/>
      <c r="B567" s="134"/>
      <c r="C567" s="134"/>
      <c r="D567" s="134"/>
      <c r="E567" s="139"/>
      <c r="F567" s="134"/>
      <c r="G567" s="144"/>
      <c r="H567" s="254"/>
    </row>
    <row r="568" spans="1:8" x14ac:dyDescent="0.25">
      <c r="A568" s="134"/>
      <c r="B568" s="134"/>
      <c r="C568" s="134"/>
      <c r="D568" s="134"/>
      <c r="E568" s="139"/>
      <c r="F568" s="134"/>
      <c r="G568" s="144"/>
      <c r="H568" s="254"/>
    </row>
    <row r="569" spans="1:8" x14ac:dyDescent="0.25">
      <c r="A569" s="134"/>
      <c r="B569" s="134"/>
      <c r="C569" s="134"/>
      <c r="D569" s="134"/>
      <c r="E569" s="139"/>
      <c r="F569" s="134"/>
      <c r="G569" s="144"/>
      <c r="H569" s="254"/>
    </row>
    <row r="570" spans="1:8" x14ac:dyDescent="0.25">
      <c r="A570" s="134"/>
      <c r="B570" s="134"/>
      <c r="C570" s="134"/>
      <c r="D570" s="134"/>
      <c r="E570" s="139"/>
      <c r="F570" s="134"/>
      <c r="G570" s="144"/>
      <c r="H570" s="254"/>
    </row>
    <row r="571" spans="1:8" x14ac:dyDescent="0.25">
      <c r="A571" s="134"/>
      <c r="B571" s="134"/>
      <c r="C571" s="134"/>
      <c r="D571" s="134"/>
      <c r="E571" s="139"/>
      <c r="F571" s="134"/>
      <c r="G571" s="144"/>
      <c r="H571" s="254"/>
    </row>
    <row r="572" spans="1:8" x14ac:dyDescent="0.25">
      <c r="A572" s="134"/>
      <c r="B572" s="134"/>
      <c r="C572" s="134"/>
      <c r="D572" s="134"/>
      <c r="E572" s="139"/>
      <c r="F572" s="134"/>
      <c r="G572" s="144"/>
      <c r="H572" s="254"/>
    </row>
    <row r="573" spans="1:8" x14ac:dyDescent="0.25">
      <c r="A573" s="134"/>
      <c r="B573" s="134"/>
      <c r="C573" s="134"/>
      <c r="D573" s="134"/>
      <c r="E573" s="139"/>
      <c r="F573" s="134"/>
      <c r="G573" s="144"/>
      <c r="H573" s="254"/>
    </row>
    <row r="574" spans="1:8" x14ac:dyDescent="0.25">
      <c r="A574" s="134"/>
      <c r="B574" s="134"/>
      <c r="C574" s="134"/>
      <c r="D574" s="134"/>
      <c r="E574" s="139"/>
      <c r="F574" s="134"/>
      <c r="G574" s="144"/>
      <c r="H574" s="254"/>
    </row>
    <row r="575" spans="1:8" x14ac:dyDescent="0.25">
      <c r="A575" s="134"/>
      <c r="B575" s="134"/>
      <c r="C575" s="134"/>
      <c r="D575" s="134"/>
      <c r="E575" s="139"/>
      <c r="F575" s="134"/>
      <c r="G575" s="144"/>
      <c r="H575" s="254"/>
    </row>
    <row r="576" spans="1:8" x14ac:dyDescent="0.25">
      <c r="A576" s="134"/>
      <c r="B576" s="134"/>
      <c r="C576" s="134"/>
      <c r="D576" s="134"/>
      <c r="E576" s="139"/>
      <c r="F576" s="134"/>
      <c r="G576" s="144"/>
      <c r="H576" s="254"/>
    </row>
    <row r="577" spans="1:8" x14ac:dyDescent="0.25">
      <c r="A577" s="134"/>
      <c r="B577" s="134"/>
      <c r="C577" s="134"/>
      <c r="D577" s="134"/>
      <c r="E577" s="139"/>
      <c r="F577" s="134"/>
      <c r="G577" s="144"/>
      <c r="H577" s="254"/>
    </row>
    <row r="578" spans="1:8" x14ac:dyDescent="0.25">
      <c r="A578" s="134"/>
      <c r="B578" s="134"/>
      <c r="C578" s="134"/>
      <c r="D578" s="134"/>
      <c r="E578" s="139"/>
      <c r="F578" s="134"/>
      <c r="G578" s="144"/>
      <c r="H578" s="254"/>
    </row>
    <row r="579" spans="1:8" x14ac:dyDescent="0.25">
      <c r="A579" s="134"/>
      <c r="B579" s="134"/>
      <c r="C579" s="134"/>
      <c r="D579" s="134"/>
      <c r="E579" s="139"/>
      <c r="F579" s="134"/>
      <c r="G579" s="144"/>
      <c r="H579" s="254"/>
    </row>
    <row r="580" spans="1:8" x14ac:dyDescent="0.25">
      <c r="A580" s="134"/>
      <c r="B580" s="134"/>
      <c r="C580" s="134"/>
      <c r="D580" s="134"/>
      <c r="E580" s="139"/>
      <c r="F580" s="134"/>
      <c r="G580" s="144"/>
      <c r="H580" s="254"/>
    </row>
    <row r="581" spans="1:8" x14ac:dyDescent="0.25">
      <c r="A581" s="134"/>
      <c r="B581" s="134"/>
      <c r="C581" s="134"/>
      <c r="D581" s="134"/>
      <c r="E581" s="139"/>
      <c r="F581" s="134"/>
      <c r="G581" s="144"/>
      <c r="H581" s="254"/>
    </row>
    <row r="582" spans="1:8" x14ac:dyDescent="0.25">
      <c r="A582" s="134"/>
      <c r="B582" s="134"/>
      <c r="C582" s="134"/>
      <c r="D582" s="134"/>
      <c r="E582" s="139"/>
      <c r="F582" s="134"/>
      <c r="G582" s="144"/>
      <c r="H582" s="254"/>
    </row>
    <row r="583" spans="1:8" x14ac:dyDescent="0.25">
      <c r="A583" s="134"/>
      <c r="B583" s="134"/>
      <c r="C583" s="134"/>
      <c r="D583" s="134"/>
      <c r="E583" s="139"/>
      <c r="F583" s="134"/>
      <c r="G583" s="144"/>
      <c r="H583" s="254"/>
    </row>
    <row r="584" spans="1:8" x14ac:dyDescent="0.25">
      <c r="A584" s="134"/>
      <c r="B584" s="134"/>
      <c r="C584" s="134"/>
      <c r="D584" s="134"/>
      <c r="E584" s="139"/>
      <c r="F584" s="134"/>
      <c r="G584" s="144"/>
      <c r="H584" s="254"/>
    </row>
    <row r="585" spans="1:8" x14ac:dyDescent="0.25">
      <c r="A585" s="134"/>
      <c r="B585" s="134"/>
      <c r="C585" s="134"/>
      <c r="D585" s="134"/>
      <c r="E585" s="139"/>
      <c r="F585" s="134"/>
      <c r="G585" s="144"/>
      <c r="H585" s="254"/>
    </row>
    <row r="586" spans="1:8" x14ac:dyDescent="0.25">
      <c r="A586" s="134"/>
      <c r="B586" s="134"/>
      <c r="C586" s="134"/>
      <c r="D586" s="134"/>
      <c r="E586" s="139"/>
      <c r="F586" s="134"/>
      <c r="G586" s="144"/>
      <c r="H586" s="254"/>
    </row>
    <row r="587" spans="1:8" x14ac:dyDescent="0.25">
      <c r="A587" s="134"/>
      <c r="B587" s="134"/>
      <c r="C587" s="134"/>
      <c r="D587" s="134"/>
      <c r="E587" s="139"/>
      <c r="F587" s="134"/>
      <c r="G587" s="144"/>
      <c r="H587" s="254"/>
    </row>
    <row r="588" spans="1:8" x14ac:dyDescent="0.25">
      <c r="A588" s="134"/>
      <c r="B588" s="134"/>
      <c r="C588" s="134"/>
      <c r="D588" s="134"/>
      <c r="E588" s="139"/>
      <c r="F588" s="134"/>
      <c r="G588" s="144"/>
      <c r="H588" s="254"/>
    </row>
    <row r="589" spans="1:8" x14ac:dyDescent="0.25">
      <c r="A589" s="134"/>
      <c r="B589" s="134"/>
      <c r="C589" s="134"/>
      <c r="D589" s="134"/>
      <c r="E589" s="139"/>
      <c r="F589" s="134"/>
      <c r="G589" s="144"/>
      <c r="H589" s="254"/>
    </row>
    <row r="590" spans="1:8" x14ac:dyDescent="0.25">
      <c r="A590" s="134"/>
      <c r="B590" s="134"/>
      <c r="C590" s="134"/>
      <c r="D590" s="134"/>
      <c r="E590" s="139"/>
      <c r="F590" s="134"/>
      <c r="G590" s="144"/>
      <c r="H590" s="254"/>
    </row>
    <row r="591" spans="1:8" x14ac:dyDescent="0.25">
      <c r="A591" s="134"/>
      <c r="B591" s="134"/>
      <c r="C591" s="134"/>
      <c r="D591" s="134"/>
      <c r="E591" s="139"/>
      <c r="F591" s="134"/>
      <c r="G591" s="144"/>
      <c r="H591" s="254"/>
    </row>
    <row r="592" spans="1:8" x14ac:dyDescent="0.25">
      <c r="A592" s="134"/>
      <c r="B592" s="134"/>
      <c r="C592" s="134"/>
      <c r="D592" s="134"/>
      <c r="E592" s="139"/>
      <c r="F592" s="134"/>
      <c r="G592" s="144"/>
      <c r="H592" s="254"/>
    </row>
    <row r="593" spans="1:8" x14ac:dyDescent="0.25">
      <c r="A593" s="134"/>
      <c r="B593" s="134"/>
      <c r="C593" s="134"/>
      <c r="D593" s="134"/>
      <c r="E593" s="139"/>
      <c r="F593" s="134"/>
      <c r="G593" s="144"/>
      <c r="H593" s="254"/>
    </row>
    <row r="594" spans="1:8" x14ac:dyDescent="0.25">
      <c r="A594" s="134"/>
      <c r="B594" s="134"/>
      <c r="C594" s="134"/>
      <c r="D594" s="134"/>
      <c r="E594" s="139"/>
      <c r="F594" s="134"/>
      <c r="G594" s="144"/>
      <c r="H594" s="254"/>
    </row>
    <row r="595" spans="1:8" x14ac:dyDescent="0.25">
      <c r="A595" s="134"/>
      <c r="B595" s="134"/>
      <c r="C595" s="134"/>
      <c r="D595" s="134"/>
      <c r="E595" s="139"/>
      <c r="F595" s="134"/>
      <c r="G595" s="144"/>
      <c r="H595" s="254"/>
    </row>
    <row r="596" spans="1:8" x14ac:dyDescent="0.25">
      <c r="A596" s="134"/>
      <c r="B596" s="134"/>
      <c r="C596" s="134"/>
      <c r="D596" s="134"/>
      <c r="E596" s="139"/>
      <c r="F596" s="134"/>
      <c r="G596" s="144"/>
      <c r="H596" s="254"/>
    </row>
    <row r="597" spans="1:8" x14ac:dyDescent="0.25">
      <c r="A597" s="134"/>
      <c r="B597" s="134"/>
      <c r="C597" s="134"/>
      <c r="D597" s="134"/>
      <c r="E597" s="139"/>
      <c r="F597" s="134"/>
      <c r="G597" s="144"/>
      <c r="H597" s="254"/>
    </row>
    <row r="598" spans="1:8" x14ac:dyDescent="0.25">
      <c r="A598" s="134"/>
      <c r="B598" s="134"/>
      <c r="C598" s="134"/>
      <c r="D598" s="134"/>
      <c r="E598" s="139"/>
      <c r="F598" s="134"/>
      <c r="G598" s="144"/>
      <c r="H598" s="254"/>
    </row>
    <row r="599" spans="1:8" x14ac:dyDescent="0.25">
      <c r="A599" s="134"/>
      <c r="B599" s="134"/>
      <c r="C599" s="134"/>
      <c r="D599" s="134"/>
      <c r="E599" s="139"/>
      <c r="F599" s="134"/>
      <c r="G599" s="144"/>
      <c r="H599" s="254"/>
    </row>
    <row r="600" spans="1:8" x14ac:dyDescent="0.25">
      <c r="A600" s="134"/>
      <c r="B600" s="134"/>
      <c r="C600" s="134"/>
      <c r="D600" s="134"/>
      <c r="E600" s="139"/>
      <c r="F600" s="134"/>
      <c r="G600" s="144"/>
      <c r="H600" s="254"/>
    </row>
    <row r="601" spans="1:8" x14ac:dyDescent="0.25">
      <c r="A601" s="134"/>
      <c r="B601" s="134"/>
      <c r="C601" s="134"/>
      <c r="D601" s="134"/>
      <c r="E601" s="139"/>
      <c r="F601" s="134"/>
      <c r="G601" s="144"/>
      <c r="H601" s="254"/>
    </row>
    <row r="602" spans="1:8" x14ac:dyDescent="0.25">
      <c r="A602" s="134"/>
      <c r="B602" s="134"/>
      <c r="C602" s="134"/>
      <c r="D602" s="134"/>
      <c r="E602" s="139"/>
      <c r="F602" s="134"/>
      <c r="G602" s="144"/>
      <c r="H602" s="254"/>
    </row>
    <row r="603" spans="1:8" x14ac:dyDescent="0.25">
      <c r="A603" s="134"/>
      <c r="B603" s="134"/>
      <c r="C603" s="134"/>
      <c r="D603" s="134"/>
      <c r="E603" s="139"/>
      <c r="F603" s="134"/>
      <c r="G603" s="144"/>
      <c r="H603" s="254"/>
    </row>
    <row r="604" spans="1:8" x14ac:dyDescent="0.25">
      <c r="A604" s="134"/>
      <c r="B604" s="134"/>
      <c r="C604" s="134"/>
      <c r="D604" s="134"/>
      <c r="E604" s="139"/>
      <c r="F604" s="134"/>
      <c r="G604" s="144"/>
      <c r="H604" s="254"/>
    </row>
    <row r="605" spans="1:8" x14ac:dyDescent="0.25">
      <c r="A605" s="134"/>
      <c r="B605" s="134"/>
      <c r="C605" s="134"/>
      <c r="D605" s="134"/>
      <c r="E605" s="139"/>
      <c r="F605" s="134"/>
      <c r="G605" s="144"/>
      <c r="H605" s="254"/>
    </row>
    <row r="606" spans="1:8" x14ac:dyDescent="0.25">
      <c r="A606" s="134"/>
      <c r="B606" s="134"/>
      <c r="C606" s="134"/>
      <c r="D606" s="134"/>
      <c r="E606" s="139"/>
      <c r="F606" s="134"/>
      <c r="G606" s="144"/>
      <c r="H606" s="254"/>
    </row>
    <row r="607" spans="1:8" x14ac:dyDescent="0.25">
      <c r="A607" s="134"/>
      <c r="B607" s="134"/>
      <c r="C607" s="134"/>
      <c r="D607" s="134"/>
      <c r="E607" s="139"/>
      <c r="F607" s="134"/>
      <c r="G607" s="144"/>
      <c r="H607" s="254"/>
    </row>
    <row r="608" spans="1:8" x14ac:dyDescent="0.25">
      <c r="A608" s="134"/>
      <c r="B608" s="134"/>
      <c r="C608" s="134"/>
      <c r="D608" s="134"/>
      <c r="E608" s="139"/>
      <c r="F608" s="134"/>
      <c r="G608" s="144"/>
      <c r="H608" s="254"/>
    </row>
    <row r="609" spans="1:8" x14ac:dyDescent="0.25">
      <c r="A609" s="134"/>
      <c r="B609" s="134"/>
      <c r="C609" s="134"/>
      <c r="D609" s="134"/>
      <c r="E609" s="139"/>
      <c r="F609" s="134"/>
      <c r="G609" s="144"/>
      <c r="H609" s="254"/>
    </row>
    <row r="610" spans="1:8" x14ac:dyDescent="0.25">
      <c r="A610" s="134"/>
      <c r="B610" s="134"/>
      <c r="C610" s="134"/>
      <c r="D610" s="134"/>
      <c r="E610" s="139"/>
      <c r="F610" s="134"/>
      <c r="G610" s="144"/>
      <c r="H610" s="254"/>
    </row>
    <row r="611" spans="1:8" x14ac:dyDescent="0.25">
      <c r="A611" s="134"/>
      <c r="B611" s="134"/>
      <c r="C611" s="134"/>
      <c r="D611" s="134"/>
      <c r="E611" s="139"/>
      <c r="F611" s="134"/>
      <c r="G611" s="144"/>
      <c r="H611" s="254"/>
    </row>
    <row r="612" spans="1:8" x14ac:dyDescent="0.25">
      <c r="A612" s="134"/>
      <c r="B612" s="134"/>
      <c r="C612" s="134"/>
      <c r="D612" s="134"/>
      <c r="E612" s="139"/>
      <c r="F612" s="134"/>
      <c r="G612" s="144"/>
      <c r="H612" s="254"/>
    </row>
    <row r="613" spans="1:8" x14ac:dyDescent="0.25">
      <c r="A613" s="134"/>
      <c r="B613" s="134"/>
      <c r="C613" s="134"/>
      <c r="D613" s="134"/>
      <c r="E613" s="139"/>
      <c r="F613" s="134"/>
      <c r="G613" s="144"/>
      <c r="H613" s="254"/>
    </row>
    <row r="614" spans="1:8" x14ac:dyDescent="0.25">
      <c r="A614" s="134"/>
      <c r="B614" s="134"/>
      <c r="C614" s="134"/>
      <c r="D614" s="134"/>
      <c r="E614" s="139"/>
      <c r="F614" s="134"/>
      <c r="G614" s="144"/>
      <c r="H614" s="254"/>
    </row>
    <row r="615" spans="1:8" x14ac:dyDescent="0.25">
      <c r="A615" s="134"/>
      <c r="B615" s="134"/>
      <c r="C615" s="134"/>
      <c r="D615" s="134"/>
      <c r="E615" s="139"/>
      <c r="F615" s="134"/>
      <c r="G615" s="144"/>
      <c r="H615" s="254"/>
    </row>
    <row r="616" spans="1:8" x14ac:dyDescent="0.25">
      <c r="A616" s="134"/>
      <c r="B616" s="134"/>
      <c r="C616" s="134"/>
      <c r="D616" s="134"/>
      <c r="E616" s="139"/>
      <c r="F616" s="134"/>
      <c r="G616" s="144"/>
      <c r="H616" s="254"/>
    </row>
    <row r="617" spans="1:8" x14ac:dyDescent="0.25">
      <c r="A617" s="134"/>
      <c r="B617" s="134"/>
      <c r="C617" s="134"/>
      <c r="D617" s="134"/>
      <c r="E617" s="139"/>
      <c r="F617" s="134"/>
      <c r="G617" s="144"/>
      <c r="H617" s="254"/>
    </row>
    <row r="618" spans="1:8" x14ac:dyDescent="0.25">
      <c r="A618" s="134"/>
      <c r="B618" s="134"/>
      <c r="C618" s="134"/>
      <c r="D618" s="134"/>
      <c r="E618" s="139"/>
      <c r="F618" s="134"/>
      <c r="G618" s="144"/>
      <c r="H618" s="254"/>
    </row>
    <row r="619" spans="1:8" x14ac:dyDescent="0.25">
      <c r="A619" s="134"/>
      <c r="B619" s="134"/>
      <c r="C619" s="134"/>
      <c r="D619" s="134"/>
      <c r="E619" s="139"/>
      <c r="F619" s="134"/>
      <c r="G619" s="144"/>
      <c r="H619" s="254"/>
    </row>
    <row r="620" spans="1:8" x14ac:dyDescent="0.25">
      <c r="A620" s="134"/>
      <c r="B620" s="134"/>
      <c r="C620" s="134"/>
      <c r="D620" s="134"/>
      <c r="E620" s="139"/>
      <c r="F620" s="134"/>
      <c r="G620" s="144"/>
      <c r="H620" s="254"/>
    </row>
    <row r="621" spans="1:8" x14ac:dyDescent="0.25">
      <c r="A621" s="134"/>
      <c r="B621" s="134"/>
      <c r="C621" s="134"/>
      <c r="D621" s="134"/>
      <c r="E621" s="139"/>
      <c r="F621" s="134"/>
      <c r="G621" s="144"/>
      <c r="H621" s="254"/>
    </row>
    <row r="622" spans="1:8" x14ac:dyDescent="0.25">
      <c r="A622" s="134"/>
      <c r="B622" s="134"/>
      <c r="C622" s="134"/>
      <c r="D622" s="134"/>
      <c r="E622" s="139"/>
      <c r="F622" s="134"/>
      <c r="G622" s="144"/>
      <c r="H622" s="254"/>
    </row>
    <row r="623" spans="1:8" x14ac:dyDescent="0.25">
      <c r="A623" s="134"/>
      <c r="B623" s="134"/>
      <c r="C623" s="134"/>
      <c r="D623" s="134"/>
      <c r="E623" s="139"/>
      <c r="F623" s="134"/>
      <c r="G623" s="144"/>
      <c r="H623" s="254"/>
    </row>
    <row r="624" spans="1:8" x14ac:dyDescent="0.25">
      <c r="A624" s="134"/>
      <c r="B624" s="134"/>
      <c r="C624" s="134"/>
      <c r="D624" s="134"/>
      <c r="E624" s="139"/>
      <c r="F624" s="134"/>
      <c r="G624" s="144"/>
      <c r="H624" s="254"/>
    </row>
    <row r="625" spans="1:8" x14ac:dyDescent="0.25">
      <c r="A625" s="134"/>
      <c r="B625" s="134"/>
      <c r="C625" s="134"/>
      <c r="D625" s="134"/>
      <c r="E625" s="139"/>
      <c r="F625" s="134"/>
      <c r="G625" s="144"/>
      <c r="H625" s="254"/>
    </row>
    <row r="626" spans="1:8" x14ac:dyDescent="0.25">
      <c r="A626" s="134"/>
      <c r="B626" s="134"/>
      <c r="C626" s="134"/>
      <c r="D626" s="134"/>
      <c r="E626" s="139"/>
      <c r="F626" s="134"/>
      <c r="G626" s="144"/>
      <c r="H626" s="254"/>
    </row>
    <row r="627" spans="1:8" x14ac:dyDescent="0.25">
      <c r="A627" s="134"/>
      <c r="B627" s="134"/>
      <c r="C627" s="134"/>
      <c r="D627" s="134"/>
      <c r="E627" s="139"/>
      <c r="F627" s="134"/>
      <c r="G627" s="144"/>
      <c r="H627" s="254"/>
    </row>
    <row r="628" spans="1:8" x14ac:dyDescent="0.25">
      <c r="A628" s="134"/>
      <c r="B628" s="134"/>
      <c r="C628" s="134"/>
      <c r="D628" s="134"/>
      <c r="E628" s="139"/>
      <c r="F628" s="134"/>
      <c r="G628" s="144"/>
      <c r="H628" s="254"/>
    </row>
    <row r="629" spans="1:8" x14ac:dyDescent="0.25">
      <c r="A629" s="134"/>
      <c r="B629" s="134"/>
      <c r="C629" s="134"/>
      <c r="D629" s="134"/>
      <c r="E629" s="139"/>
      <c r="F629" s="134"/>
      <c r="G629" s="144"/>
      <c r="H629" s="254"/>
    </row>
    <row r="630" spans="1:8" x14ac:dyDescent="0.25">
      <c r="A630" s="134"/>
      <c r="B630" s="134"/>
      <c r="C630" s="134"/>
      <c r="D630" s="134"/>
      <c r="E630" s="139"/>
      <c r="F630" s="134"/>
      <c r="G630" s="144"/>
      <c r="H630" s="254"/>
    </row>
    <row r="631" spans="1:8" x14ac:dyDescent="0.25">
      <c r="A631" s="134"/>
      <c r="B631" s="134"/>
      <c r="C631" s="134"/>
      <c r="D631" s="134"/>
      <c r="E631" s="139"/>
      <c r="F631" s="134"/>
      <c r="G631" s="144"/>
      <c r="H631" s="254"/>
    </row>
    <row r="632" spans="1:8" x14ac:dyDescent="0.25">
      <c r="A632" s="134"/>
      <c r="B632" s="134"/>
      <c r="C632" s="134"/>
      <c r="D632" s="134"/>
      <c r="E632" s="139"/>
      <c r="F632" s="134"/>
      <c r="G632" s="144"/>
      <c r="H632" s="254"/>
    </row>
    <row r="633" spans="1:8" x14ac:dyDescent="0.25">
      <c r="A633" s="134"/>
      <c r="B633" s="134"/>
      <c r="C633" s="134"/>
      <c r="D633" s="134"/>
      <c r="E633" s="139"/>
      <c r="F633" s="134"/>
      <c r="G633" s="144"/>
      <c r="H633" s="254"/>
    </row>
    <row r="634" spans="1:8" x14ac:dyDescent="0.25">
      <c r="A634" s="134"/>
      <c r="B634" s="134"/>
      <c r="C634" s="134"/>
      <c r="D634" s="134"/>
      <c r="E634" s="139"/>
      <c r="F634" s="134"/>
      <c r="G634" s="144"/>
      <c r="H634" s="254"/>
    </row>
    <row r="635" spans="1:8" x14ac:dyDescent="0.25">
      <c r="A635" s="134"/>
      <c r="B635" s="134"/>
      <c r="C635" s="134"/>
      <c r="D635" s="134"/>
      <c r="E635" s="139"/>
      <c r="F635" s="134"/>
      <c r="G635" s="144"/>
      <c r="H635" s="254"/>
    </row>
    <row r="636" spans="1:8" x14ac:dyDescent="0.25">
      <c r="A636" s="134"/>
      <c r="B636" s="134"/>
      <c r="C636" s="134"/>
      <c r="D636" s="134"/>
      <c r="E636" s="139"/>
      <c r="F636" s="134"/>
      <c r="G636" s="144"/>
      <c r="H636" s="254"/>
    </row>
    <row r="637" spans="1:8" x14ac:dyDescent="0.25">
      <c r="A637" s="134"/>
      <c r="B637" s="134"/>
      <c r="C637" s="134"/>
      <c r="D637" s="134"/>
      <c r="E637" s="139"/>
      <c r="F637" s="134"/>
      <c r="G637" s="144"/>
      <c r="H637" s="254"/>
    </row>
    <row r="638" spans="1:8" x14ac:dyDescent="0.25">
      <c r="A638" s="134"/>
      <c r="B638" s="134"/>
      <c r="C638" s="134"/>
      <c r="D638" s="134"/>
      <c r="E638" s="139"/>
      <c r="F638" s="134"/>
      <c r="G638" s="144"/>
      <c r="H638" s="254"/>
    </row>
    <row r="639" spans="1:8" x14ac:dyDescent="0.25">
      <c r="A639" s="134"/>
      <c r="B639" s="134"/>
      <c r="C639" s="134"/>
      <c r="D639" s="134"/>
      <c r="E639" s="139"/>
      <c r="F639" s="134"/>
      <c r="G639" s="144"/>
      <c r="H639" s="254"/>
    </row>
    <row r="640" spans="1:8" x14ac:dyDescent="0.25">
      <c r="A640" s="134"/>
      <c r="B640" s="134"/>
      <c r="C640" s="134"/>
      <c r="D640" s="134"/>
      <c r="E640" s="139"/>
      <c r="F640" s="134"/>
      <c r="G640" s="144"/>
      <c r="H640" s="254"/>
    </row>
    <row r="641" spans="1:8" x14ac:dyDescent="0.25">
      <c r="A641" s="134"/>
      <c r="B641" s="134"/>
      <c r="C641" s="134"/>
      <c r="D641" s="134"/>
      <c r="E641" s="139"/>
      <c r="F641" s="134"/>
      <c r="G641" s="144"/>
      <c r="H641" s="254"/>
    </row>
    <row r="642" spans="1:8" x14ac:dyDescent="0.25">
      <c r="A642" s="134"/>
      <c r="B642" s="134"/>
      <c r="C642" s="134"/>
      <c r="D642" s="134"/>
      <c r="E642" s="139"/>
      <c r="F642" s="134"/>
      <c r="G642" s="144"/>
      <c r="H642" s="254"/>
    </row>
    <row r="643" spans="1:8" x14ac:dyDescent="0.25">
      <c r="A643" s="134"/>
      <c r="B643" s="134"/>
      <c r="C643" s="134"/>
      <c r="D643" s="134"/>
      <c r="E643" s="139"/>
      <c r="F643" s="134"/>
      <c r="G643" s="144"/>
      <c r="H643" s="254"/>
    </row>
    <row r="644" spans="1:8" x14ac:dyDescent="0.25">
      <c r="A644" s="134"/>
      <c r="B644" s="134"/>
      <c r="C644" s="134"/>
      <c r="D644" s="134"/>
      <c r="E644" s="139"/>
      <c r="F644" s="134"/>
      <c r="G644" s="144"/>
      <c r="H644" s="254"/>
    </row>
    <row r="645" spans="1:8" x14ac:dyDescent="0.25">
      <c r="A645" s="134"/>
      <c r="B645" s="134"/>
      <c r="C645" s="134"/>
      <c r="D645" s="134"/>
      <c r="E645" s="139"/>
      <c r="F645" s="134"/>
      <c r="G645" s="144"/>
      <c r="H645" s="254"/>
    </row>
    <row r="646" spans="1:8" x14ac:dyDescent="0.25">
      <c r="A646" s="134"/>
      <c r="B646" s="134"/>
      <c r="C646" s="134"/>
      <c r="D646" s="134"/>
      <c r="E646" s="139"/>
      <c r="F646" s="134"/>
      <c r="G646" s="144"/>
      <c r="H646" s="254"/>
    </row>
    <row r="647" spans="1:8" x14ac:dyDescent="0.25">
      <c r="A647" s="134"/>
      <c r="B647" s="134"/>
      <c r="C647" s="134"/>
      <c r="D647" s="134"/>
      <c r="E647" s="139"/>
      <c r="F647" s="134"/>
      <c r="G647" s="144"/>
      <c r="H647" s="254"/>
    </row>
    <row r="648" spans="1:8" x14ac:dyDescent="0.25">
      <c r="A648" s="134"/>
      <c r="B648" s="134"/>
      <c r="C648" s="134"/>
      <c r="D648" s="134"/>
      <c r="E648" s="139"/>
      <c r="F648" s="134"/>
      <c r="G648" s="144"/>
      <c r="H648" s="254"/>
    </row>
    <row r="649" spans="1:8" x14ac:dyDescent="0.25">
      <c r="A649" s="134"/>
      <c r="B649" s="134"/>
      <c r="C649" s="134"/>
      <c r="D649" s="134"/>
      <c r="E649" s="139"/>
      <c r="F649" s="134"/>
      <c r="G649" s="144"/>
      <c r="H649" s="254"/>
    </row>
    <row r="650" spans="1:8" x14ac:dyDescent="0.25">
      <c r="A650" s="134"/>
      <c r="B650" s="134"/>
      <c r="C650" s="134"/>
      <c r="D650" s="134"/>
      <c r="E650" s="139"/>
      <c r="F650" s="134"/>
      <c r="G650" s="144"/>
      <c r="H650" s="254"/>
    </row>
    <row r="651" spans="1:8" x14ac:dyDescent="0.25">
      <c r="A651" s="134"/>
      <c r="B651" s="134"/>
      <c r="C651" s="134"/>
      <c r="D651" s="134"/>
      <c r="E651" s="139"/>
      <c r="F651" s="134"/>
      <c r="G651" s="144"/>
      <c r="H651" s="254"/>
    </row>
    <row r="652" spans="1:8" x14ac:dyDescent="0.25">
      <c r="A652" s="134"/>
      <c r="B652" s="134"/>
      <c r="C652" s="134"/>
      <c r="D652" s="134"/>
      <c r="E652" s="139"/>
      <c r="F652" s="134"/>
      <c r="G652" s="144"/>
      <c r="H652" s="254"/>
    </row>
    <row r="653" spans="1:8" x14ac:dyDescent="0.25">
      <c r="A653" s="134"/>
      <c r="B653" s="134"/>
      <c r="C653" s="134"/>
      <c r="D653" s="134"/>
      <c r="E653" s="139"/>
      <c r="F653" s="134"/>
      <c r="G653" s="144"/>
      <c r="H653" s="254"/>
    </row>
    <row r="654" spans="1:8" x14ac:dyDescent="0.25">
      <c r="A654" s="134"/>
      <c r="B654" s="134"/>
      <c r="C654" s="134"/>
      <c r="D654" s="134"/>
      <c r="E654" s="139"/>
      <c r="F654" s="134"/>
      <c r="G654" s="144"/>
      <c r="H654" s="254"/>
    </row>
    <row r="655" spans="1:8" x14ac:dyDescent="0.25">
      <c r="A655" s="134"/>
      <c r="B655" s="134"/>
      <c r="C655" s="134"/>
      <c r="D655" s="134"/>
      <c r="E655" s="139"/>
      <c r="F655" s="134"/>
      <c r="G655" s="144"/>
      <c r="H655" s="254"/>
    </row>
    <row r="656" spans="1:8" x14ac:dyDescent="0.25">
      <c r="A656" s="134"/>
      <c r="B656" s="134"/>
      <c r="C656" s="134"/>
      <c r="D656" s="134"/>
      <c r="E656" s="139"/>
      <c r="F656" s="134"/>
      <c r="G656" s="144"/>
      <c r="H656" s="254"/>
    </row>
    <row r="657" spans="1:8" x14ac:dyDescent="0.25">
      <c r="A657" s="134"/>
      <c r="B657" s="134"/>
      <c r="C657" s="134"/>
      <c r="D657" s="134"/>
      <c r="E657" s="139"/>
      <c r="F657" s="134"/>
      <c r="G657" s="144"/>
      <c r="H657" s="254"/>
    </row>
    <row r="658" spans="1:8" x14ac:dyDescent="0.25">
      <c r="A658" s="134"/>
      <c r="B658" s="134"/>
      <c r="C658" s="134"/>
      <c r="D658" s="134"/>
      <c r="E658" s="139"/>
      <c r="F658" s="134"/>
      <c r="G658" s="144"/>
      <c r="H658" s="254"/>
    </row>
    <row r="659" spans="1:8" x14ac:dyDescent="0.25">
      <c r="A659" s="134"/>
      <c r="B659" s="134"/>
      <c r="C659" s="134"/>
      <c r="D659" s="134"/>
      <c r="E659" s="139"/>
      <c r="F659" s="134"/>
      <c r="G659" s="144"/>
      <c r="H659" s="254"/>
    </row>
    <row r="660" spans="1:8" x14ac:dyDescent="0.25">
      <c r="A660" s="134"/>
      <c r="B660" s="134"/>
      <c r="C660" s="134"/>
      <c r="D660" s="134"/>
      <c r="E660" s="139"/>
      <c r="F660" s="134"/>
      <c r="G660" s="144"/>
      <c r="H660" s="254"/>
    </row>
    <row r="661" spans="1:8" x14ac:dyDescent="0.25">
      <c r="A661" s="134"/>
      <c r="B661" s="134"/>
      <c r="C661" s="134"/>
      <c r="D661" s="134"/>
      <c r="E661" s="139"/>
      <c r="F661" s="134"/>
      <c r="G661" s="144"/>
      <c r="H661" s="254"/>
    </row>
    <row r="662" spans="1:8" x14ac:dyDescent="0.25">
      <c r="A662" s="134"/>
      <c r="B662" s="134"/>
      <c r="C662" s="134"/>
      <c r="D662" s="134"/>
      <c r="E662" s="139"/>
      <c r="F662" s="134"/>
      <c r="G662" s="144"/>
      <c r="H662" s="254"/>
    </row>
    <row r="663" spans="1:8" x14ac:dyDescent="0.25">
      <c r="A663" s="134"/>
      <c r="B663" s="134"/>
      <c r="C663" s="134"/>
      <c r="D663" s="134"/>
      <c r="E663" s="139"/>
      <c r="F663" s="134"/>
      <c r="G663" s="144"/>
      <c r="H663" s="254"/>
    </row>
    <row r="664" spans="1:8" x14ac:dyDescent="0.25">
      <c r="A664" s="134"/>
      <c r="B664" s="134"/>
      <c r="C664" s="134"/>
      <c r="D664" s="134"/>
      <c r="E664" s="139"/>
      <c r="F664" s="134"/>
      <c r="G664" s="144"/>
      <c r="H664" s="254"/>
    </row>
    <row r="665" spans="1:8" x14ac:dyDescent="0.25">
      <c r="A665" s="134"/>
      <c r="B665" s="134"/>
      <c r="C665" s="134"/>
      <c r="D665" s="134"/>
      <c r="E665" s="139"/>
      <c r="F665" s="134"/>
      <c r="G665" s="144"/>
      <c r="H665" s="254"/>
    </row>
    <row r="666" spans="1:8" x14ac:dyDescent="0.25">
      <c r="A666" s="134"/>
      <c r="B666" s="134"/>
      <c r="C666" s="134"/>
      <c r="D666" s="134"/>
      <c r="E666" s="139"/>
      <c r="F666" s="134"/>
      <c r="G666" s="144"/>
      <c r="H666" s="254"/>
    </row>
    <row r="667" spans="1:8" x14ac:dyDescent="0.25">
      <c r="A667" s="134"/>
      <c r="B667" s="134"/>
      <c r="C667" s="134"/>
      <c r="D667" s="134"/>
      <c r="E667" s="139"/>
      <c r="F667" s="134"/>
      <c r="G667" s="144"/>
      <c r="H667" s="254"/>
    </row>
    <row r="668" spans="1:8" x14ac:dyDescent="0.25">
      <c r="A668" s="134"/>
      <c r="B668" s="134"/>
      <c r="C668" s="134"/>
      <c r="D668" s="134"/>
      <c r="E668" s="139"/>
      <c r="F668" s="134"/>
      <c r="G668" s="144"/>
      <c r="H668" s="254"/>
    </row>
    <row r="669" spans="1:8" x14ac:dyDescent="0.25">
      <c r="A669" s="134"/>
      <c r="B669" s="134"/>
      <c r="C669" s="134"/>
      <c r="D669" s="134"/>
      <c r="E669" s="139"/>
      <c r="F669" s="134"/>
      <c r="G669" s="144"/>
      <c r="H669" s="254"/>
    </row>
    <row r="670" spans="1:8" x14ac:dyDescent="0.25">
      <c r="A670" s="134"/>
      <c r="B670" s="134"/>
      <c r="C670" s="134"/>
      <c r="D670" s="134"/>
      <c r="E670" s="139"/>
      <c r="F670" s="134"/>
      <c r="G670" s="144"/>
      <c r="H670" s="254"/>
    </row>
    <row r="671" spans="1:8" x14ac:dyDescent="0.25">
      <c r="A671" s="134"/>
      <c r="B671" s="134"/>
      <c r="C671" s="134"/>
      <c r="D671" s="134"/>
      <c r="E671" s="139"/>
      <c r="F671" s="134"/>
      <c r="G671" s="144"/>
      <c r="H671" s="254"/>
    </row>
    <row r="672" spans="1:8" x14ac:dyDescent="0.25">
      <c r="A672" s="134"/>
      <c r="B672" s="134"/>
      <c r="C672" s="134"/>
      <c r="D672" s="134"/>
      <c r="E672" s="139"/>
      <c r="F672" s="134"/>
      <c r="G672" s="144"/>
      <c r="H672" s="254"/>
    </row>
    <row r="673" spans="1:8" x14ac:dyDescent="0.25">
      <c r="A673" s="134"/>
      <c r="B673" s="134"/>
      <c r="C673" s="134"/>
      <c r="D673" s="134"/>
      <c r="E673" s="139"/>
      <c r="F673" s="134"/>
      <c r="G673" s="144"/>
      <c r="H673" s="254"/>
    </row>
    <row r="674" spans="1:8" x14ac:dyDescent="0.25">
      <c r="A674" s="134"/>
      <c r="B674" s="134"/>
      <c r="C674" s="134"/>
      <c r="D674" s="134"/>
      <c r="E674" s="139"/>
      <c r="F674" s="134"/>
      <c r="G674" s="144"/>
      <c r="H674" s="254"/>
    </row>
    <row r="675" spans="1:8" x14ac:dyDescent="0.25">
      <c r="A675" s="134"/>
      <c r="B675" s="134"/>
      <c r="C675" s="134"/>
      <c r="D675" s="134"/>
      <c r="E675" s="139"/>
      <c r="F675" s="134"/>
      <c r="G675" s="144"/>
      <c r="H675" s="254"/>
    </row>
    <row r="676" spans="1:8" x14ac:dyDescent="0.25">
      <c r="A676" s="134"/>
      <c r="B676" s="134"/>
      <c r="C676" s="134"/>
      <c r="D676" s="134"/>
      <c r="E676" s="139"/>
      <c r="F676" s="134"/>
      <c r="G676" s="144"/>
      <c r="H676" s="254"/>
    </row>
    <row r="677" spans="1:8" x14ac:dyDescent="0.25">
      <c r="A677" s="134"/>
      <c r="B677" s="134"/>
      <c r="C677" s="134"/>
      <c r="D677" s="134"/>
      <c r="E677" s="139"/>
      <c r="F677" s="134"/>
      <c r="G677" s="144"/>
      <c r="H677" s="254"/>
    </row>
    <row r="678" spans="1:8" x14ac:dyDescent="0.25">
      <c r="A678" s="134"/>
      <c r="B678" s="134"/>
      <c r="C678" s="134"/>
      <c r="D678" s="134"/>
      <c r="E678" s="139"/>
      <c r="F678" s="134"/>
      <c r="G678" s="144"/>
      <c r="H678" s="203"/>
    </row>
    <row r="679" spans="1:8" x14ac:dyDescent="0.25">
      <c r="A679" s="134"/>
      <c r="B679" s="134"/>
      <c r="C679" s="134"/>
      <c r="D679" s="134"/>
      <c r="E679" s="139"/>
      <c r="F679" s="134"/>
      <c r="G679" s="144"/>
      <c r="H679" s="203"/>
    </row>
    <row r="680" spans="1:8" x14ac:dyDescent="0.25">
      <c r="A680" s="134"/>
      <c r="B680" s="134"/>
      <c r="C680" s="134"/>
      <c r="D680" s="134"/>
      <c r="E680" s="139"/>
      <c r="F680" s="134"/>
      <c r="G680" s="144"/>
      <c r="H680" s="203"/>
    </row>
    <row r="681" spans="1:8" x14ac:dyDescent="0.25">
      <c r="A681" s="134"/>
      <c r="B681" s="134"/>
      <c r="C681" s="134"/>
      <c r="D681" s="134"/>
      <c r="E681" s="139"/>
      <c r="F681" s="134"/>
      <c r="G681" s="144"/>
      <c r="H681" s="203"/>
    </row>
    <row r="682" spans="1:8" x14ac:dyDescent="0.25">
      <c r="A682" s="134"/>
      <c r="B682" s="134"/>
      <c r="C682" s="134"/>
      <c r="D682" s="134"/>
      <c r="E682" s="139"/>
      <c r="F682" s="134"/>
      <c r="G682" s="144"/>
      <c r="H682" s="203"/>
    </row>
    <row r="683" spans="1:8" x14ac:dyDescent="0.25">
      <c r="A683" s="134"/>
      <c r="B683" s="134"/>
      <c r="C683" s="134"/>
      <c r="D683" s="134"/>
      <c r="E683" s="139"/>
      <c r="F683" s="134"/>
      <c r="G683" s="144"/>
      <c r="H683" s="203"/>
    </row>
    <row r="684" spans="1:8" x14ac:dyDescent="0.25">
      <c r="A684" s="134"/>
      <c r="B684" s="134"/>
      <c r="C684" s="134"/>
      <c r="D684" s="134"/>
      <c r="E684" s="139"/>
      <c r="F684" s="134"/>
      <c r="G684" s="144"/>
      <c r="H684" s="203"/>
    </row>
    <row r="685" spans="1:8" x14ac:dyDescent="0.25">
      <c r="A685" s="134"/>
      <c r="B685" s="134"/>
      <c r="C685" s="134"/>
      <c r="D685" s="134"/>
      <c r="E685" s="139"/>
      <c r="F685" s="134"/>
      <c r="G685" s="144"/>
      <c r="H685" s="203"/>
    </row>
    <row r="686" spans="1:8" x14ac:dyDescent="0.25">
      <c r="A686" s="134"/>
      <c r="B686" s="134"/>
      <c r="C686" s="134"/>
      <c r="D686" s="134"/>
      <c r="E686" s="139"/>
      <c r="F686" s="134"/>
      <c r="G686" s="144"/>
      <c r="H686" s="203"/>
    </row>
    <row r="687" spans="1:8" x14ac:dyDescent="0.25">
      <c r="A687" s="134"/>
      <c r="B687" s="134"/>
      <c r="C687" s="134"/>
      <c r="D687" s="134"/>
      <c r="E687" s="139"/>
      <c r="F687" s="134"/>
      <c r="G687" s="144"/>
      <c r="H687" s="203"/>
    </row>
    <row r="688" spans="1:8" x14ac:dyDescent="0.25">
      <c r="A688" s="134"/>
      <c r="B688" s="134"/>
      <c r="C688" s="134"/>
      <c r="D688" s="134"/>
      <c r="E688" s="139"/>
      <c r="F688" s="134"/>
      <c r="G688" s="144"/>
      <c r="H688" s="203"/>
    </row>
    <row r="689" spans="1:8" x14ac:dyDescent="0.25">
      <c r="A689" s="134"/>
      <c r="B689" s="134"/>
      <c r="C689" s="134"/>
      <c r="D689" s="134"/>
      <c r="E689" s="139"/>
      <c r="F689" s="134"/>
      <c r="G689" s="144"/>
      <c r="H689" s="203"/>
    </row>
    <row r="690" spans="1:8" x14ac:dyDescent="0.25">
      <c r="A690" s="134"/>
      <c r="B690" s="134"/>
      <c r="C690" s="134"/>
      <c r="D690" s="134"/>
      <c r="E690" s="139"/>
      <c r="F690" s="134"/>
      <c r="G690" s="144"/>
      <c r="H690" s="203"/>
    </row>
    <row r="691" spans="1:8" x14ac:dyDescent="0.25">
      <c r="A691" s="134"/>
      <c r="B691" s="134"/>
      <c r="C691" s="134"/>
      <c r="D691" s="134"/>
      <c r="E691" s="139"/>
      <c r="F691" s="134"/>
      <c r="G691" s="144"/>
      <c r="H691" s="203"/>
    </row>
    <row r="692" spans="1:8" x14ac:dyDescent="0.25">
      <c r="A692" s="134"/>
      <c r="B692" s="134"/>
      <c r="C692" s="134"/>
      <c r="D692" s="134"/>
      <c r="E692" s="139"/>
      <c r="F692" s="134"/>
      <c r="G692" s="144"/>
      <c r="H692" s="203"/>
    </row>
    <row r="693" spans="1:8" x14ac:dyDescent="0.25">
      <c r="A693" s="134"/>
      <c r="B693" s="134"/>
      <c r="C693" s="134"/>
      <c r="D693" s="134"/>
      <c r="E693" s="139"/>
      <c r="F693" s="134"/>
      <c r="G693" s="144"/>
      <c r="H693" s="203"/>
    </row>
    <row r="694" spans="1:8" x14ac:dyDescent="0.25">
      <c r="A694" s="134"/>
      <c r="B694" s="134"/>
      <c r="C694" s="134"/>
      <c r="D694" s="134"/>
      <c r="E694" s="139"/>
      <c r="F694" s="134"/>
      <c r="G694" s="144"/>
      <c r="H694" s="203"/>
    </row>
    <row r="695" spans="1:8" x14ac:dyDescent="0.25">
      <c r="A695" s="134"/>
      <c r="B695" s="134"/>
      <c r="C695" s="134"/>
      <c r="D695" s="134"/>
      <c r="E695" s="139"/>
      <c r="F695" s="134"/>
      <c r="G695" s="144"/>
      <c r="H695" s="203"/>
    </row>
    <row r="696" spans="1:8" x14ac:dyDescent="0.25">
      <c r="A696" s="134"/>
      <c r="B696" s="134"/>
      <c r="C696" s="134"/>
      <c r="D696" s="134"/>
      <c r="E696" s="139"/>
      <c r="F696" s="134"/>
      <c r="G696" s="144"/>
      <c r="H696" s="203"/>
    </row>
    <row r="697" spans="1:8" x14ac:dyDescent="0.25">
      <c r="A697" s="134"/>
      <c r="B697" s="134"/>
      <c r="C697" s="134"/>
      <c r="D697" s="134"/>
      <c r="E697" s="139"/>
      <c r="F697" s="134"/>
      <c r="G697" s="144"/>
      <c r="H697" s="203"/>
    </row>
    <row r="698" spans="1:8" x14ac:dyDescent="0.25">
      <c r="A698" s="134"/>
      <c r="B698" s="134"/>
      <c r="C698" s="134"/>
      <c r="D698" s="134"/>
      <c r="E698" s="139"/>
      <c r="F698" s="134"/>
      <c r="G698" s="144"/>
      <c r="H698" s="203"/>
    </row>
    <row r="699" spans="1:8" x14ac:dyDescent="0.25">
      <c r="A699" s="134"/>
      <c r="B699" s="134"/>
      <c r="C699" s="134"/>
      <c r="D699" s="134"/>
      <c r="E699" s="139"/>
      <c r="F699" s="134"/>
      <c r="G699" s="144"/>
      <c r="H699" s="203"/>
    </row>
    <row r="700" spans="1:8" x14ac:dyDescent="0.25">
      <c r="A700" s="134"/>
      <c r="B700" s="134"/>
      <c r="C700" s="134"/>
      <c r="D700" s="134"/>
      <c r="E700" s="139"/>
      <c r="F700" s="134"/>
      <c r="G700" s="144"/>
      <c r="H700" s="203"/>
    </row>
  </sheetData>
  <mergeCells count="1">
    <mergeCell ref="A1:F1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1" fitToHeight="3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0556B-12B8-4026-9696-499BFE593F71}">
  <sheetPr>
    <pageSetUpPr fitToPage="1"/>
  </sheetPr>
  <dimension ref="A1:L114"/>
  <sheetViews>
    <sheetView topLeftCell="A86" zoomScaleNormal="100" workbookViewId="0">
      <selection activeCell="B29" sqref="B29"/>
    </sheetView>
  </sheetViews>
  <sheetFormatPr baseColWidth="10" defaultColWidth="11.42578125" defaultRowHeight="11.25" x14ac:dyDescent="0.2"/>
  <cols>
    <col min="1" max="1" width="14.140625" style="7" customWidth="1"/>
    <col min="2" max="2" width="55.7109375" style="59" customWidth="1"/>
    <col min="3" max="3" width="12.42578125" style="7" bestFit="1" customWidth="1"/>
    <col min="4" max="4" width="11.28515625" style="7" bestFit="1" customWidth="1"/>
    <col min="5" max="5" width="6.140625" style="7" bestFit="1" customWidth="1"/>
    <col min="6" max="6" width="13.140625" style="6" customWidth="1"/>
    <col min="7" max="7" width="3.5703125" style="7" customWidth="1"/>
    <col min="8" max="8" width="14" style="6" customWidth="1"/>
    <col min="9" max="9" width="11.42578125" style="6"/>
    <col min="10" max="10" width="17.28515625" style="6" customWidth="1"/>
    <col min="11" max="256" width="11.42578125" style="6"/>
    <col min="257" max="257" width="14.140625" style="6" customWidth="1"/>
    <col min="258" max="258" width="55.7109375" style="6" customWidth="1"/>
    <col min="259" max="259" width="12.42578125" style="6" bestFit="1" customWidth="1"/>
    <col min="260" max="260" width="11.28515625" style="6" bestFit="1" customWidth="1"/>
    <col min="261" max="261" width="6.140625" style="6" bestFit="1" customWidth="1"/>
    <col min="262" max="262" width="13.140625" style="6" customWidth="1"/>
    <col min="263" max="263" width="3.5703125" style="6" customWidth="1"/>
    <col min="264" max="264" width="14" style="6" customWidth="1"/>
    <col min="265" max="265" width="11.42578125" style="6"/>
    <col min="266" max="266" width="17.28515625" style="6" customWidth="1"/>
    <col min="267" max="512" width="11.42578125" style="6"/>
    <col min="513" max="513" width="14.140625" style="6" customWidth="1"/>
    <col min="514" max="514" width="55.7109375" style="6" customWidth="1"/>
    <col min="515" max="515" width="12.42578125" style="6" bestFit="1" customWidth="1"/>
    <col min="516" max="516" width="11.28515625" style="6" bestFit="1" customWidth="1"/>
    <col min="517" max="517" width="6.140625" style="6" bestFit="1" customWidth="1"/>
    <col min="518" max="518" width="13.140625" style="6" customWidth="1"/>
    <col min="519" max="519" width="3.5703125" style="6" customWidth="1"/>
    <col min="520" max="520" width="14" style="6" customWidth="1"/>
    <col min="521" max="521" width="11.42578125" style="6"/>
    <col min="522" max="522" width="17.28515625" style="6" customWidth="1"/>
    <col min="523" max="768" width="11.42578125" style="6"/>
    <col min="769" max="769" width="14.140625" style="6" customWidth="1"/>
    <col min="770" max="770" width="55.7109375" style="6" customWidth="1"/>
    <col min="771" max="771" width="12.42578125" style="6" bestFit="1" customWidth="1"/>
    <col min="772" max="772" width="11.28515625" style="6" bestFit="1" customWidth="1"/>
    <col min="773" max="773" width="6.140625" style="6" bestFit="1" customWidth="1"/>
    <col min="774" max="774" width="13.140625" style="6" customWidth="1"/>
    <col min="775" max="775" width="3.5703125" style="6" customWidth="1"/>
    <col min="776" max="776" width="14" style="6" customWidth="1"/>
    <col min="777" max="777" width="11.42578125" style="6"/>
    <col min="778" max="778" width="17.28515625" style="6" customWidth="1"/>
    <col min="779" max="1024" width="11.42578125" style="6"/>
    <col min="1025" max="1025" width="14.140625" style="6" customWidth="1"/>
    <col min="1026" max="1026" width="55.7109375" style="6" customWidth="1"/>
    <col min="1027" max="1027" width="12.42578125" style="6" bestFit="1" customWidth="1"/>
    <col min="1028" max="1028" width="11.28515625" style="6" bestFit="1" customWidth="1"/>
    <col min="1029" max="1029" width="6.140625" style="6" bestFit="1" customWidth="1"/>
    <col min="1030" max="1030" width="13.140625" style="6" customWidth="1"/>
    <col min="1031" max="1031" width="3.5703125" style="6" customWidth="1"/>
    <col min="1032" max="1032" width="14" style="6" customWidth="1"/>
    <col min="1033" max="1033" width="11.42578125" style="6"/>
    <col min="1034" max="1034" width="17.28515625" style="6" customWidth="1"/>
    <col min="1035" max="1280" width="11.42578125" style="6"/>
    <col min="1281" max="1281" width="14.140625" style="6" customWidth="1"/>
    <col min="1282" max="1282" width="55.7109375" style="6" customWidth="1"/>
    <col min="1283" max="1283" width="12.42578125" style="6" bestFit="1" customWidth="1"/>
    <col min="1284" max="1284" width="11.28515625" style="6" bestFit="1" customWidth="1"/>
    <col min="1285" max="1285" width="6.140625" style="6" bestFit="1" customWidth="1"/>
    <col min="1286" max="1286" width="13.140625" style="6" customWidth="1"/>
    <col min="1287" max="1287" width="3.5703125" style="6" customWidth="1"/>
    <col min="1288" max="1288" width="14" style="6" customWidth="1"/>
    <col min="1289" max="1289" width="11.42578125" style="6"/>
    <col min="1290" max="1290" width="17.28515625" style="6" customWidth="1"/>
    <col min="1291" max="1536" width="11.42578125" style="6"/>
    <col min="1537" max="1537" width="14.140625" style="6" customWidth="1"/>
    <col min="1538" max="1538" width="55.7109375" style="6" customWidth="1"/>
    <col min="1539" max="1539" width="12.42578125" style="6" bestFit="1" customWidth="1"/>
    <col min="1540" max="1540" width="11.28515625" style="6" bestFit="1" customWidth="1"/>
    <col min="1541" max="1541" width="6.140625" style="6" bestFit="1" customWidth="1"/>
    <col min="1542" max="1542" width="13.140625" style="6" customWidth="1"/>
    <col min="1543" max="1543" width="3.5703125" style="6" customWidth="1"/>
    <col min="1544" max="1544" width="14" style="6" customWidth="1"/>
    <col min="1545" max="1545" width="11.42578125" style="6"/>
    <col min="1546" max="1546" width="17.28515625" style="6" customWidth="1"/>
    <col min="1547" max="1792" width="11.42578125" style="6"/>
    <col min="1793" max="1793" width="14.140625" style="6" customWidth="1"/>
    <col min="1794" max="1794" width="55.7109375" style="6" customWidth="1"/>
    <col min="1795" max="1795" width="12.42578125" style="6" bestFit="1" customWidth="1"/>
    <col min="1796" max="1796" width="11.28515625" style="6" bestFit="1" customWidth="1"/>
    <col min="1797" max="1797" width="6.140625" style="6" bestFit="1" customWidth="1"/>
    <col min="1798" max="1798" width="13.140625" style="6" customWidth="1"/>
    <col min="1799" max="1799" width="3.5703125" style="6" customWidth="1"/>
    <col min="1800" max="1800" width="14" style="6" customWidth="1"/>
    <col min="1801" max="1801" width="11.42578125" style="6"/>
    <col min="1802" max="1802" width="17.28515625" style="6" customWidth="1"/>
    <col min="1803" max="2048" width="11.42578125" style="6"/>
    <col min="2049" max="2049" width="14.140625" style="6" customWidth="1"/>
    <col min="2050" max="2050" width="55.7109375" style="6" customWidth="1"/>
    <col min="2051" max="2051" width="12.42578125" style="6" bestFit="1" customWidth="1"/>
    <col min="2052" max="2052" width="11.28515625" style="6" bestFit="1" customWidth="1"/>
    <col min="2053" max="2053" width="6.140625" style="6" bestFit="1" customWidth="1"/>
    <col min="2054" max="2054" width="13.140625" style="6" customWidth="1"/>
    <col min="2055" max="2055" width="3.5703125" style="6" customWidth="1"/>
    <col min="2056" max="2056" width="14" style="6" customWidth="1"/>
    <col min="2057" max="2057" width="11.42578125" style="6"/>
    <col min="2058" max="2058" width="17.28515625" style="6" customWidth="1"/>
    <col min="2059" max="2304" width="11.42578125" style="6"/>
    <col min="2305" max="2305" width="14.140625" style="6" customWidth="1"/>
    <col min="2306" max="2306" width="55.7109375" style="6" customWidth="1"/>
    <col min="2307" max="2307" width="12.42578125" style="6" bestFit="1" customWidth="1"/>
    <col min="2308" max="2308" width="11.28515625" style="6" bestFit="1" customWidth="1"/>
    <col min="2309" max="2309" width="6.140625" style="6" bestFit="1" customWidth="1"/>
    <col min="2310" max="2310" width="13.140625" style="6" customWidth="1"/>
    <col min="2311" max="2311" width="3.5703125" style="6" customWidth="1"/>
    <col min="2312" max="2312" width="14" style="6" customWidth="1"/>
    <col min="2313" max="2313" width="11.42578125" style="6"/>
    <col min="2314" max="2314" width="17.28515625" style="6" customWidth="1"/>
    <col min="2315" max="2560" width="11.42578125" style="6"/>
    <col min="2561" max="2561" width="14.140625" style="6" customWidth="1"/>
    <col min="2562" max="2562" width="55.7109375" style="6" customWidth="1"/>
    <col min="2563" max="2563" width="12.42578125" style="6" bestFit="1" customWidth="1"/>
    <col min="2564" max="2564" width="11.28515625" style="6" bestFit="1" customWidth="1"/>
    <col min="2565" max="2565" width="6.140625" style="6" bestFit="1" customWidth="1"/>
    <col min="2566" max="2566" width="13.140625" style="6" customWidth="1"/>
    <col min="2567" max="2567" width="3.5703125" style="6" customWidth="1"/>
    <col min="2568" max="2568" width="14" style="6" customWidth="1"/>
    <col min="2569" max="2569" width="11.42578125" style="6"/>
    <col min="2570" max="2570" width="17.28515625" style="6" customWidth="1"/>
    <col min="2571" max="2816" width="11.42578125" style="6"/>
    <col min="2817" max="2817" width="14.140625" style="6" customWidth="1"/>
    <col min="2818" max="2818" width="55.7109375" style="6" customWidth="1"/>
    <col min="2819" max="2819" width="12.42578125" style="6" bestFit="1" customWidth="1"/>
    <col min="2820" max="2820" width="11.28515625" style="6" bestFit="1" customWidth="1"/>
    <col min="2821" max="2821" width="6.140625" style="6" bestFit="1" customWidth="1"/>
    <col min="2822" max="2822" width="13.140625" style="6" customWidth="1"/>
    <col min="2823" max="2823" width="3.5703125" style="6" customWidth="1"/>
    <col min="2824" max="2824" width="14" style="6" customWidth="1"/>
    <col min="2825" max="2825" width="11.42578125" style="6"/>
    <col min="2826" max="2826" width="17.28515625" style="6" customWidth="1"/>
    <col min="2827" max="3072" width="11.42578125" style="6"/>
    <col min="3073" max="3073" width="14.140625" style="6" customWidth="1"/>
    <col min="3074" max="3074" width="55.7109375" style="6" customWidth="1"/>
    <col min="3075" max="3075" width="12.42578125" style="6" bestFit="1" customWidth="1"/>
    <col min="3076" max="3076" width="11.28515625" style="6" bestFit="1" customWidth="1"/>
    <col min="3077" max="3077" width="6.140625" style="6" bestFit="1" customWidth="1"/>
    <col min="3078" max="3078" width="13.140625" style="6" customWidth="1"/>
    <col min="3079" max="3079" width="3.5703125" style="6" customWidth="1"/>
    <col min="3080" max="3080" width="14" style="6" customWidth="1"/>
    <col min="3081" max="3081" width="11.42578125" style="6"/>
    <col min="3082" max="3082" width="17.28515625" style="6" customWidth="1"/>
    <col min="3083" max="3328" width="11.42578125" style="6"/>
    <col min="3329" max="3329" width="14.140625" style="6" customWidth="1"/>
    <col min="3330" max="3330" width="55.7109375" style="6" customWidth="1"/>
    <col min="3331" max="3331" width="12.42578125" style="6" bestFit="1" customWidth="1"/>
    <col min="3332" max="3332" width="11.28515625" style="6" bestFit="1" customWidth="1"/>
    <col min="3333" max="3333" width="6.140625" style="6" bestFit="1" customWidth="1"/>
    <col min="3334" max="3334" width="13.140625" style="6" customWidth="1"/>
    <col min="3335" max="3335" width="3.5703125" style="6" customWidth="1"/>
    <col min="3336" max="3336" width="14" style="6" customWidth="1"/>
    <col min="3337" max="3337" width="11.42578125" style="6"/>
    <col min="3338" max="3338" width="17.28515625" style="6" customWidth="1"/>
    <col min="3339" max="3584" width="11.42578125" style="6"/>
    <col min="3585" max="3585" width="14.140625" style="6" customWidth="1"/>
    <col min="3586" max="3586" width="55.7109375" style="6" customWidth="1"/>
    <col min="3587" max="3587" width="12.42578125" style="6" bestFit="1" customWidth="1"/>
    <col min="3588" max="3588" width="11.28515625" style="6" bestFit="1" customWidth="1"/>
    <col min="3589" max="3589" width="6.140625" style="6" bestFit="1" customWidth="1"/>
    <col min="3590" max="3590" width="13.140625" style="6" customWidth="1"/>
    <col min="3591" max="3591" width="3.5703125" style="6" customWidth="1"/>
    <col min="3592" max="3592" width="14" style="6" customWidth="1"/>
    <col min="3593" max="3593" width="11.42578125" style="6"/>
    <col min="3594" max="3594" width="17.28515625" style="6" customWidth="1"/>
    <col min="3595" max="3840" width="11.42578125" style="6"/>
    <col min="3841" max="3841" width="14.140625" style="6" customWidth="1"/>
    <col min="3842" max="3842" width="55.7109375" style="6" customWidth="1"/>
    <col min="3843" max="3843" width="12.42578125" style="6" bestFit="1" customWidth="1"/>
    <col min="3844" max="3844" width="11.28515625" style="6" bestFit="1" customWidth="1"/>
    <col min="3845" max="3845" width="6.140625" style="6" bestFit="1" customWidth="1"/>
    <col min="3846" max="3846" width="13.140625" style="6" customWidth="1"/>
    <col min="3847" max="3847" width="3.5703125" style="6" customWidth="1"/>
    <col min="3848" max="3848" width="14" style="6" customWidth="1"/>
    <col min="3849" max="3849" width="11.42578125" style="6"/>
    <col min="3850" max="3850" width="17.28515625" style="6" customWidth="1"/>
    <col min="3851" max="4096" width="11.42578125" style="6"/>
    <col min="4097" max="4097" width="14.140625" style="6" customWidth="1"/>
    <col min="4098" max="4098" width="55.7109375" style="6" customWidth="1"/>
    <col min="4099" max="4099" width="12.42578125" style="6" bestFit="1" customWidth="1"/>
    <col min="4100" max="4100" width="11.28515625" style="6" bestFit="1" customWidth="1"/>
    <col min="4101" max="4101" width="6.140625" style="6" bestFit="1" customWidth="1"/>
    <col min="4102" max="4102" width="13.140625" style="6" customWidth="1"/>
    <col min="4103" max="4103" width="3.5703125" style="6" customWidth="1"/>
    <col min="4104" max="4104" width="14" style="6" customWidth="1"/>
    <col min="4105" max="4105" width="11.42578125" style="6"/>
    <col min="4106" max="4106" width="17.28515625" style="6" customWidth="1"/>
    <col min="4107" max="4352" width="11.42578125" style="6"/>
    <col min="4353" max="4353" width="14.140625" style="6" customWidth="1"/>
    <col min="4354" max="4354" width="55.7109375" style="6" customWidth="1"/>
    <col min="4355" max="4355" width="12.42578125" style="6" bestFit="1" customWidth="1"/>
    <col min="4356" max="4356" width="11.28515625" style="6" bestFit="1" customWidth="1"/>
    <col min="4357" max="4357" width="6.140625" style="6" bestFit="1" customWidth="1"/>
    <col min="4358" max="4358" width="13.140625" style="6" customWidth="1"/>
    <col min="4359" max="4359" width="3.5703125" style="6" customWidth="1"/>
    <col min="4360" max="4360" width="14" style="6" customWidth="1"/>
    <col min="4361" max="4361" width="11.42578125" style="6"/>
    <col min="4362" max="4362" width="17.28515625" style="6" customWidth="1"/>
    <col min="4363" max="4608" width="11.42578125" style="6"/>
    <col min="4609" max="4609" width="14.140625" style="6" customWidth="1"/>
    <col min="4610" max="4610" width="55.7109375" style="6" customWidth="1"/>
    <col min="4611" max="4611" width="12.42578125" style="6" bestFit="1" customWidth="1"/>
    <col min="4612" max="4612" width="11.28515625" style="6" bestFit="1" customWidth="1"/>
    <col min="4613" max="4613" width="6.140625" style="6" bestFit="1" customWidth="1"/>
    <col min="4614" max="4614" width="13.140625" style="6" customWidth="1"/>
    <col min="4615" max="4615" width="3.5703125" style="6" customWidth="1"/>
    <col min="4616" max="4616" width="14" style="6" customWidth="1"/>
    <col min="4617" max="4617" width="11.42578125" style="6"/>
    <col min="4618" max="4618" width="17.28515625" style="6" customWidth="1"/>
    <col min="4619" max="4864" width="11.42578125" style="6"/>
    <col min="4865" max="4865" width="14.140625" style="6" customWidth="1"/>
    <col min="4866" max="4866" width="55.7109375" style="6" customWidth="1"/>
    <col min="4867" max="4867" width="12.42578125" style="6" bestFit="1" customWidth="1"/>
    <col min="4868" max="4868" width="11.28515625" style="6" bestFit="1" customWidth="1"/>
    <col min="4869" max="4869" width="6.140625" style="6" bestFit="1" customWidth="1"/>
    <col min="4870" max="4870" width="13.140625" style="6" customWidth="1"/>
    <col min="4871" max="4871" width="3.5703125" style="6" customWidth="1"/>
    <col min="4872" max="4872" width="14" style="6" customWidth="1"/>
    <col min="4873" max="4873" width="11.42578125" style="6"/>
    <col min="4874" max="4874" width="17.28515625" style="6" customWidth="1"/>
    <col min="4875" max="5120" width="11.42578125" style="6"/>
    <col min="5121" max="5121" width="14.140625" style="6" customWidth="1"/>
    <col min="5122" max="5122" width="55.7109375" style="6" customWidth="1"/>
    <col min="5123" max="5123" width="12.42578125" style="6" bestFit="1" customWidth="1"/>
    <col min="5124" max="5124" width="11.28515625" style="6" bestFit="1" customWidth="1"/>
    <col min="5125" max="5125" width="6.140625" style="6" bestFit="1" customWidth="1"/>
    <col min="5126" max="5126" width="13.140625" style="6" customWidth="1"/>
    <col min="5127" max="5127" width="3.5703125" style="6" customWidth="1"/>
    <col min="5128" max="5128" width="14" style="6" customWidth="1"/>
    <col min="5129" max="5129" width="11.42578125" style="6"/>
    <col min="5130" max="5130" width="17.28515625" style="6" customWidth="1"/>
    <col min="5131" max="5376" width="11.42578125" style="6"/>
    <col min="5377" max="5377" width="14.140625" style="6" customWidth="1"/>
    <col min="5378" max="5378" width="55.7109375" style="6" customWidth="1"/>
    <col min="5379" max="5379" width="12.42578125" style="6" bestFit="1" customWidth="1"/>
    <col min="5380" max="5380" width="11.28515625" style="6" bestFit="1" customWidth="1"/>
    <col min="5381" max="5381" width="6.140625" style="6" bestFit="1" customWidth="1"/>
    <col min="5382" max="5382" width="13.140625" style="6" customWidth="1"/>
    <col min="5383" max="5383" width="3.5703125" style="6" customWidth="1"/>
    <col min="5384" max="5384" width="14" style="6" customWidth="1"/>
    <col min="5385" max="5385" width="11.42578125" style="6"/>
    <col min="5386" max="5386" width="17.28515625" style="6" customWidth="1"/>
    <col min="5387" max="5632" width="11.42578125" style="6"/>
    <col min="5633" max="5633" width="14.140625" style="6" customWidth="1"/>
    <col min="5634" max="5634" width="55.7109375" style="6" customWidth="1"/>
    <col min="5635" max="5635" width="12.42578125" style="6" bestFit="1" customWidth="1"/>
    <col min="5636" max="5636" width="11.28515625" style="6" bestFit="1" customWidth="1"/>
    <col min="5637" max="5637" width="6.140625" style="6" bestFit="1" customWidth="1"/>
    <col min="5638" max="5638" width="13.140625" style="6" customWidth="1"/>
    <col min="5639" max="5639" width="3.5703125" style="6" customWidth="1"/>
    <col min="5640" max="5640" width="14" style="6" customWidth="1"/>
    <col min="5641" max="5641" width="11.42578125" style="6"/>
    <col min="5642" max="5642" width="17.28515625" style="6" customWidth="1"/>
    <col min="5643" max="5888" width="11.42578125" style="6"/>
    <col min="5889" max="5889" width="14.140625" style="6" customWidth="1"/>
    <col min="5890" max="5890" width="55.7109375" style="6" customWidth="1"/>
    <col min="5891" max="5891" width="12.42578125" style="6" bestFit="1" customWidth="1"/>
    <col min="5892" max="5892" width="11.28515625" style="6" bestFit="1" customWidth="1"/>
    <col min="5893" max="5893" width="6.140625" style="6" bestFit="1" customWidth="1"/>
    <col min="5894" max="5894" width="13.140625" style="6" customWidth="1"/>
    <col min="5895" max="5895" width="3.5703125" style="6" customWidth="1"/>
    <col min="5896" max="5896" width="14" style="6" customWidth="1"/>
    <col min="5897" max="5897" width="11.42578125" style="6"/>
    <col min="5898" max="5898" width="17.28515625" style="6" customWidth="1"/>
    <col min="5899" max="6144" width="11.42578125" style="6"/>
    <col min="6145" max="6145" width="14.140625" style="6" customWidth="1"/>
    <col min="6146" max="6146" width="55.7109375" style="6" customWidth="1"/>
    <col min="6147" max="6147" width="12.42578125" style="6" bestFit="1" customWidth="1"/>
    <col min="6148" max="6148" width="11.28515625" style="6" bestFit="1" customWidth="1"/>
    <col min="6149" max="6149" width="6.140625" style="6" bestFit="1" customWidth="1"/>
    <col min="6150" max="6150" width="13.140625" style="6" customWidth="1"/>
    <col min="6151" max="6151" width="3.5703125" style="6" customWidth="1"/>
    <col min="6152" max="6152" width="14" style="6" customWidth="1"/>
    <col min="6153" max="6153" width="11.42578125" style="6"/>
    <col min="6154" max="6154" width="17.28515625" style="6" customWidth="1"/>
    <col min="6155" max="6400" width="11.42578125" style="6"/>
    <col min="6401" max="6401" width="14.140625" style="6" customWidth="1"/>
    <col min="6402" max="6402" width="55.7109375" style="6" customWidth="1"/>
    <col min="6403" max="6403" width="12.42578125" style="6" bestFit="1" customWidth="1"/>
    <col min="6404" max="6404" width="11.28515625" style="6" bestFit="1" customWidth="1"/>
    <col min="6405" max="6405" width="6.140625" style="6" bestFit="1" customWidth="1"/>
    <col min="6406" max="6406" width="13.140625" style="6" customWidth="1"/>
    <col min="6407" max="6407" width="3.5703125" style="6" customWidth="1"/>
    <col min="6408" max="6408" width="14" style="6" customWidth="1"/>
    <col min="6409" max="6409" width="11.42578125" style="6"/>
    <col min="6410" max="6410" width="17.28515625" style="6" customWidth="1"/>
    <col min="6411" max="6656" width="11.42578125" style="6"/>
    <col min="6657" max="6657" width="14.140625" style="6" customWidth="1"/>
    <col min="6658" max="6658" width="55.7109375" style="6" customWidth="1"/>
    <col min="6659" max="6659" width="12.42578125" style="6" bestFit="1" customWidth="1"/>
    <col min="6660" max="6660" width="11.28515625" style="6" bestFit="1" customWidth="1"/>
    <col min="6661" max="6661" width="6.140625" style="6" bestFit="1" customWidth="1"/>
    <col min="6662" max="6662" width="13.140625" style="6" customWidth="1"/>
    <col min="6663" max="6663" width="3.5703125" style="6" customWidth="1"/>
    <col min="6664" max="6664" width="14" style="6" customWidth="1"/>
    <col min="6665" max="6665" width="11.42578125" style="6"/>
    <col min="6666" max="6666" width="17.28515625" style="6" customWidth="1"/>
    <col min="6667" max="6912" width="11.42578125" style="6"/>
    <col min="6913" max="6913" width="14.140625" style="6" customWidth="1"/>
    <col min="6914" max="6914" width="55.7109375" style="6" customWidth="1"/>
    <col min="6915" max="6915" width="12.42578125" style="6" bestFit="1" customWidth="1"/>
    <col min="6916" max="6916" width="11.28515625" style="6" bestFit="1" customWidth="1"/>
    <col min="6917" max="6917" width="6.140625" style="6" bestFit="1" customWidth="1"/>
    <col min="6918" max="6918" width="13.140625" style="6" customWidth="1"/>
    <col min="6919" max="6919" width="3.5703125" style="6" customWidth="1"/>
    <col min="6920" max="6920" width="14" style="6" customWidth="1"/>
    <col min="6921" max="6921" width="11.42578125" style="6"/>
    <col min="6922" max="6922" width="17.28515625" style="6" customWidth="1"/>
    <col min="6923" max="7168" width="11.42578125" style="6"/>
    <col min="7169" max="7169" width="14.140625" style="6" customWidth="1"/>
    <col min="7170" max="7170" width="55.7109375" style="6" customWidth="1"/>
    <col min="7171" max="7171" width="12.42578125" style="6" bestFit="1" customWidth="1"/>
    <col min="7172" max="7172" width="11.28515625" style="6" bestFit="1" customWidth="1"/>
    <col min="7173" max="7173" width="6.140625" style="6" bestFit="1" customWidth="1"/>
    <col min="7174" max="7174" width="13.140625" style="6" customWidth="1"/>
    <col min="7175" max="7175" width="3.5703125" style="6" customWidth="1"/>
    <col min="7176" max="7176" width="14" style="6" customWidth="1"/>
    <col min="7177" max="7177" width="11.42578125" style="6"/>
    <col min="7178" max="7178" width="17.28515625" style="6" customWidth="1"/>
    <col min="7179" max="7424" width="11.42578125" style="6"/>
    <col min="7425" max="7425" width="14.140625" style="6" customWidth="1"/>
    <col min="7426" max="7426" width="55.7109375" style="6" customWidth="1"/>
    <col min="7427" max="7427" width="12.42578125" style="6" bestFit="1" customWidth="1"/>
    <col min="7428" max="7428" width="11.28515625" style="6" bestFit="1" customWidth="1"/>
    <col min="7429" max="7429" width="6.140625" style="6" bestFit="1" customWidth="1"/>
    <col min="7430" max="7430" width="13.140625" style="6" customWidth="1"/>
    <col min="7431" max="7431" width="3.5703125" style="6" customWidth="1"/>
    <col min="7432" max="7432" width="14" style="6" customWidth="1"/>
    <col min="7433" max="7433" width="11.42578125" style="6"/>
    <col min="7434" max="7434" width="17.28515625" style="6" customWidth="1"/>
    <col min="7435" max="7680" width="11.42578125" style="6"/>
    <col min="7681" max="7681" width="14.140625" style="6" customWidth="1"/>
    <col min="7682" max="7682" width="55.7109375" style="6" customWidth="1"/>
    <col min="7683" max="7683" width="12.42578125" style="6" bestFit="1" customWidth="1"/>
    <col min="7684" max="7684" width="11.28515625" style="6" bestFit="1" customWidth="1"/>
    <col min="7685" max="7685" width="6.140625" style="6" bestFit="1" customWidth="1"/>
    <col min="7686" max="7686" width="13.140625" style="6" customWidth="1"/>
    <col min="7687" max="7687" width="3.5703125" style="6" customWidth="1"/>
    <col min="7688" max="7688" width="14" style="6" customWidth="1"/>
    <col min="7689" max="7689" width="11.42578125" style="6"/>
    <col min="7690" max="7690" width="17.28515625" style="6" customWidth="1"/>
    <col min="7691" max="7936" width="11.42578125" style="6"/>
    <col min="7937" max="7937" width="14.140625" style="6" customWidth="1"/>
    <col min="7938" max="7938" width="55.7109375" style="6" customWidth="1"/>
    <col min="7939" max="7939" width="12.42578125" style="6" bestFit="1" customWidth="1"/>
    <col min="7940" max="7940" width="11.28515625" style="6" bestFit="1" customWidth="1"/>
    <col min="7941" max="7941" width="6.140625" style="6" bestFit="1" customWidth="1"/>
    <col min="7942" max="7942" width="13.140625" style="6" customWidth="1"/>
    <col min="7943" max="7943" width="3.5703125" style="6" customWidth="1"/>
    <col min="7944" max="7944" width="14" style="6" customWidth="1"/>
    <col min="7945" max="7945" width="11.42578125" style="6"/>
    <col min="7946" max="7946" width="17.28515625" style="6" customWidth="1"/>
    <col min="7947" max="8192" width="11.42578125" style="6"/>
    <col min="8193" max="8193" width="14.140625" style="6" customWidth="1"/>
    <col min="8194" max="8194" width="55.7109375" style="6" customWidth="1"/>
    <col min="8195" max="8195" width="12.42578125" style="6" bestFit="1" customWidth="1"/>
    <col min="8196" max="8196" width="11.28515625" style="6" bestFit="1" customWidth="1"/>
    <col min="8197" max="8197" width="6.140625" style="6" bestFit="1" customWidth="1"/>
    <col min="8198" max="8198" width="13.140625" style="6" customWidth="1"/>
    <col min="8199" max="8199" width="3.5703125" style="6" customWidth="1"/>
    <col min="8200" max="8200" width="14" style="6" customWidth="1"/>
    <col min="8201" max="8201" width="11.42578125" style="6"/>
    <col min="8202" max="8202" width="17.28515625" style="6" customWidth="1"/>
    <col min="8203" max="8448" width="11.42578125" style="6"/>
    <col min="8449" max="8449" width="14.140625" style="6" customWidth="1"/>
    <col min="8450" max="8450" width="55.7109375" style="6" customWidth="1"/>
    <col min="8451" max="8451" width="12.42578125" style="6" bestFit="1" customWidth="1"/>
    <col min="8452" max="8452" width="11.28515625" style="6" bestFit="1" customWidth="1"/>
    <col min="8453" max="8453" width="6.140625" style="6" bestFit="1" customWidth="1"/>
    <col min="8454" max="8454" width="13.140625" style="6" customWidth="1"/>
    <col min="8455" max="8455" width="3.5703125" style="6" customWidth="1"/>
    <col min="8456" max="8456" width="14" style="6" customWidth="1"/>
    <col min="8457" max="8457" width="11.42578125" style="6"/>
    <col min="8458" max="8458" width="17.28515625" style="6" customWidth="1"/>
    <col min="8459" max="8704" width="11.42578125" style="6"/>
    <col min="8705" max="8705" width="14.140625" style="6" customWidth="1"/>
    <col min="8706" max="8706" width="55.7109375" style="6" customWidth="1"/>
    <col min="8707" max="8707" width="12.42578125" style="6" bestFit="1" customWidth="1"/>
    <col min="8708" max="8708" width="11.28515625" style="6" bestFit="1" customWidth="1"/>
    <col min="8709" max="8709" width="6.140625" style="6" bestFit="1" customWidth="1"/>
    <col min="8710" max="8710" width="13.140625" style="6" customWidth="1"/>
    <col min="8711" max="8711" width="3.5703125" style="6" customWidth="1"/>
    <col min="8712" max="8712" width="14" style="6" customWidth="1"/>
    <col min="8713" max="8713" width="11.42578125" style="6"/>
    <col min="8714" max="8714" width="17.28515625" style="6" customWidth="1"/>
    <col min="8715" max="8960" width="11.42578125" style="6"/>
    <col min="8961" max="8961" width="14.140625" style="6" customWidth="1"/>
    <col min="8962" max="8962" width="55.7109375" style="6" customWidth="1"/>
    <col min="8963" max="8963" width="12.42578125" style="6" bestFit="1" customWidth="1"/>
    <col min="8964" max="8964" width="11.28515625" style="6" bestFit="1" customWidth="1"/>
    <col min="8965" max="8965" width="6.140625" style="6" bestFit="1" customWidth="1"/>
    <col min="8966" max="8966" width="13.140625" style="6" customWidth="1"/>
    <col min="8967" max="8967" width="3.5703125" style="6" customWidth="1"/>
    <col min="8968" max="8968" width="14" style="6" customWidth="1"/>
    <col min="8969" max="8969" width="11.42578125" style="6"/>
    <col min="8970" max="8970" width="17.28515625" style="6" customWidth="1"/>
    <col min="8971" max="9216" width="11.42578125" style="6"/>
    <col min="9217" max="9217" width="14.140625" style="6" customWidth="1"/>
    <col min="9218" max="9218" width="55.7109375" style="6" customWidth="1"/>
    <col min="9219" max="9219" width="12.42578125" style="6" bestFit="1" customWidth="1"/>
    <col min="9220" max="9220" width="11.28515625" style="6" bestFit="1" customWidth="1"/>
    <col min="9221" max="9221" width="6.140625" style="6" bestFit="1" customWidth="1"/>
    <col min="9222" max="9222" width="13.140625" style="6" customWidth="1"/>
    <col min="9223" max="9223" width="3.5703125" style="6" customWidth="1"/>
    <col min="9224" max="9224" width="14" style="6" customWidth="1"/>
    <col min="9225" max="9225" width="11.42578125" style="6"/>
    <col min="9226" max="9226" width="17.28515625" style="6" customWidth="1"/>
    <col min="9227" max="9472" width="11.42578125" style="6"/>
    <col min="9473" max="9473" width="14.140625" style="6" customWidth="1"/>
    <col min="9474" max="9474" width="55.7109375" style="6" customWidth="1"/>
    <col min="9475" max="9475" width="12.42578125" style="6" bestFit="1" customWidth="1"/>
    <col min="9476" max="9476" width="11.28515625" style="6" bestFit="1" customWidth="1"/>
    <col min="9477" max="9477" width="6.140625" style="6" bestFit="1" customWidth="1"/>
    <col min="9478" max="9478" width="13.140625" style="6" customWidth="1"/>
    <col min="9479" max="9479" width="3.5703125" style="6" customWidth="1"/>
    <col min="9480" max="9480" width="14" style="6" customWidth="1"/>
    <col min="9481" max="9481" width="11.42578125" style="6"/>
    <col min="9482" max="9482" width="17.28515625" style="6" customWidth="1"/>
    <col min="9483" max="9728" width="11.42578125" style="6"/>
    <col min="9729" max="9729" width="14.140625" style="6" customWidth="1"/>
    <col min="9730" max="9730" width="55.7109375" style="6" customWidth="1"/>
    <col min="9731" max="9731" width="12.42578125" style="6" bestFit="1" customWidth="1"/>
    <col min="9732" max="9732" width="11.28515625" style="6" bestFit="1" customWidth="1"/>
    <col min="9733" max="9733" width="6.140625" style="6" bestFit="1" customWidth="1"/>
    <col min="9734" max="9734" width="13.140625" style="6" customWidth="1"/>
    <col min="9735" max="9735" width="3.5703125" style="6" customWidth="1"/>
    <col min="9736" max="9736" width="14" style="6" customWidth="1"/>
    <col min="9737" max="9737" width="11.42578125" style="6"/>
    <col min="9738" max="9738" width="17.28515625" style="6" customWidth="1"/>
    <col min="9739" max="9984" width="11.42578125" style="6"/>
    <col min="9985" max="9985" width="14.140625" style="6" customWidth="1"/>
    <col min="9986" max="9986" width="55.7109375" style="6" customWidth="1"/>
    <col min="9987" max="9987" width="12.42578125" style="6" bestFit="1" customWidth="1"/>
    <col min="9988" max="9988" width="11.28515625" style="6" bestFit="1" customWidth="1"/>
    <col min="9989" max="9989" width="6.140625" style="6" bestFit="1" customWidth="1"/>
    <col min="9990" max="9990" width="13.140625" style="6" customWidth="1"/>
    <col min="9991" max="9991" width="3.5703125" style="6" customWidth="1"/>
    <col min="9992" max="9992" width="14" style="6" customWidth="1"/>
    <col min="9993" max="9993" width="11.42578125" style="6"/>
    <col min="9994" max="9994" width="17.28515625" style="6" customWidth="1"/>
    <col min="9995" max="10240" width="11.42578125" style="6"/>
    <col min="10241" max="10241" width="14.140625" style="6" customWidth="1"/>
    <col min="10242" max="10242" width="55.7109375" style="6" customWidth="1"/>
    <col min="10243" max="10243" width="12.42578125" style="6" bestFit="1" customWidth="1"/>
    <col min="10244" max="10244" width="11.28515625" style="6" bestFit="1" customWidth="1"/>
    <col min="10245" max="10245" width="6.140625" style="6" bestFit="1" customWidth="1"/>
    <col min="10246" max="10246" width="13.140625" style="6" customWidth="1"/>
    <col min="10247" max="10247" width="3.5703125" style="6" customWidth="1"/>
    <col min="10248" max="10248" width="14" style="6" customWidth="1"/>
    <col min="10249" max="10249" width="11.42578125" style="6"/>
    <col min="10250" max="10250" width="17.28515625" style="6" customWidth="1"/>
    <col min="10251" max="10496" width="11.42578125" style="6"/>
    <col min="10497" max="10497" width="14.140625" style="6" customWidth="1"/>
    <col min="10498" max="10498" width="55.7109375" style="6" customWidth="1"/>
    <col min="10499" max="10499" width="12.42578125" style="6" bestFit="1" customWidth="1"/>
    <col min="10500" max="10500" width="11.28515625" style="6" bestFit="1" customWidth="1"/>
    <col min="10501" max="10501" width="6.140625" style="6" bestFit="1" customWidth="1"/>
    <col min="10502" max="10502" width="13.140625" style="6" customWidth="1"/>
    <col min="10503" max="10503" width="3.5703125" style="6" customWidth="1"/>
    <col min="10504" max="10504" width="14" style="6" customWidth="1"/>
    <col min="10505" max="10505" width="11.42578125" style="6"/>
    <col min="10506" max="10506" width="17.28515625" style="6" customWidth="1"/>
    <col min="10507" max="10752" width="11.42578125" style="6"/>
    <col min="10753" max="10753" width="14.140625" style="6" customWidth="1"/>
    <col min="10754" max="10754" width="55.7109375" style="6" customWidth="1"/>
    <col min="10755" max="10755" width="12.42578125" style="6" bestFit="1" customWidth="1"/>
    <col min="10756" max="10756" width="11.28515625" style="6" bestFit="1" customWidth="1"/>
    <col min="10757" max="10757" width="6.140625" style="6" bestFit="1" customWidth="1"/>
    <col min="10758" max="10758" width="13.140625" style="6" customWidth="1"/>
    <col min="10759" max="10759" width="3.5703125" style="6" customWidth="1"/>
    <col min="10760" max="10760" width="14" style="6" customWidth="1"/>
    <col min="10761" max="10761" width="11.42578125" style="6"/>
    <col min="10762" max="10762" width="17.28515625" style="6" customWidth="1"/>
    <col min="10763" max="11008" width="11.42578125" style="6"/>
    <col min="11009" max="11009" width="14.140625" style="6" customWidth="1"/>
    <col min="11010" max="11010" width="55.7109375" style="6" customWidth="1"/>
    <col min="11011" max="11011" width="12.42578125" style="6" bestFit="1" customWidth="1"/>
    <col min="11012" max="11012" width="11.28515625" style="6" bestFit="1" customWidth="1"/>
    <col min="11013" max="11013" width="6.140625" style="6" bestFit="1" customWidth="1"/>
    <col min="11014" max="11014" width="13.140625" style="6" customWidth="1"/>
    <col min="11015" max="11015" width="3.5703125" style="6" customWidth="1"/>
    <col min="11016" max="11016" width="14" style="6" customWidth="1"/>
    <col min="11017" max="11017" width="11.42578125" style="6"/>
    <col min="11018" max="11018" width="17.28515625" style="6" customWidth="1"/>
    <col min="11019" max="11264" width="11.42578125" style="6"/>
    <col min="11265" max="11265" width="14.140625" style="6" customWidth="1"/>
    <col min="11266" max="11266" width="55.7109375" style="6" customWidth="1"/>
    <col min="11267" max="11267" width="12.42578125" style="6" bestFit="1" customWidth="1"/>
    <col min="11268" max="11268" width="11.28515625" style="6" bestFit="1" customWidth="1"/>
    <col min="11269" max="11269" width="6.140625" style="6" bestFit="1" customWidth="1"/>
    <col min="11270" max="11270" width="13.140625" style="6" customWidth="1"/>
    <col min="11271" max="11271" width="3.5703125" style="6" customWidth="1"/>
    <col min="11272" max="11272" width="14" style="6" customWidth="1"/>
    <col min="11273" max="11273" width="11.42578125" style="6"/>
    <col min="11274" max="11274" width="17.28515625" style="6" customWidth="1"/>
    <col min="11275" max="11520" width="11.42578125" style="6"/>
    <col min="11521" max="11521" width="14.140625" style="6" customWidth="1"/>
    <col min="11522" max="11522" width="55.7109375" style="6" customWidth="1"/>
    <col min="11523" max="11523" width="12.42578125" style="6" bestFit="1" customWidth="1"/>
    <col min="11524" max="11524" width="11.28515625" style="6" bestFit="1" customWidth="1"/>
    <col min="11525" max="11525" width="6.140625" style="6" bestFit="1" customWidth="1"/>
    <col min="11526" max="11526" width="13.140625" style="6" customWidth="1"/>
    <col min="11527" max="11527" width="3.5703125" style="6" customWidth="1"/>
    <col min="11528" max="11528" width="14" style="6" customWidth="1"/>
    <col min="11529" max="11529" width="11.42578125" style="6"/>
    <col min="11530" max="11530" width="17.28515625" style="6" customWidth="1"/>
    <col min="11531" max="11776" width="11.42578125" style="6"/>
    <col min="11777" max="11777" width="14.140625" style="6" customWidth="1"/>
    <col min="11778" max="11778" width="55.7109375" style="6" customWidth="1"/>
    <col min="11779" max="11779" width="12.42578125" style="6" bestFit="1" customWidth="1"/>
    <col min="11780" max="11780" width="11.28515625" style="6" bestFit="1" customWidth="1"/>
    <col min="11781" max="11781" width="6.140625" style="6" bestFit="1" customWidth="1"/>
    <col min="11782" max="11782" width="13.140625" style="6" customWidth="1"/>
    <col min="11783" max="11783" width="3.5703125" style="6" customWidth="1"/>
    <col min="11784" max="11784" width="14" style="6" customWidth="1"/>
    <col min="11785" max="11785" width="11.42578125" style="6"/>
    <col min="11786" max="11786" width="17.28515625" style="6" customWidth="1"/>
    <col min="11787" max="12032" width="11.42578125" style="6"/>
    <col min="12033" max="12033" width="14.140625" style="6" customWidth="1"/>
    <col min="12034" max="12034" width="55.7109375" style="6" customWidth="1"/>
    <col min="12035" max="12035" width="12.42578125" style="6" bestFit="1" customWidth="1"/>
    <col min="12036" max="12036" width="11.28515625" style="6" bestFit="1" customWidth="1"/>
    <col min="12037" max="12037" width="6.140625" style="6" bestFit="1" customWidth="1"/>
    <col min="12038" max="12038" width="13.140625" style="6" customWidth="1"/>
    <col min="12039" max="12039" width="3.5703125" style="6" customWidth="1"/>
    <col min="12040" max="12040" width="14" style="6" customWidth="1"/>
    <col min="12041" max="12041" width="11.42578125" style="6"/>
    <col min="12042" max="12042" width="17.28515625" style="6" customWidth="1"/>
    <col min="12043" max="12288" width="11.42578125" style="6"/>
    <col min="12289" max="12289" width="14.140625" style="6" customWidth="1"/>
    <col min="12290" max="12290" width="55.7109375" style="6" customWidth="1"/>
    <col min="12291" max="12291" width="12.42578125" style="6" bestFit="1" customWidth="1"/>
    <col min="12292" max="12292" width="11.28515625" style="6" bestFit="1" customWidth="1"/>
    <col min="12293" max="12293" width="6.140625" style="6" bestFit="1" customWidth="1"/>
    <col min="12294" max="12294" width="13.140625" style="6" customWidth="1"/>
    <col min="12295" max="12295" width="3.5703125" style="6" customWidth="1"/>
    <col min="12296" max="12296" width="14" style="6" customWidth="1"/>
    <col min="12297" max="12297" width="11.42578125" style="6"/>
    <col min="12298" max="12298" width="17.28515625" style="6" customWidth="1"/>
    <col min="12299" max="12544" width="11.42578125" style="6"/>
    <col min="12545" max="12545" width="14.140625" style="6" customWidth="1"/>
    <col min="12546" max="12546" width="55.7109375" style="6" customWidth="1"/>
    <col min="12547" max="12547" width="12.42578125" style="6" bestFit="1" customWidth="1"/>
    <col min="12548" max="12548" width="11.28515625" style="6" bestFit="1" customWidth="1"/>
    <col min="12549" max="12549" width="6.140625" style="6" bestFit="1" customWidth="1"/>
    <col min="12550" max="12550" width="13.140625" style="6" customWidth="1"/>
    <col min="12551" max="12551" width="3.5703125" style="6" customWidth="1"/>
    <col min="12552" max="12552" width="14" style="6" customWidth="1"/>
    <col min="12553" max="12553" width="11.42578125" style="6"/>
    <col min="12554" max="12554" width="17.28515625" style="6" customWidth="1"/>
    <col min="12555" max="12800" width="11.42578125" style="6"/>
    <col min="12801" max="12801" width="14.140625" style="6" customWidth="1"/>
    <col min="12802" max="12802" width="55.7109375" style="6" customWidth="1"/>
    <col min="12803" max="12803" width="12.42578125" style="6" bestFit="1" customWidth="1"/>
    <col min="12804" max="12804" width="11.28515625" style="6" bestFit="1" customWidth="1"/>
    <col min="12805" max="12805" width="6.140625" style="6" bestFit="1" customWidth="1"/>
    <col min="12806" max="12806" width="13.140625" style="6" customWidth="1"/>
    <col min="12807" max="12807" width="3.5703125" style="6" customWidth="1"/>
    <col min="12808" max="12808" width="14" style="6" customWidth="1"/>
    <col min="12809" max="12809" width="11.42578125" style="6"/>
    <col min="12810" max="12810" width="17.28515625" style="6" customWidth="1"/>
    <col min="12811" max="13056" width="11.42578125" style="6"/>
    <col min="13057" max="13057" width="14.140625" style="6" customWidth="1"/>
    <col min="13058" max="13058" width="55.7109375" style="6" customWidth="1"/>
    <col min="13059" max="13059" width="12.42578125" style="6" bestFit="1" customWidth="1"/>
    <col min="13060" max="13060" width="11.28515625" style="6" bestFit="1" customWidth="1"/>
    <col min="13061" max="13061" width="6.140625" style="6" bestFit="1" customWidth="1"/>
    <col min="13062" max="13062" width="13.140625" style="6" customWidth="1"/>
    <col min="13063" max="13063" width="3.5703125" style="6" customWidth="1"/>
    <col min="13064" max="13064" width="14" style="6" customWidth="1"/>
    <col min="13065" max="13065" width="11.42578125" style="6"/>
    <col min="13066" max="13066" width="17.28515625" style="6" customWidth="1"/>
    <col min="13067" max="13312" width="11.42578125" style="6"/>
    <col min="13313" max="13313" width="14.140625" style="6" customWidth="1"/>
    <col min="13314" max="13314" width="55.7109375" style="6" customWidth="1"/>
    <col min="13315" max="13315" width="12.42578125" style="6" bestFit="1" customWidth="1"/>
    <col min="13316" max="13316" width="11.28515625" style="6" bestFit="1" customWidth="1"/>
    <col min="13317" max="13317" width="6.140625" style="6" bestFit="1" customWidth="1"/>
    <col min="13318" max="13318" width="13.140625" style="6" customWidth="1"/>
    <col min="13319" max="13319" width="3.5703125" style="6" customWidth="1"/>
    <col min="13320" max="13320" width="14" style="6" customWidth="1"/>
    <col min="13321" max="13321" width="11.42578125" style="6"/>
    <col min="13322" max="13322" width="17.28515625" style="6" customWidth="1"/>
    <col min="13323" max="13568" width="11.42578125" style="6"/>
    <col min="13569" max="13569" width="14.140625" style="6" customWidth="1"/>
    <col min="13570" max="13570" width="55.7109375" style="6" customWidth="1"/>
    <col min="13571" max="13571" width="12.42578125" style="6" bestFit="1" customWidth="1"/>
    <col min="13572" max="13572" width="11.28515625" style="6" bestFit="1" customWidth="1"/>
    <col min="13573" max="13573" width="6.140625" style="6" bestFit="1" customWidth="1"/>
    <col min="13574" max="13574" width="13.140625" style="6" customWidth="1"/>
    <col min="13575" max="13575" width="3.5703125" style="6" customWidth="1"/>
    <col min="13576" max="13576" width="14" style="6" customWidth="1"/>
    <col min="13577" max="13577" width="11.42578125" style="6"/>
    <col min="13578" max="13578" width="17.28515625" style="6" customWidth="1"/>
    <col min="13579" max="13824" width="11.42578125" style="6"/>
    <col min="13825" max="13825" width="14.140625" style="6" customWidth="1"/>
    <col min="13826" max="13826" width="55.7109375" style="6" customWidth="1"/>
    <col min="13827" max="13827" width="12.42578125" style="6" bestFit="1" customWidth="1"/>
    <col min="13828" max="13828" width="11.28515625" style="6" bestFit="1" customWidth="1"/>
    <col min="13829" max="13829" width="6.140625" style="6" bestFit="1" customWidth="1"/>
    <col min="13830" max="13830" width="13.140625" style="6" customWidth="1"/>
    <col min="13831" max="13831" width="3.5703125" style="6" customWidth="1"/>
    <col min="13832" max="13832" width="14" style="6" customWidth="1"/>
    <col min="13833" max="13833" width="11.42578125" style="6"/>
    <col min="13834" max="13834" width="17.28515625" style="6" customWidth="1"/>
    <col min="13835" max="14080" width="11.42578125" style="6"/>
    <col min="14081" max="14081" width="14.140625" style="6" customWidth="1"/>
    <col min="14082" max="14082" width="55.7109375" style="6" customWidth="1"/>
    <col min="14083" max="14083" width="12.42578125" style="6" bestFit="1" customWidth="1"/>
    <col min="14084" max="14084" width="11.28515625" style="6" bestFit="1" customWidth="1"/>
    <col min="14085" max="14085" width="6.140625" style="6" bestFit="1" customWidth="1"/>
    <col min="14086" max="14086" width="13.140625" style="6" customWidth="1"/>
    <col min="14087" max="14087" width="3.5703125" style="6" customWidth="1"/>
    <col min="14088" max="14088" width="14" style="6" customWidth="1"/>
    <col min="14089" max="14089" width="11.42578125" style="6"/>
    <col min="14090" max="14090" width="17.28515625" style="6" customWidth="1"/>
    <col min="14091" max="14336" width="11.42578125" style="6"/>
    <col min="14337" max="14337" width="14.140625" style="6" customWidth="1"/>
    <col min="14338" max="14338" width="55.7109375" style="6" customWidth="1"/>
    <col min="14339" max="14339" width="12.42578125" style="6" bestFit="1" customWidth="1"/>
    <col min="14340" max="14340" width="11.28515625" style="6" bestFit="1" customWidth="1"/>
    <col min="14341" max="14341" width="6.140625" style="6" bestFit="1" customWidth="1"/>
    <col min="14342" max="14342" width="13.140625" style="6" customWidth="1"/>
    <col min="14343" max="14343" width="3.5703125" style="6" customWidth="1"/>
    <col min="14344" max="14344" width="14" style="6" customWidth="1"/>
    <col min="14345" max="14345" width="11.42578125" style="6"/>
    <col min="14346" max="14346" width="17.28515625" style="6" customWidth="1"/>
    <col min="14347" max="14592" width="11.42578125" style="6"/>
    <col min="14593" max="14593" width="14.140625" style="6" customWidth="1"/>
    <col min="14594" max="14594" width="55.7109375" style="6" customWidth="1"/>
    <col min="14595" max="14595" width="12.42578125" style="6" bestFit="1" customWidth="1"/>
    <col min="14596" max="14596" width="11.28515625" style="6" bestFit="1" customWidth="1"/>
    <col min="14597" max="14597" width="6.140625" style="6" bestFit="1" customWidth="1"/>
    <col min="14598" max="14598" width="13.140625" style="6" customWidth="1"/>
    <col min="14599" max="14599" width="3.5703125" style="6" customWidth="1"/>
    <col min="14600" max="14600" width="14" style="6" customWidth="1"/>
    <col min="14601" max="14601" width="11.42578125" style="6"/>
    <col min="14602" max="14602" width="17.28515625" style="6" customWidth="1"/>
    <col min="14603" max="14848" width="11.42578125" style="6"/>
    <col min="14849" max="14849" width="14.140625" style="6" customWidth="1"/>
    <col min="14850" max="14850" width="55.7109375" style="6" customWidth="1"/>
    <col min="14851" max="14851" width="12.42578125" style="6" bestFit="1" customWidth="1"/>
    <col min="14852" max="14852" width="11.28515625" style="6" bestFit="1" customWidth="1"/>
    <col min="14853" max="14853" width="6.140625" style="6" bestFit="1" customWidth="1"/>
    <col min="14854" max="14854" width="13.140625" style="6" customWidth="1"/>
    <col min="14855" max="14855" width="3.5703125" style="6" customWidth="1"/>
    <col min="14856" max="14856" width="14" style="6" customWidth="1"/>
    <col min="14857" max="14857" width="11.42578125" style="6"/>
    <col min="14858" max="14858" width="17.28515625" style="6" customWidth="1"/>
    <col min="14859" max="15104" width="11.42578125" style="6"/>
    <col min="15105" max="15105" width="14.140625" style="6" customWidth="1"/>
    <col min="15106" max="15106" width="55.7109375" style="6" customWidth="1"/>
    <col min="15107" max="15107" width="12.42578125" style="6" bestFit="1" customWidth="1"/>
    <col min="15108" max="15108" width="11.28515625" style="6" bestFit="1" customWidth="1"/>
    <col min="15109" max="15109" width="6.140625" style="6" bestFit="1" customWidth="1"/>
    <col min="15110" max="15110" width="13.140625" style="6" customWidth="1"/>
    <col min="15111" max="15111" width="3.5703125" style="6" customWidth="1"/>
    <col min="15112" max="15112" width="14" style="6" customWidth="1"/>
    <col min="15113" max="15113" width="11.42578125" style="6"/>
    <col min="15114" max="15114" width="17.28515625" style="6" customWidth="1"/>
    <col min="15115" max="15360" width="11.42578125" style="6"/>
    <col min="15361" max="15361" width="14.140625" style="6" customWidth="1"/>
    <col min="15362" max="15362" width="55.7109375" style="6" customWidth="1"/>
    <col min="15363" max="15363" width="12.42578125" style="6" bestFit="1" customWidth="1"/>
    <col min="15364" max="15364" width="11.28515625" style="6" bestFit="1" customWidth="1"/>
    <col min="15365" max="15365" width="6.140625" style="6" bestFit="1" customWidth="1"/>
    <col min="15366" max="15366" width="13.140625" style="6" customWidth="1"/>
    <col min="15367" max="15367" width="3.5703125" style="6" customWidth="1"/>
    <col min="15368" max="15368" width="14" style="6" customWidth="1"/>
    <col min="15369" max="15369" width="11.42578125" style="6"/>
    <col min="15370" max="15370" width="17.28515625" style="6" customWidth="1"/>
    <col min="15371" max="15616" width="11.42578125" style="6"/>
    <col min="15617" max="15617" width="14.140625" style="6" customWidth="1"/>
    <col min="15618" max="15618" width="55.7109375" style="6" customWidth="1"/>
    <col min="15619" max="15619" width="12.42578125" style="6" bestFit="1" customWidth="1"/>
    <col min="15620" max="15620" width="11.28515625" style="6" bestFit="1" customWidth="1"/>
    <col min="15621" max="15621" width="6.140625" style="6" bestFit="1" customWidth="1"/>
    <col min="15622" max="15622" width="13.140625" style="6" customWidth="1"/>
    <col min="15623" max="15623" width="3.5703125" style="6" customWidth="1"/>
    <col min="15624" max="15624" width="14" style="6" customWidth="1"/>
    <col min="15625" max="15625" width="11.42578125" style="6"/>
    <col min="15626" max="15626" width="17.28515625" style="6" customWidth="1"/>
    <col min="15627" max="15872" width="11.42578125" style="6"/>
    <col min="15873" max="15873" width="14.140625" style="6" customWidth="1"/>
    <col min="15874" max="15874" width="55.7109375" style="6" customWidth="1"/>
    <col min="15875" max="15875" width="12.42578125" style="6" bestFit="1" customWidth="1"/>
    <col min="15876" max="15876" width="11.28515625" style="6" bestFit="1" customWidth="1"/>
    <col min="15877" max="15877" width="6.140625" style="6" bestFit="1" customWidth="1"/>
    <col min="15878" max="15878" width="13.140625" style="6" customWidth="1"/>
    <col min="15879" max="15879" width="3.5703125" style="6" customWidth="1"/>
    <col min="15880" max="15880" width="14" style="6" customWidth="1"/>
    <col min="15881" max="15881" width="11.42578125" style="6"/>
    <col min="15882" max="15882" width="17.28515625" style="6" customWidth="1"/>
    <col min="15883" max="16128" width="11.42578125" style="6"/>
    <col min="16129" max="16129" width="14.140625" style="6" customWidth="1"/>
    <col min="16130" max="16130" width="55.7109375" style="6" customWidth="1"/>
    <col min="16131" max="16131" width="12.42578125" style="6" bestFit="1" customWidth="1"/>
    <col min="16132" max="16132" width="11.28515625" style="6" bestFit="1" customWidth="1"/>
    <col min="16133" max="16133" width="6.140625" style="6" bestFit="1" customWidth="1"/>
    <col min="16134" max="16134" width="13.140625" style="6" customWidth="1"/>
    <col min="16135" max="16135" width="3.5703125" style="6" customWidth="1"/>
    <col min="16136" max="16136" width="14" style="6" customWidth="1"/>
    <col min="16137" max="16137" width="11.42578125" style="6"/>
    <col min="16138" max="16138" width="17.28515625" style="6" customWidth="1"/>
    <col min="16139" max="16384" width="11.42578125" style="6"/>
  </cols>
  <sheetData>
    <row r="1" spans="1:8" x14ac:dyDescent="0.2">
      <c r="A1" s="1" t="s">
        <v>0</v>
      </c>
      <c r="B1" s="2"/>
      <c r="C1" s="3"/>
      <c r="D1" s="3"/>
      <c r="E1" s="3"/>
      <c r="F1" s="4"/>
      <c r="G1" s="3"/>
      <c r="H1" s="5"/>
    </row>
    <row r="2" spans="1:8" x14ac:dyDescent="0.2">
      <c r="A2" s="1"/>
      <c r="B2" s="2"/>
      <c r="C2" s="3"/>
      <c r="D2" s="3"/>
      <c r="E2" s="3"/>
      <c r="F2" s="4"/>
      <c r="G2" s="3"/>
      <c r="H2" s="5"/>
    </row>
    <row r="3" spans="1:8" x14ac:dyDescent="0.2">
      <c r="A3" s="1"/>
      <c r="B3" s="2"/>
      <c r="C3" s="3"/>
      <c r="D3" s="3"/>
      <c r="E3" s="3"/>
      <c r="F3" s="4"/>
      <c r="G3" s="3"/>
      <c r="H3" s="5"/>
    </row>
    <row r="4" spans="1:8" x14ac:dyDescent="0.2">
      <c r="A4" s="1" t="s">
        <v>1</v>
      </c>
      <c r="B4" s="1"/>
      <c r="D4" s="6"/>
      <c r="E4" s="6"/>
      <c r="G4" s="6"/>
    </row>
    <row r="5" spans="1:8" x14ac:dyDescent="0.2">
      <c r="A5" s="8"/>
      <c r="B5" s="2"/>
      <c r="C5" s="3"/>
      <c r="D5" s="3"/>
      <c r="E5" s="3"/>
      <c r="F5" s="4"/>
      <c r="G5" s="3"/>
      <c r="H5" s="5"/>
    </row>
    <row r="6" spans="1:8" x14ac:dyDescent="0.2">
      <c r="A6" s="8"/>
      <c r="B6" s="2"/>
      <c r="C6" s="3"/>
      <c r="D6" s="3"/>
      <c r="E6" s="3"/>
      <c r="F6" s="4"/>
      <c r="G6" s="3"/>
      <c r="H6" s="5"/>
    </row>
    <row r="7" spans="1:8" x14ac:dyDescent="0.2">
      <c r="A7" s="8"/>
      <c r="B7" s="9" t="s">
        <v>2</v>
      </c>
      <c r="C7" s="3"/>
      <c r="D7" s="3"/>
      <c r="E7" s="3"/>
      <c r="F7" s="4"/>
      <c r="G7" s="3"/>
      <c r="H7" s="5"/>
    </row>
    <row r="8" spans="1:8" x14ac:dyDescent="0.2">
      <c r="A8" s="8"/>
      <c r="B8" s="2"/>
      <c r="C8" s="3"/>
      <c r="D8" s="3"/>
      <c r="E8" s="3"/>
      <c r="F8" s="4"/>
      <c r="G8" s="3"/>
      <c r="H8" s="5"/>
    </row>
    <row r="9" spans="1:8" ht="13.5" customHeight="1" x14ac:dyDescent="0.2">
      <c r="A9" s="10" t="s">
        <v>28268</v>
      </c>
      <c r="B9" s="10"/>
      <c r="C9" s="11"/>
      <c r="D9" s="3"/>
      <c r="E9" s="3"/>
      <c r="F9" s="4"/>
      <c r="G9" s="12" t="s">
        <v>4</v>
      </c>
      <c r="H9" s="13">
        <v>33986.269999999997</v>
      </c>
    </row>
    <row r="10" spans="1:8" x14ac:dyDescent="0.2">
      <c r="A10" s="3"/>
      <c r="B10" s="9"/>
      <c r="C10" s="3"/>
      <c r="D10" s="3"/>
      <c r="E10" s="3"/>
      <c r="F10" s="4"/>
      <c r="G10" s="3"/>
      <c r="H10" s="5"/>
    </row>
    <row r="11" spans="1:8" x14ac:dyDescent="0.2">
      <c r="A11" s="14"/>
      <c r="B11" s="15" t="s">
        <v>5</v>
      </c>
      <c r="C11" s="3"/>
      <c r="D11" s="16"/>
      <c r="E11" s="16"/>
      <c r="F11" s="17"/>
      <c r="G11" s="3"/>
      <c r="H11" s="5"/>
    </row>
    <row r="12" spans="1:8" ht="12.75" customHeight="1" x14ac:dyDescent="0.2">
      <c r="A12" s="14"/>
      <c r="B12" s="18" t="s">
        <v>19988</v>
      </c>
      <c r="C12" s="3"/>
      <c r="D12" s="16"/>
      <c r="E12" s="16"/>
      <c r="F12" s="17"/>
      <c r="G12" s="3"/>
      <c r="H12" s="5"/>
    </row>
    <row r="13" spans="1:8" x14ac:dyDescent="0.2">
      <c r="A13" s="14"/>
      <c r="B13" s="9"/>
      <c r="C13" s="3"/>
      <c r="D13" s="16"/>
      <c r="E13" s="16"/>
      <c r="F13" s="17"/>
      <c r="G13" s="3"/>
      <c r="H13" s="5"/>
    </row>
    <row r="14" spans="1:8" x14ac:dyDescent="0.2">
      <c r="A14" s="19" t="s">
        <v>7</v>
      </c>
      <c r="B14" s="20" t="s">
        <v>8</v>
      </c>
      <c r="C14" s="21" t="s">
        <v>9</v>
      </c>
      <c r="D14" s="22" t="s">
        <v>10</v>
      </c>
      <c r="E14" s="22"/>
      <c r="F14" s="22" t="s">
        <v>11</v>
      </c>
      <c r="G14" s="3"/>
      <c r="H14" s="5"/>
    </row>
    <row r="15" spans="1:8" x14ac:dyDescent="0.2">
      <c r="A15" s="23"/>
      <c r="B15" s="24"/>
      <c r="C15" s="34"/>
      <c r="D15" s="35"/>
      <c r="E15" s="26"/>
      <c r="F15" s="36"/>
      <c r="G15" s="3"/>
      <c r="H15" s="5"/>
    </row>
    <row r="16" spans="1:8" x14ac:dyDescent="0.2">
      <c r="A16" s="37"/>
      <c r="B16" s="38"/>
      <c r="C16" s="39"/>
      <c r="D16" s="40"/>
      <c r="E16" s="22"/>
      <c r="F16" s="41"/>
      <c r="G16" s="3"/>
      <c r="H16" s="13">
        <f>SUM(F15:F15)</f>
        <v>0</v>
      </c>
    </row>
    <row r="17" spans="1:9" x14ac:dyDescent="0.2">
      <c r="A17" s="19"/>
      <c r="B17" s="42"/>
      <c r="C17" s="3"/>
      <c r="D17" s="22"/>
      <c r="E17" s="22"/>
      <c r="F17" s="43"/>
      <c r="G17" s="12"/>
      <c r="H17" s="5"/>
    </row>
    <row r="18" spans="1:9" x14ac:dyDescent="0.2">
      <c r="A18" s="3"/>
      <c r="B18" s="44" t="s">
        <v>5</v>
      </c>
      <c r="C18" s="3"/>
      <c r="D18" s="16"/>
      <c r="E18" s="16"/>
      <c r="F18" s="22" t="s">
        <v>11</v>
      </c>
      <c r="G18" s="3"/>
      <c r="H18" s="5"/>
    </row>
    <row r="19" spans="1:9" ht="13.5" customHeight="1" x14ac:dyDescent="0.2">
      <c r="A19" s="21" t="s">
        <v>7</v>
      </c>
      <c r="B19" s="18" t="s">
        <v>14</v>
      </c>
      <c r="C19" s="3"/>
      <c r="D19" s="16"/>
      <c r="E19" s="16"/>
      <c r="F19" s="43"/>
      <c r="G19" s="3"/>
      <c r="H19" s="5"/>
    </row>
    <row r="20" spans="1:9" ht="21" customHeight="1" x14ac:dyDescent="0.2">
      <c r="A20" s="385"/>
      <c r="B20" s="386"/>
      <c r="C20" s="387"/>
      <c r="D20" s="387"/>
      <c r="E20" s="388"/>
      <c r="F20" s="389"/>
      <c r="H20" s="57"/>
    </row>
    <row r="21" spans="1:9" x14ac:dyDescent="0.2">
      <c r="A21" s="58"/>
      <c r="D21" s="51"/>
      <c r="E21" s="51"/>
      <c r="F21" s="57"/>
      <c r="H21" s="60">
        <f>SUM(F20:F21)</f>
        <v>0</v>
      </c>
    </row>
    <row r="22" spans="1:9" s="64" customFormat="1" x14ac:dyDescent="0.2">
      <c r="A22" s="61"/>
      <c r="B22" s="62" t="s">
        <v>29</v>
      </c>
      <c r="C22" s="63"/>
      <c r="D22" s="63"/>
      <c r="E22" s="63"/>
      <c r="G22" s="65"/>
    </row>
    <row r="23" spans="1:9" s="64" customFormat="1" x14ac:dyDescent="0.2">
      <c r="A23" s="21" t="s">
        <v>7</v>
      </c>
      <c r="B23" s="62" t="s">
        <v>30</v>
      </c>
      <c r="C23" s="63"/>
      <c r="D23" s="63"/>
      <c r="E23" s="63"/>
      <c r="F23" s="22" t="s">
        <v>11</v>
      </c>
      <c r="G23" s="65"/>
    </row>
    <row r="24" spans="1:9" s="69" customFormat="1" x14ac:dyDescent="0.2">
      <c r="A24" s="45"/>
      <c r="B24" s="66"/>
      <c r="C24" s="67"/>
      <c r="D24" s="68"/>
      <c r="E24" s="51"/>
      <c r="F24" s="32"/>
      <c r="G24" s="3"/>
      <c r="I24" s="33"/>
    </row>
    <row r="25" spans="1:9" x14ac:dyDescent="0.2">
      <c r="A25" s="45"/>
      <c r="B25" s="66"/>
      <c r="D25" s="51"/>
      <c r="E25" s="51"/>
      <c r="F25" s="56"/>
      <c r="G25" s="3"/>
      <c r="H25" s="5"/>
    </row>
    <row r="26" spans="1:9" x14ac:dyDescent="0.2">
      <c r="A26" s="75"/>
      <c r="B26" s="2"/>
      <c r="C26" s="3"/>
      <c r="D26" s="16"/>
      <c r="E26" s="16"/>
      <c r="F26" s="76"/>
      <c r="G26" s="3"/>
      <c r="H26" s="60">
        <f>SUM(F24:F26)</f>
        <v>0</v>
      </c>
    </row>
    <row r="27" spans="1:9" x14ac:dyDescent="0.2">
      <c r="C27" s="3"/>
      <c r="D27" s="16"/>
      <c r="E27" s="16"/>
      <c r="F27" s="76"/>
      <c r="G27" s="3"/>
      <c r="H27" s="5"/>
    </row>
    <row r="28" spans="1:9" x14ac:dyDescent="0.2">
      <c r="B28" s="62" t="s">
        <v>29</v>
      </c>
      <c r="C28" s="3"/>
      <c r="D28" s="16"/>
      <c r="E28" s="16"/>
      <c r="F28" s="22" t="s">
        <v>11</v>
      </c>
      <c r="G28" s="3"/>
      <c r="H28" s="5"/>
    </row>
    <row r="29" spans="1:9" x14ac:dyDescent="0.2">
      <c r="A29" s="21" t="s">
        <v>7</v>
      </c>
      <c r="B29" s="18" t="s">
        <v>44</v>
      </c>
      <c r="C29" s="3"/>
      <c r="D29" s="16"/>
      <c r="E29" s="16"/>
      <c r="F29" s="12"/>
      <c r="G29" s="3"/>
      <c r="H29" s="5"/>
    </row>
    <row r="30" spans="1:9" ht="12.75" x14ac:dyDescent="0.2">
      <c r="A30" s="390">
        <v>43902</v>
      </c>
      <c r="B30" s="391" t="s">
        <v>16923</v>
      </c>
      <c r="C30" s="392" t="s">
        <v>16924</v>
      </c>
      <c r="D30" s="393"/>
      <c r="E30" s="394"/>
      <c r="F30" s="395">
        <v>8.3800000000000008</v>
      </c>
      <c r="G30" s="3"/>
      <c r="I30" s="33"/>
    </row>
    <row r="31" spans="1:9" ht="25.5" x14ac:dyDescent="0.2">
      <c r="A31" s="390">
        <v>43902</v>
      </c>
      <c r="B31" s="391" t="s">
        <v>16921</v>
      </c>
      <c r="C31" s="392" t="s">
        <v>16922</v>
      </c>
      <c r="D31" s="393"/>
      <c r="E31" s="394"/>
      <c r="F31" s="395">
        <v>15.32</v>
      </c>
      <c r="G31" s="3"/>
      <c r="I31" s="33"/>
    </row>
    <row r="32" spans="1:9" ht="12.75" x14ac:dyDescent="0.2">
      <c r="A32" s="390">
        <v>43902</v>
      </c>
      <c r="B32" s="391" t="s">
        <v>16919</v>
      </c>
      <c r="C32" s="392" t="s">
        <v>16920</v>
      </c>
      <c r="D32" s="393"/>
      <c r="E32" s="394"/>
      <c r="F32" s="395">
        <v>15.3</v>
      </c>
      <c r="G32" s="3"/>
      <c r="I32" s="33"/>
    </row>
    <row r="33" spans="1:9" ht="12.75" x14ac:dyDescent="0.2">
      <c r="A33" s="390">
        <v>43902</v>
      </c>
      <c r="B33" s="391" t="s">
        <v>16917</v>
      </c>
      <c r="C33" s="392" t="s">
        <v>16918</v>
      </c>
      <c r="D33" s="393"/>
      <c r="E33" s="394"/>
      <c r="F33" s="395">
        <v>1</v>
      </c>
      <c r="G33" s="3"/>
      <c r="I33" s="33"/>
    </row>
    <row r="34" spans="1:9" ht="12.75" x14ac:dyDescent="0.2">
      <c r="A34" s="390">
        <v>43902</v>
      </c>
      <c r="B34" s="391" t="s">
        <v>16915</v>
      </c>
      <c r="C34" s="392" t="s">
        <v>16916</v>
      </c>
      <c r="D34" s="393"/>
      <c r="E34" s="394"/>
      <c r="F34" s="395">
        <v>30.16</v>
      </c>
      <c r="G34" s="3"/>
      <c r="I34" s="33"/>
    </row>
    <row r="35" spans="1:9" ht="25.5" x14ac:dyDescent="0.2">
      <c r="A35" s="390">
        <v>43902</v>
      </c>
      <c r="B35" s="391" t="s">
        <v>16913</v>
      </c>
      <c r="C35" s="392" t="s">
        <v>16914</v>
      </c>
      <c r="D35" s="393"/>
      <c r="E35" s="394"/>
      <c r="F35" s="395">
        <v>9.82</v>
      </c>
      <c r="G35" s="3"/>
      <c r="I35" s="33"/>
    </row>
    <row r="36" spans="1:9" ht="25.5" x14ac:dyDescent="0.2">
      <c r="A36" s="390">
        <v>43903</v>
      </c>
      <c r="B36" s="391" t="s">
        <v>16785</v>
      </c>
      <c r="C36" s="392" t="s">
        <v>16786</v>
      </c>
      <c r="D36" s="393"/>
      <c r="E36" s="394"/>
      <c r="F36" s="395">
        <v>47.67</v>
      </c>
      <c r="G36" s="3"/>
      <c r="I36" s="33"/>
    </row>
    <row r="37" spans="1:9" ht="25.5" x14ac:dyDescent="0.2">
      <c r="A37" s="390">
        <v>43903</v>
      </c>
      <c r="B37" s="391" t="s">
        <v>16783</v>
      </c>
      <c r="C37" s="392" t="s">
        <v>16784</v>
      </c>
      <c r="D37" s="393"/>
      <c r="E37" s="394"/>
      <c r="F37" s="395">
        <v>44.13</v>
      </c>
      <c r="G37" s="3"/>
      <c r="I37" s="33"/>
    </row>
    <row r="38" spans="1:9" ht="12.75" x14ac:dyDescent="0.2">
      <c r="A38" s="390">
        <v>43903</v>
      </c>
      <c r="B38" s="391" t="s">
        <v>16777</v>
      </c>
      <c r="C38" s="392" t="s">
        <v>16778</v>
      </c>
      <c r="D38" s="393"/>
      <c r="E38" s="394"/>
      <c r="F38" s="395">
        <v>15.3</v>
      </c>
      <c r="G38" s="3"/>
      <c r="I38" s="33"/>
    </row>
    <row r="39" spans="1:9" ht="12.75" x14ac:dyDescent="0.2">
      <c r="A39" s="390">
        <v>43903</v>
      </c>
      <c r="B39" s="391" t="s">
        <v>16775</v>
      </c>
      <c r="C39" s="392" t="s">
        <v>16776</v>
      </c>
      <c r="D39" s="393"/>
      <c r="E39" s="394"/>
      <c r="F39" s="395">
        <v>75.319999999999993</v>
      </c>
      <c r="G39" s="3"/>
      <c r="I39" s="33"/>
    </row>
    <row r="40" spans="1:9" ht="12.75" x14ac:dyDescent="0.2">
      <c r="A40" s="390">
        <v>44105</v>
      </c>
      <c r="B40" s="391" t="s">
        <v>26144</v>
      </c>
      <c r="C40" s="392" t="s">
        <v>26145</v>
      </c>
      <c r="D40" s="393"/>
      <c r="E40" s="394"/>
      <c r="F40" s="395">
        <v>1.68</v>
      </c>
      <c r="G40" s="3"/>
      <c r="I40" s="33"/>
    </row>
    <row r="41" spans="1:9" ht="12.75" x14ac:dyDescent="0.2">
      <c r="A41" s="390">
        <v>44106</v>
      </c>
      <c r="B41" s="391" t="s">
        <v>26018</v>
      </c>
      <c r="C41" s="392" t="s">
        <v>26019</v>
      </c>
      <c r="D41" s="393"/>
      <c r="E41" s="394"/>
      <c r="F41" s="395">
        <v>2.11</v>
      </c>
      <c r="G41" s="3"/>
      <c r="I41" s="33"/>
    </row>
    <row r="42" spans="1:9" ht="12.75" x14ac:dyDescent="0.2">
      <c r="A42" s="390">
        <v>44162</v>
      </c>
      <c r="B42" s="396" t="s">
        <v>26359</v>
      </c>
      <c r="C42" s="392" t="s">
        <v>26360</v>
      </c>
      <c r="D42" s="393"/>
      <c r="E42" s="394"/>
      <c r="F42" s="395">
        <v>8.9</v>
      </c>
      <c r="G42" s="3"/>
      <c r="I42" s="33"/>
    </row>
    <row r="43" spans="1:9" ht="12.75" x14ac:dyDescent="0.2">
      <c r="A43" s="390">
        <v>44162</v>
      </c>
      <c r="B43" s="396" t="s">
        <v>26357</v>
      </c>
      <c r="C43" s="392" t="s">
        <v>26358</v>
      </c>
      <c r="D43" s="393"/>
      <c r="E43" s="394"/>
      <c r="F43" s="395">
        <v>16.46</v>
      </c>
      <c r="G43" s="3"/>
      <c r="I43" s="33"/>
    </row>
    <row r="44" spans="1:9" ht="12.75" x14ac:dyDescent="0.2">
      <c r="A44" s="390">
        <v>44162</v>
      </c>
      <c r="B44" s="396" t="s">
        <v>26355</v>
      </c>
      <c r="C44" s="392" t="s">
        <v>26356</v>
      </c>
      <c r="D44" s="393"/>
      <c r="E44" s="394"/>
      <c r="F44" s="395">
        <v>5.15</v>
      </c>
      <c r="G44" s="3"/>
      <c r="I44" s="33"/>
    </row>
    <row r="45" spans="1:9" ht="12.75" x14ac:dyDescent="0.2">
      <c r="A45" s="390">
        <v>44162</v>
      </c>
      <c r="B45" s="396" t="s">
        <v>26353</v>
      </c>
      <c r="C45" s="392" t="s">
        <v>26354</v>
      </c>
      <c r="D45" s="393"/>
      <c r="E45" s="394"/>
      <c r="F45" s="395">
        <v>1.68</v>
      </c>
      <c r="G45" s="3"/>
      <c r="I45" s="33"/>
    </row>
    <row r="46" spans="1:9" ht="12.75" x14ac:dyDescent="0.2">
      <c r="A46" s="390">
        <v>44162</v>
      </c>
      <c r="B46" s="396" t="s">
        <v>26351</v>
      </c>
      <c r="C46" s="392" t="s">
        <v>26352</v>
      </c>
      <c r="D46" s="393"/>
      <c r="E46" s="394"/>
      <c r="F46" s="395">
        <v>24.4</v>
      </c>
      <c r="G46" s="3"/>
      <c r="I46" s="33"/>
    </row>
    <row r="47" spans="1:9" ht="12.75" x14ac:dyDescent="0.2">
      <c r="A47" s="390">
        <v>44162</v>
      </c>
      <c r="B47" s="396" t="s">
        <v>26349</v>
      </c>
      <c r="C47" s="392" t="s">
        <v>26350</v>
      </c>
      <c r="D47" s="393"/>
      <c r="E47" s="394"/>
      <c r="F47" s="395">
        <v>5.82</v>
      </c>
      <c r="G47" s="3"/>
      <c r="I47" s="33"/>
    </row>
    <row r="48" spans="1:9" ht="12.75" x14ac:dyDescent="0.2">
      <c r="A48" s="390">
        <v>44162</v>
      </c>
      <c r="B48" s="396" t="s">
        <v>26347</v>
      </c>
      <c r="C48" s="392" t="s">
        <v>26348</v>
      </c>
      <c r="D48" s="393"/>
      <c r="E48" s="394"/>
      <c r="F48" s="395">
        <v>2.0499999999999998</v>
      </c>
      <c r="G48" s="3"/>
      <c r="I48" s="33"/>
    </row>
    <row r="49" spans="1:9" ht="12.75" x14ac:dyDescent="0.2">
      <c r="A49" s="390">
        <v>44162</v>
      </c>
      <c r="B49" s="396" t="s">
        <v>26345</v>
      </c>
      <c r="C49" s="392" t="s">
        <v>26346</v>
      </c>
      <c r="D49" s="393"/>
      <c r="E49" s="394"/>
      <c r="F49" s="395">
        <v>2.59</v>
      </c>
      <c r="G49" s="3"/>
      <c r="I49" s="33"/>
    </row>
    <row r="50" spans="1:9" ht="12.75" x14ac:dyDescent="0.2">
      <c r="A50" s="390">
        <v>44162</v>
      </c>
      <c r="B50" s="396" t="s">
        <v>26343</v>
      </c>
      <c r="C50" s="392" t="s">
        <v>26344</v>
      </c>
      <c r="D50" s="393"/>
      <c r="E50" s="394"/>
      <c r="F50" s="395">
        <v>8.89</v>
      </c>
      <c r="G50" s="3"/>
      <c r="I50" s="33"/>
    </row>
    <row r="51" spans="1:9" ht="12.75" x14ac:dyDescent="0.2">
      <c r="A51" s="390">
        <v>44162</v>
      </c>
      <c r="B51" s="396" t="s">
        <v>26341</v>
      </c>
      <c r="C51" s="392" t="s">
        <v>26342</v>
      </c>
      <c r="D51" s="393"/>
      <c r="E51" s="394"/>
      <c r="F51" s="395">
        <v>9.02</v>
      </c>
      <c r="G51" s="3"/>
      <c r="I51" s="33"/>
    </row>
    <row r="52" spans="1:9" ht="12.75" x14ac:dyDescent="0.2">
      <c r="A52" s="390">
        <v>44162</v>
      </c>
      <c r="B52" s="396" t="s">
        <v>26339</v>
      </c>
      <c r="C52" s="392" t="s">
        <v>26340</v>
      </c>
      <c r="D52" s="393"/>
      <c r="E52" s="394"/>
      <c r="F52" s="395">
        <v>3.18</v>
      </c>
      <c r="G52" s="3"/>
      <c r="I52" s="33"/>
    </row>
    <row r="53" spans="1:9" ht="12.75" x14ac:dyDescent="0.2">
      <c r="A53" s="390">
        <v>44162</v>
      </c>
      <c r="B53" s="396" t="s">
        <v>26337</v>
      </c>
      <c r="C53" s="392" t="s">
        <v>26338</v>
      </c>
      <c r="D53" s="393"/>
      <c r="E53" s="394"/>
      <c r="F53" s="395">
        <v>5.91</v>
      </c>
      <c r="G53" s="3"/>
      <c r="I53" s="33"/>
    </row>
    <row r="54" spans="1:9" ht="12.75" x14ac:dyDescent="0.2">
      <c r="A54" s="390">
        <v>44162</v>
      </c>
      <c r="B54" s="396" t="s">
        <v>26335</v>
      </c>
      <c r="C54" s="392" t="s">
        <v>26336</v>
      </c>
      <c r="D54" s="393"/>
      <c r="E54" s="394"/>
      <c r="F54" s="395">
        <v>8.4</v>
      </c>
      <c r="G54" s="3"/>
      <c r="I54" s="33"/>
    </row>
    <row r="55" spans="1:9" ht="12.75" x14ac:dyDescent="0.2">
      <c r="A55" s="390">
        <v>44162</v>
      </c>
      <c r="B55" s="396" t="s">
        <v>26333</v>
      </c>
      <c r="C55" s="392" t="s">
        <v>26334</v>
      </c>
      <c r="D55" s="393"/>
      <c r="E55" s="394"/>
      <c r="F55" s="395">
        <v>1.88</v>
      </c>
      <c r="G55" s="3"/>
      <c r="I55" s="33"/>
    </row>
    <row r="56" spans="1:9" ht="12.75" x14ac:dyDescent="0.2">
      <c r="A56" s="390">
        <v>44162</v>
      </c>
      <c r="B56" s="396" t="s">
        <v>26331</v>
      </c>
      <c r="C56" s="392" t="s">
        <v>26332</v>
      </c>
      <c r="D56" s="393"/>
      <c r="E56" s="394"/>
      <c r="F56" s="395">
        <v>5.04</v>
      </c>
      <c r="G56" s="3"/>
      <c r="I56" s="33"/>
    </row>
    <row r="57" spans="1:9" ht="12.75" x14ac:dyDescent="0.2">
      <c r="A57" s="390">
        <v>44162</v>
      </c>
      <c r="B57" s="396" t="s">
        <v>26329</v>
      </c>
      <c r="C57" s="392" t="s">
        <v>26330</v>
      </c>
      <c r="D57" s="393"/>
      <c r="E57" s="394"/>
      <c r="F57" s="395">
        <v>3.36</v>
      </c>
      <c r="G57" s="3"/>
      <c r="I57" s="33"/>
    </row>
    <row r="58" spans="1:9" ht="12.75" x14ac:dyDescent="0.2">
      <c r="A58" s="390">
        <v>44162</v>
      </c>
      <c r="B58" s="396" t="s">
        <v>26327</v>
      </c>
      <c r="C58" s="392" t="s">
        <v>26328</v>
      </c>
      <c r="D58" s="393"/>
      <c r="E58" s="394"/>
      <c r="F58" s="395">
        <v>5.22</v>
      </c>
      <c r="G58" s="3"/>
      <c r="I58" s="33"/>
    </row>
    <row r="59" spans="1:9" ht="12.75" x14ac:dyDescent="0.2">
      <c r="A59" s="390">
        <v>44162</v>
      </c>
      <c r="B59" s="396" t="s">
        <v>26325</v>
      </c>
      <c r="C59" s="392" t="s">
        <v>26326</v>
      </c>
      <c r="D59" s="393"/>
      <c r="E59" s="394"/>
      <c r="F59" s="395">
        <v>5.16</v>
      </c>
      <c r="G59" s="3"/>
      <c r="I59" s="33"/>
    </row>
    <row r="60" spans="1:9" ht="12.75" x14ac:dyDescent="0.2">
      <c r="A60" s="390">
        <v>44163</v>
      </c>
      <c r="B60" s="396" t="s">
        <v>26307</v>
      </c>
      <c r="C60" s="392" t="s">
        <v>26308</v>
      </c>
      <c r="D60" s="393"/>
      <c r="E60" s="394"/>
      <c r="F60" s="395">
        <v>6.4</v>
      </c>
      <c r="G60" s="3"/>
      <c r="I60" s="33"/>
    </row>
    <row r="61" spans="1:9" ht="12.75" x14ac:dyDescent="0.2">
      <c r="A61" s="390">
        <v>44163</v>
      </c>
      <c r="B61" s="396" t="s">
        <v>26305</v>
      </c>
      <c r="C61" s="392" t="s">
        <v>26306</v>
      </c>
      <c r="D61" s="393"/>
      <c r="E61" s="394"/>
      <c r="F61" s="395">
        <v>83.66</v>
      </c>
      <c r="G61" s="3"/>
      <c r="I61" s="33"/>
    </row>
    <row r="62" spans="1:9" ht="12.75" x14ac:dyDescent="0.2">
      <c r="A62" s="390">
        <v>44163</v>
      </c>
      <c r="B62" s="396" t="s">
        <v>26303</v>
      </c>
      <c r="C62" s="392" t="s">
        <v>26304</v>
      </c>
      <c r="D62" s="393"/>
      <c r="E62" s="394"/>
      <c r="F62" s="395">
        <v>1.74</v>
      </c>
      <c r="G62" s="3"/>
      <c r="I62" s="33"/>
    </row>
    <row r="63" spans="1:9" ht="12.75" x14ac:dyDescent="0.2">
      <c r="A63" s="390">
        <v>44163</v>
      </c>
      <c r="B63" s="396" t="s">
        <v>26301</v>
      </c>
      <c r="C63" s="392" t="s">
        <v>26302</v>
      </c>
      <c r="D63" s="393"/>
      <c r="E63" s="394"/>
      <c r="F63" s="395">
        <v>6.59</v>
      </c>
      <c r="G63" s="3"/>
      <c r="I63" s="33"/>
    </row>
    <row r="64" spans="1:9" ht="12.75" x14ac:dyDescent="0.2">
      <c r="A64" s="390">
        <v>44163</v>
      </c>
      <c r="B64" s="396" t="s">
        <v>26299</v>
      </c>
      <c r="C64" s="392" t="s">
        <v>26300</v>
      </c>
      <c r="D64" s="393"/>
      <c r="E64" s="394"/>
      <c r="F64" s="395">
        <v>8.0399999999999991</v>
      </c>
      <c r="G64" s="3"/>
      <c r="I64" s="33"/>
    </row>
    <row r="65" spans="1:9" ht="12.75" x14ac:dyDescent="0.2">
      <c r="A65" s="390">
        <v>44163</v>
      </c>
      <c r="B65" s="396" t="s">
        <v>26297</v>
      </c>
      <c r="C65" s="392" t="s">
        <v>26298</v>
      </c>
      <c r="D65" s="393"/>
      <c r="E65" s="394"/>
      <c r="F65" s="395">
        <v>4.63</v>
      </c>
      <c r="G65" s="3"/>
      <c r="I65" s="33"/>
    </row>
    <row r="66" spans="1:9" ht="12.75" x14ac:dyDescent="0.2">
      <c r="A66" s="390">
        <v>44163</v>
      </c>
      <c r="B66" s="396" t="s">
        <v>26295</v>
      </c>
      <c r="C66" s="392" t="s">
        <v>26296</v>
      </c>
      <c r="D66" s="393"/>
      <c r="E66" s="394"/>
      <c r="F66" s="395">
        <v>8.36</v>
      </c>
      <c r="G66" s="3"/>
      <c r="I66" s="33"/>
    </row>
    <row r="67" spans="1:9" ht="12.75" x14ac:dyDescent="0.2">
      <c r="A67" s="390">
        <v>44163</v>
      </c>
      <c r="B67" s="396" t="s">
        <v>26293</v>
      </c>
      <c r="C67" s="392" t="s">
        <v>26294</v>
      </c>
      <c r="D67" s="393"/>
      <c r="E67" s="394"/>
      <c r="F67" s="395">
        <v>1.78</v>
      </c>
      <c r="G67" s="3"/>
      <c r="I67" s="33"/>
    </row>
    <row r="68" spans="1:9" ht="12.75" x14ac:dyDescent="0.2">
      <c r="A68" s="390">
        <v>44163</v>
      </c>
      <c r="B68" s="396" t="s">
        <v>26291</v>
      </c>
      <c r="C68" s="392" t="s">
        <v>26292</v>
      </c>
      <c r="D68" s="393"/>
      <c r="E68" s="394"/>
      <c r="F68" s="395">
        <v>1.68</v>
      </c>
      <c r="G68" s="3"/>
      <c r="I68" s="33"/>
    </row>
    <row r="69" spans="1:9" ht="12.75" x14ac:dyDescent="0.2">
      <c r="A69" s="390">
        <v>44163</v>
      </c>
      <c r="B69" s="396" t="s">
        <v>26289</v>
      </c>
      <c r="C69" s="392" t="s">
        <v>26290</v>
      </c>
      <c r="D69" s="393"/>
      <c r="E69" s="394"/>
      <c r="F69" s="395">
        <v>1.68</v>
      </c>
      <c r="G69" s="3"/>
      <c r="I69" s="33"/>
    </row>
    <row r="70" spans="1:9" ht="12.75" x14ac:dyDescent="0.2">
      <c r="A70" s="390">
        <v>44163</v>
      </c>
      <c r="B70" s="396" t="s">
        <v>26287</v>
      </c>
      <c r="C70" s="392" t="s">
        <v>26288</v>
      </c>
      <c r="D70" s="393"/>
      <c r="E70" s="394"/>
      <c r="F70" s="395">
        <v>0.22</v>
      </c>
      <c r="G70" s="3"/>
      <c r="I70" s="33"/>
    </row>
    <row r="71" spans="1:9" ht="12.75" x14ac:dyDescent="0.2">
      <c r="A71" s="390">
        <v>44163</v>
      </c>
      <c r="B71" s="396" t="s">
        <v>26285</v>
      </c>
      <c r="C71" s="392" t="s">
        <v>26286</v>
      </c>
      <c r="D71" s="393"/>
      <c r="E71" s="394"/>
      <c r="F71" s="395">
        <v>8.77</v>
      </c>
      <c r="G71" s="3"/>
      <c r="I71" s="33"/>
    </row>
    <row r="72" spans="1:9" ht="12.75" x14ac:dyDescent="0.2">
      <c r="A72" s="390">
        <v>44164</v>
      </c>
      <c r="B72" s="396" t="s">
        <v>26283</v>
      </c>
      <c r="C72" s="392" t="s">
        <v>26284</v>
      </c>
      <c r="D72" s="393"/>
      <c r="E72" s="394"/>
      <c r="F72" s="395">
        <v>2.2200000000000002</v>
      </c>
      <c r="G72" s="3"/>
      <c r="I72" s="33"/>
    </row>
    <row r="73" spans="1:9" ht="12.75" x14ac:dyDescent="0.2">
      <c r="A73" s="390">
        <v>44164</v>
      </c>
      <c r="B73" s="396" t="s">
        <v>26281</v>
      </c>
      <c r="C73" s="392" t="s">
        <v>26282</v>
      </c>
      <c r="D73" s="393"/>
      <c r="E73" s="394"/>
      <c r="F73" s="395">
        <v>10.09</v>
      </c>
      <c r="G73" s="3"/>
      <c r="I73" s="33"/>
    </row>
    <row r="74" spans="1:9" ht="12.75" x14ac:dyDescent="0.2">
      <c r="A74" s="390">
        <v>44164</v>
      </c>
      <c r="B74" s="396" t="s">
        <v>26279</v>
      </c>
      <c r="C74" s="392" t="s">
        <v>26280</v>
      </c>
      <c r="D74" s="393"/>
      <c r="E74" s="394"/>
      <c r="F74" s="395">
        <v>16.760000000000002</v>
      </c>
      <c r="G74" s="3"/>
      <c r="I74" s="33"/>
    </row>
    <row r="75" spans="1:9" ht="12.75" x14ac:dyDescent="0.2">
      <c r="A75" s="390">
        <v>44164</v>
      </c>
      <c r="B75" s="396" t="s">
        <v>26277</v>
      </c>
      <c r="C75" s="392" t="s">
        <v>26278</v>
      </c>
      <c r="D75" s="393"/>
      <c r="E75" s="394"/>
      <c r="F75" s="395">
        <v>13.3</v>
      </c>
      <c r="G75" s="3"/>
      <c r="I75" s="33"/>
    </row>
    <row r="76" spans="1:9" ht="12.75" x14ac:dyDescent="0.2">
      <c r="A76" s="390">
        <v>44164</v>
      </c>
      <c r="B76" s="396" t="s">
        <v>26275</v>
      </c>
      <c r="C76" s="392" t="s">
        <v>26276</v>
      </c>
      <c r="D76" s="393"/>
      <c r="E76" s="394"/>
      <c r="F76" s="395">
        <v>5.86</v>
      </c>
      <c r="G76" s="3"/>
      <c r="I76" s="33"/>
    </row>
    <row r="77" spans="1:9" ht="12.75" x14ac:dyDescent="0.2">
      <c r="A77" s="390">
        <v>44164</v>
      </c>
      <c r="B77" s="396" t="s">
        <v>26273</v>
      </c>
      <c r="C77" s="392" t="s">
        <v>26274</v>
      </c>
      <c r="D77" s="393"/>
      <c r="E77" s="394"/>
      <c r="F77" s="395">
        <v>0.66</v>
      </c>
      <c r="G77" s="3"/>
      <c r="I77" s="33"/>
    </row>
    <row r="78" spans="1:9" ht="12.75" x14ac:dyDescent="0.2">
      <c r="A78" s="390">
        <v>44165</v>
      </c>
      <c r="B78" s="396" t="s">
        <v>26243</v>
      </c>
      <c r="C78" s="392" t="s">
        <v>26244</v>
      </c>
      <c r="D78" s="393"/>
      <c r="E78" s="394"/>
      <c r="F78" s="395">
        <v>19.350000000000001</v>
      </c>
      <c r="G78" s="3"/>
      <c r="I78" s="33"/>
    </row>
    <row r="79" spans="1:9" ht="12.75" x14ac:dyDescent="0.2">
      <c r="A79" s="390">
        <v>44165</v>
      </c>
      <c r="B79" s="396" t="s">
        <v>26241</v>
      </c>
      <c r="C79" s="392" t="s">
        <v>26242</v>
      </c>
      <c r="D79" s="393"/>
      <c r="E79" s="394"/>
      <c r="F79" s="395">
        <v>6.53</v>
      </c>
      <c r="G79" s="3"/>
      <c r="I79" s="33"/>
    </row>
    <row r="80" spans="1:9" ht="12.75" x14ac:dyDescent="0.2">
      <c r="A80" s="390">
        <v>44165</v>
      </c>
      <c r="B80" s="396" t="s">
        <v>26239</v>
      </c>
      <c r="C80" s="392" t="s">
        <v>26240</v>
      </c>
      <c r="D80" s="393"/>
      <c r="E80" s="394"/>
      <c r="F80" s="395">
        <v>4.37</v>
      </c>
      <c r="G80" s="3"/>
      <c r="I80" s="33"/>
    </row>
    <row r="81" spans="1:9" ht="12.75" x14ac:dyDescent="0.2">
      <c r="A81" s="390">
        <v>44165</v>
      </c>
      <c r="B81" s="396" t="s">
        <v>26237</v>
      </c>
      <c r="C81" s="392" t="s">
        <v>26238</v>
      </c>
      <c r="D81" s="393"/>
      <c r="E81" s="394"/>
      <c r="F81" s="395">
        <v>6.83</v>
      </c>
      <c r="G81" s="3"/>
      <c r="I81" s="33"/>
    </row>
    <row r="82" spans="1:9" ht="12.75" x14ac:dyDescent="0.2">
      <c r="A82" s="390">
        <v>44165</v>
      </c>
      <c r="B82" s="396" t="s">
        <v>26235</v>
      </c>
      <c r="C82" s="392" t="s">
        <v>26236</v>
      </c>
      <c r="D82" s="393"/>
      <c r="E82" s="394"/>
      <c r="F82" s="395">
        <v>2.99</v>
      </c>
      <c r="G82" s="3"/>
      <c r="I82" s="33"/>
    </row>
    <row r="83" spans="1:9" ht="12.75" x14ac:dyDescent="0.2">
      <c r="A83" s="390">
        <v>44165</v>
      </c>
      <c r="B83" s="396" t="s">
        <v>26233</v>
      </c>
      <c r="C83" s="392" t="s">
        <v>26234</v>
      </c>
      <c r="D83" s="393"/>
      <c r="E83" s="394"/>
      <c r="F83" s="395">
        <v>8.98</v>
      </c>
      <c r="G83" s="3"/>
      <c r="I83" s="33"/>
    </row>
    <row r="84" spans="1:9" ht="12.75" x14ac:dyDescent="0.2">
      <c r="A84" s="390">
        <v>44165</v>
      </c>
      <c r="B84" s="396" t="s">
        <v>26231</v>
      </c>
      <c r="C84" s="392" t="s">
        <v>26232</v>
      </c>
      <c r="D84" s="393"/>
      <c r="E84" s="394"/>
      <c r="F84" s="395">
        <v>20.440000000000001</v>
      </c>
      <c r="G84" s="3"/>
      <c r="I84" s="33"/>
    </row>
    <row r="85" spans="1:9" ht="12.75" x14ac:dyDescent="0.2">
      <c r="A85" s="390">
        <v>44165</v>
      </c>
      <c r="B85" s="396" t="s">
        <v>26229</v>
      </c>
      <c r="C85" s="392" t="s">
        <v>26230</v>
      </c>
      <c r="D85" s="393"/>
      <c r="E85" s="394"/>
      <c r="F85" s="395">
        <v>4.1900000000000004</v>
      </c>
      <c r="G85" s="3"/>
      <c r="I85" s="33"/>
    </row>
    <row r="86" spans="1:9" ht="12.75" x14ac:dyDescent="0.2">
      <c r="A86" s="390">
        <v>44165</v>
      </c>
      <c r="B86" s="396" t="s">
        <v>26227</v>
      </c>
      <c r="C86" s="392" t="s">
        <v>26228</v>
      </c>
      <c r="D86" s="393"/>
      <c r="E86" s="394"/>
      <c r="F86" s="395">
        <v>1.68</v>
      </c>
      <c r="G86" s="3"/>
      <c r="I86" s="33"/>
    </row>
    <row r="87" spans="1:9" ht="12.75" x14ac:dyDescent="0.2">
      <c r="A87" s="390">
        <v>44165</v>
      </c>
      <c r="B87" s="396" t="s">
        <v>26225</v>
      </c>
      <c r="C87" s="392" t="s">
        <v>26226</v>
      </c>
      <c r="D87" s="393"/>
      <c r="E87" s="394"/>
      <c r="F87" s="395">
        <v>10.36</v>
      </c>
      <c r="G87" s="3"/>
      <c r="I87" s="33"/>
    </row>
    <row r="88" spans="1:9" ht="12.75" x14ac:dyDescent="0.2">
      <c r="A88" s="390">
        <v>44165</v>
      </c>
      <c r="B88" s="396" t="s">
        <v>26223</v>
      </c>
      <c r="C88" s="392" t="s">
        <v>26224</v>
      </c>
      <c r="D88" s="393"/>
      <c r="E88" s="394"/>
      <c r="F88" s="395">
        <v>6.98</v>
      </c>
      <c r="G88" s="3"/>
      <c r="I88" s="33"/>
    </row>
    <row r="89" spans="1:9" ht="12.75" x14ac:dyDescent="0.2">
      <c r="A89" s="390">
        <v>44165</v>
      </c>
      <c r="B89" s="396" t="s">
        <v>26221</v>
      </c>
      <c r="C89" s="392" t="s">
        <v>26222</v>
      </c>
      <c r="D89" s="393"/>
      <c r="E89" s="394"/>
      <c r="F89" s="395">
        <v>24.63</v>
      </c>
      <c r="G89" s="3"/>
      <c r="I89" s="33"/>
    </row>
    <row r="90" spans="1:9" ht="12.75" x14ac:dyDescent="0.2">
      <c r="A90" s="390">
        <v>44165</v>
      </c>
      <c r="B90" s="396" t="s">
        <v>26219</v>
      </c>
      <c r="C90" s="392" t="s">
        <v>26220</v>
      </c>
      <c r="D90" s="393"/>
      <c r="E90" s="394"/>
      <c r="F90" s="395">
        <v>3.36</v>
      </c>
      <c r="G90" s="3"/>
      <c r="I90" s="33"/>
    </row>
    <row r="91" spans="1:9" ht="12.75" x14ac:dyDescent="0.2">
      <c r="A91" s="390">
        <v>44165</v>
      </c>
      <c r="B91" s="396" t="s">
        <v>26217</v>
      </c>
      <c r="C91" s="392" t="s">
        <v>26218</v>
      </c>
      <c r="D91" s="393"/>
      <c r="E91" s="394"/>
      <c r="F91" s="395">
        <v>1.2</v>
      </c>
      <c r="G91" s="3"/>
      <c r="I91" s="33"/>
    </row>
    <row r="92" spans="1:9" ht="12.75" x14ac:dyDescent="0.2">
      <c r="A92" s="390">
        <v>44165</v>
      </c>
      <c r="B92" s="396" t="s">
        <v>26215</v>
      </c>
      <c r="C92" s="392" t="s">
        <v>26216</v>
      </c>
      <c r="D92" s="393"/>
      <c r="E92" s="394"/>
      <c r="F92" s="395">
        <v>17.12</v>
      </c>
      <c r="G92" s="3"/>
      <c r="I92" s="33"/>
    </row>
    <row r="93" spans="1:9" ht="12.75" x14ac:dyDescent="0.2">
      <c r="A93" s="390">
        <v>44165</v>
      </c>
      <c r="B93" s="396" t="s">
        <v>26213</v>
      </c>
      <c r="C93" s="392" t="s">
        <v>26214</v>
      </c>
      <c r="D93" s="393"/>
      <c r="E93" s="394"/>
      <c r="F93" s="395">
        <v>4.9400000000000004</v>
      </c>
      <c r="G93" s="3"/>
      <c r="I93" s="33"/>
    </row>
    <row r="94" spans="1:9" ht="12.75" x14ac:dyDescent="0.2">
      <c r="A94" s="390">
        <v>44165</v>
      </c>
      <c r="B94" s="396" t="s">
        <v>26211</v>
      </c>
      <c r="C94" s="392" t="s">
        <v>26212</v>
      </c>
      <c r="D94" s="393"/>
      <c r="E94" s="394"/>
      <c r="F94" s="395">
        <v>1.74</v>
      </c>
      <c r="G94" s="3"/>
      <c r="I94" s="33"/>
    </row>
    <row r="95" spans="1:9" ht="12.75" x14ac:dyDescent="0.2">
      <c r="A95" s="390">
        <v>44165</v>
      </c>
      <c r="B95" s="396" t="s">
        <v>26209</v>
      </c>
      <c r="C95" s="392" t="s">
        <v>26210</v>
      </c>
      <c r="D95" s="393"/>
      <c r="E95" s="394"/>
      <c r="F95" s="395">
        <v>5.86</v>
      </c>
      <c r="G95" s="3"/>
      <c r="I95" s="33"/>
    </row>
    <row r="96" spans="1:9" ht="12.75" x14ac:dyDescent="0.2">
      <c r="A96" s="390">
        <v>44165</v>
      </c>
      <c r="B96" s="396" t="s">
        <v>26207</v>
      </c>
      <c r="C96" s="392" t="s">
        <v>26208</v>
      </c>
      <c r="D96" s="393"/>
      <c r="E96" s="394"/>
      <c r="F96" s="395">
        <v>8.3800000000000008</v>
      </c>
      <c r="G96" s="3"/>
      <c r="I96" s="33"/>
    </row>
    <row r="97" spans="1:12" ht="12.75" x14ac:dyDescent="0.2">
      <c r="A97" s="390">
        <v>44165</v>
      </c>
      <c r="B97" s="396" t="s">
        <v>26205</v>
      </c>
      <c r="C97" s="392" t="s">
        <v>26206</v>
      </c>
      <c r="D97" s="393"/>
      <c r="E97" s="394"/>
      <c r="F97" s="395">
        <v>8.3800000000000008</v>
      </c>
      <c r="G97" s="3"/>
      <c r="I97" s="33"/>
    </row>
    <row r="98" spans="1:12" ht="12.75" x14ac:dyDescent="0.2">
      <c r="A98" s="390">
        <v>44165</v>
      </c>
      <c r="B98" s="396" t="s">
        <v>26203</v>
      </c>
      <c r="C98" s="392" t="s">
        <v>26204</v>
      </c>
      <c r="D98" s="393"/>
      <c r="E98" s="394"/>
      <c r="F98" s="395">
        <v>8.16</v>
      </c>
      <c r="G98" s="3"/>
      <c r="I98" s="33"/>
    </row>
    <row r="99" spans="1:12" ht="12.75" x14ac:dyDescent="0.2">
      <c r="A99" s="390">
        <v>44165</v>
      </c>
      <c r="B99" s="396" t="s">
        <v>26201</v>
      </c>
      <c r="C99" s="392" t="s">
        <v>26202</v>
      </c>
      <c r="D99" s="393"/>
      <c r="E99" s="394"/>
      <c r="F99" s="395">
        <v>5.04</v>
      </c>
      <c r="G99" s="3"/>
      <c r="I99" s="33"/>
    </row>
    <row r="100" spans="1:12" ht="12.75" x14ac:dyDescent="0.2">
      <c r="A100" s="390">
        <v>44165</v>
      </c>
      <c r="B100" s="396" t="s">
        <v>26199</v>
      </c>
      <c r="C100" s="392" t="s">
        <v>26200</v>
      </c>
      <c r="D100" s="393"/>
      <c r="E100" s="394"/>
      <c r="F100" s="395">
        <v>8.3800000000000008</v>
      </c>
      <c r="G100" s="3"/>
      <c r="I100" s="33"/>
    </row>
    <row r="101" spans="1:12" ht="12.75" x14ac:dyDescent="0.2">
      <c r="A101" s="390">
        <v>44165</v>
      </c>
      <c r="B101" s="396" t="s">
        <v>26197</v>
      </c>
      <c r="C101" s="392" t="s">
        <v>26198</v>
      </c>
      <c r="D101" s="393"/>
      <c r="E101" s="394"/>
      <c r="F101" s="395">
        <v>4.1100000000000003</v>
      </c>
      <c r="G101" s="3"/>
      <c r="I101" s="33"/>
    </row>
    <row r="102" spans="1:12" ht="12.75" x14ac:dyDescent="0.2">
      <c r="A102" s="37"/>
      <c r="B102" s="91"/>
      <c r="C102" s="39"/>
      <c r="D102" s="16"/>
      <c r="E102" s="16"/>
      <c r="F102" s="92"/>
      <c r="G102" s="3"/>
      <c r="H102" s="301">
        <f>SUM(F30:F101)</f>
        <v>765.74</v>
      </c>
    </row>
    <row r="103" spans="1:12" x14ac:dyDescent="0.2">
      <c r="A103" s="3"/>
      <c r="B103" s="2"/>
      <c r="C103" s="3"/>
      <c r="D103" s="3"/>
      <c r="E103" s="3"/>
      <c r="F103" s="5"/>
      <c r="G103" s="3"/>
      <c r="H103" s="5"/>
    </row>
    <row r="104" spans="1:12" s="99" customFormat="1" ht="20.25" customHeight="1" thickBot="1" x14ac:dyDescent="0.3">
      <c r="A104" s="93"/>
      <c r="B104" s="94" t="s">
        <v>28269</v>
      </c>
      <c r="C104" s="95"/>
      <c r="D104" s="93"/>
      <c r="E104" s="93"/>
      <c r="F104" s="96"/>
      <c r="G104" s="97" t="s">
        <v>4</v>
      </c>
      <c r="H104" s="302">
        <f>+H9-H16-H21+H26+H102</f>
        <v>34752.009999999995</v>
      </c>
      <c r="I104" s="303"/>
      <c r="J104" s="303"/>
    </row>
    <row r="105" spans="1:12" ht="13.5" thickTop="1" x14ac:dyDescent="0.2">
      <c r="A105" s="3"/>
      <c r="B105" s="2"/>
      <c r="C105" s="3"/>
      <c r="D105" s="3"/>
      <c r="E105" s="3"/>
      <c r="F105" s="5"/>
      <c r="G105" s="3"/>
      <c r="H105" s="304"/>
      <c r="I105" s="305"/>
      <c r="J105" s="306">
        <f>+'BP OCT-20'!I645</f>
        <v>41088.169999999969</v>
      </c>
    </row>
    <row r="106" spans="1:12" ht="12.75" x14ac:dyDescent="0.2">
      <c r="A106" s="3"/>
      <c r="B106" s="2"/>
      <c r="C106" s="3"/>
      <c r="D106" s="3"/>
      <c r="E106" s="3"/>
      <c r="F106" s="5"/>
      <c r="G106" s="3"/>
      <c r="H106" s="305"/>
      <c r="I106" s="305"/>
      <c r="J106" s="304"/>
    </row>
    <row r="107" spans="1:12" ht="12.75" x14ac:dyDescent="0.2">
      <c r="A107" s="3"/>
      <c r="B107" s="2"/>
      <c r="C107" s="3"/>
      <c r="D107" s="3"/>
      <c r="E107" s="3"/>
      <c r="G107" s="3"/>
      <c r="H107" s="305"/>
      <c r="I107" s="305"/>
      <c r="J107" s="304"/>
    </row>
    <row r="108" spans="1:12" ht="23.25" customHeight="1" thickBot="1" x14ac:dyDescent="0.25">
      <c r="A108" s="3"/>
      <c r="C108" s="100"/>
      <c r="D108" s="101"/>
      <c r="E108" s="3"/>
      <c r="F108" s="102"/>
      <c r="G108" s="3"/>
      <c r="H108" s="304"/>
      <c r="I108" s="305"/>
      <c r="J108" s="302">
        <f>+H104-J105</f>
        <v>-6336.1599999999744</v>
      </c>
      <c r="L108" s="57"/>
    </row>
    <row r="109" spans="1:12" ht="26.25" customHeight="1" thickTop="1" x14ac:dyDescent="0.2">
      <c r="A109" s="3"/>
      <c r="C109" s="378" t="s">
        <v>314</v>
      </c>
      <c r="D109" s="378"/>
      <c r="E109" s="3"/>
      <c r="F109" s="378" t="s">
        <v>315</v>
      </c>
      <c r="G109" s="378"/>
      <c r="H109" s="304"/>
      <c r="I109" s="305"/>
      <c r="J109" s="305"/>
    </row>
    <row r="110" spans="1:12" ht="23.25" customHeight="1" thickBot="1" x14ac:dyDescent="0.25">
      <c r="H110" s="305"/>
      <c r="I110" s="305"/>
      <c r="J110" s="302">
        <f>+H104-J108</f>
        <v>41088.169999999969</v>
      </c>
    </row>
    <row r="111" spans="1:12" ht="13.5" thickTop="1" x14ac:dyDescent="0.2">
      <c r="H111" s="305"/>
      <c r="I111" s="305"/>
      <c r="J111" s="305"/>
      <c r="L111" s="57"/>
    </row>
    <row r="113" spans="1:12" x14ac:dyDescent="0.2">
      <c r="L113" s="57"/>
    </row>
    <row r="114" spans="1:12" x14ac:dyDescent="0.2">
      <c r="A114" s="6"/>
      <c r="B114" s="6"/>
      <c r="C114" s="6"/>
      <c r="D114" s="6"/>
      <c r="E114" s="6"/>
      <c r="G114" s="6"/>
      <c r="J114" s="57"/>
    </row>
  </sheetData>
  <mergeCells count="2">
    <mergeCell ref="C109:D109"/>
    <mergeCell ref="F109:G109"/>
  </mergeCells>
  <pageMargins left="0.70866141732283472" right="0.70866141732283472" top="0.74803149606299213" bottom="0.74803149606299213" header="0.31496062992125984" footer="0.31496062992125984"/>
  <pageSetup paperSize="9" scale="55" fitToHeight="3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45</vt:i4>
      </vt:variant>
      <vt:variant>
        <vt:lpstr>Rangos con nombre</vt:lpstr>
      </vt:variant>
      <vt:variant>
        <vt:i4>66</vt:i4>
      </vt:variant>
    </vt:vector>
  </HeadingPairs>
  <TitlesOfParts>
    <vt:vector size="111" baseType="lpstr">
      <vt:lpstr>BP CON DIC-19</vt:lpstr>
      <vt:lpstr>BP-ENE-20</vt:lpstr>
      <vt:lpstr>DEP ENE-20</vt:lpstr>
      <vt:lpstr>WU ENE-20</vt:lpstr>
      <vt:lpstr>BP CON ENE-20</vt:lpstr>
      <vt:lpstr>BP FEB-20</vt:lpstr>
      <vt:lpstr>DP FEB-20</vt:lpstr>
      <vt:lpstr>WU FEB-20</vt:lpstr>
      <vt:lpstr>BP CON FEB-20</vt:lpstr>
      <vt:lpstr>BP MAR-20</vt:lpstr>
      <vt:lpstr>DP MAR-20</vt:lpstr>
      <vt:lpstr>WU MAR-20</vt:lpstr>
      <vt:lpstr>BP CON MAR-20</vt:lpstr>
      <vt:lpstr>BP ABR-20</vt:lpstr>
      <vt:lpstr>DP ABR-20</vt:lpstr>
      <vt:lpstr>WU ABR-20</vt:lpstr>
      <vt:lpstr>BP CON ABR-20</vt:lpstr>
      <vt:lpstr>BP MAY-20</vt:lpstr>
      <vt:lpstr>DP MAY-20</vt:lpstr>
      <vt:lpstr>WU MAY-20</vt:lpstr>
      <vt:lpstr>BP CON MAY-20</vt:lpstr>
      <vt:lpstr>BP JUN-20</vt:lpstr>
      <vt:lpstr>DP JUN-20</vt:lpstr>
      <vt:lpstr>WU JUN-20</vt:lpstr>
      <vt:lpstr>BP CON JUN-20</vt:lpstr>
      <vt:lpstr>BP JUL-20</vt:lpstr>
      <vt:lpstr>DP JUL-20</vt:lpstr>
      <vt:lpstr>WU JUL-20</vt:lpstr>
      <vt:lpstr>BP CON JUL-20</vt:lpstr>
      <vt:lpstr>BP AGO-20</vt:lpstr>
      <vt:lpstr>DP AGO-20</vt:lpstr>
      <vt:lpstr>WU AGO-20</vt:lpstr>
      <vt:lpstr>BP CON AGO-20</vt:lpstr>
      <vt:lpstr>BP SEP-20</vt:lpstr>
      <vt:lpstr>DP SEP-20</vt:lpstr>
      <vt:lpstr>WU SEP-20</vt:lpstr>
      <vt:lpstr>BP CON SEP-20</vt:lpstr>
      <vt:lpstr>BP OCT-20</vt:lpstr>
      <vt:lpstr>DP OCT-20</vt:lpstr>
      <vt:lpstr>WU OCT-20</vt:lpstr>
      <vt:lpstr>BP CON OCT-20</vt:lpstr>
      <vt:lpstr>BP NOV-20</vt:lpstr>
      <vt:lpstr>DP NOV-20</vt:lpstr>
      <vt:lpstr>WU NOV-20</vt:lpstr>
      <vt:lpstr>BP CON NOV-20</vt:lpstr>
      <vt:lpstr>'BP CON ABR-20'!Área_de_impresión</vt:lpstr>
      <vt:lpstr>'BP CON AGO-20'!Área_de_impresión</vt:lpstr>
      <vt:lpstr>'BP CON DIC-19'!Área_de_impresión</vt:lpstr>
      <vt:lpstr>'BP CON ENE-20'!Área_de_impresión</vt:lpstr>
      <vt:lpstr>'BP CON FEB-20'!Área_de_impresión</vt:lpstr>
      <vt:lpstr>'BP CON JUL-20'!Área_de_impresión</vt:lpstr>
      <vt:lpstr>'BP CON JUN-20'!Área_de_impresión</vt:lpstr>
      <vt:lpstr>'BP CON MAR-20'!Área_de_impresión</vt:lpstr>
      <vt:lpstr>'BP CON MAY-20'!Área_de_impresión</vt:lpstr>
      <vt:lpstr>'BP CON NOV-20'!Área_de_impresión</vt:lpstr>
      <vt:lpstr>'BP CON OCT-20'!Área_de_impresión</vt:lpstr>
      <vt:lpstr>'BP CON SEP-20'!Área_de_impresión</vt:lpstr>
      <vt:lpstr>'DEP ENE-20'!Área_de_impresión</vt:lpstr>
      <vt:lpstr>'DP ABR-20'!Área_de_impresión</vt:lpstr>
      <vt:lpstr>'DP AGO-20'!Área_de_impresión</vt:lpstr>
      <vt:lpstr>'DP FEB-20'!Área_de_impresión</vt:lpstr>
      <vt:lpstr>'DP JUL-20'!Área_de_impresión</vt:lpstr>
      <vt:lpstr>'DP JUN-20'!Área_de_impresión</vt:lpstr>
      <vt:lpstr>'DP MAR-20'!Área_de_impresión</vt:lpstr>
      <vt:lpstr>'DP MAY-20'!Área_de_impresión</vt:lpstr>
      <vt:lpstr>'DP NOV-20'!Área_de_impresión</vt:lpstr>
      <vt:lpstr>'DP OCT-20'!Área_de_impresión</vt:lpstr>
      <vt:lpstr>'DP SEP-20'!Área_de_impresión</vt:lpstr>
      <vt:lpstr>'WU ABR-20'!Área_de_impresión</vt:lpstr>
      <vt:lpstr>'WU AGO-20'!Área_de_impresión</vt:lpstr>
      <vt:lpstr>'WU ENE-20'!Área_de_impresión</vt:lpstr>
      <vt:lpstr>'WU FEB-20'!Área_de_impresión</vt:lpstr>
      <vt:lpstr>'WU JUL-20'!Área_de_impresión</vt:lpstr>
      <vt:lpstr>'WU JUN-20'!Área_de_impresión</vt:lpstr>
      <vt:lpstr>'WU MAR-20'!Área_de_impresión</vt:lpstr>
      <vt:lpstr>'WU MAY-20'!Área_de_impresión</vt:lpstr>
      <vt:lpstr>'WU NOV-20'!Área_de_impresión</vt:lpstr>
      <vt:lpstr>'WU OCT-20'!Área_de_impresión</vt:lpstr>
      <vt:lpstr>'WU SEP-20'!Área_de_impresión</vt:lpstr>
      <vt:lpstr>'BP CON ABR-20'!Títulos_a_imprimir</vt:lpstr>
      <vt:lpstr>'BP CON AGO-20'!Títulos_a_imprimir</vt:lpstr>
      <vt:lpstr>'BP CON DIC-19'!Títulos_a_imprimir</vt:lpstr>
      <vt:lpstr>'BP CON ENE-20'!Títulos_a_imprimir</vt:lpstr>
      <vt:lpstr>'BP CON FEB-20'!Títulos_a_imprimir</vt:lpstr>
      <vt:lpstr>'BP CON JUL-20'!Títulos_a_imprimir</vt:lpstr>
      <vt:lpstr>'BP CON JUN-20'!Títulos_a_imprimir</vt:lpstr>
      <vt:lpstr>'BP CON MAR-20'!Títulos_a_imprimir</vt:lpstr>
      <vt:lpstr>'BP CON MAY-20'!Títulos_a_imprimir</vt:lpstr>
      <vt:lpstr>'BP CON NOV-20'!Títulos_a_imprimir</vt:lpstr>
      <vt:lpstr>'BP CON OCT-20'!Títulos_a_imprimir</vt:lpstr>
      <vt:lpstr>'BP CON SEP-20'!Títulos_a_imprimir</vt:lpstr>
      <vt:lpstr>'DEP ENE-20'!Títulos_a_imprimir</vt:lpstr>
      <vt:lpstr>'DP ABR-20'!Títulos_a_imprimir</vt:lpstr>
      <vt:lpstr>'DP FEB-20'!Títulos_a_imprimir</vt:lpstr>
      <vt:lpstr>'DP JUL-20'!Títulos_a_imprimir</vt:lpstr>
      <vt:lpstr>'DP MAR-20'!Títulos_a_imprimir</vt:lpstr>
      <vt:lpstr>'DP MAY-20'!Títulos_a_imprimir</vt:lpstr>
      <vt:lpstr>'DP NOV-20'!Títulos_a_imprimir</vt:lpstr>
      <vt:lpstr>'DP OCT-20'!Títulos_a_imprimir</vt:lpstr>
      <vt:lpstr>'DP SEP-20'!Títulos_a_imprimir</vt:lpstr>
      <vt:lpstr>'WU ABR-20'!Títulos_a_imprimir</vt:lpstr>
      <vt:lpstr>'WU AGO-20'!Títulos_a_imprimir</vt:lpstr>
      <vt:lpstr>'WU ENE-20'!Títulos_a_imprimir</vt:lpstr>
      <vt:lpstr>'WU FEB-20'!Títulos_a_imprimir</vt:lpstr>
      <vt:lpstr>'WU JUL-20'!Títulos_a_imprimir</vt:lpstr>
      <vt:lpstr>'WU JUN-20'!Títulos_a_imprimir</vt:lpstr>
      <vt:lpstr>'WU MAR-20'!Títulos_a_imprimir</vt:lpstr>
      <vt:lpstr>'WU MAY-20'!Títulos_a_imprimir</vt:lpstr>
      <vt:lpstr>'WU NOV-20'!Títulos_a_imprimir</vt:lpstr>
      <vt:lpstr>'WU OCT-20'!Títulos_a_imprimir</vt:lpstr>
      <vt:lpstr>'WU SEP-20'!Títulos_a_imprimir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Cliente Selecto</dc:creator>
  <cp:lastModifiedBy>mmoscoso</cp:lastModifiedBy>
  <cp:lastPrinted>2020-12-18T16:21:13Z</cp:lastPrinted>
  <dcterms:created xsi:type="dcterms:W3CDTF">2020-11-27T15:41:39Z</dcterms:created>
  <dcterms:modified xsi:type="dcterms:W3CDTF">2020-12-18T16:21:22Z</dcterms:modified>
</cp:coreProperties>
</file>